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прил_1" sheetId="1" r:id="rId1"/>
    <sheet name="прил_2" sheetId="2" r:id="rId2"/>
    <sheet name="прил_3" sheetId="3" r:id="rId3"/>
    <sheet name="прил_4" sheetId="4" r:id="rId4"/>
    <sheet name="прил_5" sheetId="5" r:id="rId5"/>
    <sheet name="прил_6" sheetId="6" r:id="rId6"/>
    <sheet name="прил_7" sheetId="7" r:id="rId7"/>
  </sheets>
  <definedNames>
    <definedName name="_xlnm.Print_Titles" localSheetId="2">'прил_3'!$9:$10</definedName>
    <definedName name="_xlnm.Print_Titles" localSheetId="3">'прил_4'!$11:$12</definedName>
    <definedName name="_xlnm.Print_Titles" localSheetId="4">'прил_5'!$10:$10</definedName>
    <definedName name="_xlnm.Print_Titles" localSheetId="5">'прил_6'!$10:$10</definedName>
    <definedName name="_xlnm.Print_Titles" localSheetId="6">'прил_7'!$11:$12</definedName>
    <definedName name="_xlnm.Print_Area" localSheetId="1">'прил_2'!$A$1:$F$214</definedName>
  </definedNames>
  <calcPr fullCalcOnLoad="1"/>
</workbook>
</file>

<file path=xl/sharedStrings.xml><?xml version="1.0" encoding="utf-8"?>
<sst xmlns="http://schemas.openxmlformats.org/spreadsheetml/2006/main" count="8790" uniqueCount="950">
  <si>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</si>
  <si>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</si>
  <si>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</si>
  <si>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</si>
  <si>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</si>
  <si>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</si>
  <si>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</si>
  <si>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</si>
  <si>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r>
  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</t>
    </r>
    <r>
      <rPr>
        <b/>
        <i/>
        <sz val="12"/>
        <color indexed="8"/>
        <rFont val="Times New Roman"/>
        <family val="1"/>
      </rPr>
      <t>о рыболовстве и сохранении водных биологических ресурсов,</t>
    </r>
    <r>
      <rPr>
        <b/>
        <i/>
        <sz val="12"/>
        <color indexed="55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земельного законодательства, лесного законодательства, водного законодательства</t>
    </r>
  </si>
  <si>
    <t xml:space="preserve">                                             Приложение № 1</t>
  </si>
  <si>
    <t xml:space="preserve">                                             Приложение № 2</t>
  </si>
  <si>
    <t xml:space="preserve">Доходы местного бюджета ЗАТО Александровск за 2013 год по кодам классификации                                                                                                                                                                  доходов бюджетов </t>
  </si>
  <si>
    <t>Доходы местного бюджета ЗАТО Александровск  за 2013 год по кодам видов доходов, подвидов доходов, классификации операций сектора государственного управления, относящимся к доходам бюджетов</t>
  </si>
  <si>
    <t>Доплаты к пенсиям, дополнительное пенсионное обеспечение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</si>
  <si>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Мурманской области, переданных для осуществления органам местного самоуправления в установленном порядке</t>
  </si>
  <si>
    <t>5210000</t>
  </si>
  <si>
    <t>5210800</t>
  </si>
  <si>
    <t>Предоставление мер социальной поддержки</t>
  </si>
  <si>
    <t>5210801</t>
  </si>
  <si>
    <t>6225600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</si>
  <si>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 сирот и детей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</si>
  <si>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6225623</t>
  </si>
  <si>
    <t>Социальные выплаты гражданам, кроме публичных нормативных социальных выплат</t>
  </si>
  <si>
    <t>320</t>
  </si>
  <si>
    <t>4910000</t>
  </si>
  <si>
    <t>4910100</t>
  </si>
  <si>
    <t xml:space="preserve">Перечень </t>
  </si>
  <si>
    <t>№ п/п</t>
  </si>
  <si>
    <t>Наименование программ, заказчиков</t>
  </si>
  <si>
    <t>Всего по  муниципальным целевым программам</t>
  </si>
  <si>
    <t>Долгосрочная целевая программа "Поэтапный переход на отпуск коммунальных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ресурсов" на 2009-2016 годы</t>
  </si>
  <si>
    <t>400</t>
  </si>
  <si>
    <t>Бюджетные инвестиции в объекты государственной собственности федеральным государственным учреждениям</t>
  </si>
  <si>
    <t>410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</si>
  <si>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</si>
  <si>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</si>
  <si>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Иные выплаты населению</t>
  </si>
  <si>
    <t>360</t>
  </si>
  <si>
    <t>Взнос в уставный фонд муниципального унитарного предприятия жилищно-коммунального хозяйства "База механизации"</t>
  </si>
  <si>
    <t>896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</si>
  <si>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</si>
  <si>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5200302</t>
  </si>
  <si>
    <t>Обслуживание государственного долга Российской Федерации</t>
  </si>
  <si>
    <t>Обслуживание государственного (муниципального) долга</t>
  </si>
  <si>
    <t>720</t>
  </si>
  <si>
    <t>Субсидии бюджетным учреждениям</t>
  </si>
  <si>
    <t>Субсидии бюджетным учреждениям на иные цели</t>
  </si>
  <si>
    <t>Контрольно-ревизионная комиссия ЗАТО Александровск</t>
  </si>
  <si>
    <t>924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</si>
  <si>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</si>
  <si>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</si>
  <si>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</si>
  <si>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представительный орган местного самоуправления</t>
  </si>
  <si>
    <t xml:space="preserve">0200000 </t>
  </si>
  <si>
    <t>0200510</t>
  </si>
  <si>
    <t>Субсидии автономным учреждениям</t>
  </si>
  <si>
    <t>Субсидии автономным учреждениям на иные цели</t>
  </si>
  <si>
    <t>612</t>
  </si>
  <si>
    <t>620</t>
  </si>
  <si>
    <t>622</t>
  </si>
  <si>
    <t>Ведомственная целевая программа "Обеспечение предоставления услуг (работ) в сфере общего и дополнительного образования" на 2012-2014 годы</t>
  </si>
  <si>
    <t>6227400</t>
  </si>
  <si>
    <t>Реализация Закона Мурманской области «О мерах социальной поддержки инвалидов» в части финансирования расходов по обеспечению воспитания и обучения детей-инвалидов на дому и в дошкольных учреждениях</t>
  </si>
  <si>
    <t>6227425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</si>
  <si>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</si>
  <si>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</si>
  <si>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</si>
  <si>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5205400</t>
  </si>
  <si>
    <t>Защита населения и территории от чрезвычайных ситуаций природного и техногенного характера, гражданская оборона</t>
  </si>
  <si>
    <t>Молодежная политика и оздоровление детей</t>
  </si>
  <si>
    <t>Дворцы и дома культуры, другие учреждения культуры и средств массовой информации</t>
  </si>
  <si>
    <t>Глава местной администрации (исполнительно-распорядительного органа муниципального образования)</t>
  </si>
  <si>
    <t>0020800</t>
  </si>
  <si>
    <t>Код ведом-ства</t>
  </si>
  <si>
    <t>Расходы на реализацию Закона Мурманской области "Об административных комиссиях"</t>
  </si>
  <si>
    <t>898</t>
  </si>
  <si>
    <t>0020411</t>
  </si>
  <si>
    <t>913</t>
  </si>
  <si>
    <t>914</t>
  </si>
  <si>
    <t>915</t>
  </si>
  <si>
    <t>919</t>
  </si>
  <si>
    <t>916</t>
  </si>
  <si>
    <t>Управление образования  администрации ЗАТО Александровск</t>
  </si>
  <si>
    <t>918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</si>
  <si>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</si>
  <si>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</si>
  <si>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</si>
  <si>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Долгосрочная целевая программа "Энергосбережение и повышение энергетической эффективности в Мурманской области" на 2010-2015 годы и на перспективу до 2020 года</t>
  </si>
  <si>
    <t>5225400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</si>
  <si>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</si>
  <si>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>5225423</t>
  </si>
  <si>
    <t>Содержание ребенка в семье опекуна и приемной семье, а так же вознаграждение, причитающееся приемному родителю (за счет средств областного бюджета), в части выплаты вознаграждения приемному родителю</t>
  </si>
  <si>
    <t>Предоставление субсидии муниципальным образованиям на реализацию муниципальных программ повышения эффективности бюджетных расходов</t>
  </si>
  <si>
    <t>5220603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</si>
  <si>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</si>
  <si>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</si>
  <si>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</si>
  <si>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</si>
  <si>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</si>
  <si>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</si>
  <si>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</si>
  <si>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</si>
  <si>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</si>
  <si>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</si>
  <si>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</si>
  <si>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</si>
  <si>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</si>
  <si>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</si>
  <si>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</si>
  <si>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</si>
  <si>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</si>
  <si>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</si>
  <si>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</si>
  <si>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</si>
  <si>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</si>
  <si>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</si>
  <si>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</si>
  <si>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</si>
  <si>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</si>
  <si>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</si>
  <si>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</si>
  <si>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</si>
  <si>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</si>
  <si>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</si>
  <si>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</si>
  <si>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</si>
  <si>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</si>
  <si>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</si>
  <si>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</si>
  <si>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</si>
  <si>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</si>
  <si>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</si>
  <si>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</si>
  <si>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</si>
  <si>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</si>
  <si>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</si>
  <si>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</si>
  <si>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Вид доходов, подвид доходов</t>
  </si>
  <si>
    <t>КОСГУ</t>
  </si>
  <si>
    <t xml:space="preserve">000 1 00 00000 00 0000 </t>
  </si>
  <si>
    <t xml:space="preserve">000 1 01 00000 00 0000 </t>
  </si>
  <si>
    <t xml:space="preserve">000 1 01 02000 01 0000 </t>
  </si>
  <si>
    <t>Налог на доходы физических лиц</t>
  </si>
  <si>
    <t xml:space="preserve">000 1 01 02010 01 0000 </t>
  </si>
  <si>
    <t xml:space="preserve">000 1 01 02010 01 1000 </t>
  </si>
  <si>
    <t xml:space="preserve">000 1 01 02010 01 2000 </t>
  </si>
  <si>
    <t xml:space="preserve">000 1 01 02010 01 3000 </t>
  </si>
  <si>
    <t xml:space="preserve">000 1 01 02010 01 4000 </t>
  </si>
  <si>
    <t xml:space="preserve">000 1 01 02020 01 0000 </t>
  </si>
  <si>
    <t xml:space="preserve">000 1 01 02020 01 1000 </t>
  </si>
  <si>
    <t xml:space="preserve">000 1 01 02020 01 2000 </t>
  </si>
  <si>
    <t xml:space="preserve">000 1 01 02020 01 3000 </t>
  </si>
  <si>
    <t xml:space="preserve">000 1 01 02030 01 0000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</si>
  <si>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</si>
  <si>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000 1 01 02030 01 1000 </t>
  </si>
  <si>
    <t xml:space="preserve">000 1 01 02030 01 2000 </t>
  </si>
  <si>
    <t xml:space="preserve">000 1 01 02030 01 3000 </t>
  </si>
  <si>
    <t xml:space="preserve">000 1 01 02040 01 0000 </t>
  </si>
  <si>
    <t xml:space="preserve">000 1 01 02040 01 1000 </t>
  </si>
  <si>
    <t xml:space="preserve">000 1 05 00000 00 0000 </t>
  </si>
  <si>
    <t xml:space="preserve">000 1 05 01000 00 0000 </t>
  </si>
  <si>
    <t>Налог, взимаемый в связи с применением упрощенной системы налогобложения</t>
  </si>
  <si>
    <t xml:space="preserve">000 1 05 01010 01 0000 </t>
  </si>
  <si>
    <t>Налог, взимаемый с налогоплательщиков, выбравших в качестве объекта налогообложения  доходы</t>
  </si>
  <si>
    <t xml:space="preserve">000 1 05 01011 01 0000 </t>
  </si>
  <si>
    <t xml:space="preserve">000 1 05 01011 01 1000 </t>
  </si>
  <si>
    <t xml:space="preserve">000 1 05 01011 01 2000 </t>
  </si>
  <si>
    <t xml:space="preserve">000 1 05 01011 01 3000 </t>
  </si>
  <si>
    <t xml:space="preserve">000 1 05 01012 01 0000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</si>
  <si>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</si>
  <si>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000 1 05 01012 01 1000 </t>
  </si>
  <si>
    <t xml:space="preserve">000 1 05 01012 01 2000 </t>
  </si>
  <si>
    <t xml:space="preserve">000 1 05 01012 01 3000 </t>
  </si>
  <si>
    <t xml:space="preserve">000 1 05 01020 01 0000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</si>
  <si>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</si>
  <si>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000 1 05 01021 01 0000 </t>
  </si>
  <si>
    <t xml:space="preserve">000 1 05 01021 01 1000 </t>
  </si>
  <si>
    <t xml:space="preserve">000 1 05 01021 01 2000 </t>
  </si>
  <si>
    <t xml:space="preserve">000 1 05 01021 01 3000 </t>
  </si>
  <si>
    <t xml:space="preserve">000 1 05 01022 01 0000 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</si>
  <si>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</si>
  <si>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000 1 05 01022 01 1000 </t>
  </si>
  <si>
    <t xml:space="preserve">000 1 05 01022 01 2000 </t>
  </si>
  <si>
    <t xml:space="preserve">000 1 05 01022 01 3000 </t>
  </si>
  <si>
    <t xml:space="preserve">000 1 05 01050 01 0000 </t>
  </si>
  <si>
    <t>Минимальный налог, зачисляемый в бюджеты субъектов Российской Федерации</t>
  </si>
  <si>
    <t xml:space="preserve">000 1 05 01050 01 1000 </t>
  </si>
  <si>
    <t xml:space="preserve">000 1 05 01050 01 2000 </t>
  </si>
  <si>
    <t xml:space="preserve">000 1 05 01050 01 3000 </t>
  </si>
  <si>
    <t xml:space="preserve">000 1 05 02000 02 0000 </t>
  </si>
  <si>
    <t>Единый налог на вмененый доход для отдельных видов деятельности</t>
  </si>
  <si>
    <t xml:space="preserve">000 1 05 02010 02 0000 </t>
  </si>
  <si>
    <t>Единый налог на вмененный доход для отдельных видов деятельности</t>
  </si>
  <si>
    <t xml:space="preserve">000 1 05 02010 02 1000 </t>
  </si>
  <si>
    <t xml:space="preserve">000 1 05 02010 02 2000 </t>
  </si>
  <si>
    <t xml:space="preserve">000 1 05 02010 02 3000 </t>
  </si>
  <si>
    <t xml:space="preserve">000 1 05 02020 02 0000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</si>
  <si>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</si>
  <si>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000 1 05 02020 02 1000 </t>
  </si>
  <si>
    <t xml:space="preserve">000 1 05 02020 02 2000 </t>
  </si>
  <si>
    <t xml:space="preserve">000 1 05 02020 02 3000 </t>
  </si>
  <si>
    <t xml:space="preserve">000 1 05 04000 02 0000 </t>
  </si>
  <si>
    <t>Налог, взимаемый в связи с применением патентной системы налогообложения</t>
  </si>
  <si>
    <t xml:space="preserve">000 1 05 04010 02 0000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</si>
  <si>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</si>
  <si>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000 1 05 04010 02 1000 </t>
  </si>
  <si>
    <t xml:space="preserve">000 1 05 04010 02 2000 </t>
  </si>
  <si>
    <t xml:space="preserve">000 1 06 00000 00 0000 </t>
  </si>
  <si>
    <t xml:space="preserve">000 1 06 01000 00 0000 </t>
  </si>
  <si>
    <t>Налог на имущество физических лиц</t>
  </si>
  <si>
    <t xml:space="preserve">000 1 06 01020 04 0000 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</si>
  <si>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</si>
  <si>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000 1 06 01020 04 1000 </t>
  </si>
  <si>
    <t xml:space="preserve">000 1 06 01020 04 2000 </t>
  </si>
  <si>
    <t xml:space="preserve">000 1 06 01020 04 4000 </t>
  </si>
  <si>
    <t xml:space="preserve">000 1 06 06000 00 0000 </t>
  </si>
  <si>
    <t xml:space="preserve">Земельный налог </t>
  </si>
  <si>
    <t xml:space="preserve">000 1 06 06010 00 0000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</si>
  <si>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</si>
  <si>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000 1 06 06012 04 0000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</si>
  <si>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</si>
  <si>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000 1 06 06012 04 1000 </t>
  </si>
  <si>
    <t xml:space="preserve">000 1 06 06012 04 2000 </t>
  </si>
  <si>
    <t xml:space="preserve">000 1 06 06012 04 3000 </t>
  </si>
  <si>
    <t xml:space="preserve">000 1 06 06012 04 4000 </t>
  </si>
  <si>
    <t xml:space="preserve">000 1 06 06020 00 0000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</si>
  <si>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</si>
  <si>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000 1 06 06022 04 0000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</si>
  <si>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</si>
  <si>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000 1 06 06022 04 1000 </t>
  </si>
  <si>
    <t xml:space="preserve">000 1 06 06022 04 2000 </t>
  </si>
  <si>
    <t xml:space="preserve">000 1 06 06022 04 3000 </t>
  </si>
  <si>
    <t xml:space="preserve">000 1 08 00000 00 0000 </t>
  </si>
  <si>
    <t xml:space="preserve">000 1 08 03000 01 0000 </t>
  </si>
  <si>
    <t>Государственная пошлина по делам, рассматриваемым в судах общей юрисдикции, мировыми судьями</t>
  </si>
  <si>
    <t xml:space="preserve">000 1 08 03010 01 0000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</si>
  <si>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</si>
  <si>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000 1 08 03010 01 1000 </t>
  </si>
  <si>
    <t xml:space="preserve">000 1 08 07000 01 0000 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</si>
  <si>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</si>
  <si>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000 1 08 07150 01 0000 </t>
  </si>
  <si>
    <t xml:space="preserve">Государственная пошлина за выдачу разрешения на установку рекламной конструкции </t>
  </si>
  <si>
    <t xml:space="preserve">000 1 08 07150 01 1000 </t>
  </si>
  <si>
    <t xml:space="preserve">000 1 09 00000 00 0000 </t>
  </si>
  <si>
    <t>000 1 09 01000 00 0000</t>
  </si>
  <si>
    <t>Налог на прибыль организаций, зачислявшийся до 1 января 2005 года в местные бюджеты</t>
  </si>
  <si>
    <t>000 1 09 01020 04 0000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</si>
  <si>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</si>
  <si>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000 1 09 01020 04 2000</t>
  </si>
  <si>
    <t>000 1 09 06000 02 0000</t>
  </si>
  <si>
    <t>Прочие налоги и сборы (по отмененным налогам и сборам субъектов Российской Федерации)</t>
  </si>
  <si>
    <t>000 1 09 06010 02 0000</t>
  </si>
  <si>
    <t>Налог с продаж</t>
  </si>
  <si>
    <t>000 1 09 06010 02 1000</t>
  </si>
  <si>
    <t>000 1 09 07000 00 0000</t>
  </si>
  <si>
    <t>Прочие налоги и сборы (по отмененным местным налогам и сборам)</t>
  </si>
  <si>
    <t xml:space="preserve">000 1 09 07030 00 0000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</si>
  <si>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</si>
  <si>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000 1 09 07032 04 0000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</si>
  <si>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</si>
  <si>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000 1 09 07032 04 2000 </t>
  </si>
  <si>
    <t xml:space="preserve">000 1 11 00000 00 0000 </t>
  </si>
  <si>
    <t xml:space="preserve">000 1 11 05000 00 0000 </t>
  </si>
  <si>
    <t xml:space="preserve">000 1 11 05010 00 0000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</si>
  <si>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</si>
  <si>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</t>
  </si>
  <si>
    <t xml:space="preserve">000 1 11 05020 00 0000 </t>
  </si>
  <si>
    <t xml:space="preserve">000 1 11 05024 04 0000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</si>
  <si>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</si>
  <si>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000 1 11 05030 00 0000 </t>
  </si>
  <si>
    <t xml:space="preserve">000 1 11 05034 04 0000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</si>
  <si>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</si>
  <si>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000 1 11 07000 00 0000 </t>
  </si>
  <si>
    <t>Платежи от государственных и муниципальных унитарных предприятий</t>
  </si>
  <si>
    <t xml:space="preserve">000 1 11 07010 00 0000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</si>
  <si>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</si>
  <si>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000 1 11 07014 04 0000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</si>
  <si>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</si>
  <si>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000 1 11 09000 00 0000 </t>
  </si>
  <si>
    <t xml:space="preserve">000 1 11 09040 00 0000 </t>
  </si>
  <si>
    <t xml:space="preserve">000 1 11 09044 04 0000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</si>
  <si>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</si>
  <si>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000 1 12 00000 00 0000 </t>
  </si>
  <si>
    <t xml:space="preserve">000 1 12 01000 01 0000 </t>
  </si>
  <si>
    <t>Плата за негативное воздействие на окружающую среду</t>
  </si>
  <si>
    <t xml:space="preserve">000 1 12 01010 01 0000 </t>
  </si>
  <si>
    <t>Плата за выбросы загрязняющих веществ в атмосферный воздух стационарными объектами</t>
  </si>
  <si>
    <t xml:space="preserve">000 1 12 01010 01 6000 </t>
  </si>
  <si>
    <t xml:space="preserve">000 1 12 01020 01 0000 </t>
  </si>
  <si>
    <t>Плата за выбросы загрязняющих веществ в атмосферный воздух передвижными объектами</t>
  </si>
  <si>
    <t xml:space="preserve">000 1 12 01020 01 6000 </t>
  </si>
  <si>
    <t xml:space="preserve">000 1 12 01030 01 0000 </t>
  </si>
  <si>
    <t>Плата за сбросы загрязняющих веществ в водные объекты</t>
  </si>
  <si>
    <t xml:space="preserve">000 1 12 01030 01 6000 </t>
  </si>
  <si>
    <t xml:space="preserve">000 1 12 01040 01 0000 </t>
  </si>
  <si>
    <t>Плата за размещение отходов производства и потребления</t>
  </si>
  <si>
    <t xml:space="preserve">000 1 12 01040 01 6000 </t>
  </si>
  <si>
    <t xml:space="preserve">000 1 13 00000 00 0000 </t>
  </si>
  <si>
    <t xml:space="preserve">000 1 13 02000 00 0000 </t>
  </si>
  <si>
    <t>130</t>
  </si>
  <si>
    <t>Доходы от компенсации затрат государства</t>
  </si>
  <si>
    <t xml:space="preserve">000 1 13 02990 00 0000 </t>
  </si>
  <si>
    <t>Прочие доходы от компенсации затрат государства</t>
  </si>
  <si>
    <t xml:space="preserve">000 1 13 02994 04 0000 </t>
  </si>
  <si>
    <t>Прочие доходы от компенсации затрат бюджетов городских округов</t>
  </si>
  <si>
    <t xml:space="preserve">000 1 14 00000 00 0000 </t>
  </si>
  <si>
    <t xml:space="preserve">000 1 14 02000 00 0000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</si>
  <si>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</si>
  <si>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</t>
  </si>
  <si>
    <t xml:space="preserve">000 1 14 02043 04 0000 </t>
  </si>
  <si>
    <t xml:space="preserve">000 1 16 00000 00 0000 </t>
  </si>
  <si>
    <t xml:space="preserve">000 1 16 03000 00 0000 </t>
  </si>
  <si>
    <t>140</t>
  </si>
  <si>
    <t>Денежные взыскания (штрафы) за нарушение законодательства о налогах и сборах</t>
  </si>
  <si>
    <t xml:space="preserve">000 1 16 03010 01 0000 </t>
  </si>
  <si>
    <t xml:space="preserve">000 1 16 03010 01 6000 </t>
  </si>
  <si>
    <t xml:space="preserve">000 1 16 03030 01 0000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</si>
  <si>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</si>
  <si>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000 1 16 03030 01 6000 </t>
  </si>
  <si>
    <t xml:space="preserve">000 1 16 06000 01 0000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</si>
  <si>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</si>
  <si>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000 1 16 06000 01 6000 </t>
  </si>
  <si>
    <t xml:space="preserve">000 1 16 25000 00 0000 </t>
  </si>
  <si>
    <t xml:space="preserve">000 1 16 25060 01 0000 </t>
  </si>
  <si>
    <t>Денежные взыскания (штрафы) за нарушение земельного законодательства</t>
  </si>
  <si>
    <t xml:space="preserve">000 1 16 25060 01 6000 </t>
  </si>
  <si>
    <t xml:space="preserve">000 1 16 28000 01 0000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</si>
  <si>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</si>
  <si>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000 1 16 28000 01 6000 </t>
  </si>
  <si>
    <t xml:space="preserve">000 1 16 30000 01 0000 </t>
  </si>
  <si>
    <t>Денежные взыскания (штрафы) за правонарушения в области дорожного хозяйства</t>
  </si>
  <si>
    <t xml:space="preserve">000 1 16 30030 01 0000 </t>
  </si>
  <si>
    <t xml:space="preserve">000 1 16 30030 01 6000 </t>
  </si>
  <si>
    <t xml:space="preserve">000 1 16 33000 00 0000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</si>
  <si>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</si>
  <si>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000 1 16 33040 04 0000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</si>
  <si>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</si>
  <si>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000 1 16 33040 04 6000 </t>
  </si>
  <si>
    <t xml:space="preserve">000 1 16 43000 01 0000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</si>
  <si>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</si>
  <si>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000 1 16 43000 01 6000 </t>
  </si>
  <si>
    <t xml:space="preserve">000 1 16 90000 00 0000 </t>
  </si>
  <si>
    <t>Прочие поступления от денежных взысканий (штрафов) и иных сумм в возмещение ущерба</t>
  </si>
  <si>
    <t xml:space="preserve">000 1 16 90040 04 0000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</si>
  <si>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</si>
  <si>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000 1 16 90040 04 6000 </t>
  </si>
  <si>
    <t xml:space="preserve">000 1 17 00000 00 0000 </t>
  </si>
  <si>
    <t>Прочие неналоговые доходы</t>
  </si>
  <si>
    <t xml:space="preserve">000 1 17 01000 00 0000 </t>
  </si>
  <si>
    <t>180</t>
  </si>
  <si>
    <t>Невыясненные поступления</t>
  </si>
  <si>
    <t xml:space="preserve">000 1 17 01040 04 0000 </t>
  </si>
  <si>
    <t>Невыясненные поступления, зачисляемые в бюджеты городских округов</t>
  </si>
  <si>
    <t xml:space="preserve">000 1 17 05000 00 0000 </t>
  </si>
  <si>
    <t xml:space="preserve">000 1 17 05040 04 0000 </t>
  </si>
  <si>
    <t>Прочие неналоговые доходы бюджетов городских округов</t>
  </si>
  <si>
    <t xml:space="preserve">000 2 00 00000 00 0000 </t>
  </si>
  <si>
    <t xml:space="preserve">000 2 02 00000 00 0000 </t>
  </si>
  <si>
    <t>Безвозмездные поступления от других бюджетов бюджетной системы Российской Федерации</t>
  </si>
  <si>
    <t xml:space="preserve">000 2 02 01000 00 0000 </t>
  </si>
  <si>
    <t>151</t>
  </si>
  <si>
    <t xml:space="preserve">000 2 02 01001 00 0000 </t>
  </si>
  <si>
    <t>Дотации на выравнивание бюджетной обеспеченнности</t>
  </si>
  <si>
    <t xml:space="preserve">000 2 02 01001 04 0000 </t>
  </si>
  <si>
    <t>Дотации бюджетам городских округов на выравнивание бюджетной обеспеченнности</t>
  </si>
  <si>
    <t xml:space="preserve">000 2 02 01007 00 0000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</si>
  <si>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</si>
  <si>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000 2 02 01007 04 0000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</si>
  <si>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</si>
  <si>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000 2 02 02000 00 0000 </t>
  </si>
  <si>
    <t>000 2 02 02051 00 0000</t>
  </si>
  <si>
    <t>Субсидии бюджетам на реализацию федеральных целевых программ</t>
  </si>
  <si>
    <t>000 2 02 02051 04 0000</t>
  </si>
  <si>
    <t>Субсидии бюджетам городских округов на реализацию федеральных целевых программ</t>
  </si>
  <si>
    <t>000 2 02 02089 00 0000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</si>
  <si>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</si>
  <si>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000 2 02 02089 04 0000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</si>
  <si>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</si>
  <si>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000 2 02 02089 04 0001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</si>
  <si>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</si>
  <si>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000 2 02 02145 00 0000</t>
  </si>
  <si>
    <t>Субсидии бюджетам на модернизацию региональных систем общего образования</t>
  </si>
  <si>
    <t>000 2 02 02145 04 0000</t>
  </si>
  <si>
    <t>Субсидии бюджетам городских округов на модернизацию региональных систем общего образования</t>
  </si>
  <si>
    <t>000 2 02 02150 00 0000</t>
  </si>
  <si>
    <t>Субсидии бюджетам на реализацию программы энергоснабжения и повышения энергетической эффективности на период до 2020 года</t>
  </si>
  <si>
    <t>000 2 02 02150 04 0000</t>
  </si>
  <si>
    <t>Субсидии бюджетам городских округов на реализацию программы энергоснабжения и повышения энергетической эффективности на период до 2020 года</t>
  </si>
  <si>
    <t>000 2 02 02204 00 0000</t>
  </si>
  <si>
    <t>Субсидии бюджетам на модернизацию региональных систем дошкольного образования</t>
  </si>
  <si>
    <t>000 2 02 02204 04 0000</t>
  </si>
  <si>
    <t>Субсидии бюджетам городских округов на модернизацию региональных систем дошкольного образования</t>
  </si>
  <si>
    <t xml:space="preserve">000 2 02 02999 00 0000 </t>
  </si>
  <si>
    <t>Прочие субсидии</t>
  </si>
  <si>
    <t xml:space="preserve">000 2 02 02999 04 0000 </t>
  </si>
  <si>
    <t>Прочие субсидии бюджетам городских округов</t>
  </si>
  <si>
    <t xml:space="preserve">000 2 02 03000 00 0000 </t>
  </si>
  <si>
    <t xml:space="preserve">000 2 02 03003 00 0000 </t>
  </si>
  <si>
    <t>Субвенции бюджетам на государственную регистрацию актов гражданского состояния</t>
  </si>
  <si>
    <t xml:space="preserve">000 2 02 03003 04 0000 </t>
  </si>
  <si>
    <t>Субвенции бюджетам городских округов на государственную регистрацию актов гражданского состояния</t>
  </si>
  <si>
    <t>000 2 02 03021 00 0000</t>
  </si>
  <si>
    <t>Субвенции бюджетам муниципальных образований на ежемесячное денежное вознаграждение за классное руководство</t>
  </si>
  <si>
    <t>000 2 02 03021 04 0000</t>
  </si>
  <si>
    <t>Субвенции бюджетам городских округов на ежемесячное денежное вознаграждение за классное руководство</t>
  </si>
  <si>
    <t xml:space="preserve">000 2 02 03027 00 0000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</si>
  <si>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</si>
  <si>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000 2 02 03027 04 0000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</si>
  <si>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</si>
  <si>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000 2 02 03029 00 0000 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</si>
  <si>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</si>
  <si>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000 2 02 03029 04 0000 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</si>
  <si>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</si>
  <si>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000 2 02 03999 00 0000 </t>
  </si>
  <si>
    <t>Прочие субвенции</t>
  </si>
  <si>
    <t xml:space="preserve">000 2 02 03999 04 0000 </t>
  </si>
  <si>
    <t>Прочие субвенции бюджетам городских округов</t>
  </si>
  <si>
    <t xml:space="preserve">000 2 02 04000 00 0000 </t>
  </si>
  <si>
    <t xml:space="preserve">000 2 02 04010 00 0000 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</si>
  <si>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</si>
  <si>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 xml:space="preserve">000 2 02 04010 04 0000 </t>
  </si>
  <si>
    <t>Межбюджетные трансферты, передаваемые бюджетам городских округов на переселение граждан из закрытых административно - территориальных образований</t>
  </si>
  <si>
    <t xml:space="preserve">000 2 02 04025 00 0000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</si>
  <si>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</si>
  <si>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000 2 02 04025 04 0000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</si>
  <si>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</si>
  <si>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000 2 02 04053 00 0000 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</si>
  <si>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</si>
  <si>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000 2 02 04053 04 0000 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</si>
  <si>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</si>
  <si>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000 2 18 00000 00 0000 </t>
  </si>
  <si>
    <t>Доходы бюджетов бюджетной системы Российской Федерации от возврата остатков субсидий прошлых лет</t>
  </si>
  <si>
    <t>000 2 18 04000 04 0000</t>
  </si>
  <si>
    <t>Доходы бюджетов городских округов от возврата организациями остатков субсидий прошлых лет</t>
  </si>
  <si>
    <t>000 2 18 04010 04 0000</t>
  </si>
  <si>
    <t>Доходы бюджетов городских округов от возврата бюджетными учреждениями остатков субсидий прошлых лет</t>
  </si>
  <si>
    <t>000 2 18 04020 04 0000</t>
  </si>
  <si>
    <t>Доходы бюджетов городских округов от возврата автономными учреждениями остатков субсидий прошлых лет</t>
  </si>
  <si>
    <t xml:space="preserve">000 2 19 00000 00 0000 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</si>
  <si>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</si>
  <si>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000 2 19 04000 04 0000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</si>
  <si>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</si>
  <si>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</si>
  <si>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</si>
  <si>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</si>
  <si>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</si>
  <si>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</si>
  <si>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</si>
  <si>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</si>
  <si>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Мероприятия по землеустройству и землепользованию</t>
  </si>
  <si>
    <t>3400300</t>
  </si>
  <si>
    <t>Периодическая печать и издательства</t>
  </si>
  <si>
    <t>Физическая культура и спорт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</si>
  <si>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</si>
  <si>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Процентные платежи по долговым обязательствам</t>
  </si>
  <si>
    <t>0650000</t>
  </si>
  <si>
    <t>Реализация государственных функций в области национальной экономики</t>
  </si>
  <si>
    <t>3400000</t>
  </si>
  <si>
    <t>Обслуживание государственного и муниципального долга</t>
  </si>
  <si>
    <t>11</t>
  </si>
  <si>
    <t>0650300</t>
  </si>
  <si>
    <t>0920300</t>
  </si>
  <si>
    <t>6220000</t>
  </si>
  <si>
    <t>Ведомственные целевые программы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</si>
  <si>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</si>
  <si>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государственных областных и муниципальных образовательных учреждений Мурманской области"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</si>
  <si>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</t>
  </si>
  <si>
    <t>3030201</t>
  </si>
  <si>
    <t>0020402</t>
  </si>
  <si>
    <t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 в связи с проведением мероприятий по оптимизации деятельности органов местного самоуправления и сокращению расходов на их содержание</t>
  </si>
  <si>
    <t>0020404</t>
  </si>
  <si>
    <t>Муниципальная ведомственная целевая программа "Поддержка средств масссовой информации ЗАТО Александровск" на 2013 - 2014 годы</t>
  </si>
  <si>
    <t>Расходы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</si>
  <si>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0020417</t>
  </si>
  <si>
    <t>0020413</t>
  </si>
  <si>
    <t>Реализация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жилья и коммунальных услуг отдельныи категориям граждан</t>
  </si>
  <si>
    <t>На реализацию программы 2011 года</t>
  </si>
  <si>
    <t xml:space="preserve">Муниципальная долгосрочная целевая программа «Модернизация учреждений культуры, молодежной политики, образования в сфере культуры ЗАТО Александровск» на 2013 – 2015 годы  </t>
  </si>
  <si>
    <t>7951136</t>
  </si>
  <si>
    <t>Муниципальная ведомственная целевая программа "Патриотическое воспитание граждан ЗАТО Александровск" на 2013 - 2014 годы</t>
  </si>
  <si>
    <t>7952142</t>
  </si>
  <si>
    <t>Муниципальная ведомственная целевая программа "Создание условий для гражданского становления, эффективной социализации и самореализации граждан" на 2013-2014 годы</t>
  </si>
  <si>
    <t>7952141</t>
  </si>
  <si>
    <t>Муниципальная ведомственная целевая программа "Музейное дело ЗАТО Александровск" на 2013 - 2014 годы</t>
  </si>
  <si>
    <t>7952132</t>
  </si>
  <si>
    <t>Муниципальная ведомственная целевая программа "Библиотечное дело ЗАТО Александровск" на 2013 - 2014 годы</t>
  </si>
  <si>
    <t>7952131</t>
  </si>
  <si>
    <t>0020430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</si>
  <si>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</si>
  <si>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Долгосрочная целевая программа "Развитие образования Мурманской области" на 2012-2015 годы</t>
  </si>
  <si>
    <t>5221500</t>
  </si>
  <si>
    <t>Подпрограмма "Строительство и реконструкция зданий образовательных учреждений Мурманской области"</t>
  </si>
  <si>
    <t>5221520</t>
  </si>
  <si>
    <t>Федеральные целевые программы</t>
  </si>
  <si>
    <t>1000000</t>
  </si>
  <si>
    <t>Государственная программа Российской Федерации "Доступная  среда" на 2011-2015 годы</t>
  </si>
  <si>
    <t>1009000</t>
  </si>
  <si>
    <t>Реализация мероприятий государственной программы Российской Федерации "Доступная среда" на 2011-2015 годы</t>
  </si>
  <si>
    <t>1009099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</si>
  <si>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</si>
  <si>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4401602</t>
  </si>
  <si>
    <t>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 в части осуществления полномочий по выплате компенсаций)</t>
  </si>
  <si>
    <t xml:space="preserve">                                             Приложение № 5</t>
  </si>
  <si>
    <t xml:space="preserve">рублей </t>
  </si>
  <si>
    <t>группа</t>
  </si>
  <si>
    <t>под-группа</t>
  </si>
  <si>
    <t>статья</t>
  </si>
  <si>
    <t>под-статья</t>
  </si>
  <si>
    <t>эле-мент</t>
  </si>
  <si>
    <t>прог-рамма</t>
  </si>
  <si>
    <t>Класси-фикация операций сектора государст-венного управле-ния</t>
  </si>
  <si>
    <t>Кредиты кредитных организаций в валюте Российской Федерации</t>
  </si>
  <si>
    <t>0000</t>
  </si>
  <si>
    <t>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</si>
  <si>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</si>
  <si>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</si>
  <si>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710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</si>
  <si>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</si>
  <si>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</si>
  <si>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</si>
  <si>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</si>
  <si>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</si>
  <si>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</si>
  <si>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</si>
  <si>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</si>
  <si>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</si>
  <si>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</si>
  <si>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</si>
  <si>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</si>
  <si>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</si>
  <si>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</si>
  <si>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</si>
  <si>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</si>
  <si>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</si>
  <si>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</si>
  <si>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</si>
  <si>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</si>
  <si>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</si>
  <si>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</si>
  <si>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</si>
  <si>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</si>
  <si>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ИТОГО ИСТОЧНИКОВ ВНУТРЕННЕГО ФИНАНСИРОВАНИЯ ДЕФИЦИТА БЮДЖЕТА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</si>
  <si>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</si>
  <si>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</si>
  <si>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</si>
  <si>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Долгосрочная целевая программа "Профилактика правонарушений, обеспечение безопасности населения Мурманской области" на 2013-2015 годы </t>
  </si>
  <si>
    <t>Ведомственная целевая программа "Обеспечение предоставления услуг (работ) в сфере общего и дополнительного образования" на 2012-2016 годы</t>
  </si>
  <si>
    <t>Ведомственная целевая программа "Оказание мер социальной поддержки детям-сиротам и детям, оставшимся без попечения родителей, лицам из их числа" на 2012-2016 годы</t>
  </si>
  <si>
    <t>Муниципальная ведомственная целевая программа "Развитие физической культуры и спорта в ЗАТО Александровск" на 2013 - 2015 г.г.</t>
  </si>
  <si>
    <t>7952111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</si>
  <si>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</si>
  <si>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</si>
  <si>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"Развитие транспортной инфраструктуры Мурманской области" на 2012-2016 годы</t>
  </si>
  <si>
    <t>Фонд непредвиденных расходов администрации ЗАТО Александровск</t>
  </si>
  <si>
    <t>Долгосрочные целевые программы</t>
  </si>
  <si>
    <t>5224200</t>
  </si>
  <si>
    <t>Дорожное хозяйство (дорожные фонды)</t>
  </si>
  <si>
    <t>Иные бюджетные ассигнования</t>
  </si>
  <si>
    <t>Резервные средства</t>
  </si>
  <si>
    <t>870</t>
  </si>
  <si>
    <t>Организация мер социальной поддержки отдельных категорий граждан,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</t>
  </si>
  <si>
    <t>6224800</t>
  </si>
  <si>
    <t>Подготовка объектов жилищно-коммунального хозяйства к работе в осенне-зимний период 2012/2013 годов</t>
  </si>
  <si>
    <t>6224821</t>
  </si>
  <si>
    <t>6229800</t>
  </si>
  <si>
    <t>Организация отдыха детей Мурманской области в оздоровительных учреждениях с дневныи пребываением, организованных на базе муниципальных учреждений</t>
  </si>
  <si>
    <t>6229821</t>
  </si>
  <si>
    <t>Приобретение товаров, работ, услуг в пользу граждан</t>
  </si>
  <si>
    <t>323</t>
  </si>
  <si>
    <t>Аналитические ведомственные целевые программы</t>
  </si>
  <si>
    <t>Аналитическая ведомственная целевая программа "Обеспечение деятельности администрации ЗАТО Александровск" на 2013 год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</si>
  <si>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</si>
  <si>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Аналитическая ведомственная целевая программа "Обеспечение деятельности управления муниципальной собственностью администрации ЗАТО Александровск" на 2013 год</t>
  </si>
  <si>
    <t xml:space="preserve">Расходы местного бюджета ЗАТО Александровск за 2013 год по ведомственной структуре расходов                                                                                                                          местного бюджета ЗАТО Александровск </t>
  </si>
  <si>
    <t xml:space="preserve"> Источники финансирования дефицита местного бюджета ЗАТО Александровск за 2013 год  по кодам классификации источников финансирования дефицитов бюджетов </t>
  </si>
  <si>
    <t xml:space="preserve"> Источники финансирования дефицита местного бюджета ЗАТО Александровск за 2013 год по кодам групп, подгрупп, статей, подстатей, элементов, программ, 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</t>
  </si>
  <si>
    <t>муниципальных целевых программ, профинансированных в 2013 году</t>
  </si>
  <si>
    <t>Обеспечение деятельности управления муниципальной собственностью администрации ЗАТО Александровск</t>
  </si>
  <si>
    <t>Аналитическая ведомственная целевая программа "Развитие системы образования ЗАТО Александровск через эффективное выполнение муниципальных функций" на 2013 год</t>
  </si>
  <si>
    <t>Аналитическая ведомственная целевая программа "Обеспечение деятельности управления культуры, спорта и молодежной политики  администрации ЗАТО Александровск" на 2013 год</t>
  </si>
  <si>
    <t>Аналитическая ведомственная целевая программа "Обеспечение качественного и сбалансированного управления бюджетными средствами ЗАТО Александровск" на 2013 год</t>
  </si>
  <si>
    <t>Обеспечение деятельности управления финансов администрации ЗАТО Александровск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</si>
  <si>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(за счет источников финансирования дефицита местного бюджета)</t>
  </si>
  <si>
    <t>Муниципальная ведомственная целевая программа "Защита населения и территории ЗАТО Александровск от чрезвычайных ситуаций, в области гражданской обороны" на 2013 - 2014 годы</t>
  </si>
  <si>
    <t>Муниципальная ведомственная целевая программа "Управление развитием информационного общества и формированием электронного правительства" на 2013 - 2014 годы</t>
  </si>
  <si>
    <t>Муниципальная ведомственная целевая программа "Повышение эффективности управления капитальным строительством и капитальным ремонтом объектов инфраструктуры ЗАТО Александровск" на 2013 - 2015 годы</t>
  </si>
  <si>
    <t>6225630</t>
  </si>
  <si>
    <t>6227482</t>
  </si>
  <si>
    <t>6227484</t>
  </si>
  <si>
    <t>6227424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</si>
  <si>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</si>
  <si>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</si>
  <si>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6227422</t>
  </si>
  <si>
    <t>6227488</t>
  </si>
  <si>
    <t>Субсидии юридическим лицам (кроме государственных учреждений) и физическим лицам - производителям товаров, работ, услуг</t>
  </si>
  <si>
    <t>Социальное обеспечение и иные выплаты населению</t>
  </si>
  <si>
    <t>300</t>
  </si>
  <si>
    <t>Бюджетные инвестиции на приобретение объектов
недвижимого имущества</t>
  </si>
  <si>
    <t>440</t>
  </si>
  <si>
    <t>Бюджетные инвестиции на приобретение объектов
недвижимого имущества казенным учреждениям</t>
  </si>
  <si>
    <t>441</t>
  </si>
  <si>
    <t>Расходы на единовременное поощрение за многолетнюю безупречную муниципальную службу и компенсационных выплат муниципальным служащим, высвобождаемым в связи с выходом на трудовую пенсию, при условии истечения срока их полномочий</t>
  </si>
  <si>
    <t>Исполнение судебных актов</t>
  </si>
  <si>
    <t>830</t>
  </si>
  <si>
    <t>Обслуживание государственного внутреннего и муниципального долга</t>
  </si>
  <si>
    <t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
либо должностных лиц этих органов, а также в результате
деятельности казенных учреждений</t>
  </si>
  <si>
    <t>831</t>
  </si>
  <si>
    <t>Уплата налога на имущество организаций
и земельного налога</t>
  </si>
  <si>
    <t>851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</si>
  <si>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</si>
  <si>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</si>
  <si>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</si>
  <si>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</si>
  <si>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</si>
  <si>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</si>
  <si>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</si>
  <si>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0020409</t>
  </si>
  <si>
    <t>5229192</t>
  </si>
  <si>
    <t>0029919</t>
  </si>
  <si>
    <t>Ежемесячное денежное вознаграждение за классное руководство (за счет областного бюджета)</t>
  </si>
  <si>
    <t>6227421</t>
  </si>
  <si>
    <t>Мероприятия в области образования</t>
  </si>
  <si>
    <t>5229102</t>
  </si>
  <si>
    <t>4360000</t>
  </si>
  <si>
    <t>Модернизация региональных систем общего образования</t>
  </si>
  <si>
    <t>4362100</t>
  </si>
  <si>
    <t>5222600</t>
  </si>
  <si>
    <t>Мероприятия по формированию электронного правительства</t>
  </si>
  <si>
    <t>5222606</t>
  </si>
  <si>
    <t>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</si>
  <si>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5224221</t>
  </si>
  <si>
    <t>Физическая культура</t>
  </si>
  <si>
    <t>4400200</t>
  </si>
  <si>
    <t>Средства массовой информации</t>
  </si>
  <si>
    <t>Связь и информатика</t>
  </si>
  <si>
    <t>Коммунальное хозяйство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</si>
  <si>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</si>
  <si>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</si>
  <si>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</si>
  <si>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>0020401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</si>
  <si>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</si>
  <si>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представительных органов местного самоуправления</t>
  </si>
  <si>
    <t>Расходы на содержание исполнительных органов местного самоуправления</t>
  </si>
  <si>
    <t>12</t>
  </si>
  <si>
    <t>Резервные фонды местных администраций</t>
  </si>
  <si>
    <t>0700500</t>
  </si>
  <si>
    <t>0700501</t>
  </si>
  <si>
    <t>0700502</t>
  </si>
  <si>
    <t>Государственная регистрация актов гражданского состояния</t>
  </si>
  <si>
    <t>0013800</t>
  </si>
  <si>
    <t>7952000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</si>
  <si>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</si>
  <si>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</si>
  <si>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общегосударственным управлением</t>
  </si>
  <si>
    <t>0920000</t>
  </si>
  <si>
    <t>Расходы на содержание депутатов представительного органа муниципального образования</t>
  </si>
  <si>
    <t>0021201</t>
  </si>
  <si>
    <t>Расходы на содержание главы местной администрации</t>
  </si>
  <si>
    <t>0020801</t>
  </si>
  <si>
    <t>13</t>
  </si>
  <si>
    <t>Органы юстиции</t>
  </si>
  <si>
    <t>Обслуживание внутреннего государственного и муниципального долга</t>
  </si>
  <si>
    <t xml:space="preserve">                                             Приложение № 4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</si>
  <si>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</si>
  <si>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</si>
  <si>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Предоставление ежемесячной жилищно-коммунальной выплаты</t>
  </si>
  <si>
    <t>Организация предоставления ежемесячной жилищно-коммунальной выплаты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</si>
  <si>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</si>
  <si>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</si>
  <si>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</si>
  <si>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</si>
  <si>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</si>
  <si>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</si>
  <si>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</si>
  <si>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</si>
  <si>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</si>
  <si>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</si>
  <si>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</si>
  <si>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</si>
  <si>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Закупка товаров, работ, услуг в сфере информационно-коммуникационных технологий</t>
  </si>
  <si>
    <t>242</t>
  </si>
  <si>
    <t>Культура и кинематография</t>
  </si>
  <si>
    <t>700</t>
  </si>
  <si>
    <t>800</t>
  </si>
  <si>
    <t>810</t>
  </si>
  <si>
    <t>600</t>
  </si>
  <si>
    <t>610</t>
  </si>
  <si>
    <t>5225900</t>
  </si>
  <si>
    <t>Подпрограмма "Обеспечение общественной безопасности и правопорядка на территории Мурманской области"</t>
  </si>
  <si>
    <t>5225910</t>
  </si>
  <si>
    <t>321</t>
  </si>
  <si>
    <t>Пособия и компенсации гражданам и иные социальные выплаты, кроме публичных нормативных обязательств</t>
  </si>
  <si>
    <t>6227427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</si>
  <si>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(за счет средств областного бюджета)</t>
  </si>
  <si>
    <t>6227430</t>
  </si>
  <si>
    <t xml:space="preserve"> Субсидия на  повышение  оплаты труда работников муниципальных учреждений образования, повышение оплаты труда которых предусмотрено указами Президента Российской Федерации</t>
  </si>
  <si>
    <t>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</si>
  <si>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>6228422</t>
  </si>
  <si>
    <t>Ведомственная целевая программа  "Библиотечное дело Мурманской области" на 2012-2016 годы</t>
  </si>
  <si>
    <t>Долгосрочная целевая программа «Развитие спортивной инфраструктуры в Мурманской области» на 2012-2015 годы в т.ч. остатки прошлых периодов</t>
  </si>
  <si>
    <t>5228700</t>
  </si>
  <si>
    <t>Ежемесячное денежное вознаграждение за классное руководство (за счет средств федерального бюджета)</t>
  </si>
  <si>
    <t>5200900</t>
  </si>
  <si>
    <t xml:space="preserve">Субсидия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 </t>
  </si>
  <si>
    <t>5225431</t>
  </si>
  <si>
    <t>Реализация долгосрочной целевой программы "Энергосбережение и повышение энергетической эффективности в Мурманской области" на 2010-2015 годы (остатки прошлых лет)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</si>
  <si>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</si>
  <si>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</si>
  <si>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0980201</t>
  </si>
  <si>
    <t>0980200</t>
  </si>
  <si>
    <t>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услуги)</t>
  </si>
  <si>
    <t>6227428</t>
  </si>
  <si>
    <t>6225686</t>
  </si>
  <si>
    <t>Меры социальной поддержки населения по публичным нормативным обязательствам</t>
  </si>
  <si>
    <t>314</t>
  </si>
  <si>
    <t>6225687</t>
  </si>
  <si>
    <t>6225688</t>
  </si>
  <si>
    <t>6225628</t>
  </si>
  <si>
    <t>6227485</t>
  </si>
  <si>
    <t>6228400</t>
  </si>
  <si>
    <t>Ведомственная целевая программа  "Библиотечное дело Мурманской области" на 2012-2014 годы</t>
  </si>
  <si>
    <t>6228481</t>
  </si>
  <si>
    <t>6228482</t>
  </si>
  <si>
    <t>6228483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</si>
  <si>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</si>
  <si>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казенных учреждений</t>
  </si>
  <si>
    <t>110</t>
  </si>
  <si>
    <t>111</t>
  </si>
  <si>
    <t>112</t>
  </si>
  <si>
    <t>Уплата налогов, сборов и иных обязательных платежей в бюджетную систему Российской Федерации</t>
  </si>
  <si>
    <t>850</t>
  </si>
  <si>
    <t>Уплата прочих налогов, сборов и иных обязательных платежей</t>
  </si>
  <si>
    <t>852</t>
  </si>
  <si>
    <t>7951621</t>
  </si>
  <si>
    <t>Муниципальная ведомственная целевая программа "Качественное и доступное дошкольное образование" на 2013 - 2014 годы</t>
  </si>
  <si>
    <t>7952121</t>
  </si>
  <si>
    <t>Муниципальная ведомственная целевая программа "Обеспечение предоставления муниципальных услуг (работ) в сфере общего и дополнительного образования" на 2013 - 2014 годы</t>
  </si>
  <si>
    <t>7952122</t>
  </si>
  <si>
    <t xml:space="preserve">Муниципальная ведомственная целевая программа "Организация отдыха, оздоровления и занятости детей и молодежи ЗАТО Александровск" на 2013 – 2014 годы </t>
  </si>
  <si>
    <t>7952162</t>
  </si>
  <si>
    <t>Муниципальная ведомственная целевая программа "Обеспечение предоставления муниципальных услуг (работ) в сфере образования ЗАТО Александровск" на 2013 -2014 годы</t>
  </si>
  <si>
    <t>7952123</t>
  </si>
  <si>
    <t>Муниципальная ведомственная целевая программа "Обеспечение хозяйственного обслуживания учреждений образования ЗАТО Александровск" на 2013 -2014 годы</t>
  </si>
  <si>
    <t>7952124</t>
  </si>
  <si>
    <t>Муниципальная ведомственная целевая программа "Школьное здоровое питание" на 2013 -2014 годы</t>
  </si>
  <si>
    <t>7952161</t>
  </si>
  <si>
    <t>Муниципальная ведомственная целевая программа "Развитие творческого потенциала и организация досуга населения ЗАТО Александровск" на 2013 - 2014 годы</t>
  </si>
  <si>
    <t>7952133</t>
  </si>
  <si>
    <t>Долгосрочная муниципальная целевая программа "Профилактика правонарушений, обеспечение безопасности населения ЗАТО Александровск" на 2013 – 2015 годы</t>
  </si>
  <si>
    <t xml:space="preserve">Муниципальная долгосрочная целевая программа «Развитие образования ЗАТО Александровск» на 2013 – 2015 годы  </t>
  </si>
  <si>
    <t>7951126</t>
  </si>
  <si>
    <t>Муниципальная долгосрочная целевая программа «Развитие образования ЗАТО Александровск» на 2013 – 2015 годы</t>
  </si>
  <si>
    <t xml:space="preserve">7951126 </t>
  </si>
  <si>
    <t>Охрана окружающей среды</t>
  </si>
  <si>
    <t>Другие вопросы в области охраны окружающей среды</t>
  </si>
  <si>
    <t>Муниципальная долгосрочная целевая программа "Охрана окружающей среды ЗАТО Александровск" на 2013 - 2015 годы</t>
  </si>
  <si>
    <t>7951211</t>
  </si>
  <si>
    <t xml:space="preserve">Долгосрочная муниципальная целевая программа "Повышение безопасности дорожного движения и снижение дорожно-транспортного травматизма в ЗАТО Александровск" на 2013 – 2015 годы </t>
  </si>
  <si>
    <t>7951313</t>
  </si>
  <si>
    <t>Взносы в уставный капитал и уставные фонды</t>
  </si>
  <si>
    <t>Взнос в уставный фонд муниципального унитарного автотранспортного предприятия "Снежногорское АТП" ЗАТО Александровск</t>
  </si>
  <si>
    <t>890</t>
  </si>
  <si>
    <t>895</t>
  </si>
  <si>
    <t xml:space="preserve">Долгосрочная муниципальная целевая программа "SOS !" на 2013 – 2015 годы </t>
  </si>
  <si>
    <t>7951314</t>
  </si>
  <si>
    <t>Долгосрочная муниципальная целевая программа "Развитие транспортной инфраструктуры ЗАТО Александровск" на 2013 - 2015 годы</t>
  </si>
  <si>
    <t>7951315</t>
  </si>
  <si>
    <t>Долгосрочная муниципальная целевая программа "Сохранение и реконструкция военно-мемориальных объектов ЗАТО Александровск" в 2011 – 2015 годах</t>
  </si>
  <si>
    <t>Закупка товаров, работ, услуг в целях капитального ремонта государственного имущества</t>
  </si>
  <si>
    <t>7951131</t>
  </si>
  <si>
    <t>243</t>
  </si>
  <si>
    <t>Долгосрочная муниципальная целевая программа "Развитие малого и среднего предпринимательства в ЗАТО Александровск" на 2013 - 2015 годы</t>
  </si>
  <si>
    <t>7951513</t>
  </si>
  <si>
    <t>Долгосрочная муниципальная целевая программа "Повышение качества жизни отдельных категорий граждан ЗАТО Александровск" на 2013 - 2015 годы</t>
  </si>
  <si>
    <t>7951151</t>
  </si>
  <si>
    <t>Субсидии некоммерческим организациям (за исключением государственных учреждений)</t>
  </si>
  <si>
    <t>630</t>
  </si>
  <si>
    <t xml:space="preserve">Долгосрочная муниципальная целевая программа "Энергосбережение и повышение энергетической эффективности муниципального образования ЗАТО Александровск" на 2010 – 2015 годы </t>
  </si>
  <si>
    <t>7951511</t>
  </si>
  <si>
    <t>7951312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</si>
  <si>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</si>
  <si>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</si>
  <si>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</si>
  <si>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</si>
  <si>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вне рамок государственного оборонного заказа</t>
  </si>
  <si>
    <t>224</t>
  </si>
  <si>
    <t xml:space="preserve">Субсидия на повышение фонда оплаты труда работникам  учреждений образования, финансируемых из местных бюджетов </t>
  </si>
  <si>
    <t>6227481</t>
  </si>
  <si>
    <t>Субсидия на повышение фонда оплаты труда работникам ДОУ, финансируемых из местных бюджетов</t>
  </si>
  <si>
    <t>6227429</t>
  </si>
  <si>
    <t>6227471</t>
  </si>
  <si>
    <t xml:space="preserve">Субсидия на повышение фонда оплаты труда работникам  учреждений культуры, финансируемых из местных бюджетов </t>
  </si>
  <si>
    <t>6225624</t>
  </si>
  <si>
    <t>14</t>
  </si>
  <si>
    <t>Благоустройство</t>
  </si>
  <si>
    <t>7951000</t>
  </si>
  <si>
    <t>Управление финансов администрации ЗАТО Александровск</t>
  </si>
  <si>
    <t xml:space="preserve">                 к решению Совета депутатов ЗАТО Александровск</t>
  </si>
  <si>
    <t>Совет депутатов муниципального образования закрытое административно-территориальное образование Александровск Мурманской области</t>
  </si>
  <si>
    <t xml:space="preserve"> за счет средств местного бюджета ЗАТО Александровск (без учета целевых средств областного бюджета)</t>
  </si>
  <si>
    <t>Исполнено,           руб., коп.</t>
  </si>
  <si>
    <t>% исполнения</t>
  </si>
  <si>
    <t>Уточненный план на 2013 год, руб.,коп.</t>
  </si>
  <si>
    <t xml:space="preserve">                                             Приложение № 3</t>
  </si>
  <si>
    <t>Исполнено, руб., коп.</t>
  </si>
  <si>
    <t>Уточненный план, руб.,коп.</t>
  </si>
  <si>
    <t>по разделам и подразделам классификации расходов бюджетов</t>
  </si>
  <si>
    <t>Расходы местного бюджета ЗАТО Александровск за 2013 год</t>
  </si>
  <si>
    <t>Раздел</t>
  </si>
  <si>
    <t>Подраздел</t>
  </si>
  <si>
    <t>ВСЕГО расходов:</t>
  </si>
  <si>
    <t>Наименование групп, подгрупп, статей, подстатей, элементов, программ (подпрограмм), КОСГУ источников внутреннего финансирования дефицитов бюджетов</t>
  </si>
  <si>
    <t>Наименование кодов классификации источников финансирования дефицита бюджета</t>
  </si>
  <si>
    <t>Коды классификации источников финансирования дефицита бюджета</t>
  </si>
  <si>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</si>
  <si>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>Управление муниципальной собственностью администрации ЗАТО Александровск</t>
  </si>
  <si>
    <t>Муниципальные ведомственные целевые программы</t>
  </si>
  <si>
    <t>7952651</t>
  </si>
  <si>
    <t>Муниципальная ведомственная целевая программа администрации ЗАТО Александровск "Обслуживание деятельности органов местного самоуправления ЗАТО Александровск" на 2013-2014 годы</t>
  </si>
  <si>
    <t>Муниципальная ведомственная целевая программа "Архивное дело ЗАТО Александровск" на 2013-2014 годы</t>
  </si>
  <si>
    <t>7952134</t>
  </si>
  <si>
    <t>7952311</t>
  </si>
  <si>
    <t>Муниципальная ведомственная целевая программа "Транспортное обслуживание населения ЗАТО Александровск" на 2013-2014 годы</t>
  </si>
  <si>
    <t>7952431</t>
  </si>
  <si>
    <t>Муниципальные долгосрочные целевые программы</t>
  </si>
  <si>
    <t xml:space="preserve">Долгосрочная муниципальная целевая программа "Развитие информационного общества и формирование электронного правительства ЗАТО Александровск" на 2013 – 2015 годы </t>
  </si>
  <si>
    <t>7951631</t>
  </si>
  <si>
    <t>7952641</t>
  </si>
  <si>
    <t>7952632</t>
  </si>
  <si>
    <t>Ведомственная целевая программа "Подготовка объектов и систем жизнеобеспечения Мурманской области к работе в осенне – зимний период на 2012-2016 годы"</t>
  </si>
  <si>
    <t>0020401                 0020402</t>
  </si>
  <si>
    <t>Муниципальная ведомственная целевая программа "Осуществление муниципальных функций, направленных на повышение эффективности управления муниципальным имуществом" на 2013 - 2014 годы</t>
  </si>
  <si>
    <t>7952611</t>
  </si>
  <si>
    <t>7952511</t>
  </si>
  <si>
    <t>Муниципальная ведомственная целевая программа "Капитальный ремонт многоквартирных домов в ЗАТО Александровск" на 2013 - 2015 годы</t>
  </si>
  <si>
    <t>7952411</t>
  </si>
  <si>
    <t>Муниципальная ведомственная целевая программа "Обеспечение собираемости платежей населения за оказанные жилищно-коммунальные услуги в ЗАТО Александровск" на 2013 - 2014 годы</t>
  </si>
  <si>
    <t>7952414</t>
  </si>
  <si>
    <t>Взнос в уставный фонд муниципального унитарного предприятия "Жилкомхоз" г.Снежногорск ЗАТО Александровск</t>
  </si>
  <si>
    <t>Муниципальная ведомственная целевая программа "Подготовка объектов и систем жизнеобеспечения ЗАТО Александровск к работе в осенне-зимний период" на 2013 - 2014 годы</t>
  </si>
  <si>
    <t>7952413</t>
  </si>
  <si>
    <t>Муниципальная ведомственная целевая программа "Благоустройство территории муниципального образования ЗАТО Александровск" на 2013 - 2014 годы</t>
  </si>
  <si>
    <t>7952421</t>
  </si>
  <si>
    <t>Муниципальная ведомственная целевая программа "Управление развитием системы жилищно-коммунального хозяйства ЗАТО Александровск" на 2013 - 2014 годы</t>
  </si>
  <si>
    <t>7952415</t>
  </si>
  <si>
    <t>0020401  0020402 0020404 0020801</t>
  </si>
  <si>
    <t>Долгосрочная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</si>
  <si>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>5220600</t>
  </si>
  <si>
    <t>Предоставление субсидии на поддержку муниципальных образований, осуществляющих эффективное управление муниципальными финансами</t>
  </si>
  <si>
    <t>5220602</t>
  </si>
  <si>
    <t>Субсидия муниципальным образованиям на предоставление поддержки малоимущим гражданам на установку приборов учета используемых энергоресурсов</t>
  </si>
  <si>
    <t>5225424</t>
  </si>
  <si>
    <t>Долгосрочная целевая программа "Поэтапный переход на отпуск коммунальных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ресурсов" на 2009- 2016 годы.</t>
  </si>
  <si>
    <t>Обеспечение деятельности подведомственных учреждений</t>
  </si>
  <si>
    <t>0029900</t>
  </si>
  <si>
    <t>0029915</t>
  </si>
  <si>
    <t>Ведомственная целевая программа "Отдых детей Мурманской области" на 2012-2016 годы</t>
  </si>
  <si>
    <t>Охрана объектов растительного и животного мира и среды их обитания</t>
  </si>
  <si>
    <t>Долгосрочная целевая программа "Охрана окружающей среды Мурманской области" на 2011-2016 годы</t>
  </si>
  <si>
    <t xml:space="preserve">915 </t>
  </si>
  <si>
    <t>5227400</t>
  </si>
  <si>
    <t>Субсидии муниципальным образованиям на реализацию мероприятий, направленных на снижение негативного воздействия отходов производства и потребления на природную среду</t>
  </si>
  <si>
    <t>5227421</t>
  </si>
  <si>
    <t>Долгосрочная целевая программа "Развитие информационного общества и формирование электронного правительства в Мурманской области" на 2012-2015 годы</t>
  </si>
  <si>
    <t xml:space="preserve">                                             Приложение № 6</t>
  </si>
  <si>
    <t xml:space="preserve">                                             Приложение № 7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</si>
  <si>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</si>
  <si>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</si>
  <si>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Наименование</t>
  </si>
  <si>
    <t>01</t>
  </si>
  <si>
    <t>06</t>
  </si>
  <si>
    <t>05</t>
  </si>
  <si>
    <t>07</t>
  </si>
  <si>
    <t>08</t>
  </si>
  <si>
    <t>02</t>
  </si>
  <si>
    <t>09</t>
  </si>
  <si>
    <t>03</t>
  </si>
  <si>
    <t>10</t>
  </si>
  <si>
    <t>Жилищно-коммунальное хозяйство</t>
  </si>
  <si>
    <t>04</t>
  </si>
  <si>
    <t>Образование</t>
  </si>
  <si>
    <t>Дошкольное образование</t>
  </si>
  <si>
    <t>Общее образование</t>
  </si>
  <si>
    <t>Социальная политика</t>
  </si>
  <si>
    <t>Жилищное хозяйство</t>
  </si>
  <si>
    <t>Под-раздел</t>
  </si>
  <si>
    <t>Вид расходов</t>
  </si>
  <si>
    <t>Целевая статья расходов</t>
  </si>
  <si>
    <t>Модернизация региональных систем дошкольного образования</t>
  </si>
  <si>
    <t>4362700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</si>
  <si>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</si>
  <si>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</si>
  <si>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</si>
  <si>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</si>
  <si>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</si>
  <si>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образования</t>
  </si>
  <si>
    <t>Культура</t>
  </si>
  <si>
    <t>Социальное обеспечение населения</t>
  </si>
  <si>
    <t>Другие вопросы в области жилищно-коммунального хозяйства</t>
  </si>
  <si>
    <t>Руководство и управление в сфере установленных функций</t>
  </si>
  <si>
    <t>0010000</t>
  </si>
  <si>
    <t>4400000</t>
  </si>
  <si>
    <t>Выплаты семьям опекунов на содержание подопечных детей (за счет средств областного бюджета)</t>
  </si>
  <si>
    <t>Выплаты приемной семье на содержание подопечных детей (за счет средств областного бюджета)</t>
  </si>
  <si>
    <t>Резервные фонды</t>
  </si>
  <si>
    <t>0700000</t>
  </si>
  <si>
    <t>Другие общегосударственные вопросы</t>
  </si>
  <si>
    <t>Центральный аппарат</t>
  </si>
  <si>
    <t>Резервный фонд по предупреждению и ликвидации чрезвычайных ситуаций и последствий стихийных бедствий</t>
  </si>
  <si>
    <t>Долгосрочная муниципальная целевая программа "Повышение эффективности бюджетных расходов ЗАТО Александровск на 2011- 2013 годы"</t>
  </si>
  <si>
    <t>00</t>
  </si>
  <si>
    <t>рублей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</si>
  <si>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</si>
  <si>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</si>
  <si>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безвозмездные и безвозвратные перечисления</t>
  </si>
  <si>
    <t>Раз-дел</t>
  </si>
  <si>
    <t>Материально-техническое обеспечение деятельности территориальной избирательной комиссии</t>
  </si>
  <si>
    <t>0020403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</si>
  <si>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</si>
  <si>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</si>
  <si>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</si>
  <si>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</si>
  <si>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Целевые программы муниципальных образований</t>
  </si>
  <si>
    <t>7950000</t>
  </si>
  <si>
    <t>Расходы на содержание главы муниципального образования</t>
  </si>
  <si>
    <t>0020301</t>
  </si>
  <si>
    <t>Ведомственная целевая программа "Комплексная безопасность учреждений системы образования" на 2013-2017 годы</t>
  </si>
  <si>
    <t>6222100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</si>
  <si>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</si>
  <si>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</si>
  <si>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Субвенция на проведение текущего ремонта жилых помещений, собственниками которых являются дети-сироты и дети оставшиеся без попечительства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</si>
  <si>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Другие вопросы в области социальной политики</t>
  </si>
  <si>
    <t>5220000</t>
  </si>
  <si>
    <t>Выполнение других обязательств государства</t>
  </si>
  <si>
    <t>Прочие расходы администрации ЗАТО Александровск</t>
  </si>
  <si>
    <t>0920320</t>
  </si>
  <si>
    <t>Предоставление субсидий федеральным бюджетным, автономным учреждениям и иным некоммерческим организациям</t>
  </si>
  <si>
    <t>5200000</t>
  </si>
  <si>
    <t>Переселение граждан из закрытых административно-территориальных образований</t>
  </si>
  <si>
    <t>5200600</t>
  </si>
  <si>
    <t>Бюджетные инвестиции</t>
  </si>
  <si>
    <t>5229100</t>
  </si>
  <si>
    <t>Управление культуры, спорта и молодежной политики администрации ЗАТО Александровск</t>
  </si>
  <si>
    <t>Реализация Закона Мурманской области "О комиссиях по делам несовершеннолетних и защите их прав в Мурманской области"</t>
  </si>
  <si>
    <t>0020405</t>
  </si>
  <si>
    <t>0020407</t>
  </si>
  <si>
    <t>Реализация Закона Мурманской области "О региональных нормативах финансирования системы образования Мурманской области"</t>
  </si>
  <si>
    <t>Обеспечение бесплатным питанием отдельных категорий обучающихся</t>
  </si>
  <si>
    <t>Охрана семьи и детства</t>
  </si>
  <si>
    <t>от 14 мая  2014 года  № 40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</si>
</sst>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_-* #,##0.0_р_._-;\-* #,##0.0_р_._-;_-* &quot;-&quot;??_р_._-;_-@_-"/>
    <numFmt numFmtId="170" formatCode="_-* #,##0.0_р_._-;\-* #,##0.0_р_._-;_-* &quot;-&quot;?_р_._-;_-@_-"/>
    <numFmt numFmtId="171" formatCode="[$€-2]\ ###,000_);[Red]\([$€-2]\ ###,0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%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5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5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" fontId="1" fillId="0" borderId="12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Alignment="1">
      <alignment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169" fontId="1" fillId="0" borderId="0" xfId="60" applyNumberFormat="1" applyFont="1" applyFill="1" applyAlignment="1">
      <alignment horizontal="center" vertical="center"/>
    </xf>
    <xf numFmtId="3" fontId="1" fillId="0" borderId="13" xfId="60" applyNumberFormat="1" applyFont="1" applyFill="1" applyBorder="1" applyAlignment="1">
      <alignment horizontal="center" vertical="center" wrapText="1"/>
    </xf>
    <xf numFmtId="4" fontId="2" fillId="0" borderId="13" xfId="60" applyNumberFormat="1" applyFont="1" applyFill="1" applyBorder="1" applyAlignment="1">
      <alignment vertical="center"/>
    </xf>
    <xf numFmtId="169" fontId="3" fillId="0" borderId="0" xfId="60" applyNumberFormat="1" applyFont="1" applyFill="1" applyAlignment="1">
      <alignment horizontal="left" vertical="center"/>
    </xf>
    <xf numFmtId="169" fontId="4" fillId="0" borderId="0" xfId="60" applyNumberFormat="1" applyFont="1" applyFill="1" applyAlignment="1">
      <alignment horizontal="left" vertical="center"/>
    </xf>
    <xf numFmtId="169" fontId="4" fillId="0" borderId="0" xfId="6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/>
    </xf>
    <xf numFmtId="0" fontId="32" fillId="0" borderId="0" xfId="0" applyFont="1" applyFill="1" applyBorder="1" applyAlignment="1" applyProtection="1">
      <alignment vertical="top" wrapText="1"/>
      <protection locked="0"/>
    </xf>
    <xf numFmtId="0" fontId="33" fillId="0" borderId="0" xfId="0" applyFont="1" applyFill="1" applyBorder="1" applyAlignment="1" applyProtection="1">
      <alignment vertical="top" wrapText="1"/>
      <protection locked="0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1" fillId="0" borderId="0" xfId="60" applyNumberFormat="1" applyFont="1" applyFill="1" applyAlignment="1">
      <alignment horizontal="left" vertical="center"/>
    </xf>
    <xf numFmtId="4" fontId="4" fillId="0" borderId="0" xfId="60" applyNumberFormat="1" applyFont="1" applyFill="1" applyBorder="1" applyAlignment="1">
      <alignment horizontal="left" vertical="center"/>
    </xf>
    <xf numFmtId="0" fontId="32" fillId="0" borderId="15" xfId="0" applyFont="1" applyFill="1" applyBorder="1" applyAlignment="1" applyProtection="1">
      <alignment vertical="top" wrapText="1" readingOrder="1"/>
      <protection locked="0"/>
    </xf>
    <xf numFmtId="0" fontId="3" fillId="0" borderId="15" xfId="0" applyFont="1" applyFill="1" applyBorder="1" applyAlignment="1">
      <alignment vertical="center"/>
    </xf>
    <xf numFmtId="0" fontId="32" fillId="0" borderId="16" xfId="0" applyFont="1" applyFill="1" applyBorder="1" applyAlignment="1" applyProtection="1">
      <alignment vertical="top" wrapText="1" readingOrder="1"/>
      <protection locked="0"/>
    </xf>
    <xf numFmtId="0" fontId="32" fillId="0" borderId="10" xfId="0" applyFont="1" applyFill="1" applyBorder="1" applyAlignment="1" applyProtection="1">
      <alignment vertical="top" wrapText="1" readingOrder="1"/>
      <protection locked="0"/>
    </xf>
    <xf numFmtId="0" fontId="33" fillId="0" borderId="11" xfId="0" applyFont="1" applyFill="1" applyBorder="1" applyAlignment="1" applyProtection="1">
      <alignment vertical="top" wrapText="1" readingOrder="1"/>
      <protection locked="0"/>
    </xf>
    <xf numFmtId="0" fontId="33" fillId="0" borderId="15" xfId="0" applyFont="1" applyFill="1" applyBorder="1" applyAlignment="1" applyProtection="1">
      <alignment vertical="top" wrapText="1" readingOrder="1"/>
      <protection locked="0"/>
    </xf>
    <xf numFmtId="0" fontId="33" fillId="0" borderId="0" xfId="0" applyFont="1" applyFill="1" applyBorder="1" applyAlignment="1" applyProtection="1">
      <alignment vertical="top" wrapText="1" readingOrder="1"/>
      <protection locked="0"/>
    </xf>
    <xf numFmtId="4" fontId="33" fillId="0" borderId="11" xfId="0" applyNumberFormat="1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2" fillId="0" borderId="17" xfId="0" applyFont="1" applyFill="1" applyBorder="1" applyAlignment="1" applyProtection="1">
      <alignment vertical="top" wrapText="1" readingOrder="1"/>
      <protection locked="0"/>
    </xf>
    <xf numFmtId="49" fontId="33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4" fontId="11" fillId="0" borderId="13" xfId="60" applyNumberFormat="1" applyFont="1" applyFill="1" applyBorder="1" applyAlignment="1">
      <alignment horizontal="right" vertical="center" wrapText="1"/>
    </xf>
    <xf numFmtId="4" fontId="1" fillId="0" borderId="13" xfId="6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4" fontId="1" fillId="0" borderId="13" xfId="6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" fontId="11" fillId="0" borderId="13" xfId="6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32" fillId="0" borderId="0" xfId="0" applyFont="1" applyFill="1" applyBorder="1" applyAlignment="1" applyProtection="1">
      <alignment vertical="top" wrapText="1" readingOrder="1"/>
      <protection locked="0"/>
    </xf>
    <xf numFmtId="0" fontId="1" fillId="0" borderId="14" xfId="0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 vertical="top" wrapText="1"/>
    </xf>
    <xf numFmtId="49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6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top"/>
    </xf>
    <xf numFmtId="4" fontId="34" fillId="0" borderId="0" xfId="0" applyNumberFormat="1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vertical="center" wrapText="1"/>
    </xf>
    <xf numFmtId="4" fontId="4" fillId="0" borderId="0" xfId="6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0" fontId="1" fillId="0" borderId="13" xfId="0" applyNumberFormat="1" applyFont="1" applyFill="1" applyBorder="1" applyAlignment="1">
      <alignment horizontal="center" vertical="center" wrapText="1"/>
    </xf>
    <xf numFmtId="4" fontId="2" fillId="0" borderId="13" xfId="6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0" borderId="13" xfId="0" applyNumberFormat="1" applyFont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 applyProtection="1">
      <alignment vertical="top" wrapText="1" readingOrder="1"/>
      <protection locked="0"/>
    </xf>
    <xf numFmtId="2" fontId="2" fillId="0" borderId="13" xfId="0" applyNumberFormat="1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vertical="center" wrapText="1"/>
    </xf>
    <xf numFmtId="4" fontId="32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4" fillId="0" borderId="0" xfId="0" applyFont="1" applyAlignment="1">
      <alignment/>
    </xf>
    <xf numFmtId="0" fontId="37" fillId="0" borderId="13" xfId="0" applyFont="1" applyBorder="1" applyAlignment="1">
      <alignment horizontal="left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0" fontId="34" fillId="0" borderId="13" xfId="0" applyFont="1" applyBorder="1" applyAlignment="1">
      <alignment horizontal="left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164" fontId="34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4" fillId="0" borderId="13" xfId="0" applyNumberFormat="1" applyFont="1" applyFill="1" applyBorder="1" applyAlignment="1">
      <alignment horizontal="right" vertical="center" wrapText="1"/>
    </xf>
    <xf numFmtId="0" fontId="37" fillId="0" borderId="13" xfId="0" applyFont="1" applyBorder="1" applyAlignment="1">
      <alignment horizontal="left" vertical="center" wrapText="1"/>
    </xf>
    <xf numFmtId="49" fontId="37" fillId="0" borderId="13" xfId="0" applyNumberFormat="1" applyFont="1" applyBorder="1" applyAlignment="1">
      <alignment horizontal="center" vertical="center"/>
    </xf>
    <xf numFmtId="4" fontId="37" fillId="0" borderId="13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 wrapText="1"/>
    </xf>
    <xf numFmtId="49" fontId="34" fillId="0" borderId="13" xfId="0" applyNumberFormat="1" applyFont="1" applyBorder="1" applyAlignment="1">
      <alignment horizontal="center" vertical="center"/>
    </xf>
    <xf numFmtId="4" fontId="34" fillId="0" borderId="13" xfId="0" applyNumberFormat="1" applyFont="1" applyBorder="1" applyAlignment="1">
      <alignment horizontal="right" vertical="center"/>
    </xf>
    <xf numFmtId="4" fontId="34" fillId="0" borderId="13" xfId="0" applyNumberFormat="1" applyFont="1" applyFill="1" applyBorder="1" applyAlignment="1">
      <alignment horizontal="right" vertical="center"/>
    </xf>
    <xf numFmtId="49" fontId="37" fillId="0" borderId="13" xfId="0" applyNumberFormat="1" applyFont="1" applyBorder="1" applyAlignment="1">
      <alignment horizontal="center" vertical="center"/>
    </xf>
    <xf numFmtId="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4" fillId="0" borderId="13" xfId="0" applyNumberFormat="1" applyFont="1" applyBorder="1" applyAlignment="1">
      <alignment horizontal="right" vertical="center"/>
    </xf>
    <xf numFmtId="164" fontId="34" fillId="0" borderId="13" xfId="0" applyNumberFormat="1" applyFont="1" applyFill="1" applyBorder="1" applyAlignment="1">
      <alignment horizontal="right" vertical="center"/>
    </xf>
    <xf numFmtId="0" fontId="38" fillId="0" borderId="13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4" fontId="34" fillId="0" borderId="13" xfId="0" applyNumberFormat="1" applyFont="1" applyBorder="1" applyAlignment="1">
      <alignment vertical="center"/>
    </xf>
    <xf numFmtId="4" fontId="37" fillId="0" borderId="13" xfId="0" applyNumberFormat="1" applyFont="1" applyBorder="1" applyAlignment="1">
      <alignment vertical="center"/>
    </xf>
    <xf numFmtId="49" fontId="34" fillId="0" borderId="13" xfId="0" applyNumberFormat="1" applyFont="1" applyBorder="1" applyAlignment="1">
      <alignment horizontal="center" vertical="center"/>
    </xf>
    <xf numFmtId="4" fontId="34" fillId="0" borderId="13" xfId="0" applyNumberFormat="1" applyFont="1" applyBorder="1" applyAlignment="1">
      <alignment horizontal="right" vertical="center"/>
    </xf>
    <xf numFmtId="4" fontId="37" fillId="0" borderId="13" xfId="0" applyNumberFormat="1" applyFont="1" applyBorder="1" applyAlignment="1">
      <alignment horizontal="right" vertical="center" wrapText="1"/>
    </xf>
    <xf numFmtId="4" fontId="34" fillId="0" borderId="13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/>
    </xf>
    <xf numFmtId="4" fontId="39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justify" vertical="center" wrapText="1"/>
    </xf>
    <xf numFmtId="0" fontId="2" fillId="24" borderId="13" xfId="0" applyFont="1" applyFill="1" applyBorder="1" applyAlignment="1">
      <alignment horizontal="center" vertical="center"/>
    </xf>
    <xf numFmtId="0" fontId="39" fillId="24" borderId="13" xfId="0" applyFont="1" applyFill="1" applyBorder="1" applyAlignment="1">
      <alignment horizontal="justify" vertical="center" wrapText="1"/>
    </xf>
    <xf numFmtId="4" fontId="39" fillId="24" borderId="13" xfId="0" applyNumberFormat="1" applyFont="1" applyFill="1" applyBorder="1" applyAlignment="1">
      <alignment horizontal="right" vertical="center"/>
    </xf>
    <xf numFmtId="0" fontId="4" fillId="24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10" fontId="1" fillId="24" borderId="13" xfId="0" applyNumberFormat="1" applyFont="1" applyFill="1" applyBorder="1" applyAlignment="1">
      <alignment horizontal="center" vertical="center" wrapText="1"/>
    </xf>
    <xf numFmtId="4" fontId="4" fillId="24" borderId="0" xfId="0" applyNumberFormat="1" applyFont="1" applyFill="1" applyAlignment="1">
      <alignment/>
    </xf>
    <xf numFmtId="0" fontId="1" fillId="24" borderId="13" xfId="0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wrapText="1"/>
    </xf>
    <xf numFmtId="4" fontId="2" fillId="24" borderId="13" xfId="0" applyNumberFormat="1" applyFont="1" applyFill="1" applyBorder="1" applyAlignment="1">
      <alignment horizontal="center" vertical="center"/>
    </xf>
    <xf numFmtId="165" fontId="2" fillId="24" borderId="13" xfId="0" applyNumberFormat="1" applyFont="1" applyFill="1" applyBorder="1" applyAlignment="1">
      <alignment horizontal="center" vertical="center"/>
    </xf>
    <xf numFmtId="0" fontId="39" fillId="24" borderId="13" xfId="0" applyFont="1" applyFill="1" applyBorder="1" applyAlignment="1">
      <alignment vertical="center"/>
    </xf>
    <xf numFmtId="4" fontId="39" fillId="24" borderId="13" xfId="0" applyNumberFormat="1" applyFont="1" applyFill="1" applyBorder="1" applyAlignment="1">
      <alignment horizontal="center" vertical="center"/>
    </xf>
    <xf numFmtId="165" fontId="39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0" fontId="39" fillId="24" borderId="13" xfId="0" applyFont="1" applyFill="1" applyBorder="1" applyAlignment="1">
      <alignment horizontal="center" vertical="center"/>
    </xf>
    <xf numFmtId="49" fontId="39" fillId="24" borderId="13" xfId="0" applyNumberFormat="1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/>
    </xf>
    <xf numFmtId="49" fontId="40" fillId="24" borderId="11" xfId="0" applyNumberFormat="1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vertical="center" wrapText="1"/>
    </xf>
    <xf numFmtId="4" fontId="40" fillId="24" borderId="11" xfId="0" applyNumberFormat="1" applyFont="1" applyFill="1" applyBorder="1" applyAlignment="1">
      <alignment horizontal="center" vertical="center"/>
    </xf>
    <xf numFmtId="165" fontId="40" fillId="24" borderId="11" xfId="0" applyNumberFormat="1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49" fontId="42" fillId="24" borderId="11" xfId="0" applyNumberFormat="1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vertical="center" wrapText="1"/>
    </xf>
    <xf numFmtId="4" fontId="42" fillId="24" borderId="13" xfId="0" applyNumberFormat="1" applyFont="1" applyFill="1" applyBorder="1" applyAlignment="1">
      <alignment horizontal="center" vertical="center"/>
    </xf>
    <xf numFmtId="165" fontId="1" fillId="24" borderId="13" xfId="0" applyNumberFormat="1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4" fontId="40" fillId="24" borderId="13" xfId="0" applyNumberFormat="1" applyFont="1" applyFill="1" applyBorder="1" applyAlignment="1">
      <alignment horizontal="center" vertical="center"/>
    </xf>
    <xf numFmtId="165" fontId="40" fillId="24" borderId="13" xfId="0" applyNumberFormat="1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  <xf numFmtId="49" fontId="40" fillId="24" borderId="13" xfId="0" applyNumberFormat="1" applyFont="1" applyFill="1" applyBorder="1" applyAlignment="1">
      <alignment horizontal="center" vertical="center"/>
    </xf>
    <xf numFmtId="49" fontId="42" fillId="24" borderId="13" xfId="0" applyNumberFormat="1" applyFont="1" applyFill="1" applyBorder="1" applyAlignment="1">
      <alignment horizontal="center" vertical="center"/>
    </xf>
    <xf numFmtId="165" fontId="42" fillId="24" borderId="13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center" wrapText="1"/>
    </xf>
    <xf numFmtId="4" fontId="1" fillId="24" borderId="13" xfId="0" applyNumberFormat="1" applyFont="1" applyFill="1" applyBorder="1" applyAlignment="1">
      <alignment horizontal="center" vertical="center"/>
    </xf>
    <xf numFmtId="4" fontId="42" fillId="24" borderId="0" xfId="0" applyNumberFormat="1" applyFont="1" applyFill="1" applyAlignment="1">
      <alignment/>
    </xf>
    <xf numFmtId="0" fontId="42" fillId="24" borderId="0" xfId="0" applyFont="1" applyFill="1" applyAlignment="1">
      <alignment/>
    </xf>
    <xf numFmtId="4" fontId="12" fillId="24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0" fontId="40" fillId="24" borderId="13" xfId="0" applyFont="1" applyFill="1" applyBorder="1" applyAlignment="1">
      <alignment horizontal="justify" vertical="center" wrapText="1"/>
    </xf>
    <xf numFmtId="0" fontId="42" fillId="24" borderId="13" xfId="0" applyFont="1" applyFill="1" applyBorder="1" applyAlignment="1">
      <alignment horizontal="justify" vertical="center" wrapText="1"/>
    </xf>
    <xf numFmtId="49" fontId="40" fillId="24" borderId="13" xfId="0" applyNumberFormat="1" applyFont="1" applyFill="1" applyBorder="1" applyAlignment="1">
      <alignment vertical="center" wrapText="1"/>
    </xf>
    <xf numFmtId="49" fontId="42" fillId="24" borderId="13" xfId="0" applyNumberFormat="1" applyFont="1" applyFill="1" applyBorder="1" applyAlignment="1">
      <alignment vertical="center" wrapText="1"/>
    </xf>
    <xf numFmtId="0" fontId="44" fillId="24" borderId="13" xfId="0" applyFont="1" applyFill="1" applyBorder="1" applyAlignment="1">
      <alignment horizontal="center" vertical="center"/>
    </xf>
    <xf numFmtId="49" fontId="44" fillId="24" borderId="13" xfId="0" applyNumberFormat="1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vertical="center" wrapText="1"/>
    </xf>
    <xf numFmtId="4" fontId="44" fillId="24" borderId="13" xfId="0" applyNumberFormat="1" applyFont="1" applyFill="1" applyBorder="1" applyAlignment="1">
      <alignment horizontal="center" vertical="center"/>
    </xf>
    <xf numFmtId="165" fontId="44" fillId="24" borderId="13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justify" vertical="center" wrapText="1"/>
    </xf>
    <xf numFmtId="2" fontId="39" fillId="24" borderId="13" xfId="0" applyNumberFormat="1" applyFont="1" applyFill="1" applyBorder="1" applyAlignment="1">
      <alignment horizontal="justify" vertical="center" wrapText="1"/>
    </xf>
    <xf numFmtId="0" fontId="40" fillId="24" borderId="0" xfId="0" applyFont="1" applyFill="1" applyAlignment="1">
      <alignment vertical="center" wrapText="1"/>
    </xf>
    <xf numFmtId="2" fontId="42" fillId="24" borderId="13" xfId="0" applyNumberFormat="1" applyFont="1" applyFill="1" applyBorder="1" applyAlignment="1">
      <alignment horizontal="left" vertical="center" wrapText="1"/>
    </xf>
    <xf numFmtId="0" fontId="39" fillId="24" borderId="13" xfId="0" applyFont="1" applyFill="1" applyBorder="1" applyAlignment="1">
      <alignment vertical="center" wrapText="1"/>
    </xf>
    <xf numFmtId="0" fontId="42" fillId="24" borderId="13" xfId="0" applyFont="1" applyFill="1" applyBorder="1" applyAlignment="1">
      <alignment horizontal="left" vertical="center" wrapText="1"/>
    </xf>
    <xf numFmtId="0" fontId="39" fillId="24" borderId="0" xfId="0" applyFont="1" applyFill="1" applyAlignment="1">
      <alignment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39" fillId="24" borderId="13" xfId="0" applyFont="1" applyFill="1" applyBorder="1" applyAlignment="1">
      <alignment horizontal="left" vertical="center" wrapText="1"/>
    </xf>
    <xf numFmtId="0" fontId="40" fillId="24" borderId="13" xfId="0" applyFont="1" applyFill="1" applyBorder="1" applyAlignment="1">
      <alignment horizontal="left" vertical="center" wrapText="1"/>
    </xf>
    <xf numFmtId="0" fontId="42" fillId="24" borderId="0" xfId="0" applyFont="1" applyFill="1" applyAlignment="1">
      <alignment vertical="center" wrapText="1"/>
    </xf>
    <xf numFmtId="4" fontId="42" fillId="24" borderId="11" xfId="0" applyNumberFormat="1" applyFont="1" applyFill="1" applyBorder="1" applyAlignment="1">
      <alignment horizontal="center" vertical="center"/>
    </xf>
    <xf numFmtId="165" fontId="42" fillId="24" borderId="11" xfId="0" applyNumberFormat="1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/>
    </xf>
    <xf numFmtId="4" fontId="39" fillId="24" borderId="11" xfId="0" applyNumberFormat="1" applyFont="1" applyFill="1" applyBorder="1" applyAlignment="1">
      <alignment horizontal="center" vertical="center"/>
    </xf>
    <xf numFmtId="165" fontId="39" fillId="24" borderId="11" xfId="0" applyNumberFormat="1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vertical="center" wrapText="1"/>
    </xf>
    <xf numFmtId="0" fontId="46" fillId="24" borderId="13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/>
    </xf>
    <xf numFmtId="165" fontId="2" fillId="24" borderId="11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 wrapText="1"/>
    </xf>
    <xf numFmtId="164" fontId="40" fillId="24" borderId="13" xfId="0" applyNumberFormat="1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 wrapText="1"/>
    </xf>
    <xf numFmtId="49" fontId="40" fillId="24" borderId="13" xfId="0" applyNumberFormat="1" applyFont="1" applyFill="1" applyBorder="1" applyAlignment="1">
      <alignment horizontal="center" vertical="center" wrapText="1"/>
    </xf>
    <xf numFmtId="0" fontId="47" fillId="24" borderId="13" xfId="0" applyFont="1" applyFill="1" applyBorder="1" applyAlignment="1">
      <alignment horizontal="center" vertical="center"/>
    </xf>
    <xf numFmtId="49" fontId="47" fillId="24" borderId="13" xfId="0" applyNumberFormat="1" applyFont="1" applyFill="1" applyBorder="1" applyAlignment="1">
      <alignment horizontal="center" vertical="center"/>
    </xf>
    <xf numFmtId="0" fontId="47" fillId="24" borderId="13" xfId="0" applyFont="1" applyFill="1" applyBorder="1" applyAlignment="1">
      <alignment horizontal="left" vertical="center" wrapText="1"/>
    </xf>
    <xf numFmtId="4" fontId="47" fillId="24" borderId="13" xfId="0" applyNumberFormat="1" applyFont="1" applyFill="1" applyBorder="1" applyAlignment="1">
      <alignment horizontal="center" vertical="center"/>
    </xf>
    <xf numFmtId="165" fontId="47" fillId="24" borderId="13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4" fontId="4" fillId="24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5" fillId="0" borderId="0" xfId="0" applyFont="1" applyAlignment="1">
      <alignment horizont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4">
      <selection activeCell="B6" sqref="B6:E6"/>
    </sheetView>
  </sheetViews>
  <sheetFormatPr defaultColWidth="9.00390625" defaultRowHeight="16.5" customHeight="1"/>
  <cols>
    <col min="1" max="1" width="27.625" style="74" customWidth="1"/>
    <col min="2" max="2" width="43.00390625" style="74" customWidth="1"/>
    <col min="3" max="3" width="21.00390625" style="74" customWidth="1"/>
    <col min="4" max="4" width="20.00390625" style="74" customWidth="1"/>
    <col min="5" max="5" width="12.375" style="74" customWidth="1"/>
    <col min="6" max="16384" width="9.125" style="74" customWidth="1"/>
  </cols>
  <sheetData>
    <row r="1" spans="1:9" s="69" customFormat="1" ht="16.5" customHeight="1">
      <c r="A1" s="366" t="s">
        <v>9</v>
      </c>
      <c r="B1" s="366"/>
      <c r="C1" s="366"/>
      <c r="D1" s="366"/>
      <c r="E1" s="366"/>
      <c r="F1" s="47"/>
      <c r="G1" s="47"/>
      <c r="H1" s="47"/>
      <c r="I1" s="47"/>
    </row>
    <row r="2" spans="1:9" s="69" customFormat="1" ht="16.5" customHeight="1">
      <c r="A2" s="366" t="s">
        <v>797</v>
      </c>
      <c r="B2" s="366"/>
      <c r="C2" s="366"/>
      <c r="D2" s="366"/>
      <c r="E2" s="366"/>
      <c r="F2" s="47"/>
      <c r="G2" s="47"/>
      <c r="H2" s="47"/>
      <c r="I2" s="47"/>
    </row>
    <row r="3" spans="1:9" s="69" customFormat="1" ht="16.5" customHeight="1">
      <c r="A3" s="366" t="s">
        <v>949</v>
      </c>
      <c r="B3" s="366"/>
      <c r="C3" s="366"/>
      <c r="D3" s="366"/>
      <c r="E3" s="366"/>
      <c r="F3" s="47"/>
      <c r="G3" s="47"/>
      <c r="H3" s="47"/>
      <c r="I3" s="47"/>
    </row>
    <row r="4" spans="2:5" s="69" customFormat="1" ht="16.5" customHeight="1">
      <c r="B4" s="47"/>
      <c r="C4" s="47"/>
      <c r="D4" s="368"/>
      <c r="E4" s="368"/>
    </row>
    <row r="5" spans="2:5" s="69" customFormat="1" ht="16.5" customHeight="1">
      <c r="B5" s="47"/>
      <c r="C5" s="368"/>
      <c r="D5" s="368"/>
      <c r="E5" s="368"/>
    </row>
    <row r="6" spans="2:5" s="69" customFormat="1" ht="16.5" customHeight="1">
      <c r="B6" s="366"/>
      <c r="C6" s="366"/>
      <c r="D6" s="366"/>
      <c r="E6" s="366"/>
    </row>
    <row r="7" spans="2:5" s="69" customFormat="1" ht="16.5" customHeight="1">
      <c r="B7" s="247"/>
      <c r="C7" s="247"/>
      <c r="D7" s="247"/>
      <c r="E7" s="247"/>
    </row>
    <row r="8" spans="1:5" s="69" customFormat="1" ht="36.75" customHeight="1">
      <c r="A8" s="367" t="s">
        <v>11</v>
      </c>
      <c r="B8" s="367"/>
      <c r="C8" s="367"/>
      <c r="D8" s="367"/>
      <c r="E8" s="367"/>
    </row>
    <row r="9" spans="3:5" s="69" customFormat="1" ht="16.5" customHeight="1">
      <c r="C9" s="248"/>
      <c r="D9" s="248"/>
      <c r="E9" s="248"/>
    </row>
    <row r="10" spans="1:5" s="69" customFormat="1" ht="47.25">
      <c r="A10" s="23" t="s">
        <v>94</v>
      </c>
      <c r="B10" s="249" t="s">
        <v>95</v>
      </c>
      <c r="C10" s="23" t="s">
        <v>802</v>
      </c>
      <c r="D10" s="23" t="s">
        <v>800</v>
      </c>
      <c r="E10" s="195" t="s">
        <v>801</v>
      </c>
    </row>
    <row r="11" spans="1:5" s="69" customFormat="1" ht="15.75" customHeight="1">
      <c r="A11" s="250">
        <v>1</v>
      </c>
      <c r="B11" s="250">
        <v>2</v>
      </c>
      <c r="C11" s="250">
        <v>3</v>
      </c>
      <c r="D11" s="250">
        <v>4</v>
      </c>
      <c r="E11" s="250">
        <v>5</v>
      </c>
    </row>
    <row r="12" spans="1:5" s="69" customFormat="1" ht="31.5">
      <c r="A12" s="251" t="s">
        <v>96</v>
      </c>
      <c r="B12" s="182" t="s">
        <v>97</v>
      </c>
      <c r="C12" s="252">
        <f>C13+C19</f>
        <v>831383680</v>
      </c>
      <c r="D12" s="252">
        <f>D13+D19</f>
        <v>879163312.64</v>
      </c>
      <c r="E12" s="253">
        <f aca="true" t="shared" si="0" ref="E12:E30">D12/C12*100</f>
        <v>105.74700150957979</v>
      </c>
    </row>
    <row r="13" spans="1:5" s="69" customFormat="1" ht="18.75">
      <c r="A13" s="254"/>
      <c r="B13" s="255" t="s">
        <v>98</v>
      </c>
      <c r="C13" s="256">
        <f>C14+C15+C16+C17+C18</f>
        <v>772074950</v>
      </c>
      <c r="D13" s="256">
        <f>D14+D15+D16+D17+D18</f>
        <v>827742879.52</v>
      </c>
      <c r="E13" s="253">
        <f t="shared" si="0"/>
        <v>107.21017169641367</v>
      </c>
    </row>
    <row r="14" spans="1:5" s="69" customFormat="1" ht="18.75">
      <c r="A14" s="250" t="s">
        <v>99</v>
      </c>
      <c r="B14" s="257" t="s">
        <v>100</v>
      </c>
      <c r="C14" s="258">
        <v>703357900</v>
      </c>
      <c r="D14" s="258">
        <v>763086157.01</v>
      </c>
      <c r="E14" s="259">
        <f t="shared" si="0"/>
        <v>108.4918726312735</v>
      </c>
    </row>
    <row r="15" spans="1:5" s="69" customFormat="1" ht="18.75">
      <c r="A15" s="250" t="s">
        <v>101</v>
      </c>
      <c r="B15" s="257" t="s">
        <v>102</v>
      </c>
      <c r="C15" s="258">
        <v>50853500</v>
      </c>
      <c r="D15" s="258">
        <v>46765735.91</v>
      </c>
      <c r="E15" s="259">
        <f t="shared" si="0"/>
        <v>91.96168584266569</v>
      </c>
    </row>
    <row r="16" spans="1:5" s="69" customFormat="1" ht="18.75">
      <c r="A16" s="250" t="s">
        <v>103</v>
      </c>
      <c r="B16" s="257" t="s">
        <v>104</v>
      </c>
      <c r="C16" s="258">
        <v>10873800</v>
      </c>
      <c r="D16" s="258">
        <v>11079112.62</v>
      </c>
      <c r="E16" s="259">
        <f t="shared" si="0"/>
        <v>101.88814048446724</v>
      </c>
    </row>
    <row r="17" spans="1:5" s="69" customFormat="1" ht="18.75">
      <c r="A17" s="249" t="s">
        <v>105</v>
      </c>
      <c r="B17" s="260" t="s">
        <v>106</v>
      </c>
      <c r="C17" s="261">
        <v>6988750</v>
      </c>
      <c r="D17" s="261">
        <v>6813351.89</v>
      </c>
      <c r="E17" s="259">
        <f t="shared" si="0"/>
        <v>97.49027923448399</v>
      </c>
    </row>
    <row r="18" spans="1:5" s="69" customFormat="1" ht="47.25">
      <c r="A18" s="249" t="s">
        <v>107</v>
      </c>
      <c r="B18" s="262" t="s">
        <v>108</v>
      </c>
      <c r="C18" s="261">
        <v>1000</v>
      </c>
      <c r="D18" s="261">
        <v>-1477.91</v>
      </c>
      <c r="E18" s="259">
        <f t="shared" si="0"/>
        <v>-147.791</v>
      </c>
    </row>
    <row r="19" spans="1:5" s="266" customFormat="1" ht="18.75">
      <c r="A19" s="263"/>
      <c r="B19" s="264" t="s">
        <v>109</v>
      </c>
      <c r="C19" s="265">
        <f>C20+C21+C22+C23+C24+C25</f>
        <v>59308730</v>
      </c>
      <c r="D19" s="265">
        <f>D20+D21+D22+D23+D24+D25</f>
        <v>51420433.120000005</v>
      </c>
      <c r="E19" s="253">
        <f t="shared" si="0"/>
        <v>86.69960243626866</v>
      </c>
    </row>
    <row r="20" spans="1:5" s="69" customFormat="1" ht="47.25">
      <c r="A20" s="23" t="s">
        <v>110</v>
      </c>
      <c r="B20" s="267" t="s">
        <v>111</v>
      </c>
      <c r="C20" s="261">
        <v>24735530</v>
      </c>
      <c r="D20" s="261">
        <v>24717648.26</v>
      </c>
      <c r="E20" s="259">
        <f t="shared" si="0"/>
        <v>99.92770828035624</v>
      </c>
    </row>
    <row r="21" spans="1:5" s="69" customFormat="1" ht="31.5">
      <c r="A21" s="249" t="s">
        <v>112</v>
      </c>
      <c r="B21" s="267" t="s">
        <v>113</v>
      </c>
      <c r="C21" s="261">
        <v>4139000</v>
      </c>
      <c r="D21" s="261">
        <v>3390393.87</v>
      </c>
      <c r="E21" s="259">
        <f t="shared" si="0"/>
        <v>81.91335757429331</v>
      </c>
    </row>
    <row r="22" spans="1:5" s="69" customFormat="1" ht="31.5">
      <c r="A22" s="249" t="s">
        <v>114</v>
      </c>
      <c r="B22" s="267" t="s">
        <v>115</v>
      </c>
      <c r="C22" s="261">
        <v>3482100</v>
      </c>
      <c r="D22" s="261">
        <v>2920292.46</v>
      </c>
      <c r="E22" s="259">
        <f t="shared" si="0"/>
        <v>83.86584130266218</v>
      </c>
    </row>
    <row r="23" spans="1:5" s="69" customFormat="1" ht="31.5">
      <c r="A23" s="249" t="s">
        <v>116</v>
      </c>
      <c r="B23" s="267" t="s">
        <v>117</v>
      </c>
      <c r="C23" s="261">
        <v>24584400</v>
      </c>
      <c r="D23" s="261">
        <v>20504805.37</v>
      </c>
      <c r="E23" s="259">
        <f t="shared" si="0"/>
        <v>83.40575881453279</v>
      </c>
    </row>
    <row r="24" spans="1:5" s="69" customFormat="1" ht="18.75">
      <c r="A24" s="249" t="s">
        <v>118</v>
      </c>
      <c r="B24" s="267" t="s">
        <v>119</v>
      </c>
      <c r="C24" s="261">
        <v>2106400</v>
      </c>
      <c r="D24" s="261">
        <v>-227915.28</v>
      </c>
      <c r="E24" s="259">
        <f t="shared" si="0"/>
        <v>-10.820132928218761</v>
      </c>
    </row>
    <row r="25" spans="1:5" s="69" customFormat="1" ht="18.75">
      <c r="A25" s="249" t="s">
        <v>120</v>
      </c>
      <c r="B25" s="267" t="s">
        <v>121</v>
      </c>
      <c r="C25" s="261">
        <v>261300</v>
      </c>
      <c r="D25" s="261">
        <v>115208.44</v>
      </c>
      <c r="E25" s="259">
        <f t="shared" si="0"/>
        <v>44.09048603138155</v>
      </c>
    </row>
    <row r="26" spans="1:5" s="69" customFormat="1" ht="18.75">
      <c r="A26" s="254" t="s">
        <v>122</v>
      </c>
      <c r="B26" s="268" t="s">
        <v>123</v>
      </c>
      <c r="C26" s="269">
        <f>C27+C28+C29+C30+C31+C32</f>
        <v>1188372519.95</v>
      </c>
      <c r="D26" s="269">
        <f>D27+D28+D29+D30+D31+D32</f>
        <v>1172229942.64</v>
      </c>
      <c r="E26" s="253">
        <f t="shared" si="0"/>
        <v>98.6416231409761</v>
      </c>
    </row>
    <row r="27" spans="1:5" s="69" customFormat="1" ht="47.25">
      <c r="A27" s="249" t="s">
        <v>124</v>
      </c>
      <c r="B27" s="267" t="s">
        <v>125</v>
      </c>
      <c r="C27" s="261">
        <v>639898400</v>
      </c>
      <c r="D27" s="261">
        <v>639898400</v>
      </c>
      <c r="E27" s="259">
        <f t="shared" si="0"/>
        <v>100</v>
      </c>
    </row>
    <row r="28" spans="1:5" s="69" customFormat="1" ht="63">
      <c r="A28" s="249" t="s">
        <v>126</v>
      </c>
      <c r="B28" s="267" t="s">
        <v>127</v>
      </c>
      <c r="C28" s="261">
        <v>96847119.95</v>
      </c>
      <c r="D28" s="261">
        <v>95385721.98</v>
      </c>
      <c r="E28" s="259">
        <f t="shared" si="0"/>
        <v>98.49102588620654</v>
      </c>
    </row>
    <row r="29" spans="1:5" s="69" customFormat="1" ht="47.25">
      <c r="A29" s="249" t="s">
        <v>128</v>
      </c>
      <c r="B29" s="267" t="s">
        <v>129</v>
      </c>
      <c r="C29" s="261">
        <v>365405200</v>
      </c>
      <c r="D29" s="261">
        <v>356614677.17</v>
      </c>
      <c r="E29" s="259">
        <f t="shared" si="0"/>
        <v>97.5943082282354</v>
      </c>
    </row>
    <row r="30" spans="1:5" s="69" customFormat="1" ht="18.75">
      <c r="A30" s="249" t="s">
        <v>130</v>
      </c>
      <c r="B30" s="267" t="s">
        <v>131</v>
      </c>
      <c r="C30" s="261">
        <v>86221800</v>
      </c>
      <c r="D30" s="261">
        <v>86221800</v>
      </c>
      <c r="E30" s="259">
        <f t="shared" si="0"/>
        <v>100</v>
      </c>
    </row>
    <row r="31" spans="1:5" s="69" customFormat="1" ht="111.75" customHeight="1">
      <c r="A31" s="249" t="s">
        <v>132</v>
      </c>
      <c r="B31" s="267" t="s">
        <v>133</v>
      </c>
      <c r="C31" s="261">
        <v>0</v>
      </c>
      <c r="D31" s="261">
        <v>97855.47</v>
      </c>
      <c r="E31" s="259"/>
    </row>
    <row r="32" spans="1:5" s="69" customFormat="1" ht="63">
      <c r="A32" s="249" t="s">
        <v>134</v>
      </c>
      <c r="B32" s="267" t="s">
        <v>135</v>
      </c>
      <c r="C32" s="261">
        <v>0</v>
      </c>
      <c r="D32" s="261">
        <v>-5988511.98</v>
      </c>
      <c r="E32" s="259"/>
    </row>
    <row r="33" spans="1:5" s="69" customFormat="1" ht="18.75">
      <c r="A33" s="251" t="s">
        <v>136</v>
      </c>
      <c r="B33" s="270"/>
      <c r="C33" s="252">
        <f>C12+C26</f>
        <v>2019756199.95</v>
      </c>
      <c r="D33" s="252">
        <f>D12+D26</f>
        <v>2051393255.2800002</v>
      </c>
      <c r="E33" s="253">
        <f>D33/C33*100</f>
        <v>101.56637990915851</v>
      </c>
    </row>
    <row r="34" spans="1:5" s="69" customFormat="1" ht="17.25" customHeight="1">
      <c r="A34" s="271"/>
      <c r="B34" s="272"/>
      <c r="C34" s="273"/>
      <c r="D34" s="273"/>
      <c r="E34" s="273"/>
    </row>
    <row r="35" spans="1:5" s="69" customFormat="1" ht="20.25" customHeight="1">
      <c r="A35" s="274"/>
      <c r="C35" s="117"/>
      <c r="D35" s="117"/>
      <c r="E35" s="117"/>
    </row>
    <row r="36" spans="3:5" s="69" customFormat="1" ht="16.5" customHeight="1">
      <c r="C36" s="117"/>
      <c r="D36" s="117"/>
      <c r="E36" s="117"/>
    </row>
    <row r="37" spans="3:5" s="69" customFormat="1" ht="16.5" customHeight="1">
      <c r="C37" s="117"/>
      <c r="D37" s="117"/>
      <c r="E37" s="117"/>
    </row>
    <row r="38" s="69" customFormat="1" ht="16.5" customHeight="1"/>
    <row r="39" s="69" customFormat="1" ht="16.5" customHeight="1"/>
    <row r="40" s="69" customFormat="1" ht="16.5" customHeight="1"/>
    <row r="41" s="69" customFormat="1" ht="16.5" customHeight="1"/>
    <row r="42" s="69" customFormat="1" ht="16.5" customHeight="1"/>
    <row r="43" s="69" customFormat="1" ht="16.5" customHeight="1"/>
    <row r="44" s="69" customFormat="1" ht="16.5" customHeight="1"/>
    <row r="45" s="69" customFormat="1" ht="16.5" customHeight="1"/>
    <row r="46" s="69" customFormat="1" ht="16.5" customHeight="1"/>
    <row r="47" s="69" customFormat="1" ht="16.5" customHeight="1"/>
    <row r="48" s="69" customFormat="1" ht="16.5" customHeight="1"/>
    <row r="49" s="69" customFormat="1" ht="16.5" customHeight="1"/>
    <row r="50" s="69" customFormat="1" ht="16.5" customHeight="1"/>
    <row r="51" s="69" customFormat="1" ht="16.5" customHeight="1"/>
    <row r="52" s="69" customFormat="1" ht="16.5" customHeight="1"/>
    <row r="53" s="69" customFormat="1" ht="16.5" customHeight="1"/>
    <row r="54" s="69" customFormat="1" ht="16.5" customHeight="1"/>
    <row r="55" s="69" customFormat="1" ht="16.5" customHeight="1"/>
    <row r="56" s="69" customFormat="1" ht="16.5" customHeight="1"/>
    <row r="57" s="69" customFormat="1" ht="16.5" customHeight="1"/>
    <row r="58" s="69" customFormat="1" ht="16.5" customHeight="1"/>
    <row r="59" s="69" customFormat="1" ht="16.5" customHeight="1"/>
    <row r="60" s="69" customFormat="1" ht="16.5" customHeight="1"/>
    <row r="61" s="69" customFormat="1" ht="16.5" customHeight="1"/>
    <row r="62" s="69" customFormat="1" ht="16.5" customHeight="1"/>
    <row r="63" s="69" customFormat="1" ht="16.5" customHeight="1"/>
    <row r="64" s="69" customFormat="1" ht="16.5" customHeight="1"/>
    <row r="65" s="69" customFormat="1" ht="16.5" customHeight="1"/>
    <row r="66" s="69" customFormat="1" ht="16.5" customHeight="1"/>
    <row r="67" s="69" customFormat="1" ht="16.5" customHeight="1"/>
    <row r="68" s="69" customFormat="1" ht="16.5" customHeight="1"/>
    <row r="69" s="69" customFormat="1" ht="16.5" customHeight="1"/>
    <row r="70" s="69" customFormat="1" ht="16.5" customHeight="1"/>
    <row r="71" s="69" customFormat="1" ht="16.5" customHeight="1"/>
    <row r="72" s="69" customFormat="1" ht="16.5" customHeight="1"/>
    <row r="73" s="69" customFormat="1" ht="16.5" customHeight="1"/>
    <row r="74" s="69" customFormat="1" ht="16.5" customHeight="1"/>
    <row r="75" s="69" customFormat="1" ht="16.5" customHeight="1"/>
  </sheetData>
  <sheetProtection/>
  <mergeCells count="7">
    <mergeCell ref="A1:E1"/>
    <mergeCell ref="A2:E2"/>
    <mergeCell ref="A3:E3"/>
    <mergeCell ref="A8:E8"/>
    <mergeCell ref="D4:E4"/>
    <mergeCell ref="C5:E5"/>
    <mergeCell ref="B6:E6"/>
  </mergeCells>
  <printOptions/>
  <pageMargins left="0.2362204724409449" right="0.2362204724409449" top="0.2362204724409449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18"/>
  <sheetViews>
    <sheetView zoomScalePageLayoutView="0" workbookViewId="0" topLeftCell="A1">
      <selection activeCell="E7" sqref="E7"/>
    </sheetView>
  </sheetViews>
  <sheetFormatPr defaultColWidth="9.00390625" defaultRowHeight="16.5" customHeight="1"/>
  <cols>
    <col min="1" max="1" width="25.25390625" style="69" customWidth="1"/>
    <col min="2" max="2" width="11.75390625" style="69" customWidth="1"/>
    <col min="3" max="3" width="46.25390625" style="19" customWidth="1"/>
    <col min="4" max="4" width="19.00390625" style="365" customWidth="1"/>
    <col min="5" max="5" width="20.00390625" style="365" customWidth="1"/>
    <col min="6" max="6" width="12.875" style="365" customWidth="1"/>
    <col min="7" max="7" width="48.75390625" style="117" customWidth="1"/>
    <col min="8" max="16384" width="9.125" style="69" customWidth="1"/>
  </cols>
  <sheetData>
    <row r="1" spans="1:6" ht="16.5" customHeight="1">
      <c r="A1" s="366" t="s">
        <v>10</v>
      </c>
      <c r="B1" s="366"/>
      <c r="C1" s="366"/>
      <c r="D1" s="366"/>
      <c r="E1" s="366"/>
      <c r="F1" s="366"/>
    </row>
    <row r="2" spans="1:6" ht="16.5" customHeight="1">
      <c r="A2" s="366" t="s">
        <v>797</v>
      </c>
      <c r="B2" s="366"/>
      <c r="C2" s="366"/>
      <c r="D2" s="366"/>
      <c r="E2" s="366"/>
      <c r="F2" s="366"/>
    </row>
    <row r="3" spans="1:6" ht="16.5" customHeight="1">
      <c r="A3" s="366" t="s">
        <v>949</v>
      </c>
      <c r="B3" s="366"/>
      <c r="C3" s="366"/>
      <c r="D3" s="366"/>
      <c r="E3" s="366"/>
      <c r="F3" s="366"/>
    </row>
    <row r="4" spans="3:6" ht="16.5" customHeight="1">
      <c r="C4" s="64"/>
      <c r="D4" s="64"/>
      <c r="E4" s="64"/>
      <c r="F4" s="64"/>
    </row>
    <row r="5" spans="3:6" ht="16.5" customHeight="1">
      <c r="C5" s="64"/>
      <c r="D5" s="64"/>
      <c r="E5" s="64"/>
      <c r="F5" s="64"/>
    </row>
    <row r="6" spans="3:6" ht="16.5" customHeight="1">
      <c r="C6" s="47"/>
      <c r="D6" s="47"/>
      <c r="E6" s="47"/>
      <c r="F6" s="47"/>
    </row>
    <row r="7" spans="3:6" ht="16.5" customHeight="1">
      <c r="C7" s="247"/>
      <c r="D7" s="31"/>
      <c r="E7" s="31"/>
      <c r="F7" s="31"/>
    </row>
    <row r="8" spans="1:6" ht="43.5" customHeight="1">
      <c r="A8" s="369" t="s">
        <v>12</v>
      </c>
      <c r="B8" s="369"/>
      <c r="C8" s="369"/>
      <c r="D8" s="369"/>
      <c r="E8" s="369"/>
      <c r="F8" s="369"/>
    </row>
    <row r="9" spans="4:6" ht="16.5" customHeight="1">
      <c r="D9" s="275"/>
      <c r="E9" s="275"/>
      <c r="F9" s="275"/>
    </row>
    <row r="10" spans="1:7" s="266" customFormat="1" ht="47.25">
      <c r="A10" s="276" t="s">
        <v>137</v>
      </c>
      <c r="B10" s="276" t="s">
        <v>138</v>
      </c>
      <c r="C10" s="277" t="s">
        <v>95</v>
      </c>
      <c r="D10" s="276" t="s">
        <v>802</v>
      </c>
      <c r="E10" s="276" t="s">
        <v>800</v>
      </c>
      <c r="F10" s="278" t="s">
        <v>801</v>
      </c>
      <c r="G10" s="279"/>
    </row>
    <row r="11" spans="1:7" s="266" customFormat="1" ht="18.75">
      <c r="A11" s="280">
        <v>1</v>
      </c>
      <c r="B11" s="280">
        <v>1</v>
      </c>
      <c r="C11" s="280">
        <v>2</v>
      </c>
      <c r="D11" s="280">
        <v>3</v>
      </c>
      <c r="E11" s="280">
        <v>3</v>
      </c>
      <c r="F11" s="280">
        <v>3</v>
      </c>
      <c r="G11" s="279"/>
    </row>
    <row r="12" spans="1:7" s="266" customFormat="1" ht="31.5">
      <c r="A12" s="263" t="s">
        <v>139</v>
      </c>
      <c r="B12" s="281" t="s">
        <v>513</v>
      </c>
      <c r="C12" s="282" t="s">
        <v>97</v>
      </c>
      <c r="D12" s="283">
        <f>D13+D104</f>
        <v>831383680</v>
      </c>
      <c r="E12" s="283">
        <f>E13+E104</f>
        <v>879163312.64</v>
      </c>
      <c r="F12" s="284">
        <f>E12/D12*100</f>
        <v>105.74700150957979</v>
      </c>
      <c r="G12" s="279"/>
    </row>
    <row r="13" spans="1:7" s="266" customFormat="1" ht="18.75">
      <c r="A13" s="263"/>
      <c r="B13" s="281"/>
      <c r="C13" s="285" t="s">
        <v>98</v>
      </c>
      <c r="D13" s="286">
        <f>D14+D31+D68+D86+D93</f>
        <v>772074950</v>
      </c>
      <c r="E13" s="286">
        <f>E14+E31+E68+E86+E93</f>
        <v>827742879.52</v>
      </c>
      <c r="F13" s="287">
        <f>E13/D13*100</f>
        <v>107.21017169641367</v>
      </c>
      <c r="G13" s="279"/>
    </row>
    <row r="14" spans="1:7" s="266" customFormat="1" ht="24.75" customHeight="1">
      <c r="A14" s="263" t="s">
        <v>140</v>
      </c>
      <c r="B14" s="281" t="s">
        <v>513</v>
      </c>
      <c r="C14" s="288" t="s">
        <v>100</v>
      </c>
      <c r="D14" s="283">
        <f>D15</f>
        <v>703357900</v>
      </c>
      <c r="E14" s="283">
        <f>E15</f>
        <v>763086157.01</v>
      </c>
      <c r="F14" s="284">
        <f>F15</f>
        <v>108.4918726312735</v>
      </c>
      <c r="G14" s="279"/>
    </row>
    <row r="15" spans="1:7" s="266" customFormat="1" ht="23.25" customHeight="1">
      <c r="A15" s="289" t="s">
        <v>141</v>
      </c>
      <c r="B15" s="290" t="s">
        <v>726</v>
      </c>
      <c r="C15" s="285" t="s">
        <v>142</v>
      </c>
      <c r="D15" s="286">
        <f>D16+D21+D25+D29</f>
        <v>703357900</v>
      </c>
      <c r="E15" s="286">
        <f>E16+E21+E25+E29</f>
        <v>763086157.01</v>
      </c>
      <c r="F15" s="287">
        <f>E15/D15*100</f>
        <v>108.4918726312735</v>
      </c>
      <c r="G15" s="279"/>
    </row>
    <row r="16" spans="1:7" s="266" customFormat="1" ht="92.25" customHeight="1">
      <c r="A16" s="291" t="s">
        <v>143</v>
      </c>
      <c r="B16" s="292" t="s">
        <v>726</v>
      </c>
      <c r="C16" s="293" t="s">
        <v>442</v>
      </c>
      <c r="D16" s="294">
        <v>702594300</v>
      </c>
      <c r="E16" s="294">
        <f>E17+E18+E19+E20</f>
        <v>762296929.87</v>
      </c>
      <c r="F16" s="295">
        <f>E16/D16*100</f>
        <v>108.49745434456273</v>
      </c>
      <c r="G16" s="279"/>
    </row>
    <row r="17" spans="1:7" s="266" customFormat="1" ht="104.25" customHeight="1">
      <c r="A17" s="296" t="s">
        <v>144</v>
      </c>
      <c r="B17" s="297" t="s">
        <v>726</v>
      </c>
      <c r="C17" s="298" t="s">
        <v>443</v>
      </c>
      <c r="D17" s="299"/>
      <c r="E17" s="299">
        <v>757676096.67</v>
      </c>
      <c r="F17" s="300"/>
      <c r="G17" s="279"/>
    </row>
    <row r="18" spans="1:7" s="266" customFormat="1" ht="96.75" customHeight="1">
      <c r="A18" s="296" t="s">
        <v>145</v>
      </c>
      <c r="B18" s="297" t="s">
        <v>726</v>
      </c>
      <c r="C18" s="298" t="s">
        <v>443</v>
      </c>
      <c r="D18" s="299"/>
      <c r="E18" s="299">
        <v>2455796.48</v>
      </c>
      <c r="F18" s="300"/>
      <c r="G18" s="279"/>
    </row>
    <row r="19" spans="1:7" s="266" customFormat="1" ht="107.25" customHeight="1">
      <c r="A19" s="296" t="s">
        <v>146</v>
      </c>
      <c r="B19" s="297" t="s">
        <v>726</v>
      </c>
      <c r="C19" s="298" t="s">
        <v>443</v>
      </c>
      <c r="D19" s="299"/>
      <c r="E19" s="299">
        <v>2165632.72</v>
      </c>
      <c r="F19" s="300"/>
      <c r="G19" s="279"/>
    </row>
    <row r="20" spans="1:7" s="266" customFormat="1" ht="98.25" customHeight="1">
      <c r="A20" s="296" t="s">
        <v>147</v>
      </c>
      <c r="B20" s="297" t="s">
        <v>726</v>
      </c>
      <c r="C20" s="298" t="s">
        <v>443</v>
      </c>
      <c r="D20" s="299"/>
      <c r="E20" s="299">
        <v>-596</v>
      </c>
      <c r="F20" s="300"/>
      <c r="G20" s="279"/>
    </row>
    <row r="21" spans="1:7" s="266" customFormat="1" ht="139.5" customHeight="1">
      <c r="A21" s="301" t="s">
        <v>148</v>
      </c>
      <c r="B21" s="292" t="s">
        <v>726</v>
      </c>
      <c r="C21" s="293" t="s">
        <v>445</v>
      </c>
      <c r="D21" s="302">
        <v>144450.09</v>
      </c>
      <c r="E21" s="302">
        <f>E22+E23+E24</f>
        <v>144450.09</v>
      </c>
      <c r="F21" s="303">
        <f>E21/D21*100</f>
        <v>100</v>
      </c>
      <c r="G21" s="279"/>
    </row>
    <row r="22" spans="1:7" s="266" customFormat="1" ht="137.25" customHeight="1">
      <c r="A22" s="304" t="s">
        <v>149</v>
      </c>
      <c r="B22" s="297" t="s">
        <v>726</v>
      </c>
      <c r="C22" s="298" t="s">
        <v>445</v>
      </c>
      <c r="D22" s="302"/>
      <c r="E22" s="302">
        <v>93621.8</v>
      </c>
      <c r="F22" s="303"/>
      <c r="G22" s="279"/>
    </row>
    <row r="23" spans="1:7" s="266" customFormat="1" ht="139.5" customHeight="1">
      <c r="A23" s="304" t="s">
        <v>150</v>
      </c>
      <c r="B23" s="297" t="s">
        <v>726</v>
      </c>
      <c r="C23" s="298" t="s">
        <v>445</v>
      </c>
      <c r="D23" s="302"/>
      <c r="E23" s="302">
        <v>33733.02</v>
      </c>
      <c r="F23" s="303"/>
      <c r="G23" s="279"/>
    </row>
    <row r="24" spans="1:7" s="266" customFormat="1" ht="139.5" customHeight="1">
      <c r="A24" s="304" t="s">
        <v>151</v>
      </c>
      <c r="B24" s="297" t="s">
        <v>726</v>
      </c>
      <c r="C24" s="298" t="s">
        <v>445</v>
      </c>
      <c r="D24" s="302"/>
      <c r="E24" s="302">
        <v>17095.27</v>
      </c>
      <c r="F24" s="303"/>
      <c r="G24" s="279"/>
    </row>
    <row r="25" spans="1:7" s="266" customFormat="1" ht="68.25" customHeight="1">
      <c r="A25" s="301" t="s">
        <v>152</v>
      </c>
      <c r="B25" s="305" t="s">
        <v>726</v>
      </c>
      <c r="C25" s="293" t="s">
        <v>153</v>
      </c>
      <c r="D25" s="302">
        <v>617349.91</v>
      </c>
      <c r="E25" s="302">
        <f>E26+E27+E28</f>
        <v>642977.05</v>
      </c>
      <c r="F25" s="303">
        <f>E25/D25*100</f>
        <v>104.15115311185517</v>
      </c>
      <c r="G25" s="279"/>
    </row>
    <row r="26" spans="1:7" s="266" customFormat="1" ht="68.25" customHeight="1">
      <c r="A26" s="304" t="s">
        <v>154</v>
      </c>
      <c r="B26" s="306" t="s">
        <v>726</v>
      </c>
      <c r="C26" s="298" t="s">
        <v>153</v>
      </c>
      <c r="D26" s="299"/>
      <c r="E26" s="299">
        <v>577440.65</v>
      </c>
      <c r="F26" s="307"/>
      <c r="G26" s="279"/>
    </row>
    <row r="27" spans="1:7" s="266" customFormat="1" ht="68.25" customHeight="1">
      <c r="A27" s="304" t="s">
        <v>155</v>
      </c>
      <c r="B27" s="306" t="s">
        <v>726</v>
      </c>
      <c r="C27" s="298" t="s">
        <v>153</v>
      </c>
      <c r="D27" s="299"/>
      <c r="E27" s="299">
        <v>10049.06</v>
      </c>
      <c r="F27" s="307"/>
      <c r="G27" s="279"/>
    </row>
    <row r="28" spans="1:7" s="266" customFormat="1" ht="68.25" customHeight="1">
      <c r="A28" s="304" t="s">
        <v>156</v>
      </c>
      <c r="B28" s="306" t="s">
        <v>726</v>
      </c>
      <c r="C28" s="298" t="s">
        <v>153</v>
      </c>
      <c r="D28" s="299"/>
      <c r="E28" s="299">
        <v>55487.34</v>
      </c>
      <c r="F28" s="307"/>
      <c r="G28" s="279"/>
    </row>
    <row r="29" spans="1:7" s="266" customFormat="1" ht="123.75" customHeight="1">
      <c r="A29" s="301" t="s">
        <v>157</v>
      </c>
      <c r="B29" s="305" t="s">
        <v>726</v>
      </c>
      <c r="C29" s="293" t="s">
        <v>446</v>
      </c>
      <c r="D29" s="302">
        <v>1800</v>
      </c>
      <c r="E29" s="302">
        <f>E30</f>
        <v>1800</v>
      </c>
      <c r="F29" s="303">
        <f>E29/D29*100</f>
        <v>100</v>
      </c>
      <c r="G29" s="279"/>
    </row>
    <row r="30" spans="1:7" s="266" customFormat="1" ht="123.75" customHeight="1">
      <c r="A30" s="304" t="s">
        <v>158</v>
      </c>
      <c r="B30" s="306" t="s">
        <v>726</v>
      </c>
      <c r="C30" s="298" t="s">
        <v>447</v>
      </c>
      <c r="D30" s="299"/>
      <c r="E30" s="299">
        <v>1800</v>
      </c>
      <c r="F30" s="307"/>
      <c r="G30" s="279"/>
    </row>
    <row r="31" spans="1:7" s="266" customFormat="1" ht="22.5" customHeight="1">
      <c r="A31" s="263" t="s">
        <v>159</v>
      </c>
      <c r="B31" s="281" t="s">
        <v>513</v>
      </c>
      <c r="C31" s="288" t="s">
        <v>102</v>
      </c>
      <c r="D31" s="283">
        <f>D32+D55+D64</f>
        <v>50853500</v>
      </c>
      <c r="E31" s="283">
        <f>E32+E55+E64</f>
        <v>46765735.910000004</v>
      </c>
      <c r="F31" s="284">
        <f>E31/D31*100</f>
        <v>91.9616858426657</v>
      </c>
      <c r="G31" s="279"/>
    </row>
    <row r="32" spans="1:10" s="266" customFormat="1" ht="39.75" customHeight="1">
      <c r="A32" s="289" t="s">
        <v>160</v>
      </c>
      <c r="B32" s="290" t="s">
        <v>726</v>
      </c>
      <c r="C32" s="264" t="s">
        <v>161</v>
      </c>
      <c r="D32" s="286">
        <f>D33+D42+D51</f>
        <v>28440100</v>
      </c>
      <c r="E32" s="286">
        <f>E33+E42+E51</f>
        <v>26083417.169999998</v>
      </c>
      <c r="F32" s="287">
        <f>E32/D32*100</f>
        <v>91.71352129563537</v>
      </c>
      <c r="G32" s="279"/>
      <c r="J32" s="279"/>
    </row>
    <row r="33" spans="1:7" s="312" customFormat="1" ht="51.75" customHeight="1">
      <c r="A33" s="277" t="s">
        <v>162</v>
      </c>
      <c r="B33" s="308" t="s">
        <v>726</v>
      </c>
      <c r="C33" s="309" t="s">
        <v>163</v>
      </c>
      <c r="D33" s="310">
        <f>D34+D38</f>
        <v>11320800</v>
      </c>
      <c r="E33" s="310">
        <f>E34+E38</f>
        <v>10576849.22</v>
      </c>
      <c r="F33" s="300">
        <f>E33/D33*100</f>
        <v>93.42846106282242</v>
      </c>
      <c r="G33" s="311"/>
    </row>
    <row r="34" spans="1:7" s="312" customFormat="1" ht="51" customHeight="1">
      <c r="A34" s="301" t="s">
        <v>164</v>
      </c>
      <c r="B34" s="305" t="s">
        <v>726</v>
      </c>
      <c r="C34" s="293" t="s">
        <v>163</v>
      </c>
      <c r="D34" s="302">
        <v>11320800</v>
      </c>
      <c r="E34" s="302">
        <f>E35+E36+E37</f>
        <v>10586634.97</v>
      </c>
      <c r="F34" s="303">
        <f>E34/D34*100</f>
        <v>93.5149015087273</v>
      </c>
      <c r="G34" s="311"/>
    </row>
    <row r="35" spans="1:7" s="312" customFormat="1" ht="51" customHeight="1">
      <c r="A35" s="304" t="s">
        <v>165</v>
      </c>
      <c r="B35" s="306" t="s">
        <v>726</v>
      </c>
      <c r="C35" s="298" t="s">
        <v>163</v>
      </c>
      <c r="D35" s="299"/>
      <c r="E35" s="299">
        <v>10512723.02</v>
      </c>
      <c r="F35" s="307"/>
      <c r="G35" s="311"/>
    </row>
    <row r="36" spans="1:7" s="312" customFormat="1" ht="51" customHeight="1">
      <c r="A36" s="304" t="s">
        <v>166</v>
      </c>
      <c r="B36" s="306" t="s">
        <v>726</v>
      </c>
      <c r="C36" s="298" t="s">
        <v>163</v>
      </c>
      <c r="D36" s="299"/>
      <c r="E36" s="299">
        <v>64190.39</v>
      </c>
      <c r="F36" s="307"/>
      <c r="G36" s="311"/>
    </row>
    <row r="37" spans="1:7" s="312" customFormat="1" ht="51" customHeight="1">
      <c r="A37" s="304" t="s">
        <v>167</v>
      </c>
      <c r="B37" s="306" t="s">
        <v>726</v>
      </c>
      <c r="C37" s="298" t="s">
        <v>163</v>
      </c>
      <c r="D37" s="299"/>
      <c r="E37" s="299">
        <v>9721.56</v>
      </c>
      <c r="F37" s="307"/>
      <c r="G37" s="311"/>
    </row>
    <row r="38" spans="1:7" s="312" customFormat="1" ht="67.5" customHeight="1">
      <c r="A38" s="301" t="s">
        <v>168</v>
      </c>
      <c r="B38" s="305" t="s">
        <v>726</v>
      </c>
      <c r="C38" s="293" t="s">
        <v>169</v>
      </c>
      <c r="D38" s="302">
        <v>0</v>
      </c>
      <c r="E38" s="302">
        <f>E39+E40+E41</f>
        <v>-9785.75</v>
      </c>
      <c r="F38" s="303"/>
      <c r="G38" s="311"/>
    </row>
    <row r="39" spans="1:7" s="312" customFormat="1" ht="60.75" customHeight="1">
      <c r="A39" s="304" t="s">
        <v>170</v>
      </c>
      <c r="B39" s="306" t="s">
        <v>726</v>
      </c>
      <c r="C39" s="298" t="s">
        <v>169</v>
      </c>
      <c r="D39" s="299"/>
      <c r="E39" s="299">
        <v>-22646.28</v>
      </c>
      <c r="F39" s="307"/>
      <c r="G39" s="311"/>
    </row>
    <row r="40" spans="1:7" s="312" customFormat="1" ht="64.5" customHeight="1">
      <c r="A40" s="304" t="s">
        <v>171</v>
      </c>
      <c r="B40" s="306" t="s">
        <v>726</v>
      </c>
      <c r="C40" s="298" t="s">
        <v>169</v>
      </c>
      <c r="D40" s="299"/>
      <c r="E40" s="299">
        <v>7460.53</v>
      </c>
      <c r="F40" s="307"/>
      <c r="G40" s="311"/>
    </row>
    <row r="41" spans="1:7" s="312" customFormat="1" ht="62.25" customHeight="1">
      <c r="A41" s="304" t="s">
        <v>172</v>
      </c>
      <c r="B41" s="306" t="s">
        <v>726</v>
      </c>
      <c r="C41" s="298" t="s">
        <v>169</v>
      </c>
      <c r="D41" s="299"/>
      <c r="E41" s="299">
        <v>5400</v>
      </c>
      <c r="F41" s="307"/>
      <c r="G41" s="311"/>
    </row>
    <row r="42" spans="1:7" s="312" customFormat="1" ht="75" customHeight="1">
      <c r="A42" s="277" t="s">
        <v>173</v>
      </c>
      <c r="B42" s="308" t="s">
        <v>726</v>
      </c>
      <c r="C42" s="309" t="s">
        <v>174</v>
      </c>
      <c r="D42" s="310">
        <f>D43+D47</f>
        <v>10869300</v>
      </c>
      <c r="E42" s="310">
        <f>E43+E47</f>
        <v>9887358.68</v>
      </c>
      <c r="F42" s="300">
        <f>E42/D42*100</f>
        <v>90.96591942443395</v>
      </c>
      <c r="G42" s="311"/>
    </row>
    <row r="43" spans="1:7" s="312" customFormat="1" ht="66.75" customHeight="1">
      <c r="A43" s="301" t="s">
        <v>175</v>
      </c>
      <c r="B43" s="305" t="s">
        <v>726</v>
      </c>
      <c r="C43" s="293" t="s">
        <v>174</v>
      </c>
      <c r="D43" s="302">
        <v>10869300</v>
      </c>
      <c r="E43" s="302">
        <f>E44+E45+E46</f>
        <v>9910658.24</v>
      </c>
      <c r="F43" s="303">
        <f>E43/D43*100</f>
        <v>91.18028060684681</v>
      </c>
      <c r="G43" s="311"/>
    </row>
    <row r="44" spans="1:7" s="312" customFormat="1" ht="51.75" customHeight="1">
      <c r="A44" s="304" t="s">
        <v>176</v>
      </c>
      <c r="B44" s="306" t="s">
        <v>726</v>
      </c>
      <c r="C44" s="298" t="s">
        <v>174</v>
      </c>
      <c r="D44" s="299"/>
      <c r="E44" s="299">
        <v>9727804.48</v>
      </c>
      <c r="F44" s="307"/>
      <c r="G44" s="311"/>
    </row>
    <row r="45" spans="1:7" s="312" customFormat="1" ht="51.75" customHeight="1">
      <c r="A45" s="304" t="s">
        <v>177</v>
      </c>
      <c r="B45" s="306" t="s">
        <v>726</v>
      </c>
      <c r="C45" s="298" t="s">
        <v>174</v>
      </c>
      <c r="D45" s="299"/>
      <c r="E45" s="299">
        <v>179853.76</v>
      </c>
      <c r="F45" s="307"/>
      <c r="G45" s="311"/>
    </row>
    <row r="46" spans="1:7" s="312" customFormat="1" ht="51.75" customHeight="1">
      <c r="A46" s="304" t="s">
        <v>178</v>
      </c>
      <c r="B46" s="306" t="s">
        <v>726</v>
      </c>
      <c r="C46" s="298" t="s">
        <v>174</v>
      </c>
      <c r="D46" s="299"/>
      <c r="E46" s="299">
        <v>3000</v>
      </c>
      <c r="F46" s="307"/>
      <c r="G46" s="311"/>
    </row>
    <row r="47" spans="1:7" s="312" customFormat="1" ht="78" customHeight="1">
      <c r="A47" s="301" t="s">
        <v>179</v>
      </c>
      <c r="B47" s="305" t="s">
        <v>726</v>
      </c>
      <c r="C47" s="293" t="s">
        <v>180</v>
      </c>
      <c r="D47" s="302">
        <v>0</v>
      </c>
      <c r="E47" s="302">
        <f>E48+E49+E50</f>
        <v>-23299.559999999998</v>
      </c>
      <c r="F47" s="307"/>
      <c r="G47" s="311"/>
    </row>
    <row r="48" spans="1:7" s="312" customFormat="1" ht="81" customHeight="1">
      <c r="A48" s="304" t="s">
        <v>181</v>
      </c>
      <c r="B48" s="306" t="s">
        <v>726</v>
      </c>
      <c r="C48" s="298" t="s">
        <v>180</v>
      </c>
      <c r="D48" s="299"/>
      <c r="E48" s="299">
        <v>-15635.99</v>
      </c>
      <c r="F48" s="307"/>
      <c r="G48" s="311"/>
    </row>
    <row r="49" spans="1:7" s="312" customFormat="1" ht="82.5" customHeight="1">
      <c r="A49" s="304" t="s">
        <v>182</v>
      </c>
      <c r="B49" s="306" t="s">
        <v>726</v>
      </c>
      <c r="C49" s="298" t="s">
        <v>180</v>
      </c>
      <c r="D49" s="299"/>
      <c r="E49" s="299">
        <v>-8563.57</v>
      </c>
      <c r="F49" s="307"/>
      <c r="G49" s="311"/>
    </row>
    <row r="50" spans="1:7" s="312" customFormat="1" ht="79.5" customHeight="1">
      <c r="A50" s="304" t="s">
        <v>183</v>
      </c>
      <c r="B50" s="306" t="s">
        <v>726</v>
      </c>
      <c r="C50" s="298" t="s">
        <v>180</v>
      </c>
      <c r="D50" s="299"/>
      <c r="E50" s="299">
        <v>900</v>
      </c>
      <c r="F50" s="307"/>
      <c r="G50" s="311"/>
    </row>
    <row r="51" spans="1:7" s="312" customFormat="1" ht="39.75" customHeight="1">
      <c r="A51" s="301" t="s">
        <v>184</v>
      </c>
      <c r="B51" s="305" t="s">
        <v>726</v>
      </c>
      <c r="C51" s="293" t="s">
        <v>185</v>
      </c>
      <c r="D51" s="302">
        <v>6250000</v>
      </c>
      <c r="E51" s="302">
        <f>E52+E53+E54</f>
        <v>5619209.2700000005</v>
      </c>
      <c r="F51" s="303">
        <f>E51/D51*100</f>
        <v>89.90734832</v>
      </c>
      <c r="G51" s="311"/>
    </row>
    <row r="52" spans="1:7" s="312" customFormat="1" ht="39.75" customHeight="1">
      <c r="A52" s="304" t="s">
        <v>186</v>
      </c>
      <c r="B52" s="306" t="s">
        <v>726</v>
      </c>
      <c r="C52" s="298" t="s">
        <v>185</v>
      </c>
      <c r="D52" s="299"/>
      <c r="E52" s="299">
        <v>5604508.08</v>
      </c>
      <c r="F52" s="307"/>
      <c r="G52" s="311"/>
    </row>
    <row r="53" spans="1:7" s="312" customFormat="1" ht="39.75" customHeight="1">
      <c r="A53" s="304" t="s">
        <v>187</v>
      </c>
      <c r="B53" s="306" t="s">
        <v>726</v>
      </c>
      <c r="C53" s="298" t="s">
        <v>185</v>
      </c>
      <c r="D53" s="299"/>
      <c r="E53" s="299">
        <v>12701.19</v>
      </c>
      <c r="F53" s="307"/>
      <c r="G53" s="311"/>
    </row>
    <row r="54" spans="1:7" s="312" customFormat="1" ht="39.75" customHeight="1">
      <c r="A54" s="304" t="s">
        <v>188</v>
      </c>
      <c r="B54" s="306" t="s">
        <v>726</v>
      </c>
      <c r="C54" s="298" t="s">
        <v>185</v>
      </c>
      <c r="D54" s="299"/>
      <c r="E54" s="299">
        <v>2000</v>
      </c>
      <c r="F54" s="307"/>
      <c r="G54" s="311"/>
    </row>
    <row r="55" spans="1:7" s="314" customFormat="1" ht="43.5" customHeight="1">
      <c r="A55" s="289" t="s">
        <v>189</v>
      </c>
      <c r="B55" s="290" t="s">
        <v>726</v>
      </c>
      <c r="C55" s="264" t="s">
        <v>190</v>
      </c>
      <c r="D55" s="286">
        <f>D56+D60</f>
        <v>21781400</v>
      </c>
      <c r="E55" s="286">
        <f>E56+E60</f>
        <v>20317111.97</v>
      </c>
      <c r="F55" s="287">
        <f>E55/D55*100</f>
        <v>93.27734658929178</v>
      </c>
      <c r="G55" s="313"/>
    </row>
    <row r="56" spans="1:7" s="314" customFormat="1" ht="43.5" customHeight="1">
      <c r="A56" s="301" t="s">
        <v>191</v>
      </c>
      <c r="B56" s="305" t="s">
        <v>726</v>
      </c>
      <c r="C56" s="293" t="s">
        <v>192</v>
      </c>
      <c r="D56" s="302">
        <v>21661400</v>
      </c>
      <c r="E56" s="302">
        <f>E57+E58+E59</f>
        <v>20199289.189999998</v>
      </c>
      <c r="F56" s="303">
        <f>E56/D56*100</f>
        <v>93.25015553011346</v>
      </c>
      <c r="G56" s="313"/>
    </row>
    <row r="57" spans="1:7" s="314" customFormat="1" ht="34.5" customHeight="1">
      <c r="A57" s="304" t="s">
        <v>193</v>
      </c>
      <c r="B57" s="306" t="s">
        <v>726</v>
      </c>
      <c r="C57" s="298" t="s">
        <v>192</v>
      </c>
      <c r="D57" s="302"/>
      <c r="E57" s="299">
        <v>20041189.63</v>
      </c>
      <c r="F57" s="303"/>
      <c r="G57" s="313"/>
    </row>
    <row r="58" spans="1:7" s="314" customFormat="1" ht="35.25" customHeight="1">
      <c r="A58" s="304" t="s">
        <v>194</v>
      </c>
      <c r="B58" s="306" t="s">
        <v>726</v>
      </c>
      <c r="C58" s="298" t="s">
        <v>192</v>
      </c>
      <c r="D58" s="302"/>
      <c r="E58" s="299">
        <v>74684.88</v>
      </c>
      <c r="F58" s="303"/>
      <c r="G58" s="313"/>
    </row>
    <row r="59" spans="1:7" s="314" customFormat="1" ht="32.25" customHeight="1">
      <c r="A59" s="304" t="s">
        <v>195</v>
      </c>
      <c r="B59" s="306" t="s">
        <v>726</v>
      </c>
      <c r="C59" s="298" t="s">
        <v>192</v>
      </c>
      <c r="D59" s="302"/>
      <c r="E59" s="299">
        <v>83414.68</v>
      </c>
      <c r="F59" s="303"/>
      <c r="G59" s="313"/>
    </row>
    <row r="60" spans="1:7" s="314" customFormat="1" ht="46.5" customHeight="1">
      <c r="A60" s="301" t="s">
        <v>196</v>
      </c>
      <c r="B60" s="305" t="s">
        <v>726</v>
      </c>
      <c r="C60" s="293" t="s">
        <v>197</v>
      </c>
      <c r="D60" s="302">
        <v>120000</v>
      </c>
      <c r="E60" s="302">
        <f>E61+E62+E63</f>
        <v>117822.78</v>
      </c>
      <c r="F60" s="303">
        <f>E60/D60*100</f>
        <v>98.18565</v>
      </c>
      <c r="G60" s="313"/>
    </row>
    <row r="61" spans="1:7" s="314" customFormat="1" ht="46.5" customHeight="1">
      <c r="A61" s="304" t="s">
        <v>198</v>
      </c>
      <c r="B61" s="306" t="s">
        <v>726</v>
      </c>
      <c r="C61" s="298" t="s">
        <v>197</v>
      </c>
      <c r="D61" s="299"/>
      <c r="E61" s="299">
        <v>61358.37</v>
      </c>
      <c r="F61" s="307"/>
      <c r="G61" s="313"/>
    </row>
    <row r="62" spans="1:7" s="314" customFormat="1" ht="46.5" customHeight="1">
      <c r="A62" s="304" t="s">
        <v>199</v>
      </c>
      <c r="B62" s="306" t="s">
        <v>726</v>
      </c>
      <c r="C62" s="298" t="s">
        <v>197</v>
      </c>
      <c r="D62" s="299"/>
      <c r="E62" s="299">
        <v>35739.85</v>
      </c>
      <c r="F62" s="307"/>
      <c r="G62" s="313"/>
    </row>
    <row r="63" spans="1:7" s="314" customFormat="1" ht="46.5" customHeight="1">
      <c r="A63" s="304" t="s">
        <v>200</v>
      </c>
      <c r="B63" s="306" t="s">
        <v>726</v>
      </c>
      <c r="C63" s="298" t="s">
        <v>197</v>
      </c>
      <c r="D63" s="299"/>
      <c r="E63" s="299">
        <v>20724.56</v>
      </c>
      <c r="F63" s="307"/>
      <c r="G63" s="313"/>
    </row>
    <row r="64" spans="1:7" s="314" customFormat="1" ht="46.5" customHeight="1">
      <c r="A64" s="289" t="s">
        <v>201</v>
      </c>
      <c r="B64" s="290" t="s">
        <v>726</v>
      </c>
      <c r="C64" s="264" t="s">
        <v>202</v>
      </c>
      <c r="D64" s="286">
        <f>D65</f>
        <v>632000</v>
      </c>
      <c r="E64" s="286">
        <f>E65</f>
        <v>365206.77</v>
      </c>
      <c r="F64" s="287">
        <f>E64/D64*100</f>
        <v>57.785881329113934</v>
      </c>
      <c r="G64" s="313"/>
    </row>
    <row r="65" spans="1:7" s="266" customFormat="1" ht="51.75" customHeight="1">
      <c r="A65" s="301" t="s">
        <v>203</v>
      </c>
      <c r="B65" s="305" t="s">
        <v>726</v>
      </c>
      <c r="C65" s="315" t="s">
        <v>204</v>
      </c>
      <c r="D65" s="302">
        <v>632000</v>
      </c>
      <c r="E65" s="302">
        <f>E66+E67</f>
        <v>365206.77</v>
      </c>
      <c r="F65" s="303">
        <f>E65/D65*100</f>
        <v>57.785881329113934</v>
      </c>
      <c r="G65" s="279"/>
    </row>
    <row r="66" spans="1:7" s="266" customFormat="1" ht="51.75" customHeight="1">
      <c r="A66" s="304" t="s">
        <v>205</v>
      </c>
      <c r="B66" s="306" t="s">
        <v>726</v>
      </c>
      <c r="C66" s="316" t="s">
        <v>204</v>
      </c>
      <c r="D66" s="299"/>
      <c r="E66" s="299">
        <v>365095.65</v>
      </c>
      <c r="F66" s="307"/>
      <c r="G66" s="279"/>
    </row>
    <row r="67" spans="1:7" s="266" customFormat="1" ht="51.75" customHeight="1">
      <c r="A67" s="304" t="s">
        <v>206</v>
      </c>
      <c r="B67" s="306" t="s">
        <v>726</v>
      </c>
      <c r="C67" s="316" t="s">
        <v>204</v>
      </c>
      <c r="D67" s="299"/>
      <c r="E67" s="299">
        <v>111.12</v>
      </c>
      <c r="F67" s="307"/>
      <c r="G67" s="279"/>
    </row>
    <row r="68" spans="1:7" s="266" customFormat="1" ht="21" customHeight="1">
      <c r="A68" s="263" t="s">
        <v>207</v>
      </c>
      <c r="B68" s="281" t="s">
        <v>513</v>
      </c>
      <c r="C68" s="288" t="s">
        <v>104</v>
      </c>
      <c r="D68" s="283">
        <f>D69+D74</f>
        <v>10873800</v>
      </c>
      <c r="E68" s="283">
        <f>E69+E74</f>
        <v>11079112.62</v>
      </c>
      <c r="F68" s="284">
        <f>E68/D68*100</f>
        <v>101.88814048446724</v>
      </c>
      <c r="G68" s="279"/>
    </row>
    <row r="69" spans="1:7" s="266" customFormat="1" ht="33" customHeight="1">
      <c r="A69" s="289" t="s">
        <v>208</v>
      </c>
      <c r="B69" s="290" t="s">
        <v>726</v>
      </c>
      <c r="C69" s="264" t="s">
        <v>209</v>
      </c>
      <c r="D69" s="286">
        <f>D70</f>
        <v>5103500</v>
      </c>
      <c r="E69" s="286">
        <f>E70</f>
        <v>5061627.39</v>
      </c>
      <c r="F69" s="287">
        <f>F70</f>
        <v>99.17953149799158</v>
      </c>
      <c r="G69" s="279"/>
    </row>
    <row r="70" spans="1:7" s="266" customFormat="1" ht="61.5" customHeight="1">
      <c r="A70" s="301" t="s">
        <v>210</v>
      </c>
      <c r="B70" s="305" t="s">
        <v>726</v>
      </c>
      <c r="C70" s="317" t="s">
        <v>211</v>
      </c>
      <c r="D70" s="302">
        <v>5103500</v>
      </c>
      <c r="E70" s="302">
        <f>E71+E72+E73</f>
        <v>5061627.39</v>
      </c>
      <c r="F70" s="303">
        <f>E70/D70*100</f>
        <v>99.17953149799158</v>
      </c>
      <c r="G70" s="279"/>
    </row>
    <row r="71" spans="1:7" s="266" customFormat="1" ht="66.75" customHeight="1">
      <c r="A71" s="304" t="s">
        <v>212</v>
      </c>
      <c r="B71" s="306" t="s">
        <v>726</v>
      </c>
      <c r="C71" s="318" t="s">
        <v>211</v>
      </c>
      <c r="D71" s="302"/>
      <c r="E71" s="299">
        <v>5001328.77</v>
      </c>
      <c r="F71" s="303"/>
      <c r="G71" s="279"/>
    </row>
    <row r="72" spans="1:7" s="266" customFormat="1" ht="61.5" customHeight="1">
      <c r="A72" s="304" t="s">
        <v>213</v>
      </c>
      <c r="B72" s="306" t="s">
        <v>726</v>
      </c>
      <c r="C72" s="318" t="s">
        <v>211</v>
      </c>
      <c r="D72" s="302"/>
      <c r="E72" s="299">
        <v>60164.16</v>
      </c>
      <c r="F72" s="303"/>
      <c r="G72" s="279"/>
    </row>
    <row r="73" spans="1:7" s="266" customFormat="1" ht="61.5" customHeight="1">
      <c r="A73" s="304" t="s">
        <v>214</v>
      </c>
      <c r="B73" s="306" t="s">
        <v>726</v>
      </c>
      <c r="C73" s="318" t="s">
        <v>211</v>
      </c>
      <c r="D73" s="302"/>
      <c r="E73" s="299">
        <v>134.46</v>
      </c>
      <c r="F73" s="303"/>
      <c r="G73" s="279"/>
    </row>
    <row r="74" spans="1:7" s="266" customFormat="1" ht="31.5" customHeight="1">
      <c r="A74" s="289" t="s">
        <v>215</v>
      </c>
      <c r="B74" s="290" t="s">
        <v>726</v>
      </c>
      <c r="C74" s="264" t="s">
        <v>216</v>
      </c>
      <c r="D74" s="286">
        <f>D75+D81</f>
        <v>5770300</v>
      </c>
      <c r="E74" s="286">
        <f>E75+E81</f>
        <v>6017485.2299999995</v>
      </c>
      <c r="F74" s="287">
        <f>E74/D74*100</f>
        <v>104.28375006498796</v>
      </c>
      <c r="G74" s="279"/>
    </row>
    <row r="75" spans="1:7" s="266" customFormat="1" ht="63">
      <c r="A75" s="277" t="s">
        <v>217</v>
      </c>
      <c r="B75" s="308" t="s">
        <v>726</v>
      </c>
      <c r="C75" s="309" t="s">
        <v>218</v>
      </c>
      <c r="D75" s="310">
        <f>D76</f>
        <v>521300</v>
      </c>
      <c r="E75" s="310">
        <f>E76</f>
        <v>574882.4</v>
      </c>
      <c r="F75" s="300">
        <f>F76</f>
        <v>110.2786111643967</v>
      </c>
      <c r="G75" s="279"/>
    </row>
    <row r="76" spans="1:7" s="266" customFormat="1" ht="105">
      <c r="A76" s="301" t="s">
        <v>219</v>
      </c>
      <c r="B76" s="305" t="s">
        <v>726</v>
      </c>
      <c r="C76" s="293" t="s">
        <v>220</v>
      </c>
      <c r="D76" s="302">
        <v>521300</v>
      </c>
      <c r="E76" s="302">
        <f>E77+E78+E79+E80</f>
        <v>574882.4</v>
      </c>
      <c r="F76" s="303">
        <f>E76/D76*100</f>
        <v>110.2786111643967</v>
      </c>
      <c r="G76" s="279"/>
    </row>
    <row r="77" spans="1:7" s="266" customFormat="1" ht="90">
      <c r="A77" s="304" t="s">
        <v>221</v>
      </c>
      <c r="B77" s="306" t="s">
        <v>726</v>
      </c>
      <c r="C77" s="298" t="s">
        <v>220</v>
      </c>
      <c r="D77" s="302"/>
      <c r="E77" s="299">
        <v>558973.18</v>
      </c>
      <c r="F77" s="303"/>
      <c r="G77" s="279"/>
    </row>
    <row r="78" spans="1:7" s="266" customFormat="1" ht="90">
      <c r="A78" s="304" t="s">
        <v>222</v>
      </c>
      <c r="B78" s="306" t="s">
        <v>726</v>
      </c>
      <c r="C78" s="298" t="s">
        <v>220</v>
      </c>
      <c r="D78" s="302"/>
      <c r="E78" s="299">
        <v>766.62</v>
      </c>
      <c r="F78" s="303"/>
      <c r="G78" s="279"/>
    </row>
    <row r="79" spans="1:7" s="266" customFormat="1" ht="90">
      <c r="A79" s="304" t="s">
        <v>223</v>
      </c>
      <c r="B79" s="306" t="s">
        <v>726</v>
      </c>
      <c r="C79" s="298" t="s">
        <v>220</v>
      </c>
      <c r="D79" s="302"/>
      <c r="E79" s="299">
        <v>13972.6</v>
      </c>
      <c r="F79" s="303"/>
      <c r="G79" s="279"/>
    </row>
    <row r="80" spans="1:7" s="266" customFormat="1" ht="90">
      <c r="A80" s="304" t="s">
        <v>224</v>
      </c>
      <c r="B80" s="306" t="s">
        <v>726</v>
      </c>
      <c r="C80" s="298" t="s">
        <v>220</v>
      </c>
      <c r="D80" s="302"/>
      <c r="E80" s="299">
        <v>1170</v>
      </c>
      <c r="F80" s="303"/>
      <c r="G80" s="279"/>
    </row>
    <row r="81" spans="1:7" s="266" customFormat="1" ht="63">
      <c r="A81" s="277" t="s">
        <v>225</v>
      </c>
      <c r="B81" s="308" t="s">
        <v>726</v>
      </c>
      <c r="C81" s="309" t="s">
        <v>226</v>
      </c>
      <c r="D81" s="310">
        <f>D82</f>
        <v>5249000</v>
      </c>
      <c r="E81" s="310">
        <f>E82</f>
        <v>5442602.829999999</v>
      </c>
      <c r="F81" s="300">
        <f>F82</f>
        <v>103.68837550009525</v>
      </c>
      <c r="G81" s="279"/>
    </row>
    <row r="82" spans="1:7" s="266" customFormat="1" ht="108.75" customHeight="1">
      <c r="A82" s="301" t="s">
        <v>227</v>
      </c>
      <c r="B82" s="305" t="s">
        <v>726</v>
      </c>
      <c r="C82" s="293" t="s">
        <v>228</v>
      </c>
      <c r="D82" s="302">
        <v>5249000</v>
      </c>
      <c r="E82" s="302">
        <f>E83+E84+E85</f>
        <v>5442602.829999999</v>
      </c>
      <c r="F82" s="303">
        <f>E82/D82*100</f>
        <v>103.68837550009525</v>
      </c>
      <c r="G82" s="279"/>
    </row>
    <row r="83" spans="1:7" s="266" customFormat="1" ht="90.75" customHeight="1">
      <c r="A83" s="304" t="s">
        <v>229</v>
      </c>
      <c r="B83" s="306" t="s">
        <v>726</v>
      </c>
      <c r="C83" s="298" t="s">
        <v>228</v>
      </c>
      <c r="D83" s="302"/>
      <c r="E83" s="299">
        <v>5449616.97</v>
      </c>
      <c r="F83" s="303"/>
      <c r="G83" s="279"/>
    </row>
    <row r="84" spans="1:7" s="266" customFormat="1" ht="90">
      <c r="A84" s="304" t="s">
        <v>230</v>
      </c>
      <c r="B84" s="306" t="s">
        <v>726</v>
      </c>
      <c r="C84" s="298" t="s">
        <v>228</v>
      </c>
      <c r="D84" s="302"/>
      <c r="E84" s="299">
        <v>-18523.74</v>
      </c>
      <c r="F84" s="303"/>
      <c r="G84" s="279"/>
    </row>
    <row r="85" spans="1:7" s="266" customFormat="1" ht="92.25" customHeight="1">
      <c r="A85" s="304" t="s">
        <v>231</v>
      </c>
      <c r="B85" s="306" t="s">
        <v>726</v>
      </c>
      <c r="C85" s="298" t="s">
        <v>228</v>
      </c>
      <c r="D85" s="302"/>
      <c r="E85" s="299">
        <v>11509.6</v>
      </c>
      <c r="F85" s="303"/>
      <c r="G85" s="279"/>
    </row>
    <row r="86" spans="1:7" s="266" customFormat="1" ht="29.25" customHeight="1">
      <c r="A86" s="263" t="s">
        <v>232</v>
      </c>
      <c r="B86" s="281" t="s">
        <v>513</v>
      </c>
      <c r="C86" s="288" t="s">
        <v>106</v>
      </c>
      <c r="D86" s="283">
        <f>D87+D90</f>
        <v>6988750</v>
      </c>
      <c r="E86" s="283">
        <f>E87+E90</f>
        <v>6813351.89</v>
      </c>
      <c r="F86" s="284">
        <f>E86/D86*100</f>
        <v>97.49027923448399</v>
      </c>
      <c r="G86" s="279"/>
    </row>
    <row r="87" spans="1:7" s="266" customFormat="1" ht="54" customHeight="1">
      <c r="A87" s="319" t="s">
        <v>233</v>
      </c>
      <c r="B87" s="320" t="s">
        <v>726</v>
      </c>
      <c r="C87" s="321" t="s">
        <v>234</v>
      </c>
      <c r="D87" s="322">
        <f>D88</f>
        <v>6976750</v>
      </c>
      <c r="E87" s="322">
        <f>E88</f>
        <v>6810351.89</v>
      </c>
      <c r="F87" s="323">
        <f>F88</f>
        <v>97.61496241086465</v>
      </c>
      <c r="G87" s="279"/>
    </row>
    <row r="88" spans="1:7" s="266" customFormat="1" ht="66.75" customHeight="1">
      <c r="A88" s="301" t="s">
        <v>235</v>
      </c>
      <c r="B88" s="305" t="s">
        <v>726</v>
      </c>
      <c r="C88" s="293" t="s">
        <v>236</v>
      </c>
      <c r="D88" s="302">
        <v>6976750</v>
      </c>
      <c r="E88" s="302">
        <f>E89</f>
        <v>6810351.89</v>
      </c>
      <c r="F88" s="303">
        <f>E88/D88*100</f>
        <v>97.61496241086465</v>
      </c>
      <c r="G88" s="279"/>
    </row>
    <row r="89" spans="1:7" s="266" customFormat="1" ht="66.75" customHeight="1">
      <c r="A89" s="304" t="s">
        <v>237</v>
      </c>
      <c r="B89" s="306" t="s">
        <v>726</v>
      </c>
      <c r="C89" s="298" t="s">
        <v>236</v>
      </c>
      <c r="D89" s="302"/>
      <c r="E89" s="299">
        <v>6810351.89</v>
      </c>
      <c r="F89" s="303"/>
      <c r="G89" s="279"/>
    </row>
    <row r="90" spans="1:7" s="266" customFormat="1" ht="63.75" customHeight="1">
      <c r="A90" s="319" t="s">
        <v>238</v>
      </c>
      <c r="B90" s="320" t="s">
        <v>726</v>
      </c>
      <c r="C90" s="321" t="s">
        <v>239</v>
      </c>
      <c r="D90" s="322">
        <f>D91</f>
        <v>12000</v>
      </c>
      <c r="E90" s="322">
        <f>E91</f>
        <v>3000</v>
      </c>
      <c r="F90" s="323">
        <f>F91</f>
        <v>25</v>
      </c>
      <c r="G90" s="279"/>
    </row>
    <row r="91" spans="1:7" s="266" customFormat="1" ht="51" customHeight="1">
      <c r="A91" s="301" t="s">
        <v>240</v>
      </c>
      <c r="B91" s="305" t="s">
        <v>726</v>
      </c>
      <c r="C91" s="293" t="s">
        <v>241</v>
      </c>
      <c r="D91" s="302">
        <v>12000</v>
      </c>
      <c r="E91" s="302">
        <f>E92</f>
        <v>3000</v>
      </c>
      <c r="F91" s="303">
        <f>E91/D91*100</f>
        <v>25</v>
      </c>
      <c r="G91" s="279"/>
    </row>
    <row r="92" spans="1:7" s="266" customFormat="1" ht="51" customHeight="1">
      <c r="A92" s="304" t="s">
        <v>242</v>
      </c>
      <c r="B92" s="306" t="s">
        <v>726</v>
      </c>
      <c r="C92" s="298" t="s">
        <v>241</v>
      </c>
      <c r="D92" s="299"/>
      <c r="E92" s="299">
        <v>3000</v>
      </c>
      <c r="F92" s="307"/>
      <c r="G92" s="279"/>
    </row>
    <row r="93" spans="1:7" s="266" customFormat="1" ht="61.5" customHeight="1">
      <c r="A93" s="263" t="s">
        <v>243</v>
      </c>
      <c r="B93" s="281" t="s">
        <v>513</v>
      </c>
      <c r="C93" s="324" t="s">
        <v>108</v>
      </c>
      <c r="D93" s="283">
        <f>D94+D97</f>
        <v>1000</v>
      </c>
      <c r="E93" s="283">
        <f>E94+E97+E100</f>
        <v>-1477.9099999999999</v>
      </c>
      <c r="F93" s="284"/>
      <c r="G93" s="279"/>
    </row>
    <row r="94" spans="1:7" s="266" customFormat="1" ht="51" customHeight="1">
      <c r="A94" s="319" t="s">
        <v>244</v>
      </c>
      <c r="B94" s="320" t="s">
        <v>726</v>
      </c>
      <c r="C94" s="321" t="s">
        <v>245</v>
      </c>
      <c r="D94" s="322">
        <f>D95</f>
        <v>91.7</v>
      </c>
      <c r="E94" s="322">
        <f>E95</f>
        <v>91.7</v>
      </c>
      <c r="F94" s="323">
        <f>F95</f>
        <v>100</v>
      </c>
      <c r="G94" s="279"/>
    </row>
    <row r="95" spans="1:7" s="314" customFormat="1" ht="51" customHeight="1">
      <c r="A95" s="301" t="s">
        <v>246</v>
      </c>
      <c r="B95" s="305" t="s">
        <v>726</v>
      </c>
      <c r="C95" s="293" t="s">
        <v>247</v>
      </c>
      <c r="D95" s="302">
        <v>91.7</v>
      </c>
      <c r="E95" s="302">
        <f>E96</f>
        <v>91.7</v>
      </c>
      <c r="F95" s="303">
        <f>E95/D95*100</f>
        <v>100</v>
      </c>
      <c r="G95" s="313"/>
    </row>
    <row r="96" spans="1:7" s="266" customFormat="1" ht="51" customHeight="1">
      <c r="A96" s="304" t="s">
        <v>248</v>
      </c>
      <c r="B96" s="306" t="s">
        <v>726</v>
      </c>
      <c r="C96" s="298" t="s">
        <v>247</v>
      </c>
      <c r="D96" s="299"/>
      <c r="E96" s="299">
        <v>91.7</v>
      </c>
      <c r="F96" s="307"/>
      <c r="G96" s="279"/>
    </row>
    <row r="97" spans="1:7" s="266" customFormat="1" ht="51" customHeight="1">
      <c r="A97" s="319" t="s">
        <v>249</v>
      </c>
      <c r="B97" s="320" t="s">
        <v>726</v>
      </c>
      <c r="C97" s="321" t="s">
        <v>250</v>
      </c>
      <c r="D97" s="322">
        <f>D98</f>
        <v>908.3</v>
      </c>
      <c r="E97" s="322">
        <f>E98</f>
        <v>-6.8</v>
      </c>
      <c r="F97" s="323">
        <f>F98</f>
        <v>-0.7486513266541892</v>
      </c>
      <c r="G97" s="279"/>
    </row>
    <row r="98" spans="1:7" s="266" customFormat="1" ht="36.75" customHeight="1">
      <c r="A98" s="301" t="s">
        <v>251</v>
      </c>
      <c r="B98" s="305" t="s">
        <v>726</v>
      </c>
      <c r="C98" s="293" t="s">
        <v>252</v>
      </c>
      <c r="D98" s="302">
        <v>908.3</v>
      </c>
      <c r="E98" s="302">
        <f>E99</f>
        <v>-6.8</v>
      </c>
      <c r="F98" s="307">
        <f>E98/D98*100</f>
        <v>-0.7486513266541892</v>
      </c>
      <c r="G98" s="279"/>
    </row>
    <row r="99" spans="1:7" s="266" customFormat="1" ht="24.75" customHeight="1">
      <c r="A99" s="304" t="s">
        <v>253</v>
      </c>
      <c r="B99" s="306" t="s">
        <v>726</v>
      </c>
      <c r="C99" s="298" t="s">
        <v>252</v>
      </c>
      <c r="D99" s="299"/>
      <c r="E99" s="299">
        <v>-6.8</v>
      </c>
      <c r="F99" s="307"/>
      <c r="G99" s="279"/>
    </row>
    <row r="100" spans="1:7" s="266" customFormat="1" ht="48.75" customHeight="1">
      <c r="A100" s="319" t="s">
        <v>254</v>
      </c>
      <c r="B100" s="320" t="s">
        <v>726</v>
      </c>
      <c r="C100" s="321" t="s">
        <v>255</v>
      </c>
      <c r="D100" s="322">
        <f>D103</f>
        <v>0</v>
      </c>
      <c r="E100" s="322">
        <f>E103</f>
        <v>-1562.81</v>
      </c>
      <c r="F100" s="307"/>
      <c r="G100" s="279"/>
    </row>
    <row r="101" spans="1:7" s="266" customFormat="1" ht="67.5" customHeight="1">
      <c r="A101" s="301" t="s">
        <v>256</v>
      </c>
      <c r="B101" s="305" t="s">
        <v>726</v>
      </c>
      <c r="C101" s="293" t="s">
        <v>257</v>
      </c>
      <c r="D101" s="302">
        <f>D102</f>
        <v>0</v>
      </c>
      <c r="E101" s="302">
        <f>E102</f>
        <v>-1562.81</v>
      </c>
      <c r="F101" s="303"/>
      <c r="G101" s="279"/>
    </row>
    <row r="102" spans="1:7" s="266" customFormat="1" ht="82.5" customHeight="1">
      <c r="A102" s="304" t="s">
        <v>258</v>
      </c>
      <c r="B102" s="306" t="s">
        <v>726</v>
      </c>
      <c r="C102" s="298" t="s">
        <v>259</v>
      </c>
      <c r="D102" s="299">
        <f>D103</f>
        <v>0</v>
      </c>
      <c r="E102" s="299">
        <f>E103</f>
        <v>-1562.81</v>
      </c>
      <c r="F102" s="307"/>
      <c r="G102" s="279"/>
    </row>
    <row r="103" spans="1:7" s="266" customFormat="1" ht="85.5" customHeight="1">
      <c r="A103" s="304" t="s">
        <v>260</v>
      </c>
      <c r="B103" s="306" t="s">
        <v>726</v>
      </c>
      <c r="C103" s="298" t="s">
        <v>259</v>
      </c>
      <c r="D103" s="299"/>
      <c r="E103" s="299">
        <v>-1562.81</v>
      </c>
      <c r="F103" s="307"/>
      <c r="G103" s="279"/>
    </row>
    <row r="104" spans="1:7" s="266" customFormat="1" ht="24.75" customHeight="1">
      <c r="A104" s="263"/>
      <c r="B104" s="281"/>
      <c r="C104" s="264" t="s">
        <v>109</v>
      </c>
      <c r="D104" s="286">
        <f>D105+D119+D129+D133+D137+D163</f>
        <v>59308730</v>
      </c>
      <c r="E104" s="286">
        <f>E105+E119+E129+E133+E137+E163</f>
        <v>51420433.12</v>
      </c>
      <c r="F104" s="287">
        <f>E104/D104*100</f>
        <v>86.69960243626865</v>
      </c>
      <c r="G104" s="279"/>
    </row>
    <row r="105" spans="1:7" s="266" customFormat="1" ht="47.25">
      <c r="A105" s="325" t="s">
        <v>261</v>
      </c>
      <c r="B105" s="326" t="s">
        <v>513</v>
      </c>
      <c r="C105" s="327" t="s">
        <v>111</v>
      </c>
      <c r="D105" s="283">
        <f>D106+D113+D116</f>
        <v>24735530</v>
      </c>
      <c r="E105" s="283">
        <f>E106+E113+E116</f>
        <v>24717648.259999998</v>
      </c>
      <c r="F105" s="284">
        <f>E105/D105*100</f>
        <v>99.92770828035621</v>
      </c>
      <c r="G105" s="279"/>
    </row>
    <row r="106" spans="1:7" s="266" customFormat="1" ht="153" customHeight="1">
      <c r="A106" s="289" t="s">
        <v>262</v>
      </c>
      <c r="B106" s="290" t="s">
        <v>668</v>
      </c>
      <c r="C106" s="328" t="s">
        <v>448</v>
      </c>
      <c r="D106" s="286">
        <f>D107+D109+D111</f>
        <v>21865136</v>
      </c>
      <c r="E106" s="286">
        <f>E107+E109+E111</f>
        <v>22104164.31</v>
      </c>
      <c r="F106" s="287">
        <f>E106/D106*100</f>
        <v>101.09319379490711</v>
      </c>
      <c r="G106" s="279"/>
    </row>
    <row r="107" spans="1:7" s="266" customFormat="1" ht="91.5" customHeight="1">
      <c r="A107" s="301" t="s">
        <v>263</v>
      </c>
      <c r="B107" s="305" t="s">
        <v>668</v>
      </c>
      <c r="C107" s="329" t="s">
        <v>264</v>
      </c>
      <c r="D107" s="302">
        <f>D108</f>
        <v>6848800</v>
      </c>
      <c r="E107" s="302">
        <f>E108</f>
        <v>6810923.25</v>
      </c>
      <c r="F107" s="303">
        <f>F108</f>
        <v>99.44695786123117</v>
      </c>
      <c r="G107" s="279"/>
    </row>
    <row r="108" spans="1:7" s="266" customFormat="1" ht="109.5" customHeight="1">
      <c r="A108" s="304" t="s">
        <v>265</v>
      </c>
      <c r="B108" s="306" t="s">
        <v>668</v>
      </c>
      <c r="C108" s="330" t="s">
        <v>0</v>
      </c>
      <c r="D108" s="299">
        <v>6848800</v>
      </c>
      <c r="E108" s="299">
        <v>6810923.25</v>
      </c>
      <c r="F108" s="307">
        <f>E108/D108*100</f>
        <v>99.44695786123117</v>
      </c>
      <c r="G108" s="279"/>
    </row>
    <row r="109" spans="1:7" s="266" customFormat="1" ht="113.25" customHeight="1">
      <c r="A109" s="301" t="s">
        <v>266</v>
      </c>
      <c r="B109" s="305" t="s">
        <v>668</v>
      </c>
      <c r="C109" s="329" t="s">
        <v>1</v>
      </c>
      <c r="D109" s="302">
        <f>D110</f>
        <v>2325036</v>
      </c>
      <c r="E109" s="302">
        <f>E110</f>
        <v>2210630.13</v>
      </c>
      <c r="F109" s="303">
        <f>F110</f>
        <v>95.07939360938927</v>
      </c>
      <c r="G109" s="279"/>
    </row>
    <row r="110" spans="1:7" s="266" customFormat="1" ht="103.5" customHeight="1">
      <c r="A110" s="304" t="s">
        <v>267</v>
      </c>
      <c r="B110" s="306" t="s">
        <v>668</v>
      </c>
      <c r="C110" s="330" t="s">
        <v>268</v>
      </c>
      <c r="D110" s="299">
        <v>2325036</v>
      </c>
      <c r="E110" s="299">
        <v>2210630.13</v>
      </c>
      <c r="F110" s="307">
        <f>E110/D110*100</f>
        <v>95.07939360938927</v>
      </c>
      <c r="G110" s="279"/>
    </row>
    <row r="111" spans="1:7" s="266" customFormat="1" ht="112.5" customHeight="1">
      <c r="A111" s="301" t="s">
        <v>269</v>
      </c>
      <c r="B111" s="305" t="s">
        <v>668</v>
      </c>
      <c r="C111" s="329" t="s">
        <v>2</v>
      </c>
      <c r="D111" s="302">
        <f>D112</f>
        <v>12691300</v>
      </c>
      <c r="E111" s="302">
        <f>E112</f>
        <v>13082610.93</v>
      </c>
      <c r="F111" s="303">
        <f>F112</f>
        <v>103.08330060750276</v>
      </c>
      <c r="G111" s="279"/>
    </row>
    <row r="112" spans="1:7" s="266" customFormat="1" ht="100.5" customHeight="1">
      <c r="A112" s="304" t="s">
        <v>270</v>
      </c>
      <c r="B112" s="306" t="s">
        <v>668</v>
      </c>
      <c r="C112" s="330" t="s">
        <v>271</v>
      </c>
      <c r="D112" s="299">
        <v>12691300</v>
      </c>
      <c r="E112" s="299">
        <v>13082610.93</v>
      </c>
      <c r="F112" s="307">
        <f>E112/D112*100</f>
        <v>103.08330060750276</v>
      </c>
      <c r="G112" s="279"/>
    </row>
    <row r="113" spans="1:7" s="266" customFormat="1" ht="42.75" customHeight="1">
      <c r="A113" s="289" t="s">
        <v>272</v>
      </c>
      <c r="B113" s="290" t="s">
        <v>668</v>
      </c>
      <c r="C113" s="331" t="s">
        <v>273</v>
      </c>
      <c r="D113" s="286">
        <f aca="true" t="shared" si="0" ref="D113:F114">D114</f>
        <v>914582</v>
      </c>
      <c r="E113" s="286">
        <f t="shared" si="0"/>
        <v>914582</v>
      </c>
      <c r="F113" s="287">
        <f>E113/D113*100</f>
        <v>100</v>
      </c>
      <c r="G113" s="279"/>
    </row>
    <row r="114" spans="1:7" s="266" customFormat="1" ht="65.25" customHeight="1">
      <c r="A114" s="301" t="s">
        <v>274</v>
      </c>
      <c r="B114" s="305" t="s">
        <v>668</v>
      </c>
      <c r="C114" s="293" t="s">
        <v>275</v>
      </c>
      <c r="D114" s="302">
        <f t="shared" si="0"/>
        <v>914582</v>
      </c>
      <c r="E114" s="302">
        <f t="shared" si="0"/>
        <v>914582</v>
      </c>
      <c r="F114" s="303">
        <f t="shared" si="0"/>
        <v>100</v>
      </c>
      <c r="G114" s="279"/>
    </row>
    <row r="115" spans="1:7" s="266" customFormat="1" ht="81" customHeight="1">
      <c r="A115" s="304" t="s">
        <v>276</v>
      </c>
      <c r="B115" s="306" t="s">
        <v>668</v>
      </c>
      <c r="C115" s="332" t="s">
        <v>277</v>
      </c>
      <c r="D115" s="299">
        <v>914582</v>
      </c>
      <c r="E115" s="299">
        <v>914582</v>
      </c>
      <c r="F115" s="307">
        <f>E115/D115*100</f>
        <v>100</v>
      </c>
      <c r="G115" s="279"/>
    </row>
    <row r="116" spans="1:7" s="266" customFormat="1" ht="128.25" customHeight="1">
      <c r="A116" s="289" t="s">
        <v>278</v>
      </c>
      <c r="B116" s="290" t="s">
        <v>668</v>
      </c>
      <c r="C116" s="333" t="s">
        <v>3</v>
      </c>
      <c r="D116" s="286">
        <f aca="true" t="shared" si="1" ref="D116:F117">D117</f>
        <v>1955812</v>
      </c>
      <c r="E116" s="286">
        <f t="shared" si="1"/>
        <v>1698901.95</v>
      </c>
      <c r="F116" s="287">
        <f>E116/D116*100</f>
        <v>86.86427683233357</v>
      </c>
      <c r="G116" s="279"/>
    </row>
    <row r="117" spans="1:7" s="266" customFormat="1" ht="105" customHeight="1">
      <c r="A117" s="301" t="s">
        <v>279</v>
      </c>
      <c r="B117" s="305" t="s">
        <v>668</v>
      </c>
      <c r="C117" s="293" t="s">
        <v>4</v>
      </c>
      <c r="D117" s="302">
        <f t="shared" si="1"/>
        <v>1955812</v>
      </c>
      <c r="E117" s="302">
        <f t="shared" si="1"/>
        <v>1698901.95</v>
      </c>
      <c r="F117" s="303">
        <f t="shared" si="1"/>
        <v>86.86427683233357</v>
      </c>
      <c r="G117" s="279"/>
    </row>
    <row r="118" spans="1:7" s="266" customFormat="1" ht="108" customHeight="1">
      <c r="A118" s="304" t="s">
        <v>280</v>
      </c>
      <c r="B118" s="306" t="s">
        <v>668</v>
      </c>
      <c r="C118" s="332" t="s">
        <v>281</v>
      </c>
      <c r="D118" s="299">
        <v>1955812</v>
      </c>
      <c r="E118" s="299">
        <v>1698901.95</v>
      </c>
      <c r="F118" s="307">
        <f>E118/D118*100</f>
        <v>86.86427683233357</v>
      </c>
      <c r="G118" s="279"/>
    </row>
    <row r="119" spans="1:7" s="266" customFormat="1" ht="42.75" customHeight="1">
      <c r="A119" s="263" t="s">
        <v>282</v>
      </c>
      <c r="B119" s="281" t="s">
        <v>513</v>
      </c>
      <c r="C119" s="334" t="s">
        <v>113</v>
      </c>
      <c r="D119" s="283">
        <f>D120</f>
        <v>4139000</v>
      </c>
      <c r="E119" s="283">
        <f>E120</f>
        <v>3390393.87</v>
      </c>
      <c r="F119" s="284">
        <f>F120</f>
        <v>81.91335757429331</v>
      </c>
      <c r="G119" s="279"/>
    </row>
    <row r="120" spans="1:7" s="266" customFormat="1" ht="42.75" customHeight="1">
      <c r="A120" s="289" t="s">
        <v>283</v>
      </c>
      <c r="B120" s="290" t="s">
        <v>668</v>
      </c>
      <c r="C120" s="335" t="s">
        <v>284</v>
      </c>
      <c r="D120" s="286">
        <f>D121+D123+D125+D127</f>
        <v>4139000</v>
      </c>
      <c r="E120" s="286">
        <f>E121+E123+E125+E127</f>
        <v>3390393.87</v>
      </c>
      <c r="F120" s="287">
        <f>E120/D120*100</f>
        <v>81.91335757429331</v>
      </c>
      <c r="G120" s="279"/>
    </row>
    <row r="121" spans="1:7" s="266" customFormat="1" ht="51" customHeight="1">
      <c r="A121" s="301" t="s">
        <v>285</v>
      </c>
      <c r="B121" s="305" t="s">
        <v>668</v>
      </c>
      <c r="C121" s="293" t="s">
        <v>286</v>
      </c>
      <c r="D121" s="302">
        <v>2320000</v>
      </c>
      <c r="E121" s="302">
        <f>E122</f>
        <v>1732158.07</v>
      </c>
      <c r="F121" s="302">
        <f>E121/D121*100</f>
        <v>74.66198577586208</v>
      </c>
      <c r="G121" s="279"/>
    </row>
    <row r="122" spans="1:7" s="266" customFormat="1" ht="42.75" customHeight="1">
      <c r="A122" s="304" t="s">
        <v>287</v>
      </c>
      <c r="B122" s="306" t="s">
        <v>668</v>
      </c>
      <c r="C122" s="298" t="s">
        <v>286</v>
      </c>
      <c r="D122" s="299"/>
      <c r="E122" s="299">
        <v>1732158.07</v>
      </c>
      <c r="F122" s="307"/>
      <c r="G122" s="279"/>
    </row>
    <row r="123" spans="1:7" s="266" customFormat="1" ht="51" customHeight="1">
      <c r="A123" s="301" t="s">
        <v>288</v>
      </c>
      <c r="B123" s="305" t="s">
        <v>668</v>
      </c>
      <c r="C123" s="293" t="s">
        <v>289</v>
      </c>
      <c r="D123" s="302">
        <v>49000</v>
      </c>
      <c r="E123" s="302">
        <f>E124</f>
        <v>27582.64</v>
      </c>
      <c r="F123" s="302">
        <f>E123/D123*100</f>
        <v>56.29110204081632</v>
      </c>
      <c r="G123" s="279"/>
    </row>
    <row r="124" spans="1:7" s="266" customFormat="1" ht="42.75" customHeight="1">
      <c r="A124" s="304" t="s">
        <v>290</v>
      </c>
      <c r="B124" s="306" t="s">
        <v>668</v>
      </c>
      <c r="C124" s="298" t="s">
        <v>289</v>
      </c>
      <c r="D124" s="299"/>
      <c r="E124" s="299">
        <v>27582.64</v>
      </c>
      <c r="F124" s="307"/>
      <c r="G124" s="279"/>
    </row>
    <row r="125" spans="1:7" s="266" customFormat="1" ht="42.75" customHeight="1">
      <c r="A125" s="301" t="s">
        <v>291</v>
      </c>
      <c r="B125" s="305" t="s">
        <v>668</v>
      </c>
      <c r="C125" s="293" t="s">
        <v>292</v>
      </c>
      <c r="D125" s="302">
        <v>750000</v>
      </c>
      <c r="E125" s="302">
        <f>E126</f>
        <v>741447.62</v>
      </c>
      <c r="F125" s="302">
        <f>E125/D125*100</f>
        <v>98.85968266666667</v>
      </c>
      <c r="G125" s="279"/>
    </row>
    <row r="126" spans="1:7" s="266" customFormat="1" ht="42.75" customHeight="1">
      <c r="A126" s="304" t="s">
        <v>293</v>
      </c>
      <c r="B126" s="306" t="s">
        <v>668</v>
      </c>
      <c r="C126" s="298" t="s">
        <v>292</v>
      </c>
      <c r="D126" s="299"/>
      <c r="E126" s="299">
        <v>741447.62</v>
      </c>
      <c r="F126" s="307"/>
      <c r="G126" s="279"/>
    </row>
    <row r="127" spans="1:7" s="266" customFormat="1" ht="33.75" customHeight="1">
      <c r="A127" s="301" t="s">
        <v>294</v>
      </c>
      <c r="B127" s="305" t="s">
        <v>668</v>
      </c>
      <c r="C127" s="293" t="s">
        <v>295</v>
      </c>
      <c r="D127" s="302">
        <v>1020000</v>
      </c>
      <c r="E127" s="302">
        <f>E128</f>
        <v>889205.54</v>
      </c>
      <c r="F127" s="302">
        <f>E127/D127*100</f>
        <v>87.1770137254902</v>
      </c>
      <c r="G127" s="279"/>
    </row>
    <row r="128" spans="1:7" s="266" customFormat="1" ht="33.75" customHeight="1">
      <c r="A128" s="304" t="s">
        <v>296</v>
      </c>
      <c r="B128" s="306" t="s">
        <v>668</v>
      </c>
      <c r="C128" s="298" t="s">
        <v>295</v>
      </c>
      <c r="D128" s="299"/>
      <c r="E128" s="299">
        <v>889205.54</v>
      </c>
      <c r="F128" s="307"/>
      <c r="G128" s="279"/>
    </row>
    <row r="129" spans="1:7" s="266" customFormat="1" ht="57.75" customHeight="1">
      <c r="A129" s="263" t="s">
        <v>297</v>
      </c>
      <c r="B129" s="281" t="s">
        <v>513</v>
      </c>
      <c r="C129" s="334" t="s">
        <v>115</v>
      </c>
      <c r="D129" s="283">
        <f aca="true" t="shared" si="2" ref="D129:F131">D130</f>
        <v>3482100</v>
      </c>
      <c r="E129" s="283">
        <f t="shared" si="2"/>
        <v>2920292.46</v>
      </c>
      <c r="F129" s="284">
        <f t="shared" si="2"/>
        <v>83.86584130266218</v>
      </c>
      <c r="G129" s="279"/>
    </row>
    <row r="130" spans="1:7" s="266" customFormat="1" ht="38.25" customHeight="1">
      <c r="A130" s="289" t="s">
        <v>298</v>
      </c>
      <c r="B130" s="290" t="s">
        <v>299</v>
      </c>
      <c r="C130" s="335" t="s">
        <v>300</v>
      </c>
      <c r="D130" s="286">
        <f t="shared" si="2"/>
        <v>3482100</v>
      </c>
      <c r="E130" s="286">
        <f t="shared" si="2"/>
        <v>2920292.46</v>
      </c>
      <c r="F130" s="287">
        <f>E130/D130*100</f>
        <v>83.86584130266218</v>
      </c>
      <c r="G130" s="279"/>
    </row>
    <row r="131" spans="1:7" s="266" customFormat="1" ht="41.25" customHeight="1">
      <c r="A131" s="301" t="s">
        <v>301</v>
      </c>
      <c r="B131" s="305" t="s">
        <v>299</v>
      </c>
      <c r="C131" s="336" t="s">
        <v>302</v>
      </c>
      <c r="D131" s="302">
        <f t="shared" si="2"/>
        <v>3482100</v>
      </c>
      <c r="E131" s="302">
        <f t="shared" si="2"/>
        <v>2920292.46</v>
      </c>
      <c r="F131" s="303">
        <f t="shared" si="2"/>
        <v>83.86584130266218</v>
      </c>
      <c r="G131" s="279"/>
    </row>
    <row r="132" spans="1:7" s="266" customFormat="1" ht="49.5" customHeight="1">
      <c r="A132" s="304" t="s">
        <v>303</v>
      </c>
      <c r="B132" s="306" t="s">
        <v>299</v>
      </c>
      <c r="C132" s="332" t="s">
        <v>304</v>
      </c>
      <c r="D132" s="299">
        <v>3482100</v>
      </c>
      <c r="E132" s="299">
        <v>2920292.46</v>
      </c>
      <c r="F132" s="307">
        <f>E132/D132*100</f>
        <v>83.86584130266218</v>
      </c>
      <c r="G132" s="279"/>
    </row>
    <row r="133" spans="1:7" s="266" customFormat="1" ht="40.5" customHeight="1">
      <c r="A133" s="263" t="s">
        <v>305</v>
      </c>
      <c r="B133" s="281" t="s">
        <v>513</v>
      </c>
      <c r="C133" s="334" t="s">
        <v>117</v>
      </c>
      <c r="D133" s="283">
        <f aca="true" t="shared" si="3" ref="D133:F135">D134</f>
        <v>24584400</v>
      </c>
      <c r="E133" s="283">
        <f t="shared" si="3"/>
        <v>20504805.37</v>
      </c>
      <c r="F133" s="284">
        <f t="shared" si="3"/>
        <v>83.40575881453279</v>
      </c>
      <c r="G133" s="279"/>
    </row>
    <row r="134" spans="1:7" s="266" customFormat="1" ht="133.5" customHeight="1">
      <c r="A134" s="289" t="s">
        <v>306</v>
      </c>
      <c r="B134" s="290" t="s">
        <v>513</v>
      </c>
      <c r="C134" s="331" t="s">
        <v>307</v>
      </c>
      <c r="D134" s="286">
        <f t="shared" si="3"/>
        <v>24584400</v>
      </c>
      <c r="E134" s="286">
        <f t="shared" si="3"/>
        <v>20504805.37</v>
      </c>
      <c r="F134" s="287">
        <f>E134/D134*100</f>
        <v>83.40575881453279</v>
      </c>
      <c r="G134" s="279"/>
    </row>
    <row r="135" spans="1:7" s="266" customFormat="1" ht="121.5" customHeight="1">
      <c r="A135" s="301" t="s">
        <v>308</v>
      </c>
      <c r="B135" s="305" t="s">
        <v>33</v>
      </c>
      <c r="C135" s="293" t="s">
        <v>5</v>
      </c>
      <c r="D135" s="302">
        <f t="shared" si="3"/>
        <v>24584400</v>
      </c>
      <c r="E135" s="302">
        <f t="shared" si="3"/>
        <v>20504805.37</v>
      </c>
      <c r="F135" s="303">
        <f t="shared" si="3"/>
        <v>83.40575881453279</v>
      </c>
      <c r="G135" s="279"/>
    </row>
    <row r="136" spans="1:7" s="266" customFormat="1" ht="124.5" customHeight="1">
      <c r="A136" s="304" t="s">
        <v>309</v>
      </c>
      <c r="B136" s="306" t="s">
        <v>33</v>
      </c>
      <c r="C136" s="337" t="s">
        <v>6</v>
      </c>
      <c r="D136" s="299">
        <v>24584400</v>
      </c>
      <c r="E136" s="299">
        <v>20504805.37</v>
      </c>
      <c r="F136" s="307">
        <f>E136/D136*100</f>
        <v>83.40575881453279</v>
      </c>
      <c r="G136" s="279"/>
    </row>
    <row r="137" spans="1:7" s="266" customFormat="1" ht="35.25" customHeight="1">
      <c r="A137" s="263" t="s">
        <v>310</v>
      </c>
      <c r="B137" s="281" t="s">
        <v>513</v>
      </c>
      <c r="C137" s="334" t="s">
        <v>119</v>
      </c>
      <c r="D137" s="283">
        <f>D138+D143+D145+D148+D150+D153+D157+D159</f>
        <v>2106400</v>
      </c>
      <c r="E137" s="283">
        <f>E138+E143+E145+E148+E150+E153+E157+E159</f>
        <v>-227915.2799999998</v>
      </c>
      <c r="F137" s="284"/>
      <c r="G137" s="279"/>
    </row>
    <row r="138" spans="1:7" s="266" customFormat="1" ht="50.25" customHeight="1">
      <c r="A138" s="289" t="s">
        <v>311</v>
      </c>
      <c r="B138" s="290" t="s">
        <v>312</v>
      </c>
      <c r="C138" s="331" t="s">
        <v>313</v>
      </c>
      <c r="D138" s="286">
        <f>D139+D141</f>
        <v>77750.66</v>
      </c>
      <c r="E138" s="286">
        <f>E139+E141</f>
        <v>77750.66</v>
      </c>
      <c r="F138" s="287">
        <f>E138/D138*100</f>
        <v>100</v>
      </c>
      <c r="G138" s="279"/>
    </row>
    <row r="139" spans="1:7" s="266" customFormat="1" ht="181.5" customHeight="1">
      <c r="A139" s="301" t="s">
        <v>314</v>
      </c>
      <c r="B139" s="305" t="s">
        <v>312</v>
      </c>
      <c r="C139" s="293" t="s">
        <v>7</v>
      </c>
      <c r="D139" s="302">
        <v>75350.66</v>
      </c>
      <c r="E139" s="302">
        <f>E140</f>
        <v>75350.66</v>
      </c>
      <c r="F139" s="303">
        <f>E139/D139*100</f>
        <v>100</v>
      </c>
      <c r="G139" s="279"/>
    </row>
    <row r="140" spans="1:7" s="266" customFormat="1" ht="156" customHeight="1">
      <c r="A140" s="304" t="s">
        <v>315</v>
      </c>
      <c r="B140" s="306" t="s">
        <v>312</v>
      </c>
      <c r="C140" s="298" t="s">
        <v>7</v>
      </c>
      <c r="D140" s="299"/>
      <c r="E140" s="299">
        <v>75350.66</v>
      </c>
      <c r="F140" s="307"/>
      <c r="G140" s="279"/>
    </row>
    <row r="141" spans="1:7" s="266" customFormat="1" ht="83.25" customHeight="1">
      <c r="A141" s="301" t="s">
        <v>316</v>
      </c>
      <c r="B141" s="305" t="s">
        <v>312</v>
      </c>
      <c r="C141" s="293" t="s">
        <v>317</v>
      </c>
      <c r="D141" s="302">
        <v>2400</v>
      </c>
      <c r="E141" s="302">
        <f>E142</f>
        <v>2400</v>
      </c>
      <c r="F141" s="303">
        <f>E141/D141*100</f>
        <v>100</v>
      </c>
      <c r="G141" s="279"/>
    </row>
    <row r="142" spans="1:7" s="266" customFormat="1" ht="83.25" customHeight="1">
      <c r="A142" s="304" t="s">
        <v>318</v>
      </c>
      <c r="B142" s="306" t="s">
        <v>312</v>
      </c>
      <c r="C142" s="298" t="s">
        <v>317</v>
      </c>
      <c r="D142" s="299"/>
      <c r="E142" s="299">
        <v>2400</v>
      </c>
      <c r="F142" s="307"/>
      <c r="G142" s="279"/>
    </row>
    <row r="143" spans="1:7" s="266" customFormat="1" ht="102.75" customHeight="1">
      <c r="A143" s="289" t="s">
        <v>319</v>
      </c>
      <c r="B143" s="290" t="s">
        <v>312</v>
      </c>
      <c r="C143" s="331" t="s">
        <v>320</v>
      </c>
      <c r="D143" s="286">
        <v>71800</v>
      </c>
      <c r="E143" s="286">
        <f>E144</f>
        <v>71800</v>
      </c>
      <c r="F143" s="287">
        <f>E143/D143*100</f>
        <v>100</v>
      </c>
      <c r="G143" s="279"/>
    </row>
    <row r="144" spans="1:7" s="266" customFormat="1" ht="82.5" customHeight="1">
      <c r="A144" s="304" t="s">
        <v>321</v>
      </c>
      <c r="B144" s="306" t="s">
        <v>312</v>
      </c>
      <c r="C144" s="298" t="s">
        <v>320</v>
      </c>
      <c r="D144" s="299"/>
      <c r="E144" s="299">
        <v>71800</v>
      </c>
      <c r="F144" s="307"/>
      <c r="G144" s="279"/>
    </row>
    <row r="145" spans="1:7" s="266" customFormat="1" ht="176.25" customHeight="1">
      <c r="A145" s="289" t="s">
        <v>322</v>
      </c>
      <c r="B145" s="290" t="s">
        <v>312</v>
      </c>
      <c r="C145" s="333" t="s">
        <v>8</v>
      </c>
      <c r="D145" s="286">
        <f>D146</f>
        <v>49500</v>
      </c>
      <c r="E145" s="286">
        <f>E146</f>
        <v>49500</v>
      </c>
      <c r="F145" s="287">
        <f>F146</f>
        <v>100</v>
      </c>
      <c r="G145" s="279"/>
    </row>
    <row r="146" spans="1:7" s="266" customFormat="1" ht="35.25" customHeight="1">
      <c r="A146" s="301" t="s">
        <v>323</v>
      </c>
      <c r="B146" s="305" t="s">
        <v>312</v>
      </c>
      <c r="C146" s="293" t="s">
        <v>324</v>
      </c>
      <c r="D146" s="302">
        <v>49500</v>
      </c>
      <c r="E146" s="302">
        <f>E147</f>
        <v>49500</v>
      </c>
      <c r="F146" s="303">
        <f>E146/D146*100</f>
        <v>100</v>
      </c>
      <c r="G146" s="279"/>
    </row>
    <row r="147" spans="1:7" s="266" customFormat="1" ht="35.25" customHeight="1">
      <c r="A147" s="304" t="s">
        <v>325</v>
      </c>
      <c r="B147" s="306" t="s">
        <v>312</v>
      </c>
      <c r="C147" s="298" t="s">
        <v>324</v>
      </c>
      <c r="D147" s="338"/>
      <c r="E147" s="338">
        <v>49500</v>
      </c>
      <c r="F147" s="339"/>
      <c r="G147" s="279"/>
    </row>
    <row r="148" spans="1:7" s="266" customFormat="1" ht="106.5" customHeight="1">
      <c r="A148" s="340" t="s">
        <v>326</v>
      </c>
      <c r="B148" s="341" t="s">
        <v>312</v>
      </c>
      <c r="C148" s="331" t="s">
        <v>327</v>
      </c>
      <c r="D148" s="342">
        <v>273000</v>
      </c>
      <c r="E148" s="342">
        <f>E149</f>
        <v>273000</v>
      </c>
      <c r="F148" s="343">
        <f>E148/D148*100</f>
        <v>100</v>
      </c>
      <c r="G148" s="279"/>
    </row>
    <row r="149" spans="1:7" s="266" customFormat="1" ht="78" customHeight="1">
      <c r="A149" s="296" t="s">
        <v>328</v>
      </c>
      <c r="B149" s="297" t="s">
        <v>312</v>
      </c>
      <c r="C149" s="298" t="s">
        <v>327</v>
      </c>
      <c r="D149" s="338"/>
      <c r="E149" s="338">
        <v>273000</v>
      </c>
      <c r="F149" s="339"/>
      <c r="G149" s="279"/>
    </row>
    <row r="150" spans="1:7" s="266" customFormat="1" ht="52.5" customHeight="1">
      <c r="A150" s="289" t="s">
        <v>329</v>
      </c>
      <c r="B150" s="290" t="s">
        <v>312</v>
      </c>
      <c r="C150" s="331" t="s">
        <v>330</v>
      </c>
      <c r="D150" s="286">
        <f>D151</f>
        <v>0</v>
      </c>
      <c r="E150" s="286">
        <f>E151</f>
        <v>-2446321.58</v>
      </c>
      <c r="F150" s="287"/>
      <c r="G150" s="279"/>
    </row>
    <row r="151" spans="1:7" s="266" customFormat="1" ht="57.75" customHeight="1">
      <c r="A151" s="301" t="s">
        <v>331</v>
      </c>
      <c r="B151" s="305" t="s">
        <v>312</v>
      </c>
      <c r="C151" s="293" t="s">
        <v>330</v>
      </c>
      <c r="D151" s="294">
        <v>0</v>
      </c>
      <c r="E151" s="294">
        <f>E152</f>
        <v>-2446321.58</v>
      </c>
      <c r="F151" s="295"/>
      <c r="G151" s="279"/>
    </row>
    <row r="152" spans="1:7" s="266" customFormat="1" ht="42.75" customHeight="1">
      <c r="A152" s="304" t="s">
        <v>332</v>
      </c>
      <c r="B152" s="306" t="s">
        <v>312</v>
      </c>
      <c r="C152" s="298" t="s">
        <v>330</v>
      </c>
      <c r="D152" s="338"/>
      <c r="E152" s="338">
        <v>-2446321.58</v>
      </c>
      <c r="F152" s="339"/>
      <c r="G152" s="279"/>
    </row>
    <row r="153" spans="1:7" s="266" customFormat="1" ht="87.75" customHeight="1">
      <c r="A153" s="289" t="s">
        <v>333</v>
      </c>
      <c r="B153" s="290" t="s">
        <v>312</v>
      </c>
      <c r="C153" s="331" t="s">
        <v>334</v>
      </c>
      <c r="D153" s="286">
        <f>D154</f>
        <v>62600</v>
      </c>
      <c r="E153" s="286">
        <f>E154</f>
        <v>92588.94</v>
      </c>
      <c r="F153" s="287">
        <f>F154</f>
        <v>147.90565495207667</v>
      </c>
      <c r="G153" s="279"/>
    </row>
    <row r="154" spans="1:7" s="266" customFormat="1" ht="80.25" customHeight="1">
      <c r="A154" s="301" t="s">
        <v>335</v>
      </c>
      <c r="B154" s="305" t="s">
        <v>312</v>
      </c>
      <c r="C154" s="293" t="s">
        <v>336</v>
      </c>
      <c r="D154" s="302">
        <v>62600</v>
      </c>
      <c r="E154" s="302">
        <f>E155+E156</f>
        <v>92588.94</v>
      </c>
      <c r="F154" s="303">
        <f>E154/D154*100</f>
        <v>147.90565495207667</v>
      </c>
      <c r="G154" s="279"/>
    </row>
    <row r="155" spans="1:7" s="266" customFormat="1" ht="80.25" customHeight="1">
      <c r="A155" s="304" t="s">
        <v>335</v>
      </c>
      <c r="B155" s="306" t="s">
        <v>312</v>
      </c>
      <c r="C155" s="298" t="s">
        <v>336</v>
      </c>
      <c r="D155" s="299"/>
      <c r="E155" s="299">
        <v>62588.94</v>
      </c>
      <c r="F155" s="307"/>
      <c r="G155" s="279"/>
    </row>
    <row r="156" spans="1:7" s="266" customFormat="1" ht="81" customHeight="1">
      <c r="A156" s="304" t="s">
        <v>337</v>
      </c>
      <c r="B156" s="306" t="s">
        <v>312</v>
      </c>
      <c r="C156" s="298" t="s">
        <v>336</v>
      </c>
      <c r="D156" s="299"/>
      <c r="E156" s="299">
        <f>30000</f>
        <v>30000</v>
      </c>
      <c r="F156" s="307"/>
      <c r="G156" s="279"/>
    </row>
    <row r="157" spans="1:7" s="266" customFormat="1" ht="120.75" customHeight="1">
      <c r="A157" s="340" t="s">
        <v>338</v>
      </c>
      <c r="B157" s="341" t="s">
        <v>312</v>
      </c>
      <c r="C157" s="344" t="s">
        <v>339</v>
      </c>
      <c r="D157" s="286">
        <f>D158</f>
        <v>13000</v>
      </c>
      <c r="E157" s="286">
        <f>E158</f>
        <v>13000</v>
      </c>
      <c r="F157" s="286">
        <f>F158</f>
        <v>100</v>
      </c>
      <c r="G157" s="279"/>
    </row>
    <row r="158" spans="1:7" s="266" customFormat="1" ht="88.5" customHeight="1">
      <c r="A158" s="296" t="s">
        <v>340</v>
      </c>
      <c r="B158" s="297" t="s">
        <v>312</v>
      </c>
      <c r="C158" s="345" t="s">
        <v>339</v>
      </c>
      <c r="D158" s="299">
        <v>13000</v>
      </c>
      <c r="E158" s="299">
        <v>13000</v>
      </c>
      <c r="F158" s="307">
        <f>E158/D158*100</f>
        <v>100</v>
      </c>
      <c r="G158" s="279"/>
    </row>
    <row r="159" spans="1:7" s="266" customFormat="1" ht="54" customHeight="1">
      <c r="A159" s="340" t="s">
        <v>341</v>
      </c>
      <c r="B159" s="341" t="s">
        <v>312</v>
      </c>
      <c r="C159" s="331" t="s">
        <v>342</v>
      </c>
      <c r="D159" s="286">
        <f>D160</f>
        <v>1558749.34</v>
      </c>
      <c r="E159" s="286">
        <f>E160</f>
        <v>1640766.7000000002</v>
      </c>
      <c r="F159" s="287">
        <f>F160</f>
        <v>105.26174144202045</v>
      </c>
      <c r="G159" s="279"/>
    </row>
    <row r="160" spans="1:7" s="266" customFormat="1" ht="57" customHeight="1">
      <c r="A160" s="301" t="s">
        <v>343</v>
      </c>
      <c r="B160" s="305" t="s">
        <v>312</v>
      </c>
      <c r="C160" s="293" t="s">
        <v>344</v>
      </c>
      <c r="D160" s="302">
        <v>1558749.34</v>
      </c>
      <c r="E160" s="302">
        <f>E161+E162</f>
        <v>1640766.7000000002</v>
      </c>
      <c r="F160" s="303">
        <f>E160/D160*100</f>
        <v>105.26174144202045</v>
      </c>
      <c r="G160" s="279"/>
    </row>
    <row r="161" spans="1:7" s="266" customFormat="1" ht="57" customHeight="1">
      <c r="A161" s="304" t="s">
        <v>343</v>
      </c>
      <c r="B161" s="306" t="s">
        <v>312</v>
      </c>
      <c r="C161" s="298" t="s">
        <v>344</v>
      </c>
      <c r="D161" s="299"/>
      <c r="E161" s="299">
        <f>85500+296599.38+424174.03</f>
        <v>806273.41</v>
      </c>
      <c r="F161" s="307"/>
      <c r="G161" s="279"/>
    </row>
    <row r="162" spans="1:7" s="266" customFormat="1" ht="57" customHeight="1">
      <c r="A162" s="304" t="s">
        <v>345</v>
      </c>
      <c r="B162" s="306" t="s">
        <v>312</v>
      </c>
      <c r="C162" s="298" t="s">
        <v>344</v>
      </c>
      <c r="D162" s="299"/>
      <c r="E162" s="299">
        <f>1000+391872.62+441620.67</f>
        <v>834493.29</v>
      </c>
      <c r="F162" s="307"/>
      <c r="G162" s="279"/>
    </row>
    <row r="163" spans="1:7" s="266" customFormat="1" ht="57" customHeight="1">
      <c r="A163" s="263" t="s">
        <v>346</v>
      </c>
      <c r="B163" s="281" t="s">
        <v>513</v>
      </c>
      <c r="C163" s="334" t="s">
        <v>347</v>
      </c>
      <c r="D163" s="283">
        <f>D164+D166</f>
        <v>261300</v>
      </c>
      <c r="E163" s="283">
        <f>E164+E166</f>
        <v>115208.44</v>
      </c>
      <c r="F163" s="284">
        <f>E163/D163*100</f>
        <v>44.09048603138155</v>
      </c>
      <c r="G163" s="279"/>
    </row>
    <row r="164" spans="1:7" s="266" customFormat="1" ht="36.75" customHeight="1">
      <c r="A164" s="301" t="s">
        <v>348</v>
      </c>
      <c r="B164" s="305" t="s">
        <v>349</v>
      </c>
      <c r="C164" s="293" t="s">
        <v>350</v>
      </c>
      <c r="D164" s="302"/>
      <c r="E164" s="302">
        <f>E165</f>
        <v>-146091.56</v>
      </c>
      <c r="F164" s="303"/>
      <c r="G164" s="279"/>
    </row>
    <row r="165" spans="1:7" s="266" customFormat="1" ht="30.75" customHeight="1">
      <c r="A165" s="304" t="s">
        <v>351</v>
      </c>
      <c r="B165" s="306" t="s">
        <v>349</v>
      </c>
      <c r="C165" s="298" t="s">
        <v>352</v>
      </c>
      <c r="D165" s="299"/>
      <c r="E165" s="299">
        <v>-146091.56</v>
      </c>
      <c r="F165" s="307"/>
      <c r="G165" s="279"/>
    </row>
    <row r="166" spans="1:7" s="266" customFormat="1" ht="57" customHeight="1">
      <c r="A166" s="301" t="s">
        <v>353</v>
      </c>
      <c r="B166" s="305" t="s">
        <v>349</v>
      </c>
      <c r="C166" s="293" t="s">
        <v>347</v>
      </c>
      <c r="D166" s="299">
        <f>D167</f>
        <v>261300</v>
      </c>
      <c r="E166" s="299">
        <f>E167</f>
        <v>261300</v>
      </c>
      <c r="F166" s="307">
        <f>F167</f>
        <v>100</v>
      </c>
      <c r="G166" s="279"/>
    </row>
    <row r="167" spans="1:7" s="266" customFormat="1" ht="33" customHeight="1">
      <c r="A167" s="304" t="s">
        <v>354</v>
      </c>
      <c r="B167" s="306" t="s">
        <v>349</v>
      </c>
      <c r="C167" s="298" t="s">
        <v>355</v>
      </c>
      <c r="D167" s="299">
        <v>261300</v>
      </c>
      <c r="E167" s="299">
        <v>261300</v>
      </c>
      <c r="F167" s="307">
        <f>E167/D167*100</f>
        <v>100</v>
      </c>
      <c r="G167" s="279"/>
    </row>
    <row r="168" spans="1:7" s="266" customFormat="1" ht="18.75">
      <c r="A168" s="263" t="s">
        <v>356</v>
      </c>
      <c r="B168" s="281" t="s">
        <v>513</v>
      </c>
      <c r="C168" s="288" t="s">
        <v>123</v>
      </c>
      <c r="D168" s="283">
        <f>D169</f>
        <v>1188372519.95</v>
      </c>
      <c r="E168" s="283">
        <f>E169+E207+E212</f>
        <v>1172229942.64</v>
      </c>
      <c r="F168" s="284">
        <f>E168/D168*100</f>
        <v>98.6416231409761</v>
      </c>
      <c r="G168" s="279"/>
    </row>
    <row r="169" spans="1:7" s="266" customFormat="1" ht="47.25">
      <c r="A169" s="263" t="s">
        <v>357</v>
      </c>
      <c r="B169" s="281" t="s">
        <v>513</v>
      </c>
      <c r="C169" s="282" t="s">
        <v>358</v>
      </c>
      <c r="D169" s="286">
        <f>D170+D175+D189+D200</f>
        <v>1188372519.95</v>
      </c>
      <c r="E169" s="286">
        <f>E170+E175+E189+E200</f>
        <v>1178120599.15</v>
      </c>
      <c r="F169" s="287">
        <f>E169/D169*100</f>
        <v>99.13731421520659</v>
      </c>
      <c r="G169" s="279"/>
    </row>
    <row r="170" spans="1:7" s="266" customFormat="1" ht="42" customHeight="1">
      <c r="A170" s="263" t="s">
        <v>359</v>
      </c>
      <c r="B170" s="281" t="s">
        <v>360</v>
      </c>
      <c r="C170" s="346" t="s">
        <v>125</v>
      </c>
      <c r="D170" s="283">
        <f>D171+D173</f>
        <v>639898400</v>
      </c>
      <c r="E170" s="283">
        <f>E171+E173</f>
        <v>639898400</v>
      </c>
      <c r="F170" s="284">
        <f>E170/D170*100</f>
        <v>100</v>
      </c>
      <c r="G170" s="279"/>
    </row>
    <row r="171" spans="1:7" s="266" customFormat="1" ht="43.5" customHeight="1">
      <c r="A171" s="301" t="s">
        <v>361</v>
      </c>
      <c r="B171" s="305" t="s">
        <v>360</v>
      </c>
      <c r="C171" s="293" t="s">
        <v>362</v>
      </c>
      <c r="D171" s="302">
        <f>D172</f>
        <v>13172400</v>
      </c>
      <c r="E171" s="302">
        <f>E172</f>
        <v>13172400</v>
      </c>
      <c r="F171" s="303">
        <f>F172</f>
        <v>100</v>
      </c>
      <c r="G171" s="279"/>
    </row>
    <row r="172" spans="1:7" s="266" customFormat="1" ht="30">
      <c r="A172" s="304" t="s">
        <v>363</v>
      </c>
      <c r="B172" s="306" t="s">
        <v>360</v>
      </c>
      <c r="C172" s="298" t="s">
        <v>364</v>
      </c>
      <c r="D172" s="299">
        <v>13172400</v>
      </c>
      <c r="E172" s="299">
        <v>13172400</v>
      </c>
      <c r="F172" s="307">
        <f>E172/D172*100</f>
        <v>100</v>
      </c>
      <c r="G172" s="279"/>
    </row>
    <row r="173" spans="1:7" s="266" customFormat="1" ht="60">
      <c r="A173" s="301" t="s">
        <v>365</v>
      </c>
      <c r="B173" s="305" t="s">
        <v>360</v>
      </c>
      <c r="C173" s="293" t="s">
        <v>366</v>
      </c>
      <c r="D173" s="302">
        <f>D174</f>
        <v>626726000</v>
      </c>
      <c r="E173" s="302">
        <f>E174</f>
        <v>626726000</v>
      </c>
      <c r="F173" s="303">
        <f>F174</f>
        <v>100</v>
      </c>
      <c r="G173" s="279"/>
    </row>
    <row r="174" spans="1:7" s="266" customFormat="1" ht="60">
      <c r="A174" s="304" t="s">
        <v>367</v>
      </c>
      <c r="B174" s="306" t="s">
        <v>360</v>
      </c>
      <c r="C174" s="298" t="s">
        <v>368</v>
      </c>
      <c r="D174" s="299">
        <v>626726000</v>
      </c>
      <c r="E174" s="299">
        <v>626726000</v>
      </c>
      <c r="F174" s="307">
        <f>E174/D174*100</f>
        <v>100</v>
      </c>
      <c r="G174" s="279"/>
    </row>
    <row r="175" spans="1:7" s="266" customFormat="1" ht="47.25">
      <c r="A175" s="347" t="s">
        <v>369</v>
      </c>
      <c r="B175" s="348" t="s">
        <v>360</v>
      </c>
      <c r="C175" s="334" t="s">
        <v>444</v>
      </c>
      <c r="D175" s="349">
        <f>D176+D178+D181+D183+D185+D187</f>
        <v>96847119.95</v>
      </c>
      <c r="E175" s="349">
        <f>E176+E178+E181+E183+E185+E187</f>
        <v>95385721.98</v>
      </c>
      <c r="F175" s="350">
        <f>E175/D175*100</f>
        <v>98.49102588620654</v>
      </c>
      <c r="G175" s="279"/>
    </row>
    <row r="176" spans="1:7" s="266" customFormat="1" ht="37.5" customHeight="1">
      <c r="A176" s="301" t="s">
        <v>370</v>
      </c>
      <c r="B176" s="305" t="s">
        <v>360</v>
      </c>
      <c r="C176" s="336" t="s">
        <v>371</v>
      </c>
      <c r="D176" s="302">
        <f>D177</f>
        <v>905514.29</v>
      </c>
      <c r="E176" s="302">
        <f>E177</f>
        <v>905514.29</v>
      </c>
      <c r="F176" s="303">
        <f>F177</f>
        <v>100</v>
      </c>
      <c r="G176" s="279"/>
    </row>
    <row r="177" spans="1:7" s="266" customFormat="1" ht="48" customHeight="1">
      <c r="A177" s="304" t="s">
        <v>372</v>
      </c>
      <c r="B177" s="306" t="s">
        <v>360</v>
      </c>
      <c r="C177" s="332" t="s">
        <v>373</v>
      </c>
      <c r="D177" s="299">
        <v>905514.29</v>
      </c>
      <c r="E177" s="299">
        <v>905514.29</v>
      </c>
      <c r="F177" s="307">
        <f>E177/D177*100</f>
        <v>100</v>
      </c>
      <c r="G177" s="279"/>
    </row>
    <row r="178" spans="1:7" s="266" customFormat="1" ht="92.25" customHeight="1">
      <c r="A178" s="301" t="s">
        <v>374</v>
      </c>
      <c r="B178" s="305" t="s">
        <v>360</v>
      </c>
      <c r="C178" s="336" t="s">
        <v>375</v>
      </c>
      <c r="D178" s="302">
        <f aca="true" t="shared" si="4" ref="D178:F179">D179</f>
        <v>10318685.66</v>
      </c>
      <c r="E178" s="302">
        <f t="shared" si="4"/>
        <v>10313950.15</v>
      </c>
      <c r="F178" s="303">
        <f t="shared" si="4"/>
        <v>99.95410743038373</v>
      </c>
      <c r="G178" s="279"/>
    </row>
    <row r="179" spans="1:7" s="266" customFormat="1" ht="91.5" customHeight="1">
      <c r="A179" s="304" t="s">
        <v>376</v>
      </c>
      <c r="B179" s="306" t="s">
        <v>360</v>
      </c>
      <c r="C179" s="332" t="s">
        <v>377</v>
      </c>
      <c r="D179" s="299">
        <f t="shared" si="4"/>
        <v>10318685.66</v>
      </c>
      <c r="E179" s="299">
        <f t="shared" si="4"/>
        <v>10313950.15</v>
      </c>
      <c r="F179" s="307">
        <f t="shared" si="4"/>
        <v>99.95410743038373</v>
      </c>
      <c r="G179" s="279"/>
    </row>
    <row r="180" spans="1:7" s="266" customFormat="1" ht="66.75" customHeight="1">
      <c r="A180" s="304" t="s">
        <v>378</v>
      </c>
      <c r="B180" s="306" t="s">
        <v>360</v>
      </c>
      <c r="C180" s="332" t="s">
        <v>379</v>
      </c>
      <c r="D180" s="299">
        <v>10318685.66</v>
      </c>
      <c r="E180" s="299">
        <v>10313950.15</v>
      </c>
      <c r="F180" s="307">
        <f>E180/D180*100</f>
        <v>99.95410743038373</v>
      </c>
      <c r="G180" s="279"/>
    </row>
    <row r="181" spans="1:7" s="266" customFormat="1" ht="48" customHeight="1">
      <c r="A181" s="301" t="s">
        <v>380</v>
      </c>
      <c r="B181" s="305" t="s">
        <v>360</v>
      </c>
      <c r="C181" s="336" t="s">
        <v>381</v>
      </c>
      <c r="D181" s="302">
        <f>D182</f>
        <v>7220000</v>
      </c>
      <c r="E181" s="302">
        <f>E182</f>
        <v>7220000</v>
      </c>
      <c r="F181" s="303">
        <f>F182</f>
        <v>100</v>
      </c>
      <c r="G181" s="279"/>
    </row>
    <row r="182" spans="1:7" s="266" customFormat="1" ht="50.25" customHeight="1">
      <c r="A182" s="304" t="s">
        <v>382</v>
      </c>
      <c r="B182" s="306" t="s">
        <v>360</v>
      </c>
      <c r="C182" s="332" t="s">
        <v>383</v>
      </c>
      <c r="D182" s="299">
        <v>7220000</v>
      </c>
      <c r="E182" s="299">
        <v>7220000</v>
      </c>
      <c r="F182" s="307">
        <f>E182/D182*100</f>
        <v>100</v>
      </c>
      <c r="G182" s="279"/>
    </row>
    <row r="183" spans="1:7" s="266" customFormat="1" ht="66" customHeight="1">
      <c r="A183" s="301" t="s">
        <v>384</v>
      </c>
      <c r="B183" s="305" t="s">
        <v>360</v>
      </c>
      <c r="C183" s="336" t="s">
        <v>385</v>
      </c>
      <c r="D183" s="302">
        <f>D184</f>
        <v>15426679</v>
      </c>
      <c r="E183" s="302">
        <f>E184</f>
        <v>15275929.09</v>
      </c>
      <c r="F183" s="303">
        <f>F184</f>
        <v>99.0227973888612</v>
      </c>
      <c r="G183" s="279"/>
    </row>
    <row r="184" spans="1:7" s="266" customFormat="1" ht="61.5" customHeight="1">
      <c r="A184" s="304" t="s">
        <v>386</v>
      </c>
      <c r="B184" s="306" t="s">
        <v>360</v>
      </c>
      <c r="C184" s="332" t="s">
        <v>387</v>
      </c>
      <c r="D184" s="299">
        <v>15426679</v>
      </c>
      <c r="E184" s="299">
        <v>15275929.09</v>
      </c>
      <c r="F184" s="307">
        <f>E184/D184*100</f>
        <v>99.0227973888612</v>
      </c>
      <c r="G184" s="279"/>
    </row>
    <row r="185" spans="1:7" s="266" customFormat="1" ht="48" customHeight="1">
      <c r="A185" s="301" t="s">
        <v>388</v>
      </c>
      <c r="B185" s="305" t="s">
        <v>360</v>
      </c>
      <c r="C185" s="336" t="s">
        <v>389</v>
      </c>
      <c r="D185" s="302">
        <f>D186</f>
        <v>6000000</v>
      </c>
      <c r="E185" s="302">
        <f>E186</f>
        <v>6000000</v>
      </c>
      <c r="F185" s="303">
        <f>F186</f>
        <v>100</v>
      </c>
      <c r="G185" s="279"/>
    </row>
    <row r="186" spans="1:7" s="266" customFormat="1" ht="48" customHeight="1">
      <c r="A186" s="304" t="s">
        <v>390</v>
      </c>
      <c r="B186" s="306" t="s">
        <v>360</v>
      </c>
      <c r="C186" s="332" t="s">
        <v>391</v>
      </c>
      <c r="D186" s="299">
        <v>6000000</v>
      </c>
      <c r="E186" s="299">
        <v>6000000</v>
      </c>
      <c r="F186" s="307">
        <f>E186/D186*100</f>
        <v>100</v>
      </c>
      <c r="G186" s="279"/>
    </row>
    <row r="187" spans="1:7" s="266" customFormat="1" ht="34.5" customHeight="1">
      <c r="A187" s="301" t="s">
        <v>392</v>
      </c>
      <c r="B187" s="305" t="s">
        <v>360</v>
      </c>
      <c r="C187" s="336" t="s">
        <v>393</v>
      </c>
      <c r="D187" s="302">
        <f>D188</f>
        <v>56976241</v>
      </c>
      <c r="E187" s="302">
        <f>E188</f>
        <v>55670328.45</v>
      </c>
      <c r="F187" s="303">
        <f>F188</f>
        <v>97.70796997646791</v>
      </c>
      <c r="G187" s="279"/>
    </row>
    <row r="188" spans="1:7" s="266" customFormat="1" ht="40.5" customHeight="1">
      <c r="A188" s="277" t="s">
        <v>394</v>
      </c>
      <c r="B188" s="308" t="s">
        <v>360</v>
      </c>
      <c r="C188" s="351" t="s">
        <v>395</v>
      </c>
      <c r="D188" s="310">
        <v>56976241</v>
      </c>
      <c r="E188" s="310">
        <v>55670328.45</v>
      </c>
      <c r="F188" s="300">
        <f>E188/D188*100</f>
        <v>97.70796997646791</v>
      </c>
      <c r="G188" s="279"/>
    </row>
    <row r="189" spans="1:7" s="266" customFormat="1" ht="63" customHeight="1">
      <c r="A189" s="263" t="s">
        <v>396</v>
      </c>
      <c r="B189" s="281" t="s">
        <v>360</v>
      </c>
      <c r="C189" s="334" t="s">
        <v>129</v>
      </c>
      <c r="D189" s="283">
        <f>D190+D192+D194+D196+D198</f>
        <v>365405200</v>
      </c>
      <c r="E189" s="283">
        <f>E190+E192+E194+E196+E198</f>
        <v>356614677.17</v>
      </c>
      <c r="F189" s="284">
        <f>E189/D189*100</f>
        <v>97.5943082282354</v>
      </c>
      <c r="G189" s="279"/>
    </row>
    <row r="190" spans="1:7" s="266" customFormat="1" ht="46.5" customHeight="1">
      <c r="A190" s="301" t="s">
        <v>397</v>
      </c>
      <c r="B190" s="305" t="s">
        <v>360</v>
      </c>
      <c r="C190" s="352" t="s">
        <v>398</v>
      </c>
      <c r="D190" s="302">
        <f>D191</f>
        <v>2071800</v>
      </c>
      <c r="E190" s="302">
        <f>E191</f>
        <v>2071800</v>
      </c>
      <c r="F190" s="303">
        <f>F191</f>
        <v>100</v>
      </c>
      <c r="G190" s="279"/>
    </row>
    <row r="191" spans="1:7" s="266" customFormat="1" ht="52.5" customHeight="1">
      <c r="A191" s="304" t="s">
        <v>399</v>
      </c>
      <c r="B191" s="306" t="s">
        <v>360</v>
      </c>
      <c r="C191" s="298" t="s">
        <v>400</v>
      </c>
      <c r="D191" s="299">
        <v>2071800</v>
      </c>
      <c r="E191" s="299">
        <v>2071800</v>
      </c>
      <c r="F191" s="307">
        <f>E191/D191*100</f>
        <v>100</v>
      </c>
      <c r="G191" s="279"/>
    </row>
    <row r="192" spans="1:7" s="266" customFormat="1" ht="52.5" customHeight="1">
      <c r="A192" s="301" t="s">
        <v>401</v>
      </c>
      <c r="B192" s="305" t="s">
        <v>360</v>
      </c>
      <c r="C192" s="293" t="s">
        <v>402</v>
      </c>
      <c r="D192" s="302">
        <f>D193</f>
        <v>7003700</v>
      </c>
      <c r="E192" s="302">
        <f>E193</f>
        <v>6879638.45</v>
      </c>
      <c r="F192" s="353">
        <f>F193</f>
        <v>98.22862843925354</v>
      </c>
      <c r="G192" s="279"/>
    </row>
    <row r="193" spans="1:7" s="266" customFormat="1" ht="52.5" customHeight="1">
      <c r="A193" s="304" t="s">
        <v>403</v>
      </c>
      <c r="B193" s="306" t="s">
        <v>360</v>
      </c>
      <c r="C193" s="298" t="s">
        <v>404</v>
      </c>
      <c r="D193" s="299">
        <v>7003700</v>
      </c>
      <c r="E193" s="299">
        <v>6879638.45</v>
      </c>
      <c r="F193" s="307">
        <f>E193/D193*100</f>
        <v>98.22862843925354</v>
      </c>
      <c r="G193" s="279"/>
    </row>
    <row r="194" spans="1:7" s="266" customFormat="1" ht="89.25" customHeight="1">
      <c r="A194" s="354" t="s">
        <v>405</v>
      </c>
      <c r="B194" s="355" t="s">
        <v>360</v>
      </c>
      <c r="C194" s="336" t="s">
        <v>406</v>
      </c>
      <c r="D194" s="302">
        <f>D195</f>
        <v>23192200</v>
      </c>
      <c r="E194" s="302">
        <f>E195</f>
        <v>22960000</v>
      </c>
      <c r="F194" s="303">
        <f>F195</f>
        <v>98.99880132113384</v>
      </c>
      <c r="G194" s="279"/>
    </row>
    <row r="195" spans="1:7" s="266" customFormat="1" ht="63.75" customHeight="1">
      <c r="A195" s="304" t="s">
        <v>407</v>
      </c>
      <c r="B195" s="306" t="s">
        <v>360</v>
      </c>
      <c r="C195" s="332" t="s">
        <v>408</v>
      </c>
      <c r="D195" s="299">
        <v>23192200</v>
      </c>
      <c r="E195" s="299">
        <v>22960000</v>
      </c>
      <c r="F195" s="307">
        <f>E195/D195*100</f>
        <v>98.99880132113384</v>
      </c>
      <c r="G195" s="279"/>
    </row>
    <row r="196" spans="1:7" s="266" customFormat="1" ht="114" customHeight="1">
      <c r="A196" s="301" t="s">
        <v>409</v>
      </c>
      <c r="B196" s="305" t="s">
        <v>360</v>
      </c>
      <c r="C196" s="336" t="s">
        <v>410</v>
      </c>
      <c r="D196" s="302">
        <f>D197</f>
        <v>14196900</v>
      </c>
      <c r="E196" s="302">
        <f>E197</f>
        <v>10700693.28</v>
      </c>
      <c r="F196" s="303">
        <f>F197</f>
        <v>75.37344969676478</v>
      </c>
      <c r="G196" s="279"/>
    </row>
    <row r="197" spans="1:7" s="266" customFormat="1" ht="90">
      <c r="A197" s="304" t="s">
        <v>411</v>
      </c>
      <c r="B197" s="306" t="s">
        <v>360</v>
      </c>
      <c r="C197" s="332" t="s">
        <v>412</v>
      </c>
      <c r="D197" s="299">
        <v>14196900</v>
      </c>
      <c r="E197" s="299">
        <v>10700693.28</v>
      </c>
      <c r="F197" s="307">
        <f>E197/D197*100</f>
        <v>75.37344969676478</v>
      </c>
      <c r="G197" s="279"/>
    </row>
    <row r="198" spans="1:7" s="266" customFormat="1" ht="30.75" customHeight="1">
      <c r="A198" s="301" t="s">
        <v>413</v>
      </c>
      <c r="B198" s="305" t="s">
        <v>360</v>
      </c>
      <c r="C198" s="336" t="s">
        <v>414</v>
      </c>
      <c r="D198" s="302">
        <f>D199</f>
        <v>318940600</v>
      </c>
      <c r="E198" s="302">
        <f>E199</f>
        <v>314002545.44</v>
      </c>
      <c r="F198" s="303">
        <f>F199</f>
        <v>98.4517322159675</v>
      </c>
      <c r="G198" s="279"/>
    </row>
    <row r="199" spans="1:7" s="266" customFormat="1" ht="18.75">
      <c r="A199" s="304" t="s">
        <v>415</v>
      </c>
      <c r="B199" s="306" t="s">
        <v>360</v>
      </c>
      <c r="C199" s="298" t="s">
        <v>416</v>
      </c>
      <c r="D199" s="299">
        <v>318940600</v>
      </c>
      <c r="E199" s="299">
        <v>314002545.44</v>
      </c>
      <c r="F199" s="307">
        <f>E199/D199*100</f>
        <v>98.4517322159675</v>
      </c>
      <c r="G199" s="279"/>
    </row>
    <row r="200" spans="1:7" s="266" customFormat="1" ht="18.75">
      <c r="A200" s="263" t="s">
        <v>417</v>
      </c>
      <c r="B200" s="281" t="s">
        <v>360</v>
      </c>
      <c r="C200" s="282" t="s">
        <v>131</v>
      </c>
      <c r="D200" s="283">
        <f>D201+D203+D205</f>
        <v>86221800</v>
      </c>
      <c r="E200" s="283">
        <f>E201+E203+E205</f>
        <v>86221800</v>
      </c>
      <c r="F200" s="284">
        <f>E200/D200*100</f>
        <v>100</v>
      </c>
      <c r="G200" s="279"/>
    </row>
    <row r="201" spans="1:7" s="266" customFormat="1" ht="64.5" customHeight="1">
      <c r="A201" s="301" t="s">
        <v>418</v>
      </c>
      <c r="B201" s="305" t="s">
        <v>360</v>
      </c>
      <c r="C201" s="352" t="s">
        <v>419</v>
      </c>
      <c r="D201" s="302">
        <f>D202</f>
        <v>86067000</v>
      </c>
      <c r="E201" s="302">
        <f>E202</f>
        <v>86067000</v>
      </c>
      <c r="F201" s="303">
        <f>F202</f>
        <v>100</v>
      </c>
      <c r="G201" s="279"/>
    </row>
    <row r="202" spans="1:7" s="266" customFormat="1" ht="60">
      <c r="A202" s="304" t="s">
        <v>420</v>
      </c>
      <c r="B202" s="306" t="s">
        <v>360</v>
      </c>
      <c r="C202" s="332" t="s">
        <v>421</v>
      </c>
      <c r="D202" s="299">
        <v>86067000</v>
      </c>
      <c r="E202" s="299">
        <v>86067000</v>
      </c>
      <c r="F202" s="307">
        <f>E202/D202*100</f>
        <v>100</v>
      </c>
      <c r="G202" s="279"/>
    </row>
    <row r="203" spans="1:7" s="266" customFormat="1" ht="82.5" customHeight="1">
      <c r="A203" s="301" t="s">
        <v>422</v>
      </c>
      <c r="B203" s="305" t="s">
        <v>360</v>
      </c>
      <c r="C203" s="336" t="s">
        <v>423</v>
      </c>
      <c r="D203" s="302">
        <f>D204</f>
        <v>104800</v>
      </c>
      <c r="E203" s="302">
        <f>E204</f>
        <v>104800</v>
      </c>
      <c r="F203" s="303">
        <f>F204</f>
        <v>100</v>
      </c>
      <c r="G203" s="279"/>
    </row>
    <row r="204" spans="1:7" s="266" customFormat="1" ht="60">
      <c r="A204" s="304" t="s">
        <v>424</v>
      </c>
      <c r="B204" s="306" t="s">
        <v>360</v>
      </c>
      <c r="C204" s="332" t="s">
        <v>425</v>
      </c>
      <c r="D204" s="299">
        <v>104800</v>
      </c>
      <c r="E204" s="299">
        <v>104800</v>
      </c>
      <c r="F204" s="307">
        <f>E204/D204*100</f>
        <v>100</v>
      </c>
      <c r="G204" s="279"/>
    </row>
    <row r="205" spans="1:7" s="266" customFormat="1" ht="90">
      <c r="A205" s="301" t="s">
        <v>426</v>
      </c>
      <c r="B205" s="305" t="s">
        <v>360</v>
      </c>
      <c r="C205" s="336" t="s">
        <v>427</v>
      </c>
      <c r="D205" s="302">
        <f>D206</f>
        <v>50000</v>
      </c>
      <c r="E205" s="302">
        <f>E206</f>
        <v>50000</v>
      </c>
      <c r="F205" s="303">
        <f>F206</f>
        <v>100</v>
      </c>
      <c r="G205" s="279"/>
    </row>
    <row r="206" spans="1:7" s="266" customFormat="1" ht="75">
      <c r="A206" s="304" t="s">
        <v>428</v>
      </c>
      <c r="B206" s="306" t="s">
        <v>360</v>
      </c>
      <c r="C206" s="332" t="s">
        <v>429</v>
      </c>
      <c r="D206" s="299">
        <v>50000</v>
      </c>
      <c r="E206" s="299">
        <v>50000</v>
      </c>
      <c r="F206" s="307">
        <f>E206/D206*100</f>
        <v>100</v>
      </c>
      <c r="G206" s="279"/>
    </row>
    <row r="207" spans="1:7" s="266" customFormat="1" ht="122.25" customHeight="1">
      <c r="A207" s="263" t="s">
        <v>430</v>
      </c>
      <c r="B207" s="281" t="s">
        <v>513</v>
      </c>
      <c r="C207" s="282" t="s">
        <v>133</v>
      </c>
      <c r="D207" s="286">
        <f>D208+D215+D229+D240</f>
        <v>0</v>
      </c>
      <c r="E207" s="286">
        <f>E208+E215+E229+E240</f>
        <v>97855.47</v>
      </c>
      <c r="F207" s="287"/>
      <c r="G207" s="279"/>
    </row>
    <row r="208" spans="1:7" s="266" customFormat="1" ht="42.75">
      <c r="A208" s="356" t="s">
        <v>430</v>
      </c>
      <c r="B208" s="357" t="s">
        <v>349</v>
      </c>
      <c r="C208" s="358" t="s">
        <v>431</v>
      </c>
      <c r="D208" s="359">
        <v>0</v>
      </c>
      <c r="E208" s="359">
        <f>E209</f>
        <v>97855.47</v>
      </c>
      <c r="F208" s="360"/>
      <c r="G208" s="279"/>
    </row>
    <row r="209" spans="1:7" s="266" customFormat="1" ht="53.25" customHeight="1">
      <c r="A209" s="301" t="s">
        <v>432</v>
      </c>
      <c r="B209" s="305" t="s">
        <v>349</v>
      </c>
      <c r="C209" s="336" t="s">
        <v>433</v>
      </c>
      <c r="D209" s="302">
        <v>0</v>
      </c>
      <c r="E209" s="302">
        <f>E210+E211</f>
        <v>97855.47</v>
      </c>
      <c r="F209" s="303"/>
      <c r="G209" s="279"/>
    </row>
    <row r="210" spans="1:7" s="266" customFormat="1" ht="45">
      <c r="A210" s="304" t="s">
        <v>434</v>
      </c>
      <c r="B210" s="306" t="s">
        <v>349</v>
      </c>
      <c r="C210" s="332" t="s">
        <v>435</v>
      </c>
      <c r="D210" s="299">
        <v>0</v>
      </c>
      <c r="E210" s="299">
        <v>93031.31</v>
      </c>
      <c r="F210" s="307"/>
      <c r="G210" s="279"/>
    </row>
    <row r="211" spans="1:7" s="266" customFormat="1" ht="45">
      <c r="A211" s="304" t="s">
        <v>436</v>
      </c>
      <c r="B211" s="306" t="s">
        <v>349</v>
      </c>
      <c r="C211" s="332" t="s">
        <v>437</v>
      </c>
      <c r="D211" s="299">
        <v>0</v>
      </c>
      <c r="E211" s="299">
        <v>4824.16</v>
      </c>
      <c r="F211" s="307"/>
      <c r="G211" s="279"/>
    </row>
    <row r="212" spans="1:7" s="266" customFormat="1" ht="63">
      <c r="A212" s="263" t="s">
        <v>438</v>
      </c>
      <c r="B212" s="281" t="s">
        <v>513</v>
      </c>
      <c r="C212" s="282" t="s">
        <v>439</v>
      </c>
      <c r="D212" s="286">
        <f>D213+D220+D234+D245</f>
        <v>0</v>
      </c>
      <c r="E212" s="286">
        <f>E213+E220+E234+E245</f>
        <v>-5988511.98</v>
      </c>
      <c r="F212" s="287"/>
      <c r="G212" s="279"/>
    </row>
    <row r="213" spans="1:7" s="266" customFormat="1" ht="78" customHeight="1">
      <c r="A213" s="301" t="s">
        <v>440</v>
      </c>
      <c r="B213" s="305" t="s">
        <v>360</v>
      </c>
      <c r="C213" s="336" t="s">
        <v>441</v>
      </c>
      <c r="D213" s="302">
        <v>0</v>
      </c>
      <c r="E213" s="302">
        <v>-5988511.98</v>
      </c>
      <c r="F213" s="303"/>
      <c r="G213" s="279"/>
    </row>
    <row r="214" spans="1:7" s="266" customFormat="1" ht="28.5" customHeight="1">
      <c r="A214" s="263" t="s">
        <v>136</v>
      </c>
      <c r="B214" s="263"/>
      <c r="C214" s="351"/>
      <c r="D214" s="283">
        <f>D12+D168</f>
        <v>2019756199.95</v>
      </c>
      <c r="E214" s="283">
        <f>E12+E168</f>
        <v>2051393255.2800002</v>
      </c>
      <c r="F214" s="284">
        <f>E214/D214*100</f>
        <v>101.56637990915851</v>
      </c>
      <c r="G214" s="279"/>
    </row>
    <row r="215" spans="3:7" s="266" customFormat="1" ht="16.5" customHeight="1">
      <c r="C215" s="361"/>
      <c r="D215" s="362"/>
      <c r="E215" s="362"/>
      <c r="F215" s="362"/>
      <c r="G215" s="279"/>
    </row>
    <row r="216" spans="3:7" s="266" customFormat="1" ht="16.5" customHeight="1">
      <c r="C216" s="361"/>
      <c r="D216" s="362"/>
      <c r="E216" s="362"/>
      <c r="F216" s="362"/>
      <c r="G216" s="279"/>
    </row>
    <row r="217" spans="3:7" s="266" customFormat="1" ht="16.5" customHeight="1">
      <c r="C217" s="361"/>
      <c r="D217" s="363"/>
      <c r="E217" s="363"/>
      <c r="F217" s="363"/>
      <c r="G217" s="279"/>
    </row>
    <row r="218" spans="4:6" ht="16.5" customHeight="1">
      <c r="D218" s="364"/>
      <c r="E218" s="364"/>
      <c r="F218" s="364"/>
    </row>
  </sheetData>
  <sheetProtection/>
  <mergeCells count="4">
    <mergeCell ref="A2:F2"/>
    <mergeCell ref="A3:F3"/>
    <mergeCell ref="A8:F8"/>
    <mergeCell ref="A1:F1"/>
  </mergeCells>
  <printOptions/>
  <pageMargins left="0.43" right="0.24" top="0.35433070866141736" bottom="0.15748031496062992" header="0.31496062992125984" footer="0.1574803149606299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1593"/>
  <sheetViews>
    <sheetView zoomScale="95" zoomScaleNormal="95" zoomScalePageLayoutView="0" workbookViewId="0" topLeftCell="A1">
      <selection activeCell="J9" sqref="J9"/>
    </sheetView>
  </sheetViews>
  <sheetFormatPr defaultColWidth="9.00390625" defaultRowHeight="12.75"/>
  <cols>
    <col min="1" max="1" width="28.25390625" style="19" customWidth="1"/>
    <col min="2" max="2" width="8.25390625" style="19" customWidth="1"/>
    <col min="3" max="3" width="6.125" style="19" customWidth="1"/>
    <col min="4" max="4" width="8.75390625" style="19" customWidth="1"/>
    <col min="5" max="5" width="11.75390625" style="19" customWidth="1"/>
    <col min="6" max="6" width="10.00390625" style="19" customWidth="1"/>
    <col min="7" max="7" width="24.375" style="19" customWidth="1"/>
    <col min="8" max="8" width="25.75390625" style="19" customWidth="1"/>
    <col min="9" max="9" width="25.00390625" style="43" customWidth="1"/>
    <col min="10" max="10" width="32.375" style="43" customWidth="1"/>
    <col min="11" max="11" width="14.25390625" style="185" bestFit="1" customWidth="1"/>
    <col min="12" max="16384" width="9.125" style="19" customWidth="1"/>
  </cols>
  <sheetData>
    <row r="1" spans="1:9" ht="15.75">
      <c r="A1" s="366" t="s">
        <v>803</v>
      </c>
      <c r="B1" s="366"/>
      <c r="C1" s="366"/>
      <c r="D1" s="366"/>
      <c r="E1" s="366"/>
      <c r="F1" s="366"/>
      <c r="G1" s="366"/>
      <c r="H1" s="366"/>
      <c r="I1" s="366"/>
    </row>
    <row r="2" spans="1:9" ht="15.75">
      <c r="A2" s="366" t="s">
        <v>797</v>
      </c>
      <c r="B2" s="366"/>
      <c r="C2" s="366"/>
      <c r="D2" s="366"/>
      <c r="E2" s="366"/>
      <c r="F2" s="366"/>
      <c r="G2" s="366"/>
      <c r="H2" s="366"/>
      <c r="I2" s="366"/>
    </row>
    <row r="3" spans="1:9" ht="15.75">
      <c r="A3" s="366" t="s">
        <v>949</v>
      </c>
      <c r="B3" s="366"/>
      <c r="C3" s="366"/>
      <c r="D3" s="366"/>
      <c r="E3" s="366"/>
      <c r="F3" s="366"/>
      <c r="G3" s="366"/>
      <c r="H3" s="366"/>
      <c r="I3" s="366"/>
    </row>
    <row r="4" spans="1:8" ht="15.75">
      <c r="A4" s="47"/>
      <c r="B4" s="47"/>
      <c r="C4" s="47"/>
      <c r="D4" s="47"/>
      <c r="E4" s="47"/>
      <c r="F4" s="47"/>
      <c r="G4" s="47"/>
      <c r="H4" s="47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9" ht="34.5" customHeight="1">
      <c r="A6" s="375" t="s">
        <v>573</v>
      </c>
      <c r="B6" s="375"/>
      <c r="C6" s="375"/>
      <c r="D6" s="375"/>
      <c r="E6" s="375"/>
      <c r="F6" s="375"/>
      <c r="G6" s="375"/>
      <c r="H6" s="375"/>
      <c r="I6" s="375"/>
    </row>
    <row r="7" spans="1:9" ht="15.75" customHeight="1">
      <c r="A7" s="194"/>
      <c r="B7" s="194"/>
      <c r="C7" s="194"/>
      <c r="D7" s="194"/>
      <c r="E7" s="194"/>
      <c r="F7" s="194"/>
      <c r="G7" s="194"/>
      <c r="H7" s="194"/>
      <c r="I7" s="194"/>
    </row>
    <row r="8" spans="7:9" ht="15.75">
      <c r="G8" s="31"/>
      <c r="I8" s="31" t="s">
        <v>911</v>
      </c>
    </row>
    <row r="9" spans="1:9" ht="47.25">
      <c r="A9" s="23" t="s">
        <v>868</v>
      </c>
      <c r="B9" s="23" t="s">
        <v>73</v>
      </c>
      <c r="C9" s="23" t="s">
        <v>915</v>
      </c>
      <c r="D9" s="23" t="s">
        <v>885</v>
      </c>
      <c r="E9" s="23" t="s">
        <v>887</v>
      </c>
      <c r="F9" s="23" t="s">
        <v>886</v>
      </c>
      <c r="G9" s="23" t="s">
        <v>805</v>
      </c>
      <c r="H9" s="23" t="s">
        <v>804</v>
      </c>
      <c r="I9" s="23" t="s">
        <v>801</v>
      </c>
    </row>
    <row r="10" spans="1:9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87.5">
      <c r="A11" s="16" t="s">
        <v>798</v>
      </c>
      <c r="B11" s="17" t="s">
        <v>77</v>
      </c>
      <c r="C11" s="17"/>
      <c r="D11" s="17"/>
      <c r="E11" s="17"/>
      <c r="F11" s="17"/>
      <c r="G11" s="52">
        <f>G12+G45</f>
        <v>5735070</v>
      </c>
      <c r="H11" s="52">
        <f>H12+H45</f>
        <v>5697537.03</v>
      </c>
      <c r="I11" s="52">
        <f>ROUND(H11/G11*100,2)</f>
        <v>99.35</v>
      </c>
    </row>
    <row r="12" spans="1:9" ht="31.5">
      <c r="A12" s="39" t="s">
        <v>890</v>
      </c>
      <c r="B12" s="10" t="s">
        <v>77</v>
      </c>
      <c r="C12" s="10" t="s">
        <v>869</v>
      </c>
      <c r="D12" s="10"/>
      <c r="E12" s="18"/>
      <c r="F12" s="18"/>
      <c r="G12" s="53">
        <f>G13+G21+G38</f>
        <v>5513420</v>
      </c>
      <c r="H12" s="53">
        <f>H13+H21+H38</f>
        <v>5475887.7</v>
      </c>
      <c r="I12" s="53">
        <f aca="true" t="shared" si="0" ref="I12:I66">ROUND(H12/G12*100,2)</f>
        <v>99.32</v>
      </c>
    </row>
    <row r="13" spans="1:9" ht="94.5">
      <c r="A13" s="39" t="s">
        <v>84</v>
      </c>
      <c r="B13" s="10" t="s">
        <v>77</v>
      </c>
      <c r="C13" s="10" t="s">
        <v>869</v>
      </c>
      <c r="D13" s="10" t="s">
        <v>874</v>
      </c>
      <c r="E13" s="10"/>
      <c r="F13" s="10"/>
      <c r="G13" s="54">
        <f aca="true" t="shared" si="1" ref="G13:H17">G14</f>
        <v>1973065</v>
      </c>
      <c r="H13" s="54">
        <f t="shared" si="1"/>
        <v>1947994.06</v>
      </c>
      <c r="I13" s="54">
        <f t="shared" si="0"/>
        <v>98.73</v>
      </c>
    </row>
    <row r="14" spans="1:9" ht="115.5" customHeight="1">
      <c r="A14" s="44" t="s">
        <v>636</v>
      </c>
      <c r="B14" s="6" t="s">
        <v>77</v>
      </c>
      <c r="C14" s="6" t="s">
        <v>869</v>
      </c>
      <c r="D14" s="4" t="s">
        <v>874</v>
      </c>
      <c r="E14" s="6" t="s">
        <v>637</v>
      </c>
      <c r="F14" s="6"/>
      <c r="G14" s="46">
        <f t="shared" si="1"/>
        <v>1973065</v>
      </c>
      <c r="H14" s="46">
        <f t="shared" si="1"/>
        <v>1947994.06</v>
      </c>
      <c r="I14" s="46">
        <f t="shared" si="0"/>
        <v>98.73</v>
      </c>
    </row>
    <row r="15" spans="1:9" ht="31.5">
      <c r="A15" s="5" t="s">
        <v>85</v>
      </c>
      <c r="B15" s="6" t="s">
        <v>77</v>
      </c>
      <c r="C15" s="6" t="s">
        <v>869</v>
      </c>
      <c r="D15" s="4" t="s">
        <v>874</v>
      </c>
      <c r="E15" s="4" t="s">
        <v>86</v>
      </c>
      <c r="F15" s="4"/>
      <c r="G15" s="61">
        <f t="shared" si="1"/>
        <v>1973065</v>
      </c>
      <c r="H15" s="61">
        <f t="shared" si="1"/>
        <v>1947994.06</v>
      </c>
      <c r="I15" s="61">
        <f t="shared" si="0"/>
        <v>98.73</v>
      </c>
    </row>
    <row r="16" spans="1:9" ht="47.25">
      <c r="A16" s="5" t="s">
        <v>924</v>
      </c>
      <c r="B16" s="6" t="s">
        <v>77</v>
      </c>
      <c r="C16" s="6" t="s">
        <v>869</v>
      </c>
      <c r="D16" s="4" t="s">
        <v>874</v>
      </c>
      <c r="E16" s="4" t="s">
        <v>925</v>
      </c>
      <c r="F16" s="4"/>
      <c r="G16" s="61">
        <f t="shared" si="1"/>
        <v>1973065</v>
      </c>
      <c r="H16" s="61">
        <f t="shared" si="1"/>
        <v>1947994.06</v>
      </c>
      <c r="I16" s="61">
        <f t="shared" si="0"/>
        <v>98.73</v>
      </c>
    </row>
    <row r="17" spans="1:9" ht="157.5">
      <c r="A17" s="3" t="s">
        <v>663</v>
      </c>
      <c r="B17" s="6" t="s">
        <v>77</v>
      </c>
      <c r="C17" s="6" t="s">
        <v>869</v>
      </c>
      <c r="D17" s="4" t="s">
        <v>874</v>
      </c>
      <c r="E17" s="4" t="s">
        <v>925</v>
      </c>
      <c r="F17" s="4" t="s">
        <v>664</v>
      </c>
      <c r="G17" s="61">
        <f t="shared" si="1"/>
        <v>1973065</v>
      </c>
      <c r="H17" s="61">
        <f t="shared" si="1"/>
        <v>1947994.06</v>
      </c>
      <c r="I17" s="61">
        <f t="shared" si="0"/>
        <v>98.73</v>
      </c>
    </row>
    <row r="18" spans="1:9" ht="47.25">
      <c r="A18" s="3" t="s">
        <v>667</v>
      </c>
      <c r="B18" s="6" t="s">
        <v>77</v>
      </c>
      <c r="C18" s="6" t="s">
        <v>869</v>
      </c>
      <c r="D18" s="4" t="s">
        <v>874</v>
      </c>
      <c r="E18" s="4" t="s">
        <v>925</v>
      </c>
      <c r="F18" s="4" t="s">
        <v>668</v>
      </c>
      <c r="G18" s="61">
        <f>G19+G20</f>
        <v>1973065</v>
      </c>
      <c r="H18" s="61">
        <f>H19+H20</f>
        <v>1947994.06</v>
      </c>
      <c r="I18" s="61">
        <f t="shared" si="0"/>
        <v>98.73</v>
      </c>
    </row>
    <row r="19" spans="1:9" ht="31.5">
      <c r="A19" s="3" t="s">
        <v>669</v>
      </c>
      <c r="B19" s="6" t="s">
        <v>77</v>
      </c>
      <c r="C19" s="6" t="s">
        <v>869</v>
      </c>
      <c r="D19" s="4" t="s">
        <v>874</v>
      </c>
      <c r="E19" s="4" t="s">
        <v>925</v>
      </c>
      <c r="F19" s="4" t="s">
        <v>670</v>
      </c>
      <c r="G19" s="61">
        <f>2031665-58600</f>
        <v>1973065</v>
      </c>
      <c r="H19" s="61">
        <v>1947994.06</v>
      </c>
      <c r="I19" s="61">
        <f t="shared" si="0"/>
        <v>98.73</v>
      </c>
    </row>
    <row r="20" spans="1:9" ht="47.25" customHeight="1" hidden="1">
      <c r="A20" s="3" t="s">
        <v>671</v>
      </c>
      <c r="B20" s="6" t="s">
        <v>77</v>
      </c>
      <c r="C20" s="6" t="s">
        <v>869</v>
      </c>
      <c r="D20" s="60" t="s">
        <v>874</v>
      </c>
      <c r="E20" s="4" t="s">
        <v>925</v>
      </c>
      <c r="F20" s="4" t="s">
        <v>672</v>
      </c>
      <c r="G20" s="61"/>
      <c r="H20" s="61"/>
      <c r="I20" s="61" t="e">
        <f t="shared" si="0"/>
        <v>#DIV/0!</v>
      </c>
    </row>
    <row r="21" spans="1:9" ht="126">
      <c r="A21" s="1" t="s">
        <v>724</v>
      </c>
      <c r="B21" s="10" t="s">
        <v>77</v>
      </c>
      <c r="C21" s="10" t="s">
        <v>869</v>
      </c>
      <c r="D21" s="10" t="s">
        <v>876</v>
      </c>
      <c r="E21" s="10"/>
      <c r="F21" s="10"/>
      <c r="G21" s="54">
        <f>G22</f>
        <v>3507355</v>
      </c>
      <c r="H21" s="54">
        <f>H22</f>
        <v>3498983.64</v>
      </c>
      <c r="I21" s="54">
        <f t="shared" si="0"/>
        <v>99.76</v>
      </c>
    </row>
    <row r="22" spans="1:11" s="38" customFormat="1" ht="110.25">
      <c r="A22" s="44" t="s">
        <v>636</v>
      </c>
      <c r="B22" s="6" t="s">
        <v>77</v>
      </c>
      <c r="C22" s="6" t="s">
        <v>869</v>
      </c>
      <c r="D22" s="6" t="s">
        <v>876</v>
      </c>
      <c r="E22" s="6" t="s">
        <v>637</v>
      </c>
      <c r="F22" s="6"/>
      <c r="G22" s="46">
        <f>G23+G33</f>
        <v>3507355</v>
      </c>
      <c r="H22" s="46">
        <f>H23+H33</f>
        <v>3498983.64</v>
      </c>
      <c r="I22" s="46">
        <f t="shared" si="0"/>
        <v>99.76</v>
      </c>
      <c r="J22" s="95"/>
      <c r="K22" s="186"/>
    </row>
    <row r="23" spans="1:11" s="38" customFormat="1" ht="15.75">
      <c r="A23" s="44" t="s">
        <v>907</v>
      </c>
      <c r="B23" s="6" t="s">
        <v>77</v>
      </c>
      <c r="C23" s="6" t="s">
        <v>869</v>
      </c>
      <c r="D23" s="6" t="s">
        <v>876</v>
      </c>
      <c r="E23" s="6" t="s">
        <v>638</v>
      </c>
      <c r="F23" s="6"/>
      <c r="G23" s="46">
        <f>G24</f>
        <v>3127955</v>
      </c>
      <c r="H23" s="46">
        <f>H24</f>
        <v>3119583.64</v>
      </c>
      <c r="I23" s="46">
        <f t="shared" si="0"/>
        <v>99.73</v>
      </c>
      <c r="J23" s="95"/>
      <c r="K23" s="186"/>
    </row>
    <row r="24" spans="1:9" ht="47.25">
      <c r="A24" s="3" t="s">
        <v>641</v>
      </c>
      <c r="B24" s="6" t="s">
        <v>77</v>
      </c>
      <c r="C24" s="6" t="s">
        <v>869</v>
      </c>
      <c r="D24" s="6" t="s">
        <v>876</v>
      </c>
      <c r="E24" s="6" t="s">
        <v>639</v>
      </c>
      <c r="F24" s="6"/>
      <c r="G24" s="46">
        <f>G25+G29</f>
        <v>3127955</v>
      </c>
      <c r="H24" s="46">
        <f>H25+H29</f>
        <v>3119583.64</v>
      </c>
      <c r="I24" s="46">
        <f t="shared" si="0"/>
        <v>99.73</v>
      </c>
    </row>
    <row r="25" spans="1:9" ht="157.5">
      <c r="A25" s="3" t="s">
        <v>663</v>
      </c>
      <c r="B25" s="6" t="s">
        <v>77</v>
      </c>
      <c r="C25" s="6" t="s">
        <v>869</v>
      </c>
      <c r="D25" s="6" t="s">
        <v>876</v>
      </c>
      <c r="E25" s="6" t="s">
        <v>639</v>
      </c>
      <c r="F25" s="6" t="s">
        <v>664</v>
      </c>
      <c r="G25" s="46">
        <f>G26</f>
        <v>3053776.44</v>
      </c>
      <c r="H25" s="46">
        <f>H26</f>
        <v>3053563.64</v>
      </c>
      <c r="I25" s="46">
        <f t="shared" si="0"/>
        <v>99.99</v>
      </c>
    </row>
    <row r="26" spans="1:9" ht="47.25">
      <c r="A26" s="3" t="s">
        <v>667</v>
      </c>
      <c r="B26" s="6" t="s">
        <v>77</v>
      </c>
      <c r="C26" s="6" t="s">
        <v>869</v>
      </c>
      <c r="D26" s="6" t="s">
        <v>876</v>
      </c>
      <c r="E26" s="6" t="s">
        <v>639</v>
      </c>
      <c r="F26" s="6" t="s">
        <v>668</v>
      </c>
      <c r="G26" s="46">
        <f>G27+G28</f>
        <v>3053776.44</v>
      </c>
      <c r="H26" s="46">
        <f>H27+H28</f>
        <v>3053563.64</v>
      </c>
      <c r="I26" s="46">
        <f t="shared" si="0"/>
        <v>99.99</v>
      </c>
    </row>
    <row r="27" spans="1:9" ht="31.5">
      <c r="A27" s="3" t="s">
        <v>669</v>
      </c>
      <c r="B27" s="6" t="s">
        <v>77</v>
      </c>
      <c r="C27" s="6" t="s">
        <v>869</v>
      </c>
      <c r="D27" s="6" t="s">
        <v>876</v>
      </c>
      <c r="E27" s="6" t="s">
        <v>639</v>
      </c>
      <c r="F27" s="4" t="s">
        <v>670</v>
      </c>
      <c r="G27" s="46">
        <f>2015291+608640+149600+121505+52395+38571</f>
        <v>2986002</v>
      </c>
      <c r="H27" s="46">
        <v>2986002</v>
      </c>
      <c r="I27" s="46">
        <f t="shared" si="0"/>
        <v>100</v>
      </c>
    </row>
    <row r="28" spans="1:9" ht="47.25">
      <c r="A28" s="3" t="s">
        <v>671</v>
      </c>
      <c r="B28" s="6" t="s">
        <v>77</v>
      </c>
      <c r="C28" s="6" t="s">
        <v>869</v>
      </c>
      <c r="D28" s="6" t="s">
        <v>876</v>
      </c>
      <c r="E28" s="6" t="s">
        <v>639</v>
      </c>
      <c r="F28" s="4" t="s">
        <v>672</v>
      </c>
      <c r="G28" s="46">
        <f>61002+20000-13227.56</f>
        <v>67774.44</v>
      </c>
      <c r="H28" s="46">
        <v>67561.64</v>
      </c>
      <c r="I28" s="46">
        <f t="shared" si="0"/>
        <v>99.69</v>
      </c>
    </row>
    <row r="29" spans="1:9" ht="47.25">
      <c r="A29" s="3" t="s">
        <v>673</v>
      </c>
      <c r="B29" s="6" t="s">
        <v>77</v>
      </c>
      <c r="C29" s="6" t="s">
        <v>869</v>
      </c>
      <c r="D29" s="6" t="s">
        <v>876</v>
      </c>
      <c r="E29" s="6" t="s">
        <v>639</v>
      </c>
      <c r="F29" s="6" t="s">
        <v>674</v>
      </c>
      <c r="G29" s="46">
        <f>G30</f>
        <v>74178.56</v>
      </c>
      <c r="H29" s="46">
        <f>H30</f>
        <v>66020</v>
      </c>
      <c r="I29" s="46">
        <f t="shared" si="0"/>
        <v>89</v>
      </c>
    </row>
    <row r="30" spans="1:9" ht="47.25">
      <c r="A30" s="3" t="s">
        <v>675</v>
      </c>
      <c r="B30" s="6" t="s">
        <v>77</v>
      </c>
      <c r="C30" s="6" t="s">
        <v>869</v>
      </c>
      <c r="D30" s="6" t="s">
        <v>876</v>
      </c>
      <c r="E30" s="6" t="s">
        <v>639</v>
      </c>
      <c r="F30" s="6" t="s">
        <v>676</v>
      </c>
      <c r="G30" s="46">
        <f>G31+G32</f>
        <v>74178.56</v>
      </c>
      <c r="H30" s="46">
        <f>H31+H32</f>
        <v>66020</v>
      </c>
      <c r="I30" s="46">
        <f t="shared" si="0"/>
        <v>89</v>
      </c>
    </row>
    <row r="31" spans="1:9" ht="78.75">
      <c r="A31" s="3" t="s">
        <v>679</v>
      </c>
      <c r="B31" s="6" t="s">
        <v>77</v>
      </c>
      <c r="C31" s="6" t="s">
        <v>869</v>
      </c>
      <c r="D31" s="6" t="s">
        <v>876</v>
      </c>
      <c r="E31" s="6" t="s">
        <v>639</v>
      </c>
      <c r="F31" s="6" t="s">
        <v>680</v>
      </c>
      <c r="G31" s="46">
        <f>58020</f>
        <v>58020</v>
      </c>
      <c r="H31" s="46">
        <v>58020</v>
      </c>
      <c r="I31" s="46">
        <f t="shared" si="0"/>
        <v>100</v>
      </c>
    </row>
    <row r="32" spans="1:9" ht="47.25">
      <c r="A32" s="3" t="s">
        <v>677</v>
      </c>
      <c r="B32" s="6" t="s">
        <v>77</v>
      </c>
      <c r="C32" s="6" t="s">
        <v>869</v>
      </c>
      <c r="D32" s="6" t="s">
        <v>876</v>
      </c>
      <c r="E32" s="6" t="s">
        <v>639</v>
      </c>
      <c r="F32" s="6" t="s">
        <v>678</v>
      </c>
      <c r="G32" s="46">
        <f>4682+56820-20000-25343.44</f>
        <v>16158.560000000001</v>
      </c>
      <c r="H32" s="46">
        <v>8000</v>
      </c>
      <c r="I32" s="46">
        <f t="shared" si="0"/>
        <v>49.51</v>
      </c>
    </row>
    <row r="33" spans="1:9" ht="78.75">
      <c r="A33" s="3" t="s">
        <v>655</v>
      </c>
      <c r="B33" s="6" t="s">
        <v>77</v>
      </c>
      <c r="C33" s="6" t="s">
        <v>869</v>
      </c>
      <c r="D33" s="6" t="s">
        <v>876</v>
      </c>
      <c r="E33" s="6" t="s">
        <v>656</v>
      </c>
      <c r="F33" s="6"/>
      <c r="G33" s="46">
        <f>G34</f>
        <v>379400</v>
      </c>
      <c r="H33" s="46">
        <f>H34</f>
        <v>379400</v>
      </c>
      <c r="I33" s="46">
        <f t="shared" si="0"/>
        <v>100</v>
      </c>
    </row>
    <row r="34" spans="1:9" ht="157.5">
      <c r="A34" s="3" t="s">
        <v>663</v>
      </c>
      <c r="B34" s="6" t="s">
        <v>77</v>
      </c>
      <c r="C34" s="6" t="s">
        <v>869</v>
      </c>
      <c r="D34" s="6" t="s">
        <v>876</v>
      </c>
      <c r="E34" s="6" t="s">
        <v>656</v>
      </c>
      <c r="F34" s="4" t="s">
        <v>664</v>
      </c>
      <c r="G34" s="46">
        <f>G35</f>
        <v>379400</v>
      </c>
      <c r="H34" s="46">
        <f>H35</f>
        <v>379400</v>
      </c>
      <c r="I34" s="46">
        <f t="shared" si="0"/>
        <v>100</v>
      </c>
    </row>
    <row r="35" spans="1:9" ht="47.25">
      <c r="A35" s="3" t="s">
        <v>667</v>
      </c>
      <c r="B35" s="6" t="s">
        <v>77</v>
      </c>
      <c r="C35" s="6" t="s">
        <v>869</v>
      </c>
      <c r="D35" s="6" t="s">
        <v>876</v>
      </c>
      <c r="E35" s="6" t="s">
        <v>656</v>
      </c>
      <c r="F35" s="4" t="s">
        <v>668</v>
      </c>
      <c r="G35" s="46">
        <f>G36+G37</f>
        <v>379400</v>
      </c>
      <c r="H35" s="46">
        <f>H36+H37</f>
        <v>379400</v>
      </c>
      <c r="I35" s="46">
        <f t="shared" si="0"/>
        <v>100</v>
      </c>
    </row>
    <row r="36" spans="1:9" ht="31.5">
      <c r="A36" s="3" t="s">
        <v>669</v>
      </c>
      <c r="B36" s="6" t="s">
        <v>77</v>
      </c>
      <c r="C36" s="6" t="s">
        <v>869</v>
      </c>
      <c r="D36" s="6" t="s">
        <v>876</v>
      </c>
      <c r="E36" s="6" t="s">
        <v>656</v>
      </c>
      <c r="F36" s="4" t="s">
        <v>670</v>
      </c>
      <c r="G36" s="46">
        <v>379400</v>
      </c>
      <c r="H36" s="46">
        <v>379400</v>
      </c>
      <c r="I36" s="46">
        <f t="shared" si="0"/>
        <v>100</v>
      </c>
    </row>
    <row r="37" spans="1:9" ht="47.25" customHeight="1" hidden="1">
      <c r="A37" s="3" t="s">
        <v>671</v>
      </c>
      <c r="B37" s="6" t="s">
        <v>77</v>
      </c>
      <c r="C37" s="6" t="s">
        <v>869</v>
      </c>
      <c r="D37" s="6" t="s">
        <v>876</v>
      </c>
      <c r="E37" s="6" t="s">
        <v>656</v>
      </c>
      <c r="F37" s="4" t="s">
        <v>672</v>
      </c>
      <c r="G37" s="46"/>
      <c r="H37" s="46"/>
      <c r="I37" s="46" t="e">
        <f t="shared" si="0"/>
        <v>#DIV/0!</v>
      </c>
    </row>
    <row r="38" spans="1:9" ht="47.25">
      <c r="A38" s="1" t="s">
        <v>906</v>
      </c>
      <c r="B38" s="2" t="s">
        <v>77</v>
      </c>
      <c r="C38" s="2" t="s">
        <v>869</v>
      </c>
      <c r="D38" s="2" t="s">
        <v>659</v>
      </c>
      <c r="E38" s="2"/>
      <c r="F38" s="2"/>
      <c r="G38" s="50">
        <f aca="true" t="shared" si="2" ref="G38:H43">G39</f>
        <v>33000</v>
      </c>
      <c r="H38" s="50">
        <f t="shared" si="2"/>
        <v>28910</v>
      </c>
      <c r="I38" s="50">
        <f t="shared" si="0"/>
        <v>87.61</v>
      </c>
    </row>
    <row r="39" spans="1:9" ht="31.5">
      <c r="A39" s="1" t="s">
        <v>554</v>
      </c>
      <c r="B39" s="2" t="s">
        <v>77</v>
      </c>
      <c r="C39" s="2" t="s">
        <v>869</v>
      </c>
      <c r="D39" s="2" t="s">
        <v>659</v>
      </c>
      <c r="E39" s="2" t="s">
        <v>932</v>
      </c>
      <c r="F39" s="133"/>
      <c r="G39" s="50">
        <f t="shared" si="2"/>
        <v>33000</v>
      </c>
      <c r="H39" s="50">
        <f t="shared" si="2"/>
        <v>28910</v>
      </c>
      <c r="I39" s="50">
        <f t="shared" si="0"/>
        <v>87.61</v>
      </c>
    </row>
    <row r="40" spans="1:9" ht="141.75">
      <c r="A40" s="90" t="s">
        <v>846</v>
      </c>
      <c r="B40" s="6" t="s">
        <v>77</v>
      </c>
      <c r="C40" s="6" t="s">
        <v>869</v>
      </c>
      <c r="D40" s="6" t="s">
        <v>659</v>
      </c>
      <c r="E40" s="6" t="s">
        <v>847</v>
      </c>
      <c r="F40" s="91"/>
      <c r="G40" s="61">
        <f t="shared" si="2"/>
        <v>33000</v>
      </c>
      <c r="H40" s="61">
        <f t="shared" si="2"/>
        <v>28910</v>
      </c>
      <c r="I40" s="61">
        <f t="shared" si="0"/>
        <v>87.61</v>
      </c>
    </row>
    <row r="41" spans="1:9" ht="110.25">
      <c r="A41" s="90" t="s">
        <v>92</v>
      </c>
      <c r="B41" s="6" t="s">
        <v>77</v>
      </c>
      <c r="C41" s="6" t="s">
        <v>869</v>
      </c>
      <c r="D41" s="6" t="s">
        <v>659</v>
      </c>
      <c r="E41" s="6" t="s">
        <v>93</v>
      </c>
      <c r="F41" s="91"/>
      <c r="G41" s="61">
        <f t="shared" si="2"/>
        <v>33000</v>
      </c>
      <c r="H41" s="61">
        <f t="shared" si="2"/>
        <v>28910</v>
      </c>
      <c r="I41" s="61">
        <f t="shared" si="0"/>
        <v>87.61</v>
      </c>
    </row>
    <row r="42" spans="1:9" ht="47.25">
      <c r="A42" s="113" t="s">
        <v>673</v>
      </c>
      <c r="B42" s="6" t="s">
        <v>77</v>
      </c>
      <c r="C42" s="6" t="s">
        <v>869</v>
      </c>
      <c r="D42" s="6" t="s">
        <v>659</v>
      </c>
      <c r="E42" s="6" t="s">
        <v>93</v>
      </c>
      <c r="F42" s="91" t="s">
        <v>674</v>
      </c>
      <c r="G42" s="61">
        <f t="shared" si="2"/>
        <v>33000</v>
      </c>
      <c r="H42" s="61">
        <f t="shared" si="2"/>
        <v>28910</v>
      </c>
      <c r="I42" s="61">
        <f t="shared" si="0"/>
        <v>87.61</v>
      </c>
    </row>
    <row r="43" spans="1:9" ht="47.25">
      <c r="A43" s="113" t="s">
        <v>675</v>
      </c>
      <c r="B43" s="6" t="s">
        <v>77</v>
      </c>
      <c r="C43" s="6" t="s">
        <v>869</v>
      </c>
      <c r="D43" s="6" t="s">
        <v>659</v>
      </c>
      <c r="E43" s="6" t="s">
        <v>93</v>
      </c>
      <c r="F43" s="91" t="s">
        <v>676</v>
      </c>
      <c r="G43" s="61">
        <f t="shared" si="2"/>
        <v>33000</v>
      </c>
      <c r="H43" s="61">
        <f t="shared" si="2"/>
        <v>28910</v>
      </c>
      <c r="I43" s="61">
        <f t="shared" si="0"/>
        <v>87.61</v>
      </c>
    </row>
    <row r="44" spans="1:9" ht="47.25">
      <c r="A44" s="5" t="s">
        <v>677</v>
      </c>
      <c r="B44" s="6" t="s">
        <v>77</v>
      </c>
      <c r="C44" s="6" t="s">
        <v>869</v>
      </c>
      <c r="D44" s="6" t="s">
        <v>659</v>
      </c>
      <c r="E44" s="6" t="s">
        <v>93</v>
      </c>
      <c r="F44" s="91" t="s">
        <v>678</v>
      </c>
      <c r="G44" s="61">
        <f>33000</f>
        <v>33000</v>
      </c>
      <c r="H44" s="61">
        <v>28910</v>
      </c>
      <c r="I44" s="61">
        <f t="shared" si="0"/>
        <v>87.61</v>
      </c>
    </row>
    <row r="45" spans="1:12" s="24" customFormat="1" ht="31.5">
      <c r="A45" s="1" t="s">
        <v>892</v>
      </c>
      <c r="B45" s="2" t="s">
        <v>77</v>
      </c>
      <c r="C45" s="2" t="s">
        <v>879</v>
      </c>
      <c r="D45" s="2"/>
      <c r="E45" s="2"/>
      <c r="F45" s="2"/>
      <c r="G45" s="50">
        <f aca="true" t="shared" si="3" ref="G45:H51">G46</f>
        <v>221650</v>
      </c>
      <c r="H45" s="50">
        <f t="shared" si="3"/>
        <v>221649.33</v>
      </c>
      <c r="I45" s="50">
        <f t="shared" si="0"/>
        <v>100</v>
      </c>
      <c r="J45" s="43"/>
      <c r="K45" s="185"/>
      <c r="L45" s="19"/>
    </row>
    <row r="46" spans="1:9" ht="15.75">
      <c r="A46" s="3" t="s">
        <v>634</v>
      </c>
      <c r="B46" s="6" t="s">
        <v>77</v>
      </c>
      <c r="C46" s="6" t="s">
        <v>879</v>
      </c>
      <c r="D46" s="6" t="s">
        <v>877</v>
      </c>
      <c r="E46" s="6"/>
      <c r="F46" s="6"/>
      <c r="G46" s="46">
        <f t="shared" si="3"/>
        <v>221650</v>
      </c>
      <c r="H46" s="46">
        <f t="shared" si="3"/>
        <v>221649.33</v>
      </c>
      <c r="I46" s="46">
        <f t="shared" si="0"/>
        <v>100</v>
      </c>
    </row>
    <row r="47" spans="1:9" ht="47.25">
      <c r="A47" s="3" t="s">
        <v>922</v>
      </c>
      <c r="B47" s="6" t="s">
        <v>77</v>
      </c>
      <c r="C47" s="6" t="s">
        <v>879</v>
      </c>
      <c r="D47" s="6" t="s">
        <v>877</v>
      </c>
      <c r="E47" s="6" t="s">
        <v>923</v>
      </c>
      <c r="F47" s="6"/>
      <c r="G47" s="46">
        <f t="shared" si="3"/>
        <v>221650</v>
      </c>
      <c r="H47" s="46">
        <f t="shared" si="3"/>
        <v>221649.33</v>
      </c>
      <c r="I47" s="46">
        <f t="shared" si="0"/>
        <v>100</v>
      </c>
    </row>
    <row r="48" spans="1:9" ht="47.25">
      <c r="A48" s="90" t="s">
        <v>824</v>
      </c>
      <c r="B48" s="6" t="s">
        <v>77</v>
      </c>
      <c r="C48" s="6" t="s">
        <v>879</v>
      </c>
      <c r="D48" s="6" t="s">
        <v>877</v>
      </c>
      <c r="E48" s="6" t="s">
        <v>795</v>
      </c>
      <c r="F48" s="6"/>
      <c r="G48" s="46">
        <f t="shared" si="3"/>
        <v>221650</v>
      </c>
      <c r="H48" s="46">
        <f t="shared" si="3"/>
        <v>221649.33</v>
      </c>
      <c r="I48" s="46">
        <f t="shared" si="0"/>
        <v>100</v>
      </c>
    </row>
    <row r="49" spans="1:9" ht="141.75">
      <c r="A49" s="3" t="s">
        <v>825</v>
      </c>
      <c r="B49" s="6" t="s">
        <v>77</v>
      </c>
      <c r="C49" s="6" t="s">
        <v>879</v>
      </c>
      <c r="D49" s="6" t="s">
        <v>877</v>
      </c>
      <c r="E49" s="6" t="s">
        <v>826</v>
      </c>
      <c r="F49" s="6"/>
      <c r="G49" s="46">
        <f t="shared" si="3"/>
        <v>221650</v>
      </c>
      <c r="H49" s="46">
        <f t="shared" si="3"/>
        <v>221649.33</v>
      </c>
      <c r="I49" s="46">
        <f t="shared" si="0"/>
        <v>100</v>
      </c>
    </row>
    <row r="50" spans="1:9" ht="47.25">
      <c r="A50" s="3" t="s">
        <v>673</v>
      </c>
      <c r="B50" s="6" t="s">
        <v>77</v>
      </c>
      <c r="C50" s="6" t="s">
        <v>879</v>
      </c>
      <c r="D50" s="6" t="s">
        <v>877</v>
      </c>
      <c r="E50" s="6" t="s">
        <v>826</v>
      </c>
      <c r="F50" s="6" t="s">
        <v>674</v>
      </c>
      <c r="G50" s="46">
        <f t="shared" si="3"/>
        <v>221650</v>
      </c>
      <c r="H50" s="46">
        <f t="shared" si="3"/>
        <v>221649.33</v>
      </c>
      <c r="I50" s="46">
        <f t="shared" si="0"/>
        <v>100</v>
      </c>
    </row>
    <row r="51" spans="1:9" ht="47.25">
      <c r="A51" s="3" t="s">
        <v>675</v>
      </c>
      <c r="B51" s="6" t="s">
        <v>77</v>
      </c>
      <c r="C51" s="6" t="s">
        <v>879</v>
      </c>
      <c r="D51" s="6" t="s">
        <v>877</v>
      </c>
      <c r="E51" s="6" t="s">
        <v>826</v>
      </c>
      <c r="F51" s="6" t="s">
        <v>676</v>
      </c>
      <c r="G51" s="46">
        <f t="shared" si="3"/>
        <v>221650</v>
      </c>
      <c r="H51" s="46">
        <f t="shared" si="3"/>
        <v>221649.33</v>
      </c>
      <c r="I51" s="46">
        <f t="shared" si="0"/>
        <v>100</v>
      </c>
    </row>
    <row r="52" spans="1:9" ht="78.75">
      <c r="A52" s="3" t="s">
        <v>679</v>
      </c>
      <c r="B52" s="6" t="s">
        <v>77</v>
      </c>
      <c r="C52" s="6" t="s">
        <v>879</v>
      </c>
      <c r="D52" s="6" t="s">
        <v>877</v>
      </c>
      <c r="E52" s="6" t="s">
        <v>826</v>
      </c>
      <c r="F52" s="6" t="s">
        <v>680</v>
      </c>
      <c r="G52" s="46">
        <v>221650</v>
      </c>
      <c r="H52" s="46">
        <v>221649.33</v>
      </c>
      <c r="I52" s="46">
        <f t="shared" si="0"/>
        <v>100</v>
      </c>
    </row>
    <row r="53" spans="1:9" ht="187.5">
      <c r="A53" s="13" t="s">
        <v>814</v>
      </c>
      <c r="B53" s="14" t="s">
        <v>78</v>
      </c>
      <c r="C53" s="14"/>
      <c r="D53" s="14"/>
      <c r="E53" s="14"/>
      <c r="F53" s="14"/>
      <c r="G53" s="56">
        <f>G54+G207+G255+G314+G340</f>
        <v>184081970.55</v>
      </c>
      <c r="H53" s="56">
        <f>H54+H207+H255+H314+H340</f>
        <v>179205635.4</v>
      </c>
      <c r="I53" s="56">
        <f t="shared" si="0"/>
        <v>97.35</v>
      </c>
    </row>
    <row r="54" spans="1:9" ht="31.5">
      <c r="A54" s="39" t="s">
        <v>890</v>
      </c>
      <c r="B54" s="10" t="s">
        <v>78</v>
      </c>
      <c r="C54" s="10" t="s">
        <v>869</v>
      </c>
      <c r="D54" s="18"/>
      <c r="E54" s="18"/>
      <c r="F54" s="18"/>
      <c r="G54" s="53">
        <f>G55+G101+G110+G95</f>
        <v>83593897.86</v>
      </c>
      <c r="H54" s="53">
        <f>H55+H101+H110+H95</f>
        <v>81290268.15</v>
      </c>
      <c r="I54" s="53">
        <f t="shared" si="0"/>
        <v>97.24</v>
      </c>
    </row>
    <row r="55" spans="1:9" ht="126">
      <c r="A55" s="1" t="s">
        <v>640</v>
      </c>
      <c r="B55" s="10" t="s">
        <v>78</v>
      </c>
      <c r="C55" s="10" t="s">
        <v>869</v>
      </c>
      <c r="D55" s="10" t="s">
        <v>879</v>
      </c>
      <c r="E55" s="10"/>
      <c r="F55" s="10"/>
      <c r="G55" s="54">
        <f>G56</f>
        <v>29610656.300000004</v>
      </c>
      <c r="H55" s="54">
        <f>H56</f>
        <v>29228736.36</v>
      </c>
      <c r="I55" s="54">
        <f t="shared" si="0"/>
        <v>98.71</v>
      </c>
    </row>
    <row r="56" spans="1:9" ht="110.25">
      <c r="A56" s="44" t="s">
        <v>636</v>
      </c>
      <c r="B56" s="6" t="s">
        <v>78</v>
      </c>
      <c r="C56" s="6" t="s">
        <v>869</v>
      </c>
      <c r="D56" s="6" t="s">
        <v>879</v>
      </c>
      <c r="E56" s="6" t="s">
        <v>637</v>
      </c>
      <c r="F56" s="6"/>
      <c r="G56" s="46">
        <f>G57+G76</f>
        <v>29610656.300000004</v>
      </c>
      <c r="H56" s="46">
        <f>H57+H76</f>
        <v>29228736.36</v>
      </c>
      <c r="I56" s="46">
        <f t="shared" si="0"/>
        <v>98.71</v>
      </c>
    </row>
    <row r="57" spans="1:9" ht="15.75">
      <c r="A57" s="44" t="s">
        <v>907</v>
      </c>
      <c r="B57" s="6" t="s">
        <v>78</v>
      </c>
      <c r="C57" s="6" t="s">
        <v>869</v>
      </c>
      <c r="D57" s="6" t="s">
        <v>879</v>
      </c>
      <c r="E57" s="6" t="s">
        <v>638</v>
      </c>
      <c r="F57" s="6"/>
      <c r="G57" s="46">
        <f>G58+G72</f>
        <v>27878863.180000003</v>
      </c>
      <c r="H57" s="46">
        <f>H58+H72</f>
        <v>27508595.93</v>
      </c>
      <c r="I57" s="46">
        <f t="shared" si="0"/>
        <v>98.67</v>
      </c>
    </row>
    <row r="58" spans="1:9" ht="47.25">
      <c r="A58" s="44" t="s">
        <v>642</v>
      </c>
      <c r="B58" s="6" t="s">
        <v>78</v>
      </c>
      <c r="C58" s="6" t="s">
        <v>869</v>
      </c>
      <c r="D58" s="6" t="s">
        <v>879</v>
      </c>
      <c r="E58" s="6" t="s">
        <v>639</v>
      </c>
      <c r="F58" s="6"/>
      <c r="G58" s="46">
        <f>G59+G63</f>
        <v>27576367.880000003</v>
      </c>
      <c r="H58" s="46">
        <f>H59+H63+H67</f>
        <v>27206100.63</v>
      </c>
      <c r="I58" s="46">
        <f t="shared" si="0"/>
        <v>98.66</v>
      </c>
    </row>
    <row r="59" spans="1:9" ht="157.5">
      <c r="A59" s="44" t="s">
        <v>663</v>
      </c>
      <c r="B59" s="6" t="s">
        <v>78</v>
      </c>
      <c r="C59" s="6" t="s">
        <v>869</v>
      </c>
      <c r="D59" s="6" t="s">
        <v>879</v>
      </c>
      <c r="E59" s="6" t="s">
        <v>639</v>
      </c>
      <c r="F59" s="6" t="s">
        <v>664</v>
      </c>
      <c r="G59" s="46">
        <f>G60</f>
        <v>26791330.76</v>
      </c>
      <c r="H59" s="46">
        <f>H60</f>
        <v>26547959.73</v>
      </c>
      <c r="I59" s="46">
        <f t="shared" si="0"/>
        <v>99.09</v>
      </c>
    </row>
    <row r="60" spans="1:9" ht="47.25">
      <c r="A60" s="44" t="s">
        <v>667</v>
      </c>
      <c r="B60" s="6" t="s">
        <v>78</v>
      </c>
      <c r="C60" s="6" t="s">
        <v>869</v>
      </c>
      <c r="D60" s="6" t="s">
        <v>879</v>
      </c>
      <c r="E60" s="6" t="s">
        <v>639</v>
      </c>
      <c r="F60" s="6" t="s">
        <v>668</v>
      </c>
      <c r="G60" s="46">
        <f>G61+G62</f>
        <v>26791330.76</v>
      </c>
      <c r="H60" s="46">
        <f>H61+H62</f>
        <v>26547959.73</v>
      </c>
      <c r="I60" s="46">
        <f t="shared" si="0"/>
        <v>99.09</v>
      </c>
    </row>
    <row r="61" spans="1:9" ht="31.5">
      <c r="A61" s="44" t="s">
        <v>669</v>
      </c>
      <c r="B61" s="6" t="s">
        <v>78</v>
      </c>
      <c r="C61" s="6" t="s">
        <v>869</v>
      </c>
      <c r="D61" s="6" t="s">
        <v>879</v>
      </c>
      <c r="E61" s="6" t="s">
        <v>639</v>
      </c>
      <c r="F61" s="6" t="s">
        <v>670</v>
      </c>
      <c r="G61" s="46">
        <f>25407375+155817+377206+389147.76</f>
        <v>26329545.76</v>
      </c>
      <c r="H61" s="46">
        <v>26105271.81</v>
      </c>
      <c r="I61" s="46">
        <f t="shared" si="0"/>
        <v>99.15</v>
      </c>
    </row>
    <row r="62" spans="1:9" ht="47.25">
      <c r="A62" s="44" t="s">
        <v>671</v>
      </c>
      <c r="B62" s="6" t="s">
        <v>78</v>
      </c>
      <c r="C62" s="6" t="s">
        <v>869</v>
      </c>
      <c r="D62" s="6" t="s">
        <v>879</v>
      </c>
      <c r="E62" s="6" t="s">
        <v>639</v>
      </c>
      <c r="F62" s="6" t="s">
        <v>672</v>
      </c>
      <c r="G62" s="46">
        <f>375518+50000+40000+100000-50000-18733-35000</f>
        <v>461785</v>
      </c>
      <c r="H62" s="46">
        <v>442687.92</v>
      </c>
      <c r="I62" s="46">
        <f t="shared" si="0"/>
        <v>95.86</v>
      </c>
    </row>
    <row r="63" spans="1:9" ht="47.25">
      <c r="A63" s="44" t="s">
        <v>673</v>
      </c>
      <c r="B63" s="6" t="s">
        <v>78</v>
      </c>
      <c r="C63" s="6" t="s">
        <v>869</v>
      </c>
      <c r="D63" s="6" t="s">
        <v>879</v>
      </c>
      <c r="E63" s="6" t="s">
        <v>639</v>
      </c>
      <c r="F63" s="6" t="s">
        <v>674</v>
      </c>
      <c r="G63" s="46">
        <f>G64</f>
        <v>785037.12</v>
      </c>
      <c r="H63" s="46">
        <f>H64</f>
        <v>658175.1100000001</v>
      </c>
      <c r="I63" s="46">
        <f t="shared" si="0"/>
        <v>83.84</v>
      </c>
    </row>
    <row r="64" spans="1:9" ht="47.25">
      <c r="A64" s="44" t="s">
        <v>675</v>
      </c>
      <c r="B64" s="6" t="s">
        <v>78</v>
      </c>
      <c r="C64" s="6" t="s">
        <v>869</v>
      </c>
      <c r="D64" s="6" t="s">
        <v>879</v>
      </c>
      <c r="E64" s="6" t="s">
        <v>639</v>
      </c>
      <c r="F64" s="6" t="s">
        <v>676</v>
      </c>
      <c r="G64" s="46">
        <f>G65+G66</f>
        <v>785037.12</v>
      </c>
      <c r="H64" s="46">
        <f>H65+H66</f>
        <v>658175.1100000001</v>
      </c>
      <c r="I64" s="46">
        <f t="shared" si="0"/>
        <v>83.84</v>
      </c>
    </row>
    <row r="65" spans="1:9" ht="78.75">
      <c r="A65" s="3" t="s">
        <v>679</v>
      </c>
      <c r="B65" s="6" t="s">
        <v>78</v>
      </c>
      <c r="C65" s="6" t="s">
        <v>869</v>
      </c>
      <c r="D65" s="6" t="s">
        <v>879</v>
      </c>
      <c r="E65" s="6" t="s">
        <v>639</v>
      </c>
      <c r="F65" s="6" t="s">
        <v>680</v>
      </c>
      <c r="G65" s="46">
        <f>425772-30000</f>
        <v>395772</v>
      </c>
      <c r="H65" s="46">
        <v>335851.58</v>
      </c>
      <c r="I65" s="46">
        <f t="shared" si="0"/>
        <v>84.86</v>
      </c>
    </row>
    <row r="66" spans="1:9" ht="47.25">
      <c r="A66" s="44" t="s">
        <v>677</v>
      </c>
      <c r="B66" s="6" t="s">
        <v>78</v>
      </c>
      <c r="C66" s="6" t="s">
        <v>869</v>
      </c>
      <c r="D66" s="6" t="s">
        <v>879</v>
      </c>
      <c r="E66" s="6" t="s">
        <v>639</v>
      </c>
      <c r="F66" s="6" t="s">
        <v>678</v>
      </c>
      <c r="G66" s="46">
        <f>614028-155817+1222594-90000-100000-240000-484003.88-161269-40000-80000-50000-21200-25067</f>
        <v>389265.12</v>
      </c>
      <c r="H66" s="46">
        <v>322323.53</v>
      </c>
      <c r="I66" s="46">
        <f t="shared" si="0"/>
        <v>82.8</v>
      </c>
    </row>
    <row r="67" spans="1:9" ht="31.5">
      <c r="A67" s="3" t="s">
        <v>557</v>
      </c>
      <c r="B67" s="6" t="s">
        <v>78</v>
      </c>
      <c r="C67" s="6" t="s">
        <v>869</v>
      </c>
      <c r="D67" s="6" t="s">
        <v>879</v>
      </c>
      <c r="E67" s="6" t="s">
        <v>639</v>
      </c>
      <c r="F67" s="6" t="s">
        <v>683</v>
      </c>
      <c r="G67" s="46">
        <f>G68</f>
        <v>0</v>
      </c>
      <c r="H67" s="46">
        <f>H68</f>
        <v>-34.21</v>
      </c>
      <c r="I67" s="46">
        <v>0</v>
      </c>
    </row>
    <row r="68" spans="1:9" ht="47.25">
      <c r="A68" s="3" t="s">
        <v>731</v>
      </c>
      <c r="B68" s="6" t="s">
        <v>78</v>
      </c>
      <c r="C68" s="6" t="s">
        <v>869</v>
      </c>
      <c r="D68" s="6" t="s">
        <v>879</v>
      </c>
      <c r="E68" s="6" t="s">
        <v>639</v>
      </c>
      <c r="F68" s="6" t="s">
        <v>732</v>
      </c>
      <c r="G68" s="46">
        <v>0</v>
      </c>
      <c r="H68" s="46">
        <v>-34.21</v>
      </c>
      <c r="I68" s="46">
        <v>0</v>
      </c>
    </row>
    <row r="69" spans="1:9" ht="47.25" customHeight="1" hidden="1">
      <c r="A69" s="44" t="s">
        <v>667</v>
      </c>
      <c r="B69" s="6" t="s">
        <v>78</v>
      </c>
      <c r="C69" s="6" t="s">
        <v>869</v>
      </c>
      <c r="D69" s="6" t="s">
        <v>879</v>
      </c>
      <c r="E69" s="6" t="s">
        <v>468</v>
      </c>
      <c r="F69" s="6" t="s">
        <v>668</v>
      </c>
      <c r="G69" s="46">
        <f>G71+G70</f>
        <v>0</v>
      </c>
      <c r="H69" s="46"/>
      <c r="I69" s="46"/>
    </row>
    <row r="70" spans="1:9" ht="34.5" customHeight="1" hidden="1">
      <c r="A70" s="3" t="s">
        <v>669</v>
      </c>
      <c r="B70" s="6" t="s">
        <v>78</v>
      </c>
      <c r="C70" s="6" t="s">
        <v>869</v>
      </c>
      <c r="D70" s="6" t="s">
        <v>879</v>
      </c>
      <c r="E70" s="6" t="s">
        <v>468</v>
      </c>
      <c r="F70" s="6" t="s">
        <v>670</v>
      </c>
      <c r="G70" s="46">
        <f>571072.9+207451.1-48491.8-298676.42-431355.78</f>
        <v>0</v>
      </c>
      <c r="H70" s="46"/>
      <c r="I70" s="46"/>
    </row>
    <row r="71" spans="1:9" ht="47.25" customHeight="1" hidden="1">
      <c r="A71" s="44" t="s">
        <v>671</v>
      </c>
      <c r="B71" s="6" t="s">
        <v>78</v>
      </c>
      <c r="C71" s="6" t="s">
        <v>869</v>
      </c>
      <c r="D71" s="6" t="s">
        <v>879</v>
      </c>
      <c r="E71" s="6" t="s">
        <v>468</v>
      </c>
      <c r="F71" s="6" t="s">
        <v>672</v>
      </c>
      <c r="G71" s="46">
        <f>470000+492179-183655-393743.9-177329-207451.1</f>
        <v>0</v>
      </c>
      <c r="H71" s="46"/>
      <c r="I71" s="46"/>
    </row>
    <row r="72" spans="1:9" ht="283.5">
      <c r="A72" s="3" t="s">
        <v>469</v>
      </c>
      <c r="B72" s="6" t="s">
        <v>78</v>
      </c>
      <c r="C72" s="6" t="s">
        <v>869</v>
      </c>
      <c r="D72" s="6" t="s">
        <v>879</v>
      </c>
      <c r="E72" s="6" t="s">
        <v>470</v>
      </c>
      <c r="F72" s="6"/>
      <c r="G72" s="46">
        <f aca="true" t="shared" si="4" ref="G72:H74">G73</f>
        <v>302495.3</v>
      </c>
      <c r="H72" s="46">
        <f t="shared" si="4"/>
        <v>302495.3</v>
      </c>
      <c r="I72" s="46">
        <f aca="true" t="shared" si="5" ref="I72:I135">ROUND(H72/G72*100,2)</f>
        <v>100</v>
      </c>
    </row>
    <row r="73" spans="1:9" ht="157.5">
      <c r="A73" s="3" t="s">
        <v>663</v>
      </c>
      <c r="B73" s="6" t="s">
        <v>78</v>
      </c>
      <c r="C73" s="6" t="s">
        <v>869</v>
      </c>
      <c r="D73" s="6" t="s">
        <v>879</v>
      </c>
      <c r="E73" s="6" t="s">
        <v>470</v>
      </c>
      <c r="F73" s="6" t="s">
        <v>664</v>
      </c>
      <c r="G73" s="46">
        <f t="shared" si="4"/>
        <v>302495.3</v>
      </c>
      <c r="H73" s="46">
        <f t="shared" si="4"/>
        <v>302495.3</v>
      </c>
      <c r="I73" s="46">
        <f t="shared" si="5"/>
        <v>100</v>
      </c>
    </row>
    <row r="74" spans="1:9" ht="47.25">
      <c r="A74" s="3" t="s">
        <v>667</v>
      </c>
      <c r="B74" s="6" t="s">
        <v>78</v>
      </c>
      <c r="C74" s="6" t="s">
        <v>869</v>
      </c>
      <c r="D74" s="6" t="s">
        <v>879</v>
      </c>
      <c r="E74" s="6" t="s">
        <v>470</v>
      </c>
      <c r="F74" s="6" t="s">
        <v>668</v>
      </c>
      <c r="G74" s="46">
        <f t="shared" si="4"/>
        <v>302495.3</v>
      </c>
      <c r="H74" s="46">
        <f t="shared" si="4"/>
        <v>302495.3</v>
      </c>
      <c r="I74" s="46">
        <f t="shared" si="5"/>
        <v>100</v>
      </c>
    </row>
    <row r="75" spans="1:9" ht="31.5">
      <c r="A75" s="3" t="s">
        <v>669</v>
      </c>
      <c r="B75" s="6" t="s">
        <v>78</v>
      </c>
      <c r="C75" s="6" t="s">
        <v>869</v>
      </c>
      <c r="D75" s="6" t="s">
        <v>879</v>
      </c>
      <c r="E75" s="6" t="s">
        <v>470</v>
      </c>
      <c r="F75" s="6" t="s">
        <v>670</v>
      </c>
      <c r="G75" s="46">
        <f>254003.5+48491.8</f>
        <v>302495.3</v>
      </c>
      <c r="H75" s="46">
        <v>302495.3</v>
      </c>
      <c r="I75" s="46">
        <f t="shared" si="5"/>
        <v>100</v>
      </c>
    </row>
    <row r="76" spans="1:9" ht="94.5">
      <c r="A76" s="3" t="s">
        <v>71</v>
      </c>
      <c r="B76" s="6" t="s">
        <v>78</v>
      </c>
      <c r="C76" s="6" t="s">
        <v>869</v>
      </c>
      <c r="D76" s="6" t="s">
        <v>879</v>
      </c>
      <c r="E76" s="6" t="s">
        <v>72</v>
      </c>
      <c r="F76" s="6"/>
      <c r="G76" s="46">
        <f aca="true" t="shared" si="6" ref="G76:H78">G77</f>
        <v>1731793.12</v>
      </c>
      <c r="H76" s="46">
        <f t="shared" si="6"/>
        <v>1720140.43</v>
      </c>
      <c r="I76" s="46">
        <f t="shared" si="5"/>
        <v>99.33</v>
      </c>
    </row>
    <row r="77" spans="1:9" ht="47.25">
      <c r="A77" s="3" t="s">
        <v>657</v>
      </c>
      <c r="B77" s="6" t="s">
        <v>78</v>
      </c>
      <c r="C77" s="6" t="s">
        <v>869</v>
      </c>
      <c r="D77" s="6" t="s">
        <v>879</v>
      </c>
      <c r="E77" s="6" t="s">
        <v>658</v>
      </c>
      <c r="F77" s="6"/>
      <c r="G77" s="46">
        <f t="shared" si="6"/>
        <v>1731793.12</v>
      </c>
      <c r="H77" s="46">
        <f t="shared" si="6"/>
        <v>1720140.43</v>
      </c>
      <c r="I77" s="46">
        <f t="shared" si="5"/>
        <v>99.33</v>
      </c>
    </row>
    <row r="78" spans="1:9" ht="157.5">
      <c r="A78" s="3" t="s">
        <v>663</v>
      </c>
      <c r="B78" s="6" t="s">
        <v>78</v>
      </c>
      <c r="C78" s="6" t="s">
        <v>869</v>
      </c>
      <c r="D78" s="6" t="s">
        <v>879</v>
      </c>
      <c r="E78" s="6" t="s">
        <v>658</v>
      </c>
      <c r="F78" s="6" t="s">
        <v>664</v>
      </c>
      <c r="G78" s="46">
        <f t="shared" si="6"/>
        <v>1731793.12</v>
      </c>
      <c r="H78" s="46">
        <f t="shared" si="6"/>
        <v>1720140.43</v>
      </c>
      <c r="I78" s="46">
        <f t="shared" si="5"/>
        <v>99.33</v>
      </c>
    </row>
    <row r="79" spans="1:9" ht="47.25">
      <c r="A79" s="3" t="s">
        <v>667</v>
      </c>
      <c r="B79" s="6" t="s">
        <v>78</v>
      </c>
      <c r="C79" s="6" t="s">
        <v>869</v>
      </c>
      <c r="D79" s="6" t="s">
        <v>879</v>
      </c>
      <c r="E79" s="6" t="s">
        <v>658</v>
      </c>
      <c r="F79" s="6" t="s">
        <v>668</v>
      </c>
      <c r="G79" s="46">
        <f>G80+G81</f>
        <v>1731793.12</v>
      </c>
      <c r="H79" s="46">
        <f>H80+H81</f>
        <v>1720140.43</v>
      </c>
      <c r="I79" s="46">
        <f t="shared" si="5"/>
        <v>99.33</v>
      </c>
    </row>
    <row r="80" spans="1:9" ht="31.5">
      <c r="A80" s="3" t="s">
        <v>669</v>
      </c>
      <c r="B80" s="6" t="s">
        <v>78</v>
      </c>
      <c r="C80" s="6" t="s">
        <v>869</v>
      </c>
      <c r="D80" s="6" t="s">
        <v>879</v>
      </c>
      <c r="E80" s="6" t="s">
        <v>658</v>
      </c>
      <c r="F80" s="6" t="s">
        <v>670</v>
      </c>
      <c r="G80" s="46">
        <f>1072916+324021+241290.89+3547.83+53919.72+29645.54+6452.14</f>
        <v>1731793.12</v>
      </c>
      <c r="H80" s="46">
        <v>1720140.43</v>
      </c>
      <c r="I80" s="46">
        <f t="shared" si="5"/>
        <v>99.33</v>
      </c>
    </row>
    <row r="81" spans="1:9" ht="47.25" customHeight="1" hidden="1">
      <c r="A81" s="3" t="s">
        <v>671</v>
      </c>
      <c r="B81" s="6" t="s">
        <v>78</v>
      </c>
      <c r="C81" s="6" t="s">
        <v>869</v>
      </c>
      <c r="D81" s="6" t="s">
        <v>879</v>
      </c>
      <c r="E81" s="6" t="s">
        <v>658</v>
      </c>
      <c r="F81" s="6" t="s">
        <v>672</v>
      </c>
      <c r="G81" s="46"/>
      <c r="H81" s="46"/>
      <c r="I81" s="46" t="e">
        <f t="shared" si="5"/>
        <v>#DIV/0!</v>
      </c>
    </row>
    <row r="82" spans="1:11" s="38" customFormat="1" ht="18.75" customHeight="1" hidden="1">
      <c r="A82" s="123" t="s">
        <v>613</v>
      </c>
      <c r="B82" s="2" t="s">
        <v>78</v>
      </c>
      <c r="C82" s="2" t="s">
        <v>869</v>
      </c>
      <c r="D82" s="2" t="s">
        <v>871</v>
      </c>
      <c r="E82" s="2"/>
      <c r="F82" s="2"/>
      <c r="G82" s="76"/>
      <c r="H82" s="76"/>
      <c r="I82" s="76" t="e">
        <f t="shared" si="5"/>
        <v>#DIV/0!</v>
      </c>
      <c r="J82" s="95"/>
      <c r="K82" s="186"/>
    </row>
    <row r="83" spans="1:11" s="38" customFormat="1" ht="47.25" customHeight="1" hidden="1">
      <c r="A83" s="98" t="s">
        <v>899</v>
      </c>
      <c r="B83" s="6" t="s">
        <v>78</v>
      </c>
      <c r="C83" s="6" t="s">
        <v>869</v>
      </c>
      <c r="D83" s="6" t="s">
        <v>871</v>
      </c>
      <c r="E83" s="6" t="s">
        <v>900</v>
      </c>
      <c r="F83" s="6"/>
      <c r="G83" s="59"/>
      <c r="H83" s="59"/>
      <c r="I83" s="59" t="e">
        <f t="shared" si="5"/>
        <v>#DIV/0!</v>
      </c>
      <c r="J83" s="95"/>
      <c r="K83" s="186"/>
    </row>
    <row r="84" spans="1:11" s="38" customFormat="1" ht="94.5" customHeight="1" hidden="1">
      <c r="A84" s="98" t="s">
        <v>614</v>
      </c>
      <c r="B84" s="6" t="s">
        <v>78</v>
      </c>
      <c r="C84" s="6" t="s">
        <v>869</v>
      </c>
      <c r="D84" s="6" t="s">
        <v>871</v>
      </c>
      <c r="E84" s="6" t="s">
        <v>615</v>
      </c>
      <c r="F84" s="6"/>
      <c r="G84" s="59"/>
      <c r="H84" s="59"/>
      <c r="I84" s="59" t="e">
        <f t="shared" si="5"/>
        <v>#DIV/0!</v>
      </c>
      <c r="J84" s="95"/>
      <c r="K84" s="186"/>
    </row>
    <row r="85" spans="1:9" ht="47.25" customHeight="1" hidden="1">
      <c r="A85" s="3" t="s">
        <v>673</v>
      </c>
      <c r="B85" s="6" t="s">
        <v>78</v>
      </c>
      <c r="C85" s="6" t="s">
        <v>869</v>
      </c>
      <c r="D85" s="6" t="s">
        <v>871</v>
      </c>
      <c r="E85" s="6" t="s">
        <v>615</v>
      </c>
      <c r="F85" s="6" t="s">
        <v>674</v>
      </c>
      <c r="G85" s="46"/>
      <c r="H85" s="46"/>
      <c r="I85" s="46" t="e">
        <f t="shared" si="5"/>
        <v>#DIV/0!</v>
      </c>
    </row>
    <row r="86" spans="1:9" ht="47.25" customHeight="1" hidden="1">
      <c r="A86" s="3" t="s">
        <v>675</v>
      </c>
      <c r="B86" s="6" t="s">
        <v>78</v>
      </c>
      <c r="C86" s="6" t="s">
        <v>869</v>
      </c>
      <c r="D86" s="6" t="s">
        <v>871</v>
      </c>
      <c r="E86" s="6" t="s">
        <v>615</v>
      </c>
      <c r="F86" s="6" t="s">
        <v>676</v>
      </c>
      <c r="G86" s="46"/>
      <c r="H86" s="46"/>
      <c r="I86" s="46" t="e">
        <f t="shared" si="5"/>
        <v>#DIV/0!</v>
      </c>
    </row>
    <row r="87" spans="1:9" ht="78.75" customHeight="1" hidden="1">
      <c r="A87" s="3" t="s">
        <v>679</v>
      </c>
      <c r="B87" s="6" t="s">
        <v>78</v>
      </c>
      <c r="C87" s="6" t="s">
        <v>869</v>
      </c>
      <c r="D87" s="6" t="s">
        <v>871</v>
      </c>
      <c r="E87" s="6" t="s">
        <v>615</v>
      </c>
      <c r="F87" s="6" t="s">
        <v>680</v>
      </c>
      <c r="G87" s="46"/>
      <c r="H87" s="46"/>
      <c r="I87" s="46" t="e">
        <f t="shared" si="5"/>
        <v>#DIV/0!</v>
      </c>
    </row>
    <row r="88" spans="1:9" ht="47.25" customHeight="1" hidden="1">
      <c r="A88" s="3" t="s">
        <v>677</v>
      </c>
      <c r="B88" s="6" t="s">
        <v>78</v>
      </c>
      <c r="C88" s="6" t="s">
        <v>869</v>
      </c>
      <c r="D88" s="6" t="s">
        <v>871</v>
      </c>
      <c r="E88" s="6" t="s">
        <v>615</v>
      </c>
      <c r="F88" s="6" t="s">
        <v>678</v>
      </c>
      <c r="G88" s="46"/>
      <c r="H88" s="46"/>
      <c r="I88" s="46" t="e">
        <f t="shared" si="5"/>
        <v>#DIV/0!</v>
      </c>
    </row>
    <row r="89" spans="1:9" ht="31.5" customHeight="1" hidden="1">
      <c r="A89" s="20" t="s">
        <v>50</v>
      </c>
      <c r="B89" s="7" t="s">
        <v>78</v>
      </c>
      <c r="C89" s="7" t="s">
        <v>869</v>
      </c>
      <c r="D89" s="7" t="s">
        <v>872</v>
      </c>
      <c r="E89" s="7"/>
      <c r="F89" s="33"/>
      <c r="G89" s="45"/>
      <c r="H89" s="45"/>
      <c r="I89" s="45" t="e">
        <f t="shared" si="5"/>
        <v>#DIV/0!</v>
      </c>
    </row>
    <row r="90" spans="1:9" ht="31.5" customHeight="1" hidden="1">
      <c r="A90" s="3" t="s">
        <v>51</v>
      </c>
      <c r="B90" s="6" t="s">
        <v>78</v>
      </c>
      <c r="C90" s="6" t="s">
        <v>869</v>
      </c>
      <c r="D90" s="6" t="s">
        <v>872</v>
      </c>
      <c r="E90" s="6" t="s">
        <v>53</v>
      </c>
      <c r="F90" s="6"/>
      <c r="G90" s="46"/>
      <c r="H90" s="46"/>
      <c r="I90" s="46" t="e">
        <f t="shared" si="5"/>
        <v>#DIV/0!</v>
      </c>
    </row>
    <row r="91" spans="1:9" ht="47.25" customHeight="1" hidden="1">
      <c r="A91" s="3" t="s">
        <v>52</v>
      </c>
      <c r="B91" s="6" t="s">
        <v>78</v>
      </c>
      <c r="C91" s="6" t="s">
        <v>869</v>
      </c>
      <c r="D91" s="6" t="s">
        <v>872</v>
      </c>
      <c r="E91" s="6" t="s">
        <v>54</v>
      </c>
      <c r="F91" s="6"/>
      <c r="G91" s="46"/>
      <c r="H91" s="46"/>
      <c r="I91" s="46" t="e">
        <f t="shared" si="5"/>
        <v>#DIV/0!</v>
      </c>
    </row>
    <row r="92" spans="1:9" ht="47.25" customHeight="1" hidden="1">
      <c r="A92" s="3" t="s">
        <v>673</v>
      </c>
      <c r="B92" s="6" t="s">
        <v>78</v>
      </c>
      <c r="C92" s="6" t="s">
        <v>869</v>
      </c>
      <c r="D92" s="6" t="s">
        <v>872</v>
      </c>
      <c r="E92" s="6" t="s">
        <v>54</v>
      </c>
      <c r="F92" s="6" t="s">
        <v>674</v>
      </c>
      <c r="G92" s="46"/>
      <c r="H92" s="46"/>
      <c r="I92" s="46" t="e">
        <f t="shared" si="5"/>
        <v>#DIV/0!</v>
      </c>
    </row>
    <row r="93" spans="1:9" ht="47.25" customHeight="1" hidden="1">
      <c r="A93" s="3" t="s">
        <v>675</v>
      </c>
      <c r="B93" s="6" t="s">
        <v>78</v>
      </c>
      <c r="C93" s="6" t="s">
        <v>869</v>
      </c>
      <c r="D93" s="6" t="s">
        <v>872</v>
      </c>
      <c r="E93" s="6" t="s">
        <v>54</v>
      </c>
      <c r="F93" s="6" t="s">
        <v>676</v>
      </c>
      <c r="G93" s="46"/>
      <c r="H93" s="46"/>
      <c r="I93" s="46" t="e">
        <f t="shared" si="5"/>
        <v>#DIV/0!</v>
      </c>
    </row>
    <row r="94" spans="1:9" ht="47.25" customHeight="1" hidden="1">
      <c r="A94" s="3" t="s">
        <v>677</v>
      </c>
      <c r="B94" s="6" t="s">
        <v>78</v>
      </c>
      <c r="C94" s="6" t="s">
        <v>869</v>
      </c>
      <c r="D94" s="6" t="s">
        <v>872</v>
      </c>
      <c r="E94" s="6" t="s">
        <v>54</v>
      </c>
      <c r="F94" s="6" t="s">
        <v>678</v>
      </c>
      <c r="G94" s="46"/>
      <c r="H94" s="46"/>
      <c r="I94" s="46" t="e">
        <f t="shared" si="5"/>
        <v>#DIV/0!</v>
      </c>
    </row>
    <row r="95" spans="1:9" ht="31.5">
      <c r="A95" s="20" t="s">
        <v>50</v>
      </c>
      <c r="B95" s="7" t="s">
        <v>78</v>
      </c>
      <c r="C95" s="7" t="s">
        <v>869</v>
      </c>
      <c r="D95" s="7" t="s">
        <v>872</v>
      </c>
      <c r="E95" s="7"/>
      <c r="F95" s="33"/>
      <c r="G95" s="45">
        <f aca="true" t="shared" si="7" ref="G95:H99">G96</f>
        <v>2664063.9699999997</v>
      </c>
      <c r="H95" s="45">
        <f t="shared" si="7"/>
        <v>2501773.97</v>
      </c>
      <c r="I95" s="45">
        <f t="shared" si="5"/>
        <v>93.91</v>
      </c>
    </row>
    <row r="96" spans="1:9" ht="31.5">
      <c r="A96" s="3" t="s">
        <v>51</v>
      </c>
      <c r="B96" s="6" t="s">
        <v>78</v>
      </c>
      <c r="C96" s="6" t="s">
        <v>869</v>
      </c>
      <c r="D96" s="6" t="s">
        <v>872</v>
      </c>
      <c r="E96" s="6" t="s">
        <v>53</v>
      </c>
      <c r="F96" s="6"/>
      <c r="G96" s="46">
        <f t="shared" si="7"/>
        <v>2664063.9699999997</v>
      </c>
      <c r="H96" s="46">
        <f t="shared" si="7"/>
        <v>2501773.97</v>
      </c>
      <c r="I96" s="46">
        <f t="shared" si="5"/>
        <v>93.91</v>
      </c>
    </row>
    <row r="97" spans="1:9" ht="47.25">
      <c r="A97" s="3" t="s">
        <v>52</v>
      </c>
      <c r="B97" s="6" t="s">
        <v>78</v>
      </c>
      <c r="C97" s="6" t="s">
        <v>869</v>
      </c>
      <c r="D97" s="6" t="s">
        <v>872</v>
      </c>
      <c r="E97" s="6" t="s">
        <v>54</v>
      </c>
      <c r="F97" s="6"/>
      <c r="G97" s="46">
        <f t="shared" si="7"/>
        <v>2664063.9699999997</v>
      </c>
      <c r="H97" s="46">
        <f t="shared" si="7"/>
        <v>2501773.97</v>
      </c>
      <c r="I97" s="46">
        <f t="shared" si="5"/>
        <v>93.91</v>
      </c>
    </row>
    <row r="98" spans="1:9" ht="47.25">
      <c r="A98" s="3" t="s">
        <v>673</v>
      </c>
      <c r="B98" s="6" t="s">
        <v>78</v>
      </c>
      <c r="C98" s="6" t="s">
        <v>869</v>
      </c>
      <c r="D98" s="6" t="s">
        <v>872</v>
      </c>
      <c r="E98" s="6" t="s">
        <v>54</v>
      </c>
      <c r="F98" s="6" t="s">
        <v>674</v>
      </c>
      <c r="G98" s="46">
        <f t="shared" si="7"/>
        <v>2664063.9699999997</v>
      </c>
      <c r="H98" s="46">
        <f t="shared" si="7"/>
        <v>2501773.97</v>
      </c>
      <c r="I98" s="46">
        <f t="shared" si="5"/>
        <v>93.91</v>
      </c>
    </row>
    <row r="99" spans="1:9" ht="47.25">
      <c r="A99" s="3" t="s">
        <v>675</v>
      </c>
      <c r="B99" s="6" t="s">
        <v>78</v>
      </c>
      <c r="C99" s="6" t="s">
        <v>869</v>
      </c>
      <c r="D99" s="6" t="s">
        <v>872</v>
      </c>
      <c r="E99" s="6" t="s">
        <v>54</v>
      </c>
      <c r="F99" s="6" t="s">
        <v>676</v>
      </c>
      <c r="G99" s="46">
        <f t="shared" si="7"/>
        <v>2664063.9699999997</v>
      </c>
      <c r="H99" s="46">
        <f t="shared" si="7"/>
        <v>2501773.97</v>
      </c>
      <c r="I99" s="46">
        <f t="shared" si="5"/>
        <v>93.91</v>
      </c>
    </row>
    <row r="100" spans="1:9" ht="47.25">
      <c r="A100" s="3" t="s">
        <v>677</v>
      </c>
      <c r="B100" s="6" t="s">
        <v>78</v>
      </c>
      <c r="C100" s="6" t="s">
        <v>869</v>
      </c>
      <c r="D100" s="6" t="s">
        <v>872</v>
      </c>
      <c r="E100" s="6" t="s">
        <v>54</v>
      </c>
      <c r="F100" s="6" t="s">
        <v>678</v>
      </c>
      <c r="G100" s="46">
        <f>3000000-498226.03+239290-77000</f>
        <v>2664063.9699999997</v>
      </c>
      <c r="H100" s="46">
        <v>2501773.97</v>
      </c>
      <c r="I100" s="46">
        <f t="shared" si="5"/>
        <v>93.91</v>
      </c>
    </row>
    <row r="101" spans="1:9" ht="15.75">
      <c r="A101" s="20" t="s">
        <v>904</v>
      </c>
      <c r="B101" s="7" t="s">
        <v>78</v>
      </c>
      <c r="C101" s="7" t="s">
        <v>869</v>
      </c>
      <c r="D101" s="7" t="s">
        <v>459</v>
      </c>
      <c r="E101" s="7"/>
      <c r="F101" s="7"/>
      <c r="G101" s="45">
        <f>G102</f>
        <v>500000</v>
      </c>
      <c r="H101" s="45">
        <f>H102</f>
        <v>0</v>
      </c>
      <c r="I101" s="45">
        <f t="shared" si="5"/>
        <v>0</v>
      </c>
    </row>
    <row r="102" spans="1:9" ht="15.75">
      <c r="A102" s="3" t="s">
        <v>904</v>
      </c>
      <c r="B102" s="6" t="s">
        <v>78</v>
      </c>
      <c r="C102" s="6" t="s">
        <v>869</v>
      </c>
      <c r="D102" s="6" t="s">
        <v>459</v>
      </c>
      <c r="E102" s="6" t="s">
        <v>905</v>
      </c>
      <c r="F102" s="6"/>
      <c r="G102" s="46">
        <f>G103</f>
        <v>500000</v>
      </c>
      <c r="H102" s="46">
        <f>H103</f>
        <v>0</v>
      </c>
      <c r="I102" s="46">
        <f t="shared" si="5"/>
        <v>0</v>
      </c>
    </row>
    <row r="103" spans="1:9" ht="31.5">
      <c r="A103" s="3" t="s">
        <v>644</v>
      </c>
      <c r="B103" s="6" t="s">
        <v>78</v>
      </c>
      <c r="C103" s="6" t="s">
        <v>869</v>
      </c>
      <c r="D103" s="6" t="s">
        <v>459</v>
      </c>
      <c r="E103" s="6" t="s">
        <v>645</v>
      </c>
      <c r="F103" s="6"/>
      <c r="G103" s="46">
        <f>G104+G107</f>
        <v>500000</v>
      </c>
      <c r="H103" s="46">
        <f>H104+H107</f>
        <v>0</v>
      </c>
      <c r="I103" s="46">
        <f t="shared" si="5"/>
        <v>0</v>
      </c>
    </row>
    <row r="104" spans="1:9" ht="78.75">
      <c r="A104" s="3" t="s">
        <v>908</v>
      </c>
      <c r="B104" s="6" t="s">
        <v>78</v>
      </c>
      <c r="C104" s="6" t="s">
        <v>869</v>
      </c>
      <c r="D104" s="6" t="s">
        <v>459</v>
      </c>
      <c r="E104" s="6" t="s">
        <v>646</v>
      </c>
      <c r="F104" s="6"/>
      <c r="G104" s="46">
        <f>G105</f>
        <v>250000</v>
      </c>
      <c r="H104" s="46">
        <f>H105</f>
        <v>0</v>
      </c>
      <c r="I104" s="46">
        <f t="shared" si="5"/>
        <v>0</v>
      </c>
    </row>
    <row r="105" spans="1:9" ht="31.5">
      <c r="A105" s="3" t="s">
        <v>557</v>
      </c>
      <c r="B105" s="6" t="s">
        <v>78</v>
      </c>
      <c r="C105" s="6" t="s">
        <v>869</v>
      </c>
      <c r="D105" s="6" t="s">
        <v>459</v>
      </c>
      <c r="E105" s="6" t="s">
        <v>646</v>
      </c>
      <c r="F105" s="6" t="s">
        <v>683</v>
      </c>
      <c r="G105" s="46">
        <f>G106</f>
        <v>250000</v>
      </c>
      <c r="H105" s="46">
        <f>H106</f>
        <v>0</v>
      </c>
      <c r="I105" s="46">
        <f t="shared" si="5"/>
        <v>0</v>
      </c>
    </row>
    <row r="106" spans="1:9" ht="15.75">
      <c r="A106" s="3" t="s">
        <v>558</v>
      </c>
      <c r="B106" s="6" t="s">
        <v>78</v>
      </c>
      <c r="C106" s="6" t="s">
        <v>869</v>
      </c>
      <c r="D106" s="6" t="s">
        <v>459</v>
      </c>
      <c r="E106" s="6" t="s">
        <v>646</v>
      </c>
      <c r="F106" s="6" t="s">
        <v>559</v>
      </c>
      <c r="G106" s="46">
        <v>250000</v>
      </c>
      <c r="H106" s="46">
        <v>0</v>
      </c>
      <c r="I106" s="46">
        <f t="shared" si="5"/>
        <v>0</v>
      </c>
    </row>
    <row r="107" spans="1:9" ht="47.25">
      <c r="A107" s="3" t="s">
        <v>553</v>
      </c>
      <c r="B107" s="6" t="s">
        <v>78</v>
      </c>
      <c r="C107" s="6" t="s">
        <v>869</v>
      </c>
      <c r="D107" s="6" t="s">
        <v>459</v>
      </c>
      <c r="E107" s="6" t="s">
        <v>647</v>
      </c>
      <c r="F107" s="6"/>
      <c r="G107" s="46">
        <f>G108</f>
        <v>250000</v>
      </c>
      <c r="H107" s="46">
        <f>H108</f>
        <v>0</v>
      </c>
      <c r="I107" s="46">
        <f t="shared" si="5"/>
        <v>0</v>
      </c>
    </row>
    <row r="108" spans="1:9" ht="31.5">
      <c r="A108" s="3" t="s">
        <v>557</v>
      </c>
      <c r="B108" s="6" t="s">
        <v>78</v>
      </c>
      <c r="C108" s="6" t="s">
        <v>869</v>
      </c>
      <c r="D108" s="6" t="s">
        <v>459</v>
      </c>
      <c r="E108" s="6" t="s">
        <v>647</v>
      </c>
      <c r="F108" s="6" t="s">
        <v>683</v>
      </c>
      <c r="G108" s="46">
        <f>G109</f>
        <v>250000</v>
      </c>
      <c r="H108" s="46">
        <f>H109</f>
        <v>0</v>
      </c>
      <c r="I108" s="46">
        <f t="shared" si="5"/>
        <v>0</v>
      </c>
    </row>
    <row r="109" spans="1:9" ht="22.5" customHeight="1">
      <c r="A109" s="3" t="s">
        <v>558</v>
      </c>
      <c r="B109" s="6" t="s">
        <v>78</v>
      </c>
      <c r="C109" s="6" t="s">
        <v>869</v>
      </c>
      <c r="D109" s="6" t="s">
        <v>459</v>
      </c>
      <c r="E109" s="6" t="s">
        <v>647</v>
      </c>
      <c r="F109" s="6" t="s">
        <v>559</v>
      </c>
      <c r="G109" s="46">
        <v>250000</v>
      </c>
      <c r="H109" s="46">
        <v>0</v>
      </c>
      <c r="I109" s="46">
        <f t="shared" si="5"/>
        <v>0</v>
      </c>
    </row>
    <row r="110" spans="1:9" ht="47.25">
      <c r="A110" s="20" t="s">
        <v>906</v>
      </c>
      <c r="B110" s="7" t="s">
        <v>78</v>
      </c>
      <c r="C110" s="7" t="s">
        <v>869</v>
      </c>
      <c r="D110" s="7" t="s">
        <v>659</v>
      </c>
      <c r="E110" s="33"/>
      <c r="F110" s="33"/>
      <c r="G110" s="45">
        <f>G111+G131+G154+G142</f>
        <v>50819177.589999996</v>
      </c>
      <c r="H110" s="45">
        <f>H111+H131+H154+H142</f>
        <v>49559757.82</v>
      </c>
      <c r="I110" s="45">
        <f t="shared" si="5"/>
        <v>97.52</v>
      </c>
    </row>
    <row r="111" spans="1:9" ht="110.25">
      <c r="A111" s="44" t="s">
        <v>636</v>
      </c>
      <c r="B111" s="6" t="s">
        <v>78</v>
      </c>
      <c r="C111" s="6" t="s">
        <v>869</v>
      </c>
      <c r="D111" s="6" t="s">
        <v>659</v>
      </c>
      <c r="E111" s="6" t="s">
        <v>637</v>
      </c>
      <c r="F111" s="6"/>
      <c r="G111" s="46">
        <f>G112</f>
        <v>1308400</v>
      </c>
      <c r="H111" s="46">
        <f>H112</f>
        <v>988394.4400000001</v>
      </c>
      <c r="I111" s="46">
        <f t="shared" si="5"/>
        <v>75.54</v>
      </c>
    </row>
    <row r="112" spans="1:9" ht="15.75">
      <c r="A112" s="44" t="s">
        <v>907</v>
      </c>
      <c r="B112" s="6" t="s">
        <v>78</v>
      </c>
      <c r="C112" s="6" t="s">
        <v>869</v>
      </c>
      <c r="D112" s="6" t="s">
        <v>659</v>
      </c>
      <c r="E112" s="6" t="s">
        <v>638</v>
      </c>
      <c r="F112" s="6"/>
      <c r="G112" s="46">
        <f>G113+G118+G127</f>
        <v>1308400</v>
      </c>
      <c r="H112" s="46">
        <f>H113+H118+H127</f>
        <v>988394.4400000001</v>
      </c>
      <c r="I112" s="46">
        <f t="shared" si="5"/>
        <v>75.54</v>
      </c>
    </row>
    <row r="113" spans="1:9" ht="63" customHeight="1" hidden="1">
      <c r="A113" s="44" t="s">
        <v>916</v>
      </c>
      <c r="B113" s="6" t="s">
        <v>78</v>
      </c>
      <c r="C113" s="6" t="s">
        <v>869</v>
      </c>
      <c r="D113" s="6" t="s">
        <v>659</v>
      </c>
      <c r="E113" s="6" t="s">
        <v>917</v>
      </c>
      <c r="F113" s="6"/>
      <c r="G113" s="46">
        <f>G114</f>
        <v>0</v>
      </c>
      <c r="H113" s="46">
        <f>H114</f>
        <v>0</v>
      </c>
      <c r="I113" s="46" t="e">
        <f t="shared" si="5"/>
        <v>#DIV/0!</v>
      </c>
    </row>
    <row r="114" spans="1:9" ht="47.25" customHeight="1" hidden="1">
      <c r="A114" s="5" t="s">
        <v>673</v>
      </c>
      <c r="B114" s="6" t="s">
        <v>78</v>
      </c>
      <c r="C114" s="6" t="s">
        <v>869</v>
      </c>
      <c r="D114" s="6" t="s">
        <v>659</v>
      </c>
      <c r="E114" s="6" t="s">
        <v>917</v>
      </c>
      <c r="F114" s="6" t="s">
        <v>674</v>
      </c>
      <c r="G114" s="46">
        <f>G115</f>
        <v>0</v>
      </c>
      <c r="H114" s="46">
        <f>H115</f>
        <v>0</v>
      </c>
      <c r="I114" s="46" t="e">
        <f t="shared" si="5"/>
        <v>#DIV/0!</v>
      </c>
    </row>
    <row r="115" spans="1:9" ht="47.25" customHeight="1" hidden="1">
      <c r="A115" s="5" t="s">
        <v>675</v>
      </c>
      <c r="B115" s="6" t="s">
        <v>78</v>
      </c>
      <c r="C115" s="6" t="s">
        <v>869</v>
      </c>
      <c r="D115" s="6" t="s">
        <v>659</v>
      </c>
      <c r="E115" s="6" t="s">
        <v>917</v>
      </c>
      <c r="F115" s="6" t="s">
        <v>676</v>
      </c>
      <c r="G115" s="46">
        <f>G116+G117</f>
        <v>0</v>
      </c>
      <c r="H115" s="46">
        <f>H116+H117</f>
        <v>0</v>
      </c>
      <c r="I115" s="46" t="e">
        <f t="shared" si="5"/>
        <v>#DIV/0!</v>
      </c>
    </row>
    <row r="116" spans="1:9" ht="78.75" customHeight="1" hidden="1">
      <c r="A116" s="3" t="s">
        <v>679</v>
      </c>
      <c r="B116" s="6" t="s">
        <v>78</v>
      </c>
      <c r="C116" s="6" t="s">
        <v>869</v>
      </c>
      <c r="D116" s="6" t="s">
        <v>659</v>
      </c>
      <c r="E116" s="6" t="s">
        <v>917</v>
      </c>
      <c r="F116" s="6" t="s">
        <v>680</v>
      </c>
      <c r="G116" s="46"/>
      <c r="H116" s="46"/>
      <c r="I116" s="46" t="e">
        <f t="shared" si="5"/>
        <v>#DIV/0!</v>
      </c>
    </row>
    <row r="117" spans="1:9" ht="47.25" customHeight="1" hidden="1">
      <c r="A117" s="5" t="s">
        <v>677</v>
      </c>
      <c r="B117" s="6" t="s">
        <v>78</v>
      </c>
      <c r="C117" s="6" t="s">
        <v>869</v>
      </c>
      <c r="D117" s="6" t="s">
        <v>659</v>
      </c>
      <c r="E117" s="6" t="s">
        <v>917</v>
      </c>
      <c r="F117" s="6" t="s">
        <v>678</v>
      </c>
      <c r="G117" s="46"/>
      <c r="H117" s="46"/>
      <c r="I117" s="46" t="e">
        <f t="shared" si="5"/>
        <v>#DIV/0!</v>
      </c>
    </row>
    <row r="118" spans="1:9" ht="87" customHeight="1">
      <c r="A118" s="3" t="s">
        <v>74</v>
      </c>
      <c r="B118" s="6" t="s">
        <v>78</v>
      </c>
      <c r="C118" s="6" t="s">
        <v>869</v>
      </c>
      <c r="D118" s="6" t="s">
        <v>659</v>
      </c>
      <c r="E118" s="6" t="s">
        <v>76</v>
      </c>
      <c r="F118" s="6"/>
      <c r="G118" s="46">
        <f>G119+G123</f>
        <v>1302400</v>
      </c>
      <c r="H118" s="46">
        <f>H119+H123</f>
        <v>986018.79</v>
      </c>
      <c r="I118" s="46">
        <f t="shared" si="5"/>
        <v>75.71</v>
      </c>
    </row>
    <row r="119" spans="1:9" ht="157.5">
      <c r="A119" s="3" t="s">
        <v>663</v>
      </c>
      <c r="B119" s="6" t="s">
        <v>78</v>
      </c>
      <c r="C119" s="6" t="s">
        <v>869</v>
      </c>
      <c r="D119" s="6" t="s">
        <v>659</v>
      </c>
      <c r="E119" s="6" t="s">
        <v>76</v>
      </c>
      <c r="F119" s="6" t="s">
        <v>664</v>
      </c>
      <c r="G119" s="46">
        <f>G120</f>
        <v>1052663.15</v>
      </c>
      <c r="H119" s="46">
        <f>H120</f>
        <v>905042.13</v>
      </c>
      <c r="I119" s="46">
        <f t="shared" si="5"/>
        <v>85.98</v>
      </c>
    </row>
    <row r="120" spans="1:9" ht="47.25">
      <c r="A120" s="3" t="s">
        <v>667</v>
      </c>
      <c r="B120" s="6" t="s">
        <v>78</v>
      </c>
      <c r="C120" s="6" t="s">
        <v>869</v>
      </c>
      <c r="D120" s="6" t="s">
        <v>659</v>
      </c>
      <c r="E120" s="6" t="s">
        <v>76</v>
      </c>
      <c r="F120" s="6" t="s">
        <v>668</v>
      </c>
      <c r="G120" s="46">
        <f>G121+G122</f>
        <v>1052663.15</v>
      </c>
      <c r="H120" s="46">
        <f>H121+H122</f>
        <v>905042.13</v>
      </c>
      <c r="I120" s="46">
        <f t="shared" si="5"/>
        <v>85.98</v>
      </c>
    </row>
    <row r="121" spans="1:9" ht="31.5">
      <c r="A121" s="3" t="s">
        <v>669</v>
      </c>
      <c r="B121" s="6" t="s">
        <v>78</v>
      </c>
      <c r="C121" s="6" t="s">
        <v>869</v>
      </c>
      <c r="D121" s="6" t="s">
        <v>659</v>
      </c>
      <c r="E121" s="6" t="s">
        <v>76</v>
      </c>
      <c r="F121" s="6" t="s">
        <v>670</v>
      </c>
      <c r="G121" s="46">
        <f>758668.97+261994.18</f>
        <v>1020663.1499999999</v>
      </c>
      <c r="H121" s="46">
        <v>893913.63</v>
      </c>
      <c r="I121" s="46">
        <f t="shared" si="5"/>
        <v>87.58</v>
      </c>
    </row>
    <row r="122" spans="1:9" ht="47.25">
      <c r="A122" s="3" t="s">
        <v>671</v>
      </c>
      <c r="B122" s="6" t="s">
        <v>78</v>
      </c>
      <c r="C122" s="6" t="s">
        <v>869</v>
      </c>
      <c r="D122" s="6" t="s">
        <v>659</v>
      </c>
      <c r="E122" s="6" t="s">
        <v>76</v>
      </c>
      <c r="F122" s="6" t="s">
        <v>672</v>
      </c>
      <c r="G122" s="46">
        <f>12745.41+19254.59</f>
        <v>32000</v>
      </c>
      <c r="H122" s="46">
        <v>11128.5</v>
      </c>
      <c r="I122" s="46">
        <f t="shared" si="5"/>
        <v>34.78</v>
      </c>
    </row>
    <row r="123" spans="1:9" ht="47.25">
      <c r="A123" s="3" t="s">
        <v>673</v>
      </c>
      <c r="B123" s="6" t="s">
        <v>78</v>
      </c>
      <c r="C123" s="6" t="s">
        <v>869</v>
      </c>
      <c r="D123" s="6" t="s">
        <v>659</v>
      </c>
      <c r="E123" s="6" t="s">
        <v>76</v>
      </c>
      <c r="F123" s="6" t="s">
        <v>674</v>
      </c>
      <c r="G123" s="46">
        <f>G124</f>
        <v>249736.85</v>
      </c>
      <c r="H123" s="46">
        <f>H124</f>
        <v>80976.66</v>
      </c>
      <c r="I123" s="46">
        <f t="shared" si="5"/>
        <v>32.42</v>
      </c>
    </row>
    <row r="124" spans="1:9" ht="47.25">
      <c r="A124" s="3" t="s">
        <v>675</v>
      </c>
      <c r="B124" s="6" t="s">
        <v>78</v>
      </c>
      <c r="C124" s="6" t="s">
        <v>869</v>
      </c>
      <c r="D124" s="6" t="s">
        <v>659</v>
      </c>
      <c r="E124" s="6" t="s">
        <v>76</v>
      </c>
      <c r="F124" s="6" t="s">
        <v>676</v>
      </c>
      <c r="G124" s="46">
        <f>G125+G126</f>
        <v>249736.85</v>
      </c>
      <c r="H124" s="46">
        <f>H125+H126</f>
        <v>80976.66</v>
      </c>
      <c r="I124" s="46">
        <f t="shared" si="5"/>
        <v>32.42</v>
      </c>
    </row>
    <row r="125" spans="1:9" ht="78.75">
      <c r="A125" s="3" t="s">
        <v>679</v>
      </c>
      <c r="B125" s="6" t="s">
        <v>78</v>
      </c>
      <c r="C125" s="6" t="s">
        <v>869</v>
      </c>
      <c r="D125" s="6" t="s">
        <v>659</v>
      </c>
      <c r="E125" s="6" t="s">
        <v>76</v>
      </c>
      <c r="F125" s="6" t="s">
        <v>680</v>
      </c>
      <c r="G125" s="46">
        <f>16142.75+2000+20298.69+6399</f>
        <v>44840.44</v>
      </c>
      <c r="H125" s="46">
        <v>39666.97</v>
      </c>
      <c r="I125" s="46">
        <f t="shared" si="5"/>
        <v>88.46</v>
      </c>
    </row>
    <row r="126" spans="1:9" ht="47.25">
      <c r="A126" s="3" t="s">
        <v>677</v>
      </c>
      <c r="B126" s="6" t="s">
        <v>78</v>
      </c>
      <c r="C126" s="6" t="s">
        <v>869</v>
      </c>
      <c r="D126" s="6" t="s">
        <v>659</v>
      </c>
      <c r="E126" s="6" t="s">
        <v>76</v>
      </c>
      <c r="F126" s="6" t="s">
        <v>678</v>
      </c>
      <c r="G126" s="46">
        <f>26442.87-2000+186852.54-6399</f>
        <v>204896.41</v>
      </c>
      <c r="H126" s="46">
        <v>41309.69</v>
      </c>
      <c r="I126" s="46">
        <f t="shared" si="5"/>
        <v>20.16</v>
      </c>
    </row>
    <row r="127" spans="1:9" ht="252">
      <c r="A127" s="3" t="s">
        <v>488</v>
      </c>
      <c r="B127" s="6" t="s">
        <v>78</v>
      </c>
      <c r="C127" s="6" t="s">
        <v>869</v>
      </c>
      <c r="D127" s="6" t="s">
        <v>659</v>
      </c>
      <c r="E127" s="6" t="s">
        <v>487</v>
      </c>
      <c r="F127" s="6"/>
      <c r="G127" s="46">
        <f aca="true" t="shared" si="8" ref="G127:H129">G128</f>
        <v>6000</v>
      </c>
      <c r="H127" s="46">
        <f t="shared" si="8"/>
        <v>2375.65</v>
      </c>
      <c r="I127" s="46">
        <f t="shared" si="5"/>
        <v>39.59</v>
      </c>
    </row>
    <row r="128" spans="1:9" ht="47.25">
      <c r="A128" s="3" t="s">
        <v>673</v>
      </c>
      <c r="B128" s="6" t="s">
        <v>78</v>
      </c>
      <c r="C128" s="6" t="s">
        <v>869</v>
      </c>
      <c r="D128" s="6" t="s">
        <v>659</v>
      </c>
      <c r="E128" s="6" t="s">
        <v>487</v>
      </c>
      <c r="F128" s="6" t="s">
        <v>674</v>
      </c>
      <c r="G128" s="46">
        <f t="shared" si="8"/>
        <v>6000</v>
      </c>
      <c r="H128" s="46">
        <f t="shared" si="8"/>
        <v>2375.65</v>
      </c>
      <c r="I128" s="46">
        <f t="shared" si="5"/>
        <v>39.59</v>
      </c>
    </row>
    <row r="129" spans="1:9" ht="47.25">
      <c r="A129" s="3" t="s">
        <v>675</v>
      </c>
      <c r="B129" s="6" t="s">
        <v>78</v>
      </c>
      <c r="C129" s="6" t="s">
        <v>869</v>
      </c>
      <c r="D129" s="6" t="s">
        <v>659</v>
      </c>
      <c r="E129" s="6" t="s">
        <v>487</v>
      </c>
      <c r="F129" s="6" t="s">
        <v>676</v>
      </c>
      <c r="G129" s="46">
        <f t="shared" si="8"/>
        <v>6000</v>
      </c>
      <c r="H129" s="46">
        <f t="shared" si="8"/>
        <v>2375.65</v>
      </c>
      <c r="I129" s="46">
        <f t="shared" si="5"/>
        <v>39.59</v>
      </c>
    </row>
    <row r="130" spans="1:9" ht="47.25">
      <c r="A130" s="3" t="s">
        <v>677</v>
      </c>
      <c r="B130" s="6" t="s">
        <v>78</v>
      </c>
      <c r="C130" s="6" t="s">
        <v>869</v>
      </c>
      <c r="D130" s="6" t="s">
        <v>659</v>
      </c>
      <c r="E130" s="6" t="s">
        <v>487</v>
      </c>
      <c r="F130" s="6" t="s">
        <v>678</v>
      </c>
      <c r="G130" s="46">
        <v>6000</v>
      </c>
      <c r="H130" s="46">
        <v>2375.65</v>
      </c>
      <c r="I130" s="46">
        <f t="shared" si="5"/>
        <v>39.59</v>
      </c>
    </row>
    <row r="131" spans="1:9" ht="78.75">
      <c r="A131" s="32" t="s">
        <v>653</v>
      </c>
      <c r="B131" s="33" t="s">
        <v>78</v>
      </c>
      <c r="C131" s="33" t="s">
        <v>869</v>
      </c>
      <c r="D131" s="33" t="s">
        <v>659</v>
      </c>
      <c r="E131" s="33" t="s">
        <v>654</v>
      </c>
      <c r="F131" s="33"/>
      <c r="G131" s="55">
        <f>G132</f>
        <v>1137691.56</v>
      </c>
      <c r="H131" s="55">
        <f>H132</f>
        <v>1083136.56</v>
      </c>
      <c r="I131" s="55">
        <f t="shared" si="5"/>
        <v>95.2</v>
      </c>
    </row>
    <row r="132" spans="1:9" ht="31.5">
      <c r="A132" s="3" t="s">
        <v>933</v>
      </c>
      <c r="B132" s="6" t="s">
        <v>78</v>
      </c>
      <c r="C132" s="6" t="s">
        <v>869</v>
      </c>
      <c r="D132" s="6" t="s">
        <v>659</v>
      </c>
      <c r="E132" s="6" t="s">
        <v>461</v>
      </c>
      <c r="F132" s="6"/>
      <c r="G132" s="46">
        <f>G133</f>
        <v>1137691.56</v>
      </c>
      <c r="H132" s="46">
        <f>H133</f>
        <v>1083136.56</v>
      </c>
      <c r="I132" s="46">
        <f t="shared" si="5"/>
        <v>95.2</v>
      </c>
    </row>
    <row r="133" spans="1:9" ht="47.25">
      <c r="A133" s="3" t="s">
        <v>934</v>
      </c>
      <c r="B133" s="6" t="s">
        <v>78</v>
      </c>
      <c r="C133" s="6" t="s">
        <v>869</v>
      </c>
      <c r="D133" s="6" t="s">
        <v>659</v>
      </c>
      <c r="E133" s="6" t="s">
        <v>935</v>
      </c>
      <c r="F133" s="6"/>
      <c r="G133" s="46">
        <f>G134+G137</f>
        <v>1137691.56</v>
      </c>
      <c r="H133" s="46">
        <f>H134+H137</f>
        <v>1083136.56</v>
      </c>
      <c r="I133" s="46">
        <f t="shared" si="5"/>
        <v>95.2</v>
      </c>
    </row>
    <row r="134" spans="1:9" ht="47.25">
      <c r="A134" s="3" t="s">
        <v>673</v>
      </c>
      <c r="B134" s="6" t="s">
        <v>78</v>
      </c>
      <c r="C134" s="6" t="s">
        <v>869</v>
      </c>
      <c r="D134" s="6" t="s">
        <v>659</v>
      </c>
      <c r="E134" s="6" t="s">
        <v>935</v>
      </c>
      <c r="F134" s="6" t="s">
        <v>674</v>
      </c>
      <c r="G134" s="46">
        <f>G135</f>
        <v>764322</v>
      </c>
      <c r="H134" s="46">
        <f>H135</f>
        <v>709767</v>
      </c>
      <c r="I134" s="46">
        <f t="shared" si="5"/>
        <v>92.86</v>
      </c>
    </row>
    <row r="135" spans="1:9" ht="47.25">
      <c r="A135" s="3" t="s">
        <v>675</v>
      </c>
      <c r="B135" s="6" t="s">
        <v>78</v>
      </c>
      <c r="C135" s="6" t="s">
        <v>869</v>
      </c>
      <c r="D135" s="6" t="s">
        <v>659</v>
      </c>
      <c r="E135" s="6" t="s">
        <v>935</v>
      </c>
      <c r="F135" s="6" t="s">
        <v>676</v>
      </c>
      <c r="G135" s="46">
        <f>G136</f>
        <v>764322</v>
      </c>
      <c r="H135" s="46">
        <f>H136</f>
        <v>709767</v>
      </c>
      <c r="I135" s="46">
        <f t="shared" si="5"/>
        <v>92.86</v>
      </c>
    </row>
    <row r="136" spans="1:9" ht="47.25">
      <c r="A136" s="3" t="s">
        <v>677</v>
      </c>
      <c r="B136" s="6" t="s">
        <v>78</v>
      </c>
      <c r="C136" s="6" t="s">
        <v>869</v>
      </c>
      <c r="D136" s="6" t="s">
        <v>659</v>
      </c>
      <c r="E136" s="6" t="s">
        <v>935</v>
      </c>
      <c r="F136" s="6" t="s">
        <v>678</v>
      </c>
      <c r="G136" s="46">
        <f>295870-195871+300000-200-40000-5247+409770</f>
        <v>764322</v>
      </c>
      <c r="H136" s="46">
        <v>709767</v>
      </c>
      <c r="I136" s="46">
        <f aca="true" t="shared" si="9" ref="I136:I199">ROUND(H136/G136*100,2)</f>
        <v>92.86</v>
      </c>
    </row>
    <row r="137" spans="1:9" ht="31.5">
      <c r="A137" s="90" t="s">
        <v>557</v>
      </c>
      <c r="B137" s="6" t="s">
        <v>78</v>
      </c>
      <c r="C137" s="6" t="s">
        <v>869</v>
      </c>
      <c r="D137" s="6" t="s">
        <v>659</v>
      </c>
      <c r="E137" s="6" t="s">
        <v>935</v>
      </c>
      <c r="F137" s="91" t="s">
        <v>683</v>
      </c>
      <c r="G137" s="46">
        <f>G140+G138</f>
        <v>373369.56</v>
      </c>
      <c r="H137" s="46">
        <f>H140+H138</f>
        <v>373369.56</v>
      </c>
      <c r="I137" s="46">
        <f t="shared" si="9"/>
        <v>100</v>
      </c>
    </row>
    <row r="138" spans="1:9" ht="31.5">
      <c r="A138" s="90" t="s">
        <v>602</v>
      </c>
      <c r="B138" s="6" t="s">
        <v>78</v>
      </c>
      <c r="C138" s="6" t="s">
        <v>869</v>
      </c>
      <c r="D138" s="6" t="s">
        <v>659</v>
      </c>
      <c r="E138" s="6" t="s">
        <v>935</v>
      </c>
      <c r="F138" s="91" t="s">
        <v>603</v>
      </c>
      <c r="G138" s="46">
        <f>G139</f>
        <v>82251.56</v>
      </c>
      <c r="H138" s="46">
        <f>H139</f>
        <v>82251.56</v>
      </c>
      <c r="I138" s="46">
        <f t="shared" si="9"/>
        <v>100</v>
      </c>
    </row>
    <row r="139" spans="1:9" ht="252">
      <c r="A139" s="90" t="s">
        <v>605</v>
      </c>
      <c r="B139" s="6" t="s">
        <v>78</v>
      </c>
      <c r="C139" s="6" t="s">
        <v>869</v>
      </c>
      <c r="D139" s="6" t="s">
        <v>659</v>
      </c>
      <c r="E139" s="6" t="s">
        <v>935</v>
      </c>
      <c r="F139" s="91" t="s">
        <v>606</v>
      </c>
      <c r="G139" s="46">
        <f>200+491821.56-409770</f>
        <v>82251.56</v>
      </c>
      <c r="H139" s="46">
        <v>82251.56</v>
      </c>
      <c r="I139" s="46">
        <f t="shared" si="9"/>
        <v>100</v>
      </c>
    </row>
    <row r="140" spans="1:9" ht="78.75">
      <c r="A140" s="90" t="s">
        <v>729</v>
      </c>
      <c r="B140" s="6" t="s">
        <v>78</v>
      </c>
      <c r="C140" s="6" t="s">
        <v>869</v>
      </c>
      <c r="D140" s="6" t="s">
        <v>659</v>
      </c>
      <c r="E140" s="6" t="s">
        <v>935</v>
      </c>
      <c r="F140" s="91" t="s">
        <v>730</v>
      </c>
      <c r="G140" s="46">
        <f>G141</f>
        <v>291118</v>
      </c>
      <c r="H140" s="46">
        <f>H141</f>
        <v>291118</v>
      </c>
      <c r="I140" s="46">
        <f t="shared" si="9"/>
        <v>100</v>
      </c>
    </row>
    <row r="141" spans="1:9" ht="47.25">
      <c r="A141" s="99" t="s">
        <v>731</v>
      </c>
      <c r="B141" s="9" t="s">
        <v>78</v>
      </c>
      <c r="C141" s="9" t="s">
        <v>869</v>
      </c>
      <c r="D141" s="9" t="s">
        <v>659</v>
      </c>
      <c r="E141" s="9" t="s">
        <v>935</v>
      </c>
      <c r="F141" s="100" t="s">
        <v>732</v>
      </c>
      <c r="G141" s="48">
        <f>195871+50000+40000+5247</f>
        <v>291118</v>
      </c>
      <c r="H141" s="48">
        <v>291118</v>
      </c>
      <c r="I141" s="48">
        <f t="shared" si="9"/>
        <v>100</v>
      </c>
    </row>
    <row r="142" spans="1:9" ht="31.5">
      <c r="A142" s="1" t="s">
        <v>554</v>
      </c>
      <c r="B142" s="2" t="s">
        <v>78</v>
      </c>
      <c r="C142" s="2" t="s">
        <v>869</v>
      </c>
      <c r="D142" s="2" t="s">
        <v>659</v>
      </c>
      <c r="E142" s="2" t="s">
        <v>932</v>
      </c>
      <c r="F142" s="133"/>
      <c r="G142" s="50">
        <f>G143</f>
        <v>3935500</v>
      </c>
      <c r="H142" s="50">
        <f>H143</f>
        <v>3926297</v>
      </c>
      <c r="I142" s="50">
        <f t="shared" si="9"/>
        <v>99.77</v>
      </c>
    </row>
    <row r="143" spans="1:9" ht="141.75">
      <c r="A143" s="90" t="s">
        <v>846</v>
      </c>
      <c r="B143" s="6" t="s">
        <v>78</v>
      </c>
      <c r="C143" s="6" t="s">
        <v>869</v>
      </c>
      <c r="D143" s="6" t="s">
        <v>659</v>
      </c>
      <c r="E143" s="6" t="s">
        <v>847</v>
      </c>
      <c r="F143" s="91"/>
      <c r="G143" s="46">
        <f>G144</f>
        <v>3935500</v>
      </c>
      <c r="H143" s="46">
        <f>H144</f>
        <v>3926297</v>
      </c>
      <c r="I143" s="46">
        <f t="shared" si="9"/>
        <v>99.77</v>
      </c>
    </row>
    <row r="144" spans="1:9" ht="110.25">
      <c r="A144" s="90" t="s">
        <v>92</v>
      </c>
      <c r="B144" s="6" t="s">
        <v>78</v>
      </c>
      <c r="C144" s="6" t="s">
        <v>869</v>
      </c>
      <c r="D144" s="6" t="s">
        <v>659</v>
      </c>
      <c r="E144" s="6" t="s">
        <v>93</v>
      </c>
      <c r="F144" s="91"/>
      <c r="G144" s="46">
        <f>G150+G145</f>
        <v>3935500</v>
      </c>
      <c r="H144" s="46">
        <f>H150+H145</f>
        <v>3926297</v>
      </c>
      <c r="I144" s="46">
        <f t="shared" si="9"/>
        <v>99.77</v>
      </c>
    </row>
    <row r="145" spans="1:9" ht="157.5">
      <c r="A145" s="3" t="s">
        <v>663</v>
      </c>
      <c r="B145" s="6" t="s">
        <v>78</v>
      </c>
      <c r="C145" s="6" t="s">
        <v>869</v>
      </c>
      <c r="D145" s="6" t="s">
        <v>659</v>
      </c>
      <c r="E145" s="6" t="s">
        <v>93</v>
      </c>
      <c r="F145" s="6" t="s">
        <v>664</v>
      </c>
      <c r="G145" s="46">
        <f>G146+G148</f>
        <v>64355</v>
      </c>
      <c r="H145" s="46">
        <f>H146+H148</f>
        <v>60650</v>
      </c>
      <c r="I145" s="46">
        <f t="shared" si="9"/>
        <v>94.24</v>
      </c>
    </row>
    <row r="146" spans="1:9" ht="47.25">
      <c r="A146" s="3" t="s">
        <v>725</v>
      </c>
      <c r="B146" s="6" t="s">
        <v>78</v>
      </c>
      <c r="C146" s="6" t="s">
        <v>869</v>
      </c>
      <c r="D146" s="6" t="s">
        <v>659</v>
      </c>
      <c r="E146" s="6" t="s">
        <v>93</v>
      </c>
      <c r="F146" s="6" t="s">
        <v>726</v>
      </c>
      <c r="G146" s="46">
        <f>G147</f>
        <v>16600</v>
      </c>
      <c r="H146" s="46">
        <f>H147</f>
        <v>16600</v>
      </c>
      <c r="I146" s="46">
        <f t="shared" si="9"/>
        <v>100</v>
      </c>
    </row>
    <row r="147" spans="1:9" ht="47.25">
      <c r="A147" s="3" t="s">
        <v>671</v>
      </c>
      <c r="B147" s="6" t="s">
        <v>78</v>
      </c>
      <c r="C147" s="6" t="s">
        <v>869</v>
      </c>
      <c r="D147" s="6" t="s">
        <v>659</v>
      </c>
      <c r="E147" s="6" t="s">
        <v>93</v>
      </c>
      <c r="F147" s="91" t="s">
        <v>728</v>
      </c>
      <c r="G147" s="46">
        <f>4200+16000+8200-11800</f>
        <v>16600</v>
      </c>
      <c r="H147" s="46">
        <v>16600</v>
      </c>
      <c r="I147" s="46">
        <f t="shared" si="9"/>
        <v>100</v>
      </c>
    </row>
    <row r="148" spans="1:9" ht="47.25">
      <c r="A148" s="3" t="s">
        <v>667</v>
      </c>
      <c r="B148" s="6" t="s">
        <v>78</v>
      </c>
      <c r="C148" s="6" t="s">
        <v>869</v>
      </c>
      <c r="D148" s="6" t="s">
        <v>659</v>
      </c>
      <c r="E148" s="6" t="s">
        <v>93</v>
      </c>
      <c r="F148" s="91" t="s">
        <v>668</v>
      </c>
      <c r="G148" s="46">
        <f>G149</f>
        <v>47755</v>
      </c>
      <c r="H148" s="46">
        <f>H149</f>
        <v>44050</v>
      </c>
      <c r="I148" s="46">
        <f t="shared" si="9"/>
        <v>92.24</v>
      </c>
    </row>
    <row r="149" spans="1:9" ht="47.25">
      <c r="A149" s="3" t="s">
        <v>671</v>
      </c>
      <c r="B149" s="6" t="s">
        <v>78</v>
      </c>
      <c r="C149" s="6" t="s">
        <v>869</v>
      </c>
      <c r="D149" s="6" t="s">
        <v>659</v>
      </c>
      <c r="E149" s="6" t="s">
        <v>93</v>
      </c>
      <c r="F149" s="91" t="s">
        <v>672</v>
      </c>
      <c r="G149" s="46">
        <f>14000+2000+62000-22300-600-7345</f>
        <v>47755</v>
      </c>
      <c r="H149" s="46">
        <v>44050</v>
      </c>
      <c r="I149" s="46">
        <f t="shared" si="9"/>
        <v>92.24</v>
      </c>
    </row>
    <row r="150" spans="1:9" ht="47.25">
      <c r="A150" s="113" t="s">
        <v>673</v>
      </c>
      <c r="B150" s="6" t="s">
        <v>78</v>
      </c>
      <c r="C150" s="6" t="s">
        <v>869</v>
      </c>
      <c r="D150" s="6" t="s">
        <v>659</v>
      </c>
      <c r="E150" s="6" t="s">
        <v>93</v>
      </c>
      <c r="F150" s="91" t="s">
        <v>674</v>
      </c>
      <c r="G150" s="46">
        <f>G151</f>
        <v>3871145</v>
      </c>
      <c r="H150" s="46">
        <f>H151</f>
        <v>3865647</v>
      </c>
      <c r="I150" s="46">
        <f t="shared" si="9"/>
        <v>99.86</v>
      </c>
    </row>
    <row r="151" spans="1:9" ht="47.25">
      <c r="A151" s="113" t="s">
        <v>675</v>
      </c>
      <c r="B151" s="6" t="s">
        <v>78</v>
      </c>
      <c r="C151" s="6" t="s">
        <v>869</v>
      </c>
      <c r="D151" s="6" t="s">
        <v>659</v>
      </c>
      <c r="E151" s="6" t="s">
        <v>93</v>
      </c>
      <c r="F151" s="91" t="s">
        <v>676</v>
      </c>
      <c r="G151" s="46">
        <f>G152+G153</f>
        <v>3871145</v>
      </c>
      <c r="H151" s="46">
        <f>H152+H153</f>
        <v>3865647</v>
      </c>
      <c r="I151" s="46">
        <f t="shared" si="9"/>
        <v>99.86</v>
      </c>
    </row>
    <row r="152" spans="1:9" ht="78.75">
      <c r="A152" s="113" t="s">
        <v>679</v>
      </c>
      <c r="B152" s="6" t="s">
        <v>78</v>
      </c>
      <c r="C152" s="6" t="s">
        <v>869</v>
      </c>
      <c r="D152" s="6" t="s">
        <v>659</v>
      </c>
      <c r="E152" s="6" t="s">
        <v>93</v>
      </c>
      <c r="F152" s="91" t="s">
        <v>680</v>
      </c>
      <c r="G152" s="46">
        <f>3417012+207288+26000+16437</f>
        <v>3666737</v>
      </c>
      <c r="H152" s="46">
        <v>3666237</v>
      </c>
      <c r="I152" s="46">
        <f t="shared" si="9"/>
        <v>99.99</v>
      </c>
    </row>
    <row r="153" spans="1:9" ht="47.25">
      <c r="A153" s="5" t="s">
        <v>677</v>
      </c>
      <c r="B153" s="6" t="s">
        <v>78</v>
      </c>
      <c r="C153" s="6" t="s">
        <v>869</v>
      </c>
      <c r="D153" s="6" t="s">
        <v>659</v>
      </c>
      <c r="E153" s="6" t="s">
        <v>93</v>
      </c>
      <c r="F153" s="91" t="s">
        <v>678</v>
      </c>
      <c r="G153" s="46">
        <f>285200-106400+22300+600+2708</f>
        <v>204408</v>
      </c>
      <c r="H153" s="46">
        <v>199410</v>
      </c>
      <c r="I153" s="46">
        <f t="shared" si="9"/>
        <v>97.55</v>
      </c>
    </row>
    <row r="154" spans="1:9" ht="47.25">
      <c r="A154" s="20" t="s">
        <v>922</v>
      </c>
      <c r="B154" s="7" t="s">
        <v>78</v>
      </c>
      <c r="C154" s="7" t="s">
        <v>869</v>
      </c>
      <c r="D154" s="7" t="s">
        <v>659</v>
      </c>
      <c r="E154" s="7" t="s">
        <v>923</v>
      </c>
      <c r="F154" s="89"/>
      <c r="G154" s="129">
        <f>G155+G185</f>
        <v>44437586.029999994</v>
      </c>
      <c r="H154" s="129">
        <f>H155+H185</f>
        <v>43561929.82</v>
      </c>
      <c r="I154" s="129">
        <f t="shared" si="9"/>
        <v>98.03</v>
      </c>
    </row>
    <row r="155" spans="1:9" ht="47.25">
      <c r="A155" s="90" t="s">
        <v>824</v>
      </c>
      <c r="B155" s="91" t="s">
        <v>78</v>
      </c>
      <c r="C155" s="91" t="s">
        <v>869</v>
      </c>
      <c r="D155" s="91" t="s">
        <v>659</v>
      </c>
      <c r="E155" s="91" t="s">
        <v>795</v>
      </c>
      <c r="F155" s="6"/>
      <c r="G155" s="46">
        <f>G177+G165+G169+G156+G173</f>
        <v>6616696.3</v>
      </c>
      <c r="H155" s="46">
        <f>H177+H165+H169+H156+H173</f>
        <v>6542137.14</v>
      </c>
      <c r="I155" s="46">
        <f t="shared" si="9"/>
        <v>98.87</v>
      </c>
    </row>
    <row r="156" spans="1:9" ht="110.25">
      <c r="A156" s="90" t="s">
        <v>773</v>
      </c>
      <c r="B156" s="91" t="s">
        <v>78</v>
      </c>
      <c r="C156" s="91" t="s">
        <v>869</v>
      </c>
      <c r="D156" s="91" t="s">
        <v>659</v>
      </c>
      <c r="E156" s="91" t="s">
        <v>774</v>
      </c>
      <c r="F156" s="6"/>
      <c r="G156" s="46">
        <f>G160+G163+G157</f>
        <v>1351600</v>
      </c>
      <c r="H156" s="46">
        <f>H160+H163+H157</f>
        <v>1346701.94</v>
      </c>
      <c r="I156" s="46">
        <f t="shared" si="9"/>
        <v>99.64</v>
      </c>
    </row>
    <row r="157" spans="1:9" ht="47.25">
      <c r="A157" s="122" t="s">
        <v>673</v>
      </c>
      <c r="B157" s="91" t="s">
        <v>78</v>
      </c>
      <c r="C157" s="91" t="s">
        <v>869</v>
      </c>
      <c r="D157" s="91" t="s">
        <v>659</v>
      </c>
      <c r="E157" s="91" t="s">
        <v>774</v>
      </c>
      <c r="F157" s="6" t="s">
        <v>674</v>
      </c>
      <c r="G157" s="46">
        <f>G158</f>
        <v>210500</v>
      </c>
      <c r="H157" s="46">
        <f>H158</f>
        <v>210500</v>
      </c>
      <c r="I157" s="46">
        <f t="shared" si="9"/>
        <v>100</v>
      </c>
    </row>
    <row r="158" spans="1:9" ht="47.25">
      <c r="A158" s="122" t="s">
        <v>675</v>
      </c>
      <c r="B158" s="91" t="s">
        <v>78</v>
      </c>
      <c r="C158" s="91" t="s">
        <v>869</v>
      </c>
      <c r="D158" s="91" t="s">
        <v>659</v>
      </c>
      <c r="E158" s="91" t="s">
        <v>774</v>
      </c>
      <c r="F158" s="6" t="s">
        <v>676</v>
      </c>
      <c r="G158" s="46">
        <f>G159</f>
        <v>210500</v>
      </c>
      <c r="H158" s="46">
        <f>H159</f>
        <v>210500</v>
      </c>
      <c r="I158" s="46">
        <f t="shared" si="9"/>
        <v>100</v>
      </c>
    </row>
    <row r="159" spans="1:9" ht="47.25">
      <c r="A159" s="122" t="s">
        <v>677</v>
      </c>
      <c r="B159" s="91" t="s">
        <v>78</v>
      </c>
      <c r="C159" s="91" t="s">
        <v>869</v>
      </c>
      <c r="D159" s="91" t="s">
        <v>659</v>
      </c>
      <c r="E159" s="91" t="s">
        <v>774</v>
      </c>
      <c r="F159" s="6" t="s">
        <v>678</v>
      </c>
      <c r="G159" s="46">
        <f>160000+50500</f>
        <v>210500</v>
      </c>
      <c r="H159" s="46">
        <v>210500</v>
      </c>
      <c r="I159" s="46">
        <f t="shared" si="9"/>
        <v>100</v>
      </c>
    </row>
    <row r="160" spans="1:9" ht="31.5">
      <c r="A160" s="5" t="s">
        <v>595</v>
      </c>
      <c r="B160" s="91" t="s">
        <v>78</v>
      </c>
      <c r="C160" s="91" t="s">
        <v>869</v>
      </c>
      <c r="D160" s="91" t="s">
        <v>659</v>
      </c>
      <c r="E160" s="91" t="s">
        <v>774</v>
      </c>
      <c r="F160" s="6" t="s">
        <v>596</v>
      </c>
      <c r="G160" s="46">
        <f>G161</f>
        <v>1041100</v>
      </c>
      <c r="H160" s="46">
        <f>H161</f>
        <v>1039742</v>
      </c>
      <c r="I160" s="46">
        <f t="shared" si="9"/>
        <v>99.87</v>
      </c>
    </row>
    <row r="161" spans="1:9" ht="63">
      <c r="A161" s="5" t="s">
        <v>22</v>
      </c>
      <c r="B161" s="91" t="s">
        <v>78</v>
      </c>
      <c r="C161" s="91" t="s">
        <v>869</v>
      </c>
      <c r="D161" s="91" t="s">
        <v>659</v>
      </c>
      <c r="E161" s="91" t="s">
        <v>774</v>
      </c>
      <c r="F161" s="6" t="s">
        <v>23</v>
      </c>
      <c r="G161" s="46">
        <f>G162</f>
        <v>1041100</v>
      </c>
      <c r="H161" s="46">
        <f>H162</f>
        <v>1039742</v>
      </c>
      <c r="I161" s="46">
        <f t="shared" si="9"/>
        <v>99.87</v>
      </c>
    </row>
    <row r="162" spans="1:9" ht="78.75">
      <c r="A162" s="5" t="s">
        <v>691</v>
      </c>
      <c r="B162" s="91" t="s">
        <v>78</v>
      </c>
      <c r="C162" s="91" t="s">
        <v>869</v>
      </c>
      <c r="D162" s="91" t="s">
        <v>659</v>
      </c>
      <c r="E162" s="91" t="s">
        <v>774</v>
      </c>
      <c r="F162" s="6" t="s">
        <v>690</v>
      </c>
      <c r="G162" s="46">
        <f>462300+145000+163000+255800+5500+60000-50500</f>
        <v>1041100</v>
      </c>
      <c r="H162" s="46">
        <v>1039742</v>
      </c>
      <c r="I162" s="46">
        <f t="shared" si="9"/>
        <v>99.87</v>
      </c>
    </row>
    <row r="163" spans="1:9" ht="78.75">
      <c r="A163" s="122" t="s">
        <v>936</v>
      </c>
      <c r="B163" s="91" t="s">
        <v>78</v>
      </c>
      <c r="C163" s="91" t="s">
        <v>869</v>
      </c>
      <c r="D163" s="91" t="s">
        <v>659</v>
      </c>
      <c r="E163" s="91" t="s">
        <v>774</v>
      </c>
      <c r="F163" s="6" t="s">
        <v>685</v>
      </c>
      <c r="G163" s="46">
        <f>G164</f>
        <v>100000</v>
      </c>
      <c r="H163" s="46">
        <f>H164</f>
        <v>96459.94</v>
      </c>
      <c r="I163" s="46">
        <f t="shared" si="9"/>
        <v>96.46</v>
      </c>
    </row>
    <row r="164" spans="1:9" ht="78.75">
      <c r="A164" s="3" t="s">
        <v>775</v>
      </c>
      <c r="B164" s="91" t="s">
        <v>78</v>
      </c>
      <c r="C164" s="91" t="s">
        <v>869</v>
      </c>
      <c r="D164" s="91" t="s">
        <v>659</v>
      </c>
      <c r="E164" s="91" t="s">
        <v>774</v>
      </c>
      <c r="F164" s="6" t="s">
        <v>776</v>
      </c>
      <c r="G164" s="46">
        <f>72500+27500</f>
        <v>100000</v>
      </c>
      <c r="H164" s="46">
        <v>96459.94</v>
      </c>
      <c r="I164" s="46">
        <f t="shared" si="9"/>
        <v>96.46</v>
      </c>
    </row>
    <row r="165" spans="1:9" ht="144" customHeight="1">
      <c r="A165" s="90" t="s">
        <v>757</v>
      </c>
      <c r="B165" s="91" t="s">
        <v>78</v>
      </c>
      <c r="C165" s="91" t="s">
        <v>869</v>
      </c>
      <c r="D165" s="91" t="s">
        <v>659</v>
      </c>
      <c r="E165" s="91" t="s">
        <v>758</v>
      </c>
      <c r="F165" s="6"/>
      <c r="G165" s="46">
        <f aca="true" t="shared" si="10" ref="G165:H167">G166</f>
        <v>2039626.3</v>
      </c>
      <c r="H165" s="46">
        <f t="shared" si="10"/>
        <v>2039626.3</v>
      </c>
      <c r="I165" s="46">
        <f t="shared" si="9"/>
        <v>100</v>
      </c>
    </row>
    <row r="166" spans="1:9" ht="47.25">
      <c r="A166" s="3" t="s">
        <v>673</v>
      </c>
      <c r="B166" s="6" t="s">
        <v>78</v>
      </c>
      <c r="C166" s="6" t="s">
        <v>869</v>
      </c>
      <c r="D166" s="6" t="s">
        <v>659</v>
      </c>
      <c r="E166" s="91" t="s">
        <v>758</v>
      </c>
      <c r="F166" s="6" t="s">
        <v>674</v>
      </c>
      <c r="G166" s="46">
        <f t="shared" si="10"/>
        <v>2039626.3</v>
      </c>
      <c r="H166" s="46">
        <f t="shared" si="10"/>
        <v>2039626.3</v>
      </c>
      <c r="I166" s="46">
        <f t="shared" si="9"/>
        <v>100</v>
      </c>
    </row>
    <row r="167" spans="1:9" ht="47.25">
      <c r="A167" s="3" t="s">
        <v>675</v>
      </c>
      <c r="B167" s="6" t="s">
        <v>78</v>
      </c>
      <c r="C167" s="6" t="s">
        <v>869</v>
      </c>
      <c r="D167" s="6" t="s">
        <v>659</v>
      </c>
      <c r="E167" s="91" t="s">
        <v>758</v>
      </c>
      <c r="F167" s="6" t="s">
        <v>676</v>
      </c>
      <c r="G167" s="46">
        <f t="shared" si="10"/>
        <v>2039626.3</v>
      </c>
      <c r="H167" s="46">
        <f t="shared" si="10"/>
        <v>2039626.3</v>
      </c>
      <c r="I167" s="46">
        <f t="shared" si="9"/>
        <v>100</v>
      </c>
    </row>
    <row r="168" spans="1:9" ht="47.25">
      <c r="A168" s="3" t="s">
        <v>677</v>
      </c>
      <c r="B168" s="6" t="s">
        <v>78</v>
      </c>
      <c r="C168" s="6" t="s">
        <v>869</v>
      </c>
      <c r="D168" s="6" t="s">
        <v>659</v>
      </c>
      <c r="E168" s="91" t="s">
        <v>758</v>
      </c>
      <c r="F168" s="6" t="s">
        <v>678</v>
      </c>
      <c r="G168" s="46">
        <f>2100000-199000+138626.3</f>
        <v>2039626.3</v>
      </c>
      <c r="H168" s="46">
        <v>2039626.3</v>
      </c>
      <c r="I168" s="46">
        <f t="shared" si="9"/>
        <v>100</v>
      </c>
    </row>
    <row r="169" spans="1:9" ht="63">
      <c r="A169" s="3" t="s">
        <v>763</v>
      </c>
      <c r="B169" s="6" t="s">
        <v>78</v>
      </c>
      <c r="C169" s="6" t="s">
        <v>869</v>
      </c>
      <c r="D169" s="6" t="s">
        <v>659</v>
      </c>
      <c r="E169" s="91" t="s">
        <v>764</v>
      </c>
      <c r="F169" s="6"/>
      <c r="G169" s="46">
        <f aca="true" t="shared" si="11" ref="G169:H171">G170</f>
        <v>5000</v>
      </c>
      <c r="H169" s="46">
        <f t="shared" si="11"/>
        <v>4111.6</v>
      </c>
      <c r="I169" s="46">
        <f t="shared" si="9"/>
        <v>82.23</v>
      </c>
    </row>
    <row r="170" spans="1:9" ht="47.25">
      <c r="A170" s="3" t="s">
        <v>673</v>
      </c>
      <c r="B170" s="6" t="s">
        <v>78</v>
      </c>
      <c r="C170" s="6" t="s">
        <v>869</v>
      </c>
      <c r="D170" s="6" t="s">
        <v>659</v>
      </c>
      <c r="E170" s="91" t="s">
        <v>764</v>
      </c>
      <c r="F170" s="6" t="s">
        <v>674</v>
      </c>
      <c r="G170" s="46">
        <f t="shared" si="11"/>
        <v>5000</v>
      </c>
      <c r="H170" s="46">
        <f t="shared" si="11"/>
        <v>4111.6</v>
      </c>
      <c r="I170" s="46">
        <f t="shared" si="9"/>
        <v>82.23</v>
      </c>
    </row>
    <row r="171" spans="1:9" ht="47.25">
      <c r="A171" s="3" t="s">
        <v>675</v>
      </c>
      <c r="B171" s="6" t="s">
        <v>78</v>
      </c>
      <c r="C171" s="6" t="s">
        <v>869</v>
      </c>
      <c r="D171" s="6" t="s">
        <v>659</v>
      </c>
      <c r="E171" s="91" t="s">
        <v>764</v>
      </c>
      <c r="F171" s="6" t="s">
        <v>676</v>
      </c>
      <c r="G171" s="46">
        <f t="shared" si="11"/>
        <v>5000</v>
      </c>
      <c r="H171" s="46">
        <f t="shared" si="11"/>
        <v>4111.6</v>
      </c>
      <c r="I171" s="46">
        <f t="shared" si="9"/>
        <v>82.23</v>
      </c>
    </row>
    <row r="172" spans="1:9" ht="47.25">
      <c r="A172" s="3" t="s">
        <v>677</v>
      </c>
      <c r="B172" s="6" t="s">
        <v>78</v>
      </c>
      <c r="C172" s="6" t="s">
        <v>869</v>
      </c>
      <c r="D172" s="6" t="s">
        <v>659</v>
      </c>
      <c r="E172" s="91" t="s">
        <v>764</v>
      </c>
      <c r="F172" s="6" t="s">
        <v>678</v>
      </c>
      <c r="G172" s="46">
        <f>5000</f>
        <v>5000</v>
      </c>
      <c r="H172" s="46">
        <v>4111.6</v>
      </c>
      <c r="I172" s="46">
        <f t="shared" si="9"/>
        <v>82.23</v>
      </c>
    </row>
    <row r="173" spans="1:9" ht="173.25">
      <c r="A173" s="5" t="s">
        <v>777</v>
      </c>
      <c r="B173" s="6" t="s">
        <v>78</v>
      </c>
      <c r="C173" s="6" t="s">
        <v>869</v>
      </c>
      <c r="D173" s="6" t="s">
        <v>659</v>
      </c>
      <c r="E173" s="91" t="s">
        <v>778</v>
      </c>
      <c r="F173" s="6"/>
      <c r="G173" s="46">
        <f aca="true" t="shared" si="12" ref="G173:H175">G174</f>
        <v>2517050</v>
      </c>
      <c r="H173" s="46">
        <f t="shared" si="12"/>
        <v>2453324.3</v>
      </c>
      <c r="I173" s="46">
        <f t="shared" si="9"/>
        <v>97.47</v>
      </c>
    </row>
    <row r="174" spans="1:9" ht="47.25">
      <c r="A174" s="3" t="s">
        <v>673</v>
      </c>
      <c r="B174" s="6" t="s">
        <v>78</v>
      </c>
      <c r="C174" s="6" t="s">
        <v>869</v>
      </c>
      <c r="D174" s="6" t="s">
        <v>659</v>
      </c>
      <c r="E174" s="91" t="s">
        <v>778</v>
      </c>
      <c r="F174" s="6" t="s">
        <v>674</v>
      </c>
      <c r="G174" s="46">
        <f t="shared" si="12"/>
        <v>2517050</v>
      </c>
      <c r="H174" s="46">
        <f t="shared" si="12"/>
        <v>2453324.3</v>
      </c>
      <c r="I174" s="46">
        <f t="shared" si="9"/>
        <v>97.47</v>
      </c>
    </row>
    <row r="175" spans="1:9" ht="47.25">
      <c r="A175" s="3" t="s">
        <v>675</v>
      </c>
      <c r="B175" s="6" t="s">
        <v>78</v>
      </c>
      <c r="C175" s="6" t="s">
        <v>869</v>
      </c>
      <c r="D175" s="6" t="s">
        <v>659</v>
      </c>
      <c r="E175" s="91" t="s">
        <v>778</v>
      </c>
      <c r="F175" s="6" t="s">
        <v>676</v>
      </c>
      <c r="G175" s="46">
        <f t="shared" si="12"/>
        <v>2517050</v>
      </c>
      <c r="H175" s="46">
        <f t="shared" si="12"/>
        <v>2453324.3</v>
      </c>
      <c r="I175" s="46">
        <f t="shared" si="9"/>
        <v>97.47</v>
      </c>
    </row>
    <row r="176" spans="1:9" ht="47.25">
      <c r="A176" s="3" t="s">
        <v>677</v>
      </c>
      <c r="B176" s="6" t="s">
        <v>78</v>
      </c>
      <c r="C176" s="6" t="s">
        <v>869</v>
      </c>
      <c r="D176" s="6" t="s">
        <v>659</v>
      </c>
      <c r="E176" s="91" t="s">
        <v>778</v>
      </c>
      <c r="F176" s="6" t="s">
        <v>678</v>
      </c>
      <c r="G176" s="46">
        <f>1270000+1307050-60000</f>
        <v>2517050</v>
      </c>
      <c r="H176" s="46">
        <v>2453324.3</v>
      </c>
      <c r="I176" s="46">
        <f t="shared" si="9"/>
        <v>97.47</v>
      </c>
    </row>
    <row r="177" spans="1:9" ht="110.25">
      <c r="A177" s="3" t="s">
        <v>909</v>
      </c>
      <c r="B177" s="6" t="s">
        <v>78</v>
      </c>
      <c r="C177" s="6" t="s">
        <v>869</v>
      </c>
      <c r="D177" s="6" t="s">
        <v>659</v>
      </c>
      <c r="E177" s="6" t="s">
        <v>733</v>
      </c>
      <c r="F177" s="6"/>
      <c r="G177" s="46">
        <f>G181+G178</f>
        <v>703420</v>
      </c>
      <c r="H177" s="46">
        <f>H181+H178</f>
        <v>698373</v>
      </c>
      <c r="I177" s="46">
        <f t="shared" si="9"/>
        <v>99.28</v>
      </c>
    </row>
    <row r="178" spans="1:9" ht="157.5">
      <c r="A178" s="3" t="s">
        <v>663</v>
      </c>
      <c r="B178" s="6" t="s">
        <v>78</v>
      </c>
      <c r="C178" s="6" t="s">
        <v>869</v>
      </c>
      <c r="D178" s="6" t="s">
        <v>659</v>
      </c>
      <c r="E178" s="6" t="s">
        <v>733</v>
      </c>
      <c r="F178" s="6" t="s">
        <v>664</v>
      </c>
      <c r="G178" s="46">
        <f>G179</f>
        <v>5000</v>
      </c>
      <c r="H178" s="46">
        <f>H179</f>
        <v>600</v>
      </c>
      <c r="I178" s="46">
        <f t="shared" si="9"/>
        <v>12</v>
      </c>
    </row>
    <row r="179" spans="1:9" ht="47.25">
      <c r="A179" s="3" t="s">
        <v>667</v>
      </c>
      <c r="B179" s="6" t="s">
        <v>78</v>
      </c>
      <c r="C179" s="6" t="s">
        <v>869</v>
      </c>
      <c r="D179" s="6" t="s">
        <v>659</v>
      </c>
      <c r="E179" s="6" t="s">
        <v>733</v>
      </c>
      <c r="F179" s="6" t="s">
        <v>668</v>
      </c>
      <c r="G179" s="46">
        <f>G180</f>
        <v>5000</v>
      </c>
      <c r="H179" s="46">
        <f>H180</f>
        <v>600</v>
      </c>
      <c r="I179" s="46">
        <f t="shared" si="9"/>
        <v>12</v>
      </c>
    </row>
    <row r="180" spans="1:9" ht="47.25">
      <c r="A180" s="3" t="s">
        <v>671</v>
      </c>
      <c r="B180" s="6" t="s">
        <v>78</v>
      </c>
      <c r="C180" s="6" t="s">
        <v>869</v>
      </c>
      <c r="D180" s="6" t="s">
        <v>659</v>
      </c>
      <c r="E180" s="6" t="s">
        <v>733</v>
      </c>
      <c r="F180" s="6" t="s">
        <v>672</v>
      </c>
      <c r="G180" s="46">
        <v>5000</v>
      </c>
      <c r="H180" s="46">
        <v>600</v>
      </c>
      <c r="I180" s="46">
        <f t="shared" si="9"/>
        <v>12</v>
      </c>
    </row>
    <row r="181" spans="1:9" ht="47.25">
      <c r="A181" s="3" t="s">
        <v>673</v>
      </c>
      <c r="B181" s="6" t="s">
        <v>78</v>
      </c>
      <c r="C181" s="6" t="s">
        <v>869</v>
      </c>
      <c r="D181" s="6" t="s">
        <v>659</v>
      </c>
      <c r="E181" s="6" t="s">
        <v>733</v>
      </c>
      <c r="F181" s="6" t="s">
        <v>674</v>
      </c>
      <c r="G181" s="46">
        <f>G182</f>
        <v>698420</v>
      </c>
      <c r="H181" s="46">
        <f>H182</f>
        <v>697773</v>
      </c>
      <c r="I181" s="46">
        <f t="shared" si="9"/>
        <v>99.91</v>
      </c>
    </row>
    <row r="182" spans="1:9" ht="47.25">
      <c r="A182" s="3" t="s">
        <v>675</v>
      </c>
      <c r="B182" s="6" t="s">
        <v>78</v>
      </c>
      <c r="C182" s="6" t="s">
        <v>869</v>
      </c>
      <c r="D182" s="6" t="s">
        <v>659</v>
      </c>
      <c r="E182" s="6" t="s">
        <v>733</v>
      </c>
      <c r="F182" s="6" t="s">
        <v>676</v>
      </c>
      <c r="G182" s="46">
        <f>G184+G183</f>
        <v>698420</v>
      </c>
      <c r="H182" s="46">
        <f>H184+H183</f>
        <v>697773</v>
      </c>
      <c r="I182" s="46">
        <f t="shared" si="9"/>
        <v>99.91</v>
      </c>
    </row>
    <row r="183" spans="1:9" ht="78.75">
      <c r="A183" s="3" t="s">
        <v>679</v>
      </c>
      <c r="B183" s="6" t="s">
        <v>78</v>
      </c>
      <c r="C183" s="6" t="s">
        <v>869</v>
      </c>
      <c r="D183" s="6" t="s">
        <v>659</v>
      </c>
      <c r="E183" s="6" t="s">
        <v>733</v>
      </c>
      <c r="F183" s="6" t="s">
        <v>680</v>
      </c>
      <c r="G183" s="46">
        <f>97000+50000+50000+50000+30000+70000+183655+22765+18500</f>
        <v>571920</v>
      </c>
      <c r="H183" s="46">
        <v>571273</v>
      </c>
      <c r="I183" s="46">
        <f t="shared" si="9"/>
        <v>99.89</v>
      </c>
    </row>
    <row r="184" spans="1:9" ht="47.25">
      <c r="A184" s="3" t="s">
        <v>677</v>
      </c>
      <c r="B184" s="6" t="s">
        <v>78</v>
      </c>
      <c r="C184" s="6" t="s">
        <v>869</v>
      </c>
      <c r="D184" s="6" t="s">
        <v>659</v>
      </c>
      <c r="E184" s="6" t="s">
        <v>733</v>
      </c>
      <c r="F184" s="6" t="s">
        <v>678</v>
      </c>
      <c r="G184" s="46">
        <f>50000+100000-23500</f>
        <v>126500</v>
      </c>
      <c r="H184" s="46">
        <v>126500</v>
      </c>
      <c r="I184" s="46">
        <f t="shared" si="9"/>
        <v>100</v>
      </c>
    </row>
    <row r="185" spans="1:9" ht="47.25">
      <c r="A185" s="90" t="s">
        <v>816</v>
      </c>
      <c r="B185" s="91" t="s">
        <v>78</v>
      </c>
      <c r="C185" s="91" t="s">
        <v>869</v>
      </c>
      <c r="D185" s="91" t="s">
        <v>659</v>
      </c>
      <c r="E185" s="91" t="s">
        <v>650</v>
      </c>
      <c r="F185" s="91"/>
      <c r="G185" s="92">
        <f>G186+G195</f>
        <v>37820889.73</v>
      </c>
      <c r="H185" s="92">
        <f>H186+H195</f>
        <v>37019792.68</v>
      </c>
      <c r="I185" s="92">
        <f t="shared" si="9"/>
        <v>97.88</v>
      </c>
    </row>
    <row r="186" spans="1:9" ht="78.75">
      <c r="A186" s="90" t="s">
        <v>819</v>
      </c>
      <c r="B186" s="91" t="s">
        <v>78</v>
      </c>
      <c r="C186" s="91" t="s">
        <v>869</v>
      </c>
      <c r="D186" s="91" t="s">
        <v>659</v>
      </c>
      <c r="E186" s="91" t="s">
        <v>820</v>
      </c>
      <c r="F186" s="91"/>
      <c r="G186" s="92">
        <f>G187+G191</f>
        <v>6678280</v>
      </c>
      <c r="H186" s="92">
        <f>H187+H191</f>
        <v>6538178.99</v>
      </c>
      <c r="I186" s="92">
        <f t="shared" si="9"/>
        <v>97.9</v>
      </c>
    </row>
    <row r="187" spans="1:9" ht="157.5">
      <c r="A187" s="3" t="s">
        <v>663</v>
      </c>
      <c r="B187" s="6" t="s">
        <v>78</v>
      </c>
      <c r="C187" s="6" t="s">
        <v>869</v>
      </c>
      <c r="D187" s="6" t="s">
        <v>659</v>
      </c>
      <c r="E187" s="91" t="s">
        <v>820</v>
      </c>
      <c r="F187" s="6" t="s">
        <v>664</v>
      </c>
      <c r="G187" s="46">
        <f>G188</f>
        <v>5067957.95</v>
      </c>
      <c r="H187" s="46">
        <f>H188</f>
        <v>5046689.350000001</v>
      </c>
      <c r="I187" s="46">
        <f t="shared" si="9"/>
        <v>99.58</v>
      </c>
    </row>
    <row r="188" spans="1:9" ht="47.25">
      <c r="A188" s="3" t="s">
        <v>725</v>
      </c>
      <c r="B188" s="6" t="s">
        <v>78</v>
      </c>
      <c r="C188" s="6" t="s">
        <v>869</v>
      </c>
      <c r="D188" s="6" t="s">
        <v>659</v>
      </c>
      <c r="E188" s="91" t="s">
        <v>820</v>
      </c>
      <c r="F188" s="6" t="s">
        <v>726</v>
      </c>
      <c r="G188" s="46">
        <f>G189+G190</f>
        <v>5067957.95</v>
      </c>
      <c r="H188" s="46">
        <f>H189+H190</f>
        <v>5046689.350000001</v>
      </c>
      <c r="I188" s="46">
        <f t="shared" si="9"/>
        <v>99.58</v>
      </c>
    </row>
    <row r="189" spans="1:9" ht="31.5">
      <c r="A189" s="3" t="s">
        <v>669</v>
      </c>
      <c r="B189" s="6" t="s">
        <v>78</v>
      </c>
      <c r="C189" s="6" t="s">
        <v>869</v>
      </c>
      <c r="D189" s="6" t="s">
        <v>659</v>
      </c>
      <c r="E189" s="91" t="s">
        <v>820</v>
      </c>
      <c r="F189" s="6" t="s">
        <v>727</v>
      </c>
      <c r="G189" s="46">
        <v>5009780</v>
      </c>
      <c r="H189" s="46">
        <v>4988511.4</v>
      </c>
      <c r="I189" s="46">
        <f t="shared" si="9"/>
        <v>99.58</v>
      </c>
    </row>
    <row r="190" spans="1:9" ht="47.25">
      <c r="A190" s="3" t="s">
        <v>671</v>
      </c>
      <c r="B190" s="6" t="s">
        <v>78</v>
      </c>
      <c r="C190" s="6" t="s">
        <v>869</v>
      </c>
      <c r="D190" s="6" t="s">
        <v>659</v>
      </c>
      <c r="E190" s="91" t="s">
        <v>820</v>
      </c>
      <c r="F190" s="6" t="s">
        <v>728</v>
      </c>
      <c r="G190" s="46">
        <f>73950-10000-5772.05</f>
        <v>58177.95</v>
      </c>
      <c r="H190" s="46">
        <v>58177.95</v>
      </c>
      <c r="I190" s="46">
        <f t="shared" si="9"/>
        <v>100</v>
      </c>
    </row>
    <row r="191" spans="1:9" ht="47.25">
      <c r="A191" s="3" t="s">
        <v>673</v>
      </c>
      <c r="B191" s="6" t="s">
        <v>78</v>
      </c>
      <c r="C191" s="6" t="s">
        <v>869</v>
      </c>
      <c r="D191" s="6" t="s">
        <v>659</v>
      </c>
      <c r="E191" s="91" t="s">
        <v>820</v>
      </c>
      <c r="F191" s="6" t="s">
        <v>674</v>
      </c>
      <c r="G191" s="46">
        <f>G192</f>
        <v>1610322.05</v>
      </c>
      <c r="H191" s="46">
        <f>H192</f>
        <v>1491489.64</v>
      </c>
      <c r="I191" s="46">
        <f t="shared" si="9"/>
        <v>92.62</v>
      </c>
    </row>
    <row r="192" spans="1:9" ht="47.25">
      <c r="A192" s="3" t="s">
        <v>675</v>
      </c>
      <c r="B192" s="6" t="s">
        <v>78</v>
      </c>
      <c r="C192" s="6" t="s">
        <v>869</v>
      </c>
      <c r="D192" s="6" t="s">
        <v>659</v>
      </c>
      <c r="E192" s="91" t="s">
        <v>820</v>
      </c>
      <c r="F192" s="6" t="s">
        <v>676</v>
      </c>
      <c r="G192" s="46">
        <f>G193+G194</f>
        <v>1610322.05</v>
      </c>
      <c r="H192" s="46">
        <f>H193+H194</f>
        <v>1491489.64</v>
      </c>
      <c r="I192" s="46">
        <f t="shared" si="9"/>
        <v>92.62</v>
      </c>
    </row>
    <row r="193" spans="1:9" ht="78.75">
      <c r="A193" s="3" t="s">
        <v>679</v>
      </c>
      <c r="B193" s="6" t="s">
        <v>78</v>
      </c>
      <c r="C193" s="6" t="s">
        <v>869</v>
      </c>
      <c r="D193" s="6" t="s">
        <v>659</v>
      </c>
      <c r="E193" s="91" t="s">
        <v>820</v>
      </c>
      <c r="F193" s="6" t="s">
        <v>680</v>
      </c>
      <c r="G193" s="46">
        <f>32214+10000+2340</f>
        <v>44554</v>
      </c>
      <c r="H193" s="46">
        <v>44554</v>
      </c>
      <c r="I193" s="46">
        <f t="shared" si="9"/>
        <v>100</v>
      </c>
    </row>
    <row r="194" spans="1:9" ht="47.25">
      <c r="A194" s="3" t="s">
        <v>677</v>
      </c>
      <c r="B194" s="6" t="s">
        <v>78</v>
      </c>
      <c r="C194" s="6" t="s">
        <v>869</v>
      </c>
      <c r="D194" s="6" t="s">
        <v>659</v>
      </c>
      <c r="E194" s="91" t="s">
        <v>820</v>
      </c>
      <c r="F194" s="6" t="s">
        <v>678</v>
      </c>
      <c r="G194" s="46">
        <f>1142636+400000+19700-2340+5772.05</f>
        <v>1565768.05</v>
      </c>
      <c r="H194" s="46">
        <v>1446935.64</v>
      </c>
      <c r="I194" s="46">
        <f t="shared" si="9"/>
        <v>92.41</v>
      </c>
    </row>
    <row r="195" spans="1:9" ht="141.75">
      <c r="A195" s="90" t="s">
        <v>818</v>
      </c>
      <c r="B195" s="91" t="s">
        <v>78</v>
      </c>
      <c r="C195" s="91" t="s">
        <v>869</v>
      </c>
      <c r="D195" s="91" t="s">
        <v>659</v>
      </c>
      <c r="E195" s="91" t="s">
        <v>817</v>
      </c>
      <c r="F195" s="91"/>
      <c r="G195" s="92">
        <f>G196+G200+G204</f>
        <v>31142609.729999997</v>
      </c>
      <c r="H195" s="92">
        <f>H196+H200+H204</f>
        <v>30481613.689999998</v>
      </c>
      <c r="I195" s="92">
        <f t="shared" si="9"/>
        <v>97.88</v>
      </c>
    </row>
    <row r="196" spans="1:9" ht="157.5">
      <c r="A196" s="90" t="s">
        <v>663</v>
      </c>
      <c r="B196" s="91" t="s">
        <v>78</v>
      </c>
      <c r="C196" s="91" t="s">
        <v>869</v>
      </c>
      <c r="D196" s="91" t="s">
        <v>659</v>
      </c>
      <c r="E196" s="91" t="s">
        <v>817</v>
      </c>
      <c r="F196" s="91" t="s">
        <v>664</v>
      </c>
      <c r="G196" s="92">
        <f>G197</f>
        <v>16986060.23</v>
      </c>
      <c r="H196" s="92">
        <f>H197</f>
        <v>16950848.56</v>
      </c>
      <c r="I196" s="92">
        <f t="shared" si="9"/>
        <v>99.79</v>
      </c>
    </row>
    <row r="197" spans="1:9" ht="47.25">
      <c r="A197" s="90" t="s">
        <v>725</v>
      </c>
      <c r="B197" s="91" t="s">
        <v>78</v>
      </c>
      <c r="C197" s="91" t="s">
        <v>869</v>
      </c>
      <c r="D197" s="91" t="s">
        <v>659</v>
      </c>
      <c r="E197" s="91" t="s">
        <v>817</v>
      </c>
      <c r="F197" s="91" t="s">
        <v>726</v>
      </c>
      <c r="G197" s="92">
        <f>G198+G199</f>
        <v>16986060.23</v>
      </c>
      <c r="H197" s="92">
        <f>H198+H199</f>
        <v>16950848.56</v>
      </c>
      <c r="I197" s="92">
        <f t="shared" si="9"/>
        <v>99.79</v>
      </c>
    </row>
    <row r="198" spans="1:9" ht="31.5">
      <c r="A198" s="90" t="s">
        <v>669</v>
      </c>
      <c r="B198" s="91" t="s">
        <v>78</v>
      </c>
      <c r="C198" s="91" t="s">
        <v>869</v>
      </c>
      <c r="D198" s="91" t="s">
        <v>659</v>
      </c>
      <c r="E198" s="91" t="s">
        <v>817</v>
      </c>
      <c r="F198" s="91" t="s">
        <v>727</v>
      </c>
      <c r="G198" s="92">
        <f>12761000+3853800+74000</f>
        <v>16688800</v>
      </c>
      <c r="H198" s="92">
        <v>16664347.35</v>
      </c>
      <c r="I198" s="92">
        <f t="shared" si="9"/>
        <v>99.85</v>
      </c>
    </row>
    <row r="199" spans="1:9" ht="47.25">
      <c r="A199" s="90" t="s">
        <v>671</v>
      </c>
      <c r="B199" s="91" t="s">
        <v>78</v>
      </c>
      <c r="C199" s="91" t="s">
        <v>869</v>
      </c>
      <c r="D199" s="91" t="s">
        <v>659</v>
      </c>
      <c r="E199" s="91" t="s">
        <v>817</v>
      </c>
      <c r="F199" s="91" t="s">
        <v>728</v>
      </c>
      <c r="G199" s="92">
        <f>480000-182739.77</f>
        <v>297260.23</v>
      </c>
      <c r="H199" s="92">
        <v>286501.21</v>
      </c>
      <c r="I199" s="92">
        <f t="shared" si="9"/>
        <v>96.38</v>
      </c>
    </row>
    <row r="200" spans="1:9" ht="47.25">
      <c r="A200" s="90" t="s">
        <v>673</v>
      </c>
      <c r="B200" s="91" t="s">
        <v>78</v>
      </c>
      <c r="C200" s="91" t="s">
        <v>869</v>
      </c>
      <c r="D200" s="91" t="s">
        <v>659</v>
      </c>
      <c r="E200" s="91" t="s">
        <v>817</v>
      </c>
      <c r="F200" s="91" t="s">
        <v>674</v>
      </c>
      <c r="G200" s="92">
        <f>G201</f>
        <v>14103849.499999998</v>
      </c>
      <c r="H200" s="92">
        <f>H201</f>
        <v>13478065.129999999</v>
      </c>
      <c r="I200" s="92">
        <f aca="true" t="shared" si="13" ref="I200:I263">ROUND(H200/G200*100,2)</f>
        <v>95.56</v>
      </c>
    </row>
    <row r="201" spans="1:9" ht="47.25">
      <c r="A201" s="90" t="s">
        <v>675</v>
      </c>
      <c r="B201" s="91" t="s">
        <v>78</v>
      </c>
      <c r="C201" s="91" t="s">
        <v>869</v>
      </c>
      <c r="D201" s="91" t="s">
        <v>659</v>
      </c>
      <c r="E201" s="91" t="s">
        <v>817</v>
      </c>
      <c r="F201" s="91" t="s">
        <v>676</v>
      </c>
      <c r="G201" s="92">
        <f>G202+G203</f>
        <v>14103849.499999998</v>
      </c>
      <c r="H201" s="92">
        <f>H202+H203</f>
        <v>13478065.129999999</v>
      </c>
      <c r="I201" s="92">
        <f t="shared" si="13"/>
        <v>95.56</v>
      </c>
    </row>
    <row r="202" spans="1:9" ht="78.75">
      <c r="A202" s="3" t="s">
        <v>679</v>
      </c>
      <c r="B202" s="91" t="s">
        <v>78</v>
      </c>
      <c r="C202" s="91" t="s">
        <v>869</v>
      </c>
      <c r="D202" s="91" t="s">
        <v>659</v>
      </c>
      <c r="E202" s="91" t="s">
        <v>817</v>
      </c>
      <c r="F202" s="91" t="s">
        <v>680</v>
      </c>
      <c r="G202" s="92">
        <f>99864+33320+6000+12000</f>
        <v>151184</v>
      </c>
      <c r="H202" s="92">
        <v>151157.45</v>
      </c>
      <c r="I202" s="92">
        <f t="shared" si="13"/>
        <v>99.98</v>
      </c>
    </row>
    <row r="203" spans="1:9" ht="47.25">
      <c r="A203" s="90" t="s">
        <v>677</v>
      </c>
      <c r="B203" s="91" t="s">
        <v>78</v>
      </c>
      <c r="C203" s="91" t="s">
        <v>869</v>
      </c>
      <c r="D203" s="91" t="s">
        <v>659</v>
      </c>
      <c r="E203" s="91" t="s">
        <v>817</v>
      </c>
      <c r="F203" s="91" t="s">
        <v>678</v>
      </c>
      <c r="G203" s="92">
        <f>12995436+299880+100000+85000-18000+258936.03+113993.3+85006.7-138626.3+94039.77+77000</f>
        <v>13952665.499999998</v>
      </c>
      <c r="H203" s="92">
        <v>13326907.68</v>
      </c>
      <c r="I203" s="92">
        <f t="shared" si="13"/>
        <v>95.52</v>
      </c>
    </row>
    <row r="204" spans="1:9" ht="31.5">
      <c r="A204" s="90" t="s">
        <v>557</v>
      </c>
      <c r="B204" s="91" t="s">
        <v>78</v>
      </c>
      <c r="C204" s="91" t="s">
        <v>869</v>
      </c>
      <c r="D204" s="91" t="s">
        <v>659</v>
      </c>
      <c r="E204" s="91" t="s">
        <v>817</v>
      </c>
      <c r="F204" s="91" t="s">
        <v>683</v>
      </c>
      <c r="G204" s="92">
        <f>G205</f>
        <v>52700</v>
      </c>
      <c r="H204" s="92">
        <f>H205</f>
        <v>52700</v>
      </c>
      <c r="I204" s="92">
        <f t="shared" si="13"/>
        <v>100</v>
      </c>
    </row>
    <row r="205" spans="1:9" ht="78.75">
      <c r="A205" s="90" t="s">
        <v>729</v>
      </c>
      <c r="B205" s="91" t="s">
        <v>78</v>
      </c>
      <c r="C205" s="91" t="s">
        <v>869</v>
      </c>
      <c r="D205" s="91" t="s">
        <v>659</v>
      </c>
      <c r="E205" s="91" t="s">
        <v>817</v>
      </c>
      <c r="F205" s="91" t="s">
        <v>730</v>
      </c>
      <c r="G205" s="92">
        <f>G206</f>
        <v>52700</v>
      </c>
      <c r="H205" s="92">
        <f>H206</f>
        <v>52700</v>
      </c>
      <c r="I205" s="92">
        <f t="shared" si="13"/>
        <v>100</v>
      </c>
    </row>
    <row r="206" spans="1:9" ht="47.25">
      <c r="A206" s="90" t="s">
        <v>731</v>
      </c>
      <c r="B206" s="91" t="s">
        <v>78</v>
      </c>
      <c r="C206" s="91" t="s">
        <v>869</v>
      </c>
      <c r="D206" s="91" t="s">
        <v>659</v>
      </c>
      <c r="E206" s="91" t="s">
        <v>817</v>
      </c>
      <c r="F206" s="91" t="s">
        <v>732</v>
      </c>
      <c r="G206" s="92">
        <f>38000+12000+2700</f>
        <v>52700</v>
      </c>
      <c r="H206" s="92">
        <v>52700</v>
      </c>
      <c r="I206" s="92">
        <f t="shared" si="13"/>
        <v>100</v>
      </c>
    </row>
    <row r="207" spans="1:9" ht="75">
      <c r="A207" s="13" t="s">
        <v>891</v>
      </c>
      <c r="B207" s="14" t="s">
        <v>78</v>
      </c>
      <c r="C207" s="14" t="s">
        <v>876</v>
      </c>
      <c r="D207" s="14"/>
      <c r="E207" s="14"/>
      <c r="F207" s="14"/>
      <c r="G207" s="56">
        <f>G208+G219+G248</f>
        <v>40866118.91</v>
      </c>
      <c r="H207" s="56">
        <f>H208+H219+H248</f>
        <v>39351040.33</v>
      </c>
      <c r="I207" s="56">
        <f t="shared" si="13"/>
        <v>96.29</v>
      </c>
    </row>
    <row r="208" spans="1:9" ht="18.75">
      <c r="A208" s="11" t="s">
        <v>660</v>
      </c>
      <c r="B208" s="12" t="s">
        <v>78</v>
      </c>
      <c r="C208" s="12" t="s">
        <v>876</v>
      </c>
      <c r="D208" s="12" t="s">
        <v>879</v>
      </c>
      <c r="E208" s="12"/>
      <c r="F208" s="12"/>
      <c r="G208" s="58">
        <f>G209</f>
        <v>2071800.0000000002</v>
      </c>
      <c r="H208" s="58">
        <f>H209</f>
        <v>2071800</v>
      </c>
      <c r="I208" s="58">
        <f t="shared" si="13"/>
        <v>100</v>
      </c>
    </row>
    <row r="209" spans="1:9" ht="47.25">
      <c r="A209" s="5" t="s">
        <v>899</v>
      </c>
      <c r="B209" s="6" t="s">
        <v>78</v>
      </c>
      <c r="C209" s="6" t="s">
        <v>876</v>
      </c>
      <c r="D209" s="6" t="s">
        <v>879</v>
      </c>
      <c r="E209" s="6" t="s">
        <v>900</v>
      </c>
      <c r="F209" s="6"/>
      <c r="G209" s="46">
        <f>G210</f>
        <v>2071800.0000000002</v>
      </c>
      <c r="H209" s="46">
        <f>H210</f>
        <v>2071800</v>
      </c>
      <c r="I209" s="46">
        <f t="shared" si="13"/>
        <v>100</v>
      </c>
    </row>
    <row r="210" spans="1:9" ht="47.25">
      <c r="A210" s="5" t="s">
        <v>648</v>
      </c>
      <c r="B210" s="6" t="s">
        <v>78</v>
      </c>
      <c r="C210" s="6" t="s">
        <v>876</v>
      </c>
      <c r="D210" s="6" t="s">
        <v>879</v>
      </c>
      <c r="E210" s="6" t="s">
        <v>649</v>
      </c>
      <c r="F210" s="6"/>
      <c r="G210" s="46">
        <f>G211+G215</f>
        <v>2071800.0000000002</v>
      </c>
      <c r="H210" s="46">
        <f>H211+H215</f>
        <v>2071800</v>
      </c>
      <c r="I210" s="46">
        <f t="shared" si="13"/>
        <v>100</v>
      </c>
    </row>
    <row r="211" spans="1:9" ht="157.5">
      <c r="A211" s="122" t="s">
        <v>663</v>
      </c>
      <c r="B211" s="6" t="s">
        <v>78</v>
      </c>
      <c r="C211" s="6" t="s">
        <v>876</v>
      </c>
      <c r="D211" s="6" t="s">
        <v>879</v>
      </c>
      <c r="E211" s="6" t="s">
        <v>649</v>
      </c>
      <c r="F211" s="6" t="s">
        <v>664</v>
      </c>
      <c r="G211" s="46">
        <f>G212</f>
        <v>2047489.5500000003</v>
      </c>
      <c r="H211" s="46">
        <f>H212</f>
        <v>2047489.55</v>
      </c>
      <c r="I211" s="46">
        <f t="shared" si="13"/>
        <v>100</v>
      </c>
    </row>
    <row r="212" spans="1:9" ht="47.25">
      <c r="A212" s="5" t="s">
        <v>667</v>
      </c>
      <c r="B212" s="6" t="s">
        <v>78</v>
      </c>
      <c r="C212" s="6" t="s">
        <v>876</v>
      </c>
      <c r="D212" s="6" t="s">
        <v>879</v>
      </c>
      <c r="E212" s="6" t="s">
        <v>649</v>
      </c>
      <c r="F212" s="6" t="s">
        <v>668</v>
      </c>
      <c r="G212" s="46">
        <f>G213+G214</f>
        <v>2047489.5500000003</v>
      </c>
      <c r="H212" s="46">
        <f>H213+H214</f>
        <v>2047489.55</v>
      </c>
      <c r="I212" s="46">
        <f t="shared" si="13"/>
        <v>100</v>
      </c>
    </row>
    <row r="213" spans="1:9" ht="31.5">
      <c r="A213" s="5" t="s">
        <v>669</v>
      </c>
      <c r="B213" s="6" t="s">
        <v>78</v>
      </c>
      <c r="C213" s="6" t="s">
        <v>876</v>
      </c>
      <c r="D213" s="6" t="s">
        <v>879</v>
      </c>
      <c r="E213" s="6" t="s">
        <v>649</v>
      </c>
      <c r="F213" s="6" t="s">
        <v>670</v>
      </c>
      <c r="G213" s="46">
        <f>1588139.33+438654.16-1076.4-83100-20904.95+72900+282.3</f>
        <v>1994894.4400000002</v>
      </c>
      <c r="H213" s="46">
        <v>1994894.44</v>
      </c>
      <c r="I213" s="46">
        <f t="shared" si="13"/>
        <v>100</v>
      </c>
    </row>
    <row r="214" spans="1:9" ht="47.25">
      <c r="A214" s="3" t="s">
        <v>671</v>
      </c>
      <c r="B214" s="6" t="s">
        <v>78</v>
      </c>
      <c r="C214" s="6" t="s">
        <v>876</v>
      </c>
      <c r="D214" s="6" t="s">
        <v>879</v>
      </c>
      <c r="E214" s="6" t="s">
        <v>649</v>
      </c>
      <c r="F214" s="6" t="s">
        <v>672</v>
      </c>
      <c r="G214" s="46">
        <f>33690.16+18904.95</f>
        <v>52595.11</v>
      </c>
      <c r="H214" s="46">
        <v>52595.11</v>
      </c>
      <c r="I214" s="46">
        <f t="shared" si="13"/>
        <v>100</v>
      </c>
    </row>
    <row r="215" spans="1:9" ht="47.25">
      <c r="A215" s="5" t="s">
        <v>673</v>
      </c>
      <c r="B215" s="6" t="s">
        <v>78</v>
      </c>
      <c r="C215" s="6" t="s">
        <v>876</v>
      </c>
      <c r="D215" s="6" t="s">
        <v>879</v>
      </c>
      <c r="E215" s="6" t="s">
        <v>649</v>
      </c>
      <c r="F215" s="6" t="s">
        <v>674</v>
      </c>
      <c r="G215" s="46">
        <f>G216</f>
        <v>24310.449999999997</v>
      </c>
      <c r="H215" s="46">
        <f>H216</f>
        <v>24310.449999999997</v>
      </c>
      <c r="I215" s="46">
        <f t="shared" si="13"/>
        <v>100</v>
      </c>
    </row>
    <row r="216" spans="1:9" ht="47.25">
      <c r="A216" s="5" t="s">
        <v>675</v>
      </c>
      <c r="B216" s="6" t="s">
        <v>78</v>
      </c>
      <c r="C216" s="6" t="s">
        <v>876</v>
      </c>
      <c r="D216" s="6" t="s">
        <v>879</v>
      </c>
      <c r="E216" s="6" t="s">
        <v>649</v>
      </c>
      <c r="F216" s="6" t="s">
        <v>676</v>
      </c>
      <c r="G216" s="46">
        <f>G217+G218</f>
        <v>24310.449999999997</v>
      </c>
      <c r="H216" s="46">
        <f>H217+H218</f>
        <v>24310.449999999997</v>
      </c>
      <c r="I216" s="46">
        <f t="shared" si="13"/>
        <v>100</v>
      </c>
    </row>
    <row r="217" spans="1:9" ht="78.75">
      <c r="A217" s="5" t="s">
        <v>679</v>
      </c>
      <c r="B217" s="6" t="s">
        <v>78</v>
      </c>
      <c r="C217" s="6" t="s">
        <v>876</v>
      </c>
      <c r="D217" s="6" t="s">
        <v>879</v>
      </c>
      <c r="E217" s="6" t="s">
        <v>649</v>
      </c>
      <c r="F217" s="6" t="s">
        <v>680</v>
      </c>
      <c r="G217" s="46">
        <f>21516.35-5000+2000</f>
        <v>18516.35</v>
      </c>
      <c r="H217" s="46">
        <v>18516.35</v>
      </c>
      <c r="I217" s="46">
        <f t="shared" si="13"/>
        <v>100</v>
      </c>
    </row>
    <row r="218" spans="1:9" ht="47.25">
      <c r="A218" s="90" t="s">
        <v>677</v>
      </c>
      <c r="B218" s="91" t="s">
        <v>78</v>
      </c>
      <c r="C218" s="91" t="s">
        <v>876</v>
      </c>
      <c r="D218" s="91" t="s">
        <v>879</v>
      </c>
      <c r="E218" s="91" t="s">
        <v>649</v>
      </c>
      <c r="F218" s="91" t="s">
        <v>678</v>
      </c>
      <c r="G218" s="46">
        <f>5000+1076.4+2000-2000-282.3</f>
        <v>5794.099999999999</v>
      </c>
      <c r="H218" s="46">
        <v>5794.1</v>
      </c>
      <c r="I218" s="46">
        <f t="shared" si="13"/>
        <v>100</v>
      </c>
    </row>
    <row r="219" spans="1:9" ht="94.5">
      <c r="A219" s="20" t="s">
        <v>68</v>
      </c>
      <c r="B219" s="7" t="s">
        <v>78</v>
      </c>
      <c r="C219" s="7" t="s">
        <v>876</v>
      </c>
      <c r="D219" s="7" t="s">
        <v>875</v>
      </c>
      <c r="E219" s="7"/>
      <c r="F219" s="7"/>
      <c r="G219" s="45">
        <f>G220</f>
        <v>38594318.91</v>
      </c>
      <c r="H219" s="45">
        <f>H220</f>
        <v>37279240.33</v>
      </c>
      <c r="I219" s="45">
        <f t="shared" si="13"/>
        <v>96.59</v>
      </c>
    </row>
    <row r="220" spans="1:9" ht="47.25">
      <c r="A220" s="1" t="s">
        <v>922</v>
      </c>
      <c r="B220" s="2" t="s">
        <v>78</v>
      </c>
      <c r="C220" s="2" t="s">
        <v>876</v>
      </c>
      <c r="D220" s="2" t="s">
        <v>875</v>
      </c>
      <c r="E220" s="2" t="s">
        <v>923</v>
      </c>
      <c r="F220" s="2"/>
      <c r="G220" s="50">
        <f>G230+G221</f>
        <v>38594318.91</v>
      </c>
      <c r="H220" s="50">
        <f>H230+H221</f>
        <v>37279240.33</v>
      </c>
      <c r="I220" s="50">
        <f t="shared" si="13"/>
        <v>96.59</v>
      </c>
    </row>
    <row r="221" spans="1:9" ht="47.25">
      <c r="A221" s="90" t="s">
        <v>824</v>
      </c>
      <c r="B221" s="6" t="s">
        <v>78</v>
      </c>
      <c r="C221" s="6" t="s">
        <v>876</v>
      </c>
      <c r="D221" s="6" t="s">
        <v>875</v>
      </c>
      <c r="E221" s="6" t="s">
        <v>795</v>
      </c>
      <c r="F221" s="91"/>
      <c r="G221" s="46">
        <f>G222</f>
        <v>6671600</v>
      </c>
      <c r="H221" s="46">
        <f>H222</f>
        <v>5376454.27</v>
      </c>
      <c r="I221" s="46">
        <f t="shared" si="13"/>
        <v>80.59</v>
      </c>
    </row>
    <row r="222" spans="1:9" ht="126">
      <c r="A222" s="90" t="s">
        <v>748</v>
      </c>
      <c r="B222" s="6" t="s">
        <v>78</v>
      </c>
      <c r="C222" s="6" t="s">
        <v>876</v>
      </c>
      <c r="D222" s="6" t="s">
        <v>875</v>
      </c>
      <c r="E222" s="6" t="s">
        <v>779</v>
      </c>
      <c r="F222" s="91"/>
      <c r="G222" s="46">
        <f>G223+G227</f>
        <v>6671600</v>
      </c>
      <c r="H222" s="46">
        <f>H223+H227</f>
        <v>5376454.27</v>
      </c>
      <c r="I222" s="46">
        <f t="shared" si="13"/>
        <v>80.59</v>
      </c>
    </row>
    <row r="223" spans="1:9" ht="47.25">
      <c r="A223" s="5" t="s">
        <v>673</v>
      </c>
      <c r="B223" s="6" t="s">
        <v>78</v>
      </c>
      <c r="C223" s="6" t="s">
        <v>876</v>
      </c>
      <c r="D223" s="6" t="s">
        <v>875</v>
      </c>
      <c r="E223" s="6" t="s">
        <v>779</v>
      </c>
      <c r="F223" s="6" t="s">
        <v>674</v>
      </c>
      <c r="G223" s="46">
        <f>G224</f>
        <v>3171600</v>
      </c>
      <c r="H223" s="46">
        <f>H224</f>
        <v>1876454.27</v>
      </c>
      <c r="I223" s="46">
        <f t="shared" si="13"/>
        <v>59.16</v>
      </c>
    </row>
    <row r="224" spans="1:9" ht="47.25">
      <c r="A224" s="5" t="s">
        <v>675</v>
      </c>
      <c r="B224" s="6" t="s">
        <v>78</v>
      </c>
      <c r="C224" s="6" t="s">
        <v>876</v>
      </c>
      <c r="D224" s="6" t="s">
        <v>875</v>
      </c>
      <c r="E224" s="6" t="s">
        <v>779</v>
      </c>
      <c r="F224" s="6" t="s">
        <v>676</v>
      </c>
      <c r="G224" s="46">
        <f>G226+G225</f>
        <v>3171600</v>
      </c>
      <c r="H224" s="46">
        <f>H226+H225</f>
        <v>1876454.27</v>
      </c>
      <c r="I224" s="46">
        <f t="shared" si="13"/>
        <v>59.16</v>
      </c>
    </row>
    <row r="225" spans="1:9" ht="78.75">
      <c r="A225" s="5" t="s">
        <v>679</v>
      </c>
      <c r="B225" s="6" t="s">
        <v>78</v>
      </c>
      <c r="C225" s="6" t="s">
        <v>876</v>
      </c>
      <c r="D225" s="6" t="s">
        <v>875</v>
      </c>
      <c r="E225" s="6" t="s">
        <v>779</v>
      </c>
      <c r="F225" s="6" t="s">
        <v>680</v>
      </c>
      <c r="G225" s="46">
        <f>144600-1900+1900+22680</f>
        <v>167280</v>
      </c>
      <c r="H225" s="46">
        <v>165380</v>
      </c>
      <c r="I225" s="46">
        <f t="shared" si="13"/>
        <v>98.86</v>
      </c>
    </row>
    <row r="226" spans="1:9" ht="47.25">
      <c r="A226" s="5" t="s">
        <v>677</v>
      </c>
      <c r="B226" s="6" t="s">
        <v>78</v>
      </c>
      <c r="C226" s="6" t="s">
        <v>876</v>
      </c>
      <c r="D226" s="6" t="s">
        <v>875</v>
      </c>
      <c r="E226" s="6" t="s">
        <v>779</v>
      </c>
      <c r="F226" s="6" t="s">
        <v>678</v>
      </c>
      <c r="G226" s="46">
        <f>3171600-144600+3500000-3500000+1900-1900-22680</f>
        <v>3004320</v>
      </c>
      <c r="H226" s="46">
        <v>1711074.27</v>
      </c>
      <c r="I226" s="46">
        <f t="shared" si="13"/>
        <v>56.95</v>
      </c>
    </row>
    <row r="227" spans="1:9" ht="15.75">
      <c r="A227" s="122" t="s">
        <v>940</v>
      </c>
      <c r="B227" s="6" t="s">
        <v>78</v>
      </c>
      <c r="C227" s="6" t="s">
        <v>876</v>
      </c>
      <c r="D227" s="6" t="s">
        <v>875</v>
      </c>
      <c r="E227" s="6" t="s">
        <v>779</v>
      </c>
      <c r="F227" s="6" t="s">
        <v>31</v>
      </c>
      <c r="G227" s="46">
        <f>G228</f>
        <v>3500000</v>
      </c>
      <c r="H227" s="46">
        <f>H228</f>
        <v>3500000</v>
      </c>
      <c r="I227" s="46">
        <f t="shared" si="13"/>
        <v>100</v>
      </c>
    </row>
    <row r="228" spans="1:9" ht="47.25">
      <c r="A228" s="5" t="s">
        <v>597</v>
      </c>
      <c r="B228" s="6" t="s">
        <v>78</v>
      </c>
      <c r="C228" s="6" t="s">
        <v>876</v>
      </c>
      <c r="D228" s="6" t="s">
        <v>875</v>
      </c>
      <c r="E228" s="6" t="s">
        <v>779</v>
      </c>
      <c r="F228" s="6" t="s">
        <v>598</v>
      </c>
      <c r="G228" s="46">
        <f>G229</f>
        <v>3500000</v>
      </c>
      <c r="H228" s="46">
        <f>H229</f>
        <v>3500000</v>
      </c>
      <c r="I228" s="46">
        <f t="shared" si="13"/>
        <v>100</v>
      </c>
    </row>
    <row r="229" spans="1:9" ht="63">
      <c r="A229" s="5" t="s">
        <v>599</v>
      </c>
      <c r="B229" s="6" t="s">
        <v>78</v>
      </c>
      <c r="C229" s="6" t="s">
        <v>876</v>
      </c>
      <c r="D229" s="6" t="s">
        <v>875</v>
      </c>
      <c r="E229" s="6" t="s">
        <v>779</v>
      </c>
      <c r="F229" s="6" t="s">
        <v>600</v>
      </c>
      <c r="G229" s="46">
        <f>3500000</f>
        <v>3500000</v>
      </c>
      <c r="H229" s="46">
        <v>3500000</v>
      </c>
      <c r="I229" s="46">
        <f t="shared" si="13"/>
        <v>100</v>
      </c>
    </row>
    <row r="230" spans="1:9" ht="47.25">
      <c r="A230" s="90" t="s">
        <v>816</v>
      </c>
      <c r="B230" s="91" t="s">
        <v>78</v>
      </c>
      <c r="C230" s="91" t="s">
        <v>876</v>
      </c>
      <c r="D230" s="91" t="s">
        <v>875</v>
      </c>
      <c r="E230" s="91" t="s">
        <v>650</v>
      </c>
      <c r="F230" s="6"/>
      <c r="G230" s="46">
        <f>G231</f>
        <v>31922718.91</v>
      </c>
      <c r="H230" s="46">
        <f>H231</f>
        <v>31902786.060000002</v>
      </c>
      <c r="I230" s="46">
        <f t="shared" si="13"/>
        <v>99.94</v>
      </c>
    </row>
    <row r="231" spans="1:9" ht="141.75">
      <c r="A231" s="5" t="s">
        <v>583</v>
      </c>
      <c r="B231" s="6" t="s">
        <v>78</v>
      </c>
      <c r="C231" s="6" t="s">
        <v>876</v>
      </c>
      <c r="D231" s="6" t="s">
        <v>875</v>
      </c>
      <c r="E231" s="6" t="s">
        <v>821</v>
      </c>
      <c r="F231" s="6"/>
      <c r="G231" s="46">
        <f>G232+G236+G243</f>
        <v>31922718.91</v>
      </c>
      <c r="H231" s="46">
        <f>H232+H236+H243</f>
        <v>31902786.060000002</v>
      </c>
      <c r="I231" s="46">
        <f t="shared" si="13"/>
        <v>99.94</v>
      </c>
    </row>
    <row r="232" spans="1:9" ht="157.5">
      <c r="A232" s="5" t="s">
        <v>663</v>
      </c>
      <c r="B232" s="6" t="s">
        <v>78</v>
      </c>
      <c r="C232" s="6" t="s">
        <v>876</v>
      </c>
      <c r="D232" s="6" t="s">
        <v>875</v>
      </c>
      <c r="E232" s="6" t="s">
        <v>821</v>
      </c>
      <c r="F232" s="6" t="s">
        <v>664</v>
      </c>
      <c r="G232" s="46">
        <f>G233</f>
        <v>28157866.75</v>
      </c>
      <c r="H232" s="46">
        <f>H233</f>
        <v>28143028.540000003</v>
      </c>
      <c r="I232" s="46">
        <f t="shared" si="13"/>
        <v>99.95</v>
      </c>
    </row>
    <row r="233" spans="1:9" ht="47.25">
      <c r="A233" s="5" t="s">
        <v>725</v>
      </c>
      <c r="B233" s="6" t="s">
        <v>78</v>
      </c>
      <c r="C233" s="6" t="s">
        <v>876</v>
      </c>
      <c r="D233" s="6" t="s">
        <v>875</v>
      </c>
      <c r="E233" s="6" t="s">
        <v>821</v>
      </c>
      <c r="F233" s="6" t="s">
        <v>726</v>
      </c>
      <c r="G233" s="46">
        <f>G234+G235</f>
        <v>28157866.75</v>
      </c>
      <c r="H233" s="46">
        <f>H234+H235</f>
        <v>28143028.540000003</v>
      </c>
      <c r="I233" s="46">
        <f t="shared" si="13"/>
        <v>99.95</v>
      </c>
    </row>
    <row r="234" spans="1:9" ht="31.5">
      <c r="A234" s="5" t="s">
        <v>669</v>
      </c>
      <c r="B234" s="6" t="s">
        <v>78</v>
      </c>
      <c r="C234" s="6" t="s">
        <v>876</v>
      </c>
      <c r="D234" s="6" t="s">
        <v>875</v>
      </c>
      <c r="E234" s="6" t="s">
        <v>821</v>
      </c>
      <c r="F234" s="6" t="s">
        <v>727</v>
      </c>
      <c r="G234" s="46">
        <f>21173300+6394300+25-145701.92-88500-83450-309558.29+263204.87+178536.19</f>
        <v>27382155.85</v>
      </c>
      <c r="H234" s="46">
        <v>27382155.85</v>
      </c>
      <c r="I234" s="46">
        <f t="shared" si="13"/>
        <v>100</v>
      </c>
    </row>
    <row r="235" spans="1:9" ht="47.25">
      <c r="A235" s="5" t="s">
        <v>671</v>
      </c>
      <c r="B235" s="6" t="s">
        <v>78</v>
      </c>
      <c r="C235" s="6" t="s">
        <v>876</v>
      </c>
      <c r="D235" s="6" t="s">
        <v>875</v>
      </c>
      <c r="E235" s="6" t="s">
        <v>821</v>
      </c>
      <c r="F235" s="6" t="s">
        <v>728</v>
      </c>
      <c r="G235" s="46">
        <f>718300-287984+277000+126867.75-4400+27072.4-6200-16975.09-57970.16</f>
        <v>775710.9</v>
      </c>
      <c r="H235" s="46">
        <v>760872.69</v>
      </c>
      <c r="I235" s="46">
        <f t="shared" si="13"/>
        <v>98.09</v>
      </c>
    </row>
    <row r="236" spans="1:9" ht="47.25">
      <c r="A236" s="5" t="s">
        <v>673</v>
      </c>
      <c r="B236" s="6" t="s">
        <v>78</v>
      </c>
      <c r="C236" s="6" t="s">
        <v>876</v>
      </c>
      <c r="D236" s="6" t="s">
        <v>875</v>
      </c>
      <c r="E236" s="6" t="s">
        <v>821</v>
      </c>
      <c r="F236" s="6" t="s">
        <v>674</v>
      </c>
      <c r="G236" s="46">
        <f>G237+G240</f>
        <v>3735446.16</v>
      </c>
      <c r="H236" s="46">
        <f>H237+H240</f>
        <v>3734751.5199999996</v>
      </c>
      <c r="I236" s="46">
        <f t="shared" si="13"/>
        <v>99.98</v>
      </c>
    </row>
    <row r="237" spans="1:9" ht="189">
      <c r="A237" s="5" t="s">
        <v>780</v>
      </c>
      <c r="B237" s="6" t="s">
        <v>78</v>
      </c>
      <c r="C237" s="6" t="s">
        <v>876</v>
      </c>
      <c r="D237" s="6" t="s">
        <v>875</v>
      </c>
      <c r="E237" s="6" t="s">
        <v>821</v>
      </c>
      <c r="F237" s="6" t="s">
        <v>781</v>
      </c>
      <c r="G237" s="46">
        <f>G238+G239</f>
        <v>764360.5399999999</v>
      </c>
      <c r="H237" s="46">
        <f>H238+H239</f>
        <v>764360.54</v>
      </c>
      <c r="I237" s="46">
        <f t="shared" si="13"/>
        <v>100</v>
      </c>
    </row>
    <row r="238" spans="1:9" ht="94.5">
      <c r="A238" s="5" t="s">
        <v>782</v>
      </c>
      <c r="B238" s="6" t="s">
        <v>78</v>
      </c>
      <c r="C238" s="6" t="s">
        <v>876</v>
      </c>
      <c r="D238" s="6" t="s">
        <v>875</v>
      </c>
      <c r="E238" s="6" t="s">
        <v>821</v>
      </c>
      <c r="F238" s="6" t="s">
        <v>783</v>
      </c>
      <c r="G238" s="46">
        <f>818433+86055-88000.16-52127.3</f>
        <v>764360.5399999999</v>
      </c>
      <c r="H238" s="46">
        <v>764360.54</v>
      </c>
      <c r="I238" s="46">
        <f t="shared" si="13"/>
        <v>100</v>
      </c>
    </row>
    <row r="239" spans="1:9" ht="63" customHeight="1" hidden="1">
      <c r="A239" s="5" t="s">
        <v>784</v>
      </c>
      <c r="B239" s="6" t="s">
        <v>78</v>
      </c>
      <c r="C239" s="6" t="s">
        <v>876</v>
      </c>
      <c r="D239" s="6" t="s">
        <v>875</v>
      </c>
      <c r="E239" s="6" t="s">
        <v>821</v>
      </c>
      <c r="F239" s="6" t="s">
        <v>785</v>
      </c>
      <c r="G239" s="46">
        <v>0</v>
      </c>
      <c r="H239" s="46">
        <v>0</v>
      </c>
      <c r="I239" s="46" t="e">
        <f t="shared" si="13"/>
        <v>#DIV/0!</v>
      </c>
    </row>
    <row r="240" spans="1:9" ht="47.25">
      <c r="A240" s="5" t="s">
        <v>675</v>
      </c>
      <c r="B240" s="6" t="s">
        <v>78</v>
      </c>
      <c r="C240" s="6" t="s">
        <v>876</v>
      </c>
      <c r="D240" s="6" t="s">
        <v>875</v>
      </c>
      <c r="E240" s="6" t="s">
        <v>821</v>
      </c>
      <c r="F240" s="6" t="s">
        <v>676</v>
      </c>
      <c r="G240" s="46">
        <f>G241+G242</f>
        <v>2971085.62</v>
      </c>
      <c r="H240" s="46">
        <f>H241+H242</f>
        <v>2970390.9799999995</v>
      </c>
      <c r="I240" s="46">
        <f t="shared" si="13"/>
        <v>99.98</v>
      </c>
    </row>
    <row r="241" spans="1:9" ht="78.75">
      <c r="A241" s="3" t="s">
        <v>679</v>
      </c>
      <c r="B241" s="6" t="s">
        <v>78</v>
      </c>
      <c r="C241" s="6" t="s">
        <v>876</v>
      </c>
      <c r="D241" s="6" t="s">
        <v>875</v>
      </c>
      <c r="E241" s="6" t="s">
        <v>821</v>
      </c>
      <c r="F241" s="6" t="s">
        <v>680</v>
      </c>
      <c r="G241" s="46">
        <f>236000-8518+3000+38800+26162.22</f>
        <v>295444.22</v>
      </c>
      <c r="H241" s="46">
        <v>295444.22</v>
      </c>
      <c r="I241" s="46">
        <f t="shared" si="13"/>
        <v>100</v>
      </c>
    </row>
    <row r="242" spans="1:9" ht="47.25">
      <c r="A242" s="5" t="s">
        <v>677</v>
      </c>
      <c r="B242" s="6" t="s">
        <v>78</v>
      </c>
      <c r="C242" s="6" t="s">
        <v>876</v>
      </c>
      <c r="D242" s="6" t="s">
        <v>875</v>
      </c>
      <c r="E242" s="6" t="s">
        <v>821</v>
      </c>
      <c r="F242" s="6" t="s">
        <v>678</v>
      </c>
      <c r="G242" s="46">
        <f>5383367+210916-3171600+140794.64+54871.17+20655.02+88500+1650+40000+180190.54+87306.16+694-53234.62-226457.92-36746.95-13194.98-9957.24-22111.42</f>
        <v>2675641.4</v>
      </c>
      <c r="H242" s="46">
        <v>2674946.76</v>
      </c>
      <c r="I242" s="46">
        <f t="shared" si="13"/>
        <v>99.97</v>
      </c>
    </row>
    <row r="243" spans="1:9" ht="31.5">
      <c r="A243" s="90" t="s">
        <v>557</v>
      </c>
      <c r="B243" s="91" t="s">
        <v>78</v>
      </c>
      <c r="C243" s="6" t="s">
        <v>876</v>
      </c>
      <c r="D243" s="6" t="s">
        <v>875</v>
      </c>
      <c r="E243" s="6" t="s">
        <v>821</v>
      </c>
      <c r="F243" s="91" t="s">
        <v>683</v>
      </c>
      <c r="G243" s="46">
        <f>G246+G244</f>
        <v>29406</v>
      </c>
      <c r="H243" s="46">
        <f>H246+H244</f>
        <v>25006</v>
      </c>
      <c r="I243" s="46">
        <f t="shared" si="13"/>
        <v>85.04</v>
      </c>
    </row>
    <row r="244" spans="1:9" ht="31.5">
      <c r="A244" s="90" t="s">
        <v>602</v>
      </c>
      <c r="B244" s="91" t="s">
        <v>78</v>
      </c>
      <c r="C244" s="6" t="s">
        <v>876</v>
      </c>
      <c r="D244" s="6" t="s">
        <v>875</v>
      </c>
      <c r="E244" s="6" t="s">
        <v>821</v>
      </c>
      <c r="F244" s="91" t="s">
        <v>603</v>
      </c>
      <c r="G244" s="46">
        <f>G245</f>
        <v>7900</v>
      </c>
      <c r="H244" s="46">
        <f>H245</f>
        <v>7900</v>
      </c>
      <c r="I244" s="46">
        <f t="shared" si="13"/>
        <v>100</v>
      </c>
    </row>
    <row r="245" spans="1:9" ht="252">
      <c r="A245" s="90" t="s">
        <v>605</v>
      </c>
      <c r="B245" s="91" t="s">
        <v>78</v>
      </c>
      <c r="C245" s="6" t="s">
        <v>876</v>
      </c>
      <c r="D245" s="6" t="s">
        <v>875</v>
      </c>
      <c r="E245" s="6" t="s">
        <v>821</v>
      </c>
      <c r="F245" s="91" t="s">
        <v>606</v>
      </c>
      <c r="G245" s="46">
        <f>3500+4400</f>
        <v>7900</v>
      </c>
      <c r="H245" s="46">
        <v>7900</v>
      </c>
      <c r="I245" s="46">
        <f t="shared" si="13"/>
        <v>100</v>
      </c>
    </row>
    <row r="246" spans="1:9" ht="78.75">
      <c r="A246" s="90" t="s">
        <v>729</v>
      </c>
      <c r="B246" s="91" t="s">
        <v>78</v>
      </c>
      <c r="C246" s="6" t="s">
        <v>876</v>
      </c>
      <c r="D246" s="6" t="s">
        <v>875</v>
      </c>
      <c r="E246" s="6" t="s">
        <v>821</v>
      </c>
      <c r="F246" s="91" t="s">
        <v>730</v>
      </c>
      <c r="G246" s="46">
        <f>G247</f>
        <v>21506</v>
      </c>
      <c r="H246" s="46">
        <f>H247</f>
        <v>17106</v>
      </c>
      <c r="I246" s="46">
        <f t="shared" si="13"/>
        <v>79.54</v>
      </c>
    </row>
    <row r="247" spans="1:9" ht="47.25">
      <c r="A247" s="90" t="s">
        <v>731</v>
      </c>
      <c r="B247" s="91" t="s">
        <v>78</v>
      </c>
      <c r="C247" s="6" t="s">
        <v>876</v>
      </c>
      <c r="D247" s="6" t="s">
        <v>875</v>
      </c>
      <c r="E247" s="6" t="s">
        <v>821</v>
      </c>
      <c r="F247" s="91" t="s">
        <v>732</v>
      </c>
      <c r="G247" s="46">
        <f>23000-494-1000</f>
        <v>21506</v>
      </c>
      <c r="H247" s="46">
        <v>17106</v>
      </c>
      <c r="I247" s="46">
        <f t="shared" si="13"/>
        <v>79.54</v>
      </c>
    </row>
    <row r="248" spans="1:9" ht="78.75">
      <c r="A248" s="1" t="s">
        <v>929</v>
      </c>
      <c r="B248" s="133" t="s">
        <v>78</v>
      </c>
      <c r="C248" s="2" t="s">
        <v>876</v>
      </c>
      <c r="D248" s="2" t="s">
        <v>793</v>
      </c>
      <c r="E248" s="2"/>
      <c r="F248" s="133"/>
      <c r="G248" s="50">
        <f aca="true" t="shared" si="14" ref="G248:H253">G249</f>
        <v>200000</v>
      </c>
      <c r="H248" s="50">
        <f t="shared" si="14"/>
        <v>0</v>
      </c>
      <c r="I248" s="50">
        <f t="shared" si="13"/>
        <v>0</v>
      </c>
    </row>
    <row r="249" spans="1:9" ht="47.25">
      <c r="A249" s="5" t="s">
        <v>922</v>
      </c>
      <c r="B249" s="91" t="s">
        <v>78</v>
      </c>
      <c r="C249" s="6" t="s">
        <v>876</v>
      </c>
      <c r="D249" s="6" t="s">
        <v>793</v>
      </c>
      <c r="E249" s="6" t="s">
        <v>923</v>
      </c>
      <c r="F249" s="91"/>
      <c r="G249" s="46">
        <f t="shared" si="14"/>
        <v>200000</v>
      </c>
      <c r="H249" s="46">
        <f t="shared" si="14"/>
        <v>0</v>
      </c>
      <c r="I249" s="46">
        <f t="shared" si="13"/>
        <v>0</v>
      </c>
    </row>
    <row r="250" spans="1:9" ht="47.25">
      <c r="A250" s="90" t="s">
        <v>824</v>
      </c>
      <c r="B250" s="91" t="s">
        <v>78</v>
      </c>
      <c r="C250" s="6" t="s">
        <v>876</v>
      </c>
      <c r="D250" s="6" t="s">
        <v>793</v>
      </c>
      <c r="E250" s="6" t="s">
        <v>795</v>
      </c>
      <c r="F250" s="91"/>
      <c r="G250" s="46">
        <f t="shared" si="14"/>
        <v>200000</v>
      </c>
      <c r="H250" s="46">
        <f t="shared" si="14"/>
        <v>0</v>
      </c>
      <c r="I250" s="46">
        <f t="shared" si="13"/>
        <v>0</v>
      </c>
    </row>
    <row r="251" spans="1:9" ht="126">
      <c r="A251" s="90" t="s">
        <v>748</v>
      </c>
      <c r="B251" s="91" t="s">
        <v>78</v>
      </c>
      <c r="C251" s="6" t="s">
        <v>876</v>
      </c>
      <c r="D251" s="6" t="s">
        <v>793</v>
      </c>
      <c r="E251" s="6" t="s">
        <v>779</v>
      </c>
      <c r="F251" s="91"/>
      <c r="G251" s="46">
        <f t="shared" si="14"/>
        <v>200000</v>
      </c>
      <c r="H251" s="46">
        <f t="shared" si="14"/>
        <v>0</v>
      </c>
      <c r="I251" s="46">
        <f t="shared" si="13"/>
        <v>0</v>
      </c>
    </row>
    <row r="252" spans="1:9" ht="47.25">
      <c r="A252" s="5" t="s">
        <v>673</v>
      </c>
      <c r="B252" s="91" t="s">
        <v>78</v>
      </c>
      <c r="C252" s="6" t="s">
        <v>876</v>
      </c>
      <c r="D252" s="6" t="s">
        <v>793</v>
      </c>
      <c r="E252" s="6" t="s">
        <v>779</v>
      </c>
      <c r="F252" s="6" t="s">
        <v>674</v>
      </c>
      <c r="G252" s="46">
        <f t="shared" si="14"/>
        <v>200000</v>
      </c>
      <c r="H252" s="46">
        <f t="shared" si="14"/>
        <v>0</v>
      </c>
      <c r="I252" s="46">
        <f t="shared" si="13"/>
        <v>0</v>
      </c>
    </row>
    <row r="253" spans="1:9" ht="47.25">
      <c r="A253" s="5" t="s">
        <v>675</v>
      </c>
      <c r="B253" s="91" t="s">
        <v>78</v>
      </c>
      <c r="C253" s="6" t="s">
        <v>876</v>
      </c>
      <c r="D253" s="6" t="s">
        <v>793</v>
      </c>
      <c r="E253" s="6" t="s">
        <v>779</v>
      </c>
      <c r="F253" s="6" t="s">
        <v>676</v>
      </c>
      <c r="G253" s="46">
        <f t="shared" si="14"/>
        <v>200000</v>
      </c>
      <c r="H253" s="46">
        <f t="shared" si="14"/>
        <v>0</v>
      </c>
      <c r="I253" s="46">
        <f t="shared" si="13"/>
        <v>0</v>
      </c>
    </row>
    <row r="254" spans="1:9" ht="47.25">
      <c r="A254" s="5" t="s">
        <v>677</v>
      </c>
      <c r="B254" s="91" t="s">
        <v>78</v>
      </c>
      <c r="C254" s="6" t="s">
        <v>876</v>
      </c>
      <c r="D254" s="6" t="s">
        <v>793</v>
      </c>
      <c r="E254" s="6" t="s">
        <v>779</v>
      </c>
      <c r="F254" s="6" t="s">
        <v>678</v>
      </c>
      <c r="G254" s="46">
        <f>200000</f>
        <v>200000</v>
      </c>
      <c r="H254" s="46">
        <v>0</v>
      </c>
      <c r="I254" s="46">
        <f t="shared" si="13"/>
        <v>0</v>
      </c>
    </row>
    <row r="255" spans="1:9" ht="37.5">
      <c r="A255" s="16" t="s">
        <v>892</v>
      </c>
      <c r="B255" s="14" t="s">
        <v>78</v>
      </c>
      <c r="C255" s="14" t="s">
        <v>879</v>
      </c>
      <c r="D255" s="14"/>
      <c r="E255" s="14"/>
      <c r="F255" s="14"/>
      <c r="G255" s="56">
        <f>G256+G274+G304</f>
        <v>50447390.730000004</v>
      </c>
      <c r="H255" s="56">
        <f>H256+H274+H304</f>
        <v>49971028.11</v>
      </c>
      <c r="I255" s="56">
        <f t="shared" si="13"/>
        <v>99.06</v>
      </c>
    </row>
    <row r="256" spans="1:9" ht="15.75">
      <c r="A256" s="29" t="s">
        <v>893</v>
      </c>
      <c r="B256" s="2" t="s">
        <v>78</v>
      </c>
      <c r="C256" s="2" t="s">
        <v>879</v>
      </c>
      <c r="D256" s="2" t="s">
        <v>873</v>
      </c>
      <c r="E256" s="2"/>
      <c r="F256" s="2"/>
      <c r="G256" s="50">
        <f>G257+G264</f>
        <v>38827800</v>
      </c>
      <c r="H256" s="50">
        <f>H257+H264</f>
        <v>38741088.8</v>
      </c>
      <c r="I256" s="50">
        <f t="shared" si="13"/>
        <v>99.78</v>
      </c>
    </row>
    <row r="257" spans="1:9" ht="15.75">
      <c r="A257" s="30" t="s">
        <v>918</v>
      </c>
      <c r="B257" s="6" t="s">
        <v>78</v>
      </c>
      <c r="C257" s="6" t="s">
        <v>879</v>
      </c>
      <c r="D257" s="6" t="s">
        <v>873</v>
      </c>
      <c r="E257" s="6" t="s">
        <v>919</v>
      </c>
      <c r="F257" s="6"/>
      <c r="G257" s="46">
        <f>G258</f>
        <v>655000</v>
      </c>
      <c r="H257" s="46">
        <f>H258</f>
        <v>568288.8</v>
      </c>
      <c r="I257" s="46">
        <f t="shared" si="13"/>
        <v>86.76</v>
      </c>
    </row>
    <row r="258" spans="1:9" ht="47.25">
      <c r="A258" s="30" t="s">
        <v>920</v>
      </c>
      <c r="B258" s="6" t="s">
        <v>78</v>
      </c>
      <c r="C258" s="6" t="s">
        <v>879</v>
      </c>
      <c r="D258" s="6" t="s">
        <v>873</v>
      </c>
      <c r="E258" s="6" t="s">
        <v>921</v>
      </c>
      <c r="F258" s="6"/>
      <c r="G258" s="46">
        <f>G259</f>
        <v>655000</v>
      </c>
      <c r="H258" s="46">
        <f>H259</f>
        <v>568288.8</v>
      </c>
      <c r="I258" s="46">
        <f t="shared" si="13"/>
        <v>86.76</v>
      </c>
    </row>
    <row r="259" spans="1:9" ht="141.75">
      <c r="A259" s="30" t="s">
        <v>466</v>
      </c>
      <c r="B259" s="370" t="s">
        <v>78</v>
      </c>
      <c r="C259" s="370" t="s">
        <v>879</v>
      </c>
      <c r="D259" s="370" t="s">
        <v>873</v>
      </c>
      <c r="E259" s="370" t="s">
        <v>467</v>
      </c>
      <c r="F259" s="370"/>
      <c r="G259" s="371">
        <f>G261</f>
        <v>655000</v>
      </c>
      <c r="H259" s="371">
        <f>H261</f>
        <v>568288.8</v>
      </c>
      <c r="I259" s="371"/>
    </row>
    <row r="260" spans="1:9" ht="94.5">
      <c r="A260" s="30" t="s">
        <v>465</v>
      </c>
      <c r="B260" s="370"/>
      <c r="C260" s="370"/>
      <c r="D260" s="370"/>
      <c r="E260" s="370"/>
      <c r="F260" s="370"/>
      <c r="G260" s="371"/>
      <c r="H260" s="371"/>
      <c r="I260" s="371"/>
    </row>
    <row r="261" spans="1:9" ht="31.5">
      <c r="A261" s="5" t="s">
        <v>595</v>
      </c>
      <c r="B261" s="6" t="s">
        <v>78</v>
      </c>
      <c r="C261" s="6" t="s">
        <v>879</v>
      </c>
      <c r="D261" s="6" t="s">
        <v>873</v>
      </c>
      <c r="E261" s="6" t="s">
        <v>467</v>
      </c>
      <c r="F261" s="6" t="s">
        <v>596</v>
      </c>
      <c r="G261" s="59">
        <f>G262</f>
        <v>655000</v>
      </c>
      <c r="H261" s="59">
        <f>H262</f>
        <v>568288.8</v>
      </c>
      <c r="I261" s="59">
        <f t="shared" si="13"/>
        <v>86.76</v>
      </c>
    </row>
    <row r="262" spans="1:9" ht="63">
      <c r="A262" s="5" t="s">
        <v>22</v>
      </c>
      <c r="B262" s="6" t="s">
        <v>78</v>
      </c>
      <c r="C262" s="6" t="s">
        <v>879</v>
      </c>
      <c r="D262" s="6" t="s">
        <v>873</v>
      </c>
      <c r="E262" s="6" t="s">
        <v>467</v>
      </c>
      <c r="F262" s="6" t="s">
        <v>23</v>
      </c>
      <c r="G262" s="59">
        <f>G263</f>
        <v>655000</v>
      </c>
      <c r="H262" s="59">
        <f>H263</f>
        <v>568288.8</v>
      </c>
      <c r="I262" s="59">
        <f t="shared" si="13"/>
        <v>86.76</v>
      </c>
    </row>
    <row r="263" spans="1:9" ht="55.5" customHeight="1">
      <c r="A263" s="30" t="s">
        <v>567</v>
      </c>
      <c r="B263" s="6" t="s">
        <v>78</v>
      </c>
      <c r="C263" s="6" t="s">
        <v>879</v>
      </c>
      <c r="D263" s="6" t="s">
        <v>873</v>
      </c>
      <c r="E263" s="6" t="s">
        <v>467</v>
      </c>
      <c r="F263" s="6" t="s">
        <v>568</v>
      </c>
      <c r="G263" s="59">
        <f>452700+17.74+202282.26</f>
        <v>655000</v>
      </c>
      <c r="H263" s="59">
        <v>568288.8</v>
      </c>
      <c r="I263" s="59">
        <f t="shared" si="13"/>
        <v>86.76</v>
      </c>
    </row>
    <row r="264" spans="1:9" ht="47.25">
      <c r="A264" s="1" t="s">
        <v>922</v>
      </c>
      <c r="B264" s="2" t="s">
        <v>78</v>
      </c>
      <c r="C264" s="2" t="s">
        <v>879</v>
      </c>
      <c r="D264" s="2" t="s">
        <v>873</v>
      </c>
      <c r="E264" s="2" t="s">
        <v>923</v>
      </c>
      <c r="F264" s="6"/>
      <c r="G264" s="76">
        <f>G270+G265</f>
        <v>38172800</v>
      </c>
      <c r="H264" s="76">
        <f>H270+H265</f>
        <v>38172800</v>
      </c>
      <c r="I264" s="76">
        <f aca="true" t="shared" si="15" ref="I264:I327">ROUND(H264/G264*100,2)</f>
        <v>100</v>
      </c>
    </row>
    <row r="265" spans="1:9" ht="47.25">
      <c r="A265" s="90" t="s">
        <v>824</v>
      </c>
      <c r="B265" s="91" t="s">
        <v>78</v>
      </c>
      <c r="C265" s="91" t="s">
        <v>879</v>
      </c>
      <c r="D265" s="91" t="s">
        <v>873</v>
      </c>
      <c r="E265" s="91" t="s">
        <v>795</v>
      </c>
      <c r="F265" s="6"/>
      <c r="G265" s="59">
        <f aca="true" t="shared" si="16" ref="G265:H268">G266</f>
        <v>4400000</v>
      </c>
      <c r="H265" s="59">
        <f t="shared" si="16"/>
        <v>4400000</v>
      </c>
      <c r="I265" s="59">
        <f t="shared" si="15"/>
        <v>100</v>
      </c>
    </row>
    <row r="266" spans="1:9" ht="141.75">
      <c r="A266" s="90" t="s">
        <v>757</v>
      </c>
      <c r="B266" s="91" t="s">
        <v>78</v>
      </c>
      <c r="C266" s="91" t="s">
        <v>879</v>
      </c>
      <c r="D266" s="91" t="s">
        <v>873</v>
      </c>
      <c r="E266" s="91" t="s">
        <v>758</v>
      </c>
      <c r="F266" s="6"/>
      <c r="G266" s="59">
        <f t="shared" si="16"/>
        <v>4400000</v>
      </c>
      <c r="H266" s="59">
        <f t="shared" si="16"/>
        <v>4400000</v>
      </c>
      <c r="I266" s="59">
        <f t="shared" si="15"/>
        <v>100</v>
      </c>
    </row>
    <row r="267" spans="1:9" ht="31.5">
      <c r="A267" s="30" t="s">
        <v>557</v>
      </c>
      <c r="B267" s="6" t="s">
        <v>78</v>
      </c>
      <c r="C267" s="91" t="s">
        <v>879</v>
      </c>
      <c r="D267" s="91" t="s">
        <v>873</v>
      </c>
      <c r="E267" s="91" t="s">
        <v>758</v>
      </c>
      <c r="F267" s="6" t="s">
        <v>683</v>
      </c>
      <c r="G267" s="59">
        <f t="shared" si="16"/>
        <v>4400000</v>
      </c>
      <c r="H267" s="59">
        <f t="shared" si="16"/>
        <v>4400000</v>
      </c>
      <c r="I267" s="59">
        <f t="shared" si="15"/>
        <v>100</v>
      </c>
    </row>
    <row r="268" spans="1:9" ht="31.5">
      <c r="A268" s="136" t="s">
        <v>759</v>
      </c>
      <c r="B268" s="6" t="s">
        <v>78</v>
      </c>
      <c r="C268" s="91" t="s">
        <v>879</v>
      </c>
      <c r="D268" s="91" t="s">
        <v>873</v>
      </c>
      <c r="E268" s="91" t="s">
        <v>758</v>
      </c>
      <c r="F268" s="6" t="s">
        <v>761</v>
      </c>
      <c r="G268" s="59">
        <f t="shared" si="16"/>
        <v>4400000</v>
      </c>
      <c r="H268" s="59">
        <f t="shared" si="16"/>
        <v>4400000</v>
      </c>
      <c r="I268" s="59">
        <f t="shared" si="15"/>
        <v>100</v>
      </c>
    </row>
    <row r="269" spans="1:9" ht="110.25">
      <c r="A269" s="30" t="s">
        <v>760</v>
      </c>
      <c r="B269" s="6" t="s">
        <v>78</v>
      </c>
      <c r="C269" s="91" t="s">
        <v>879</v>
      </c>
      <c r="D269" s="91" t="s">
        <v>873</v>
      </c>
      <c r="E269" s="91" t="s">
        <v>758</v>
      </c>
      <c r="F269" s="6" t="s">
        <v>762</v>
      </c>
      <c r="G269" s="59">
        <f>3000000+1400000</f>
        <v>4400000</v>
      </c>
      <c r="H269" s="59">
        <v>4400000</v>
      </c>
      <c r="I269" s="59">
        <f t="shared" si="15"/>
        <v>100</v>
      </c>
    </row>
    <row r="270" spans="1:9" ht="47.25">
      <c r="A270" s="90" t="s">
        <v>816</v>
      </c>
      <c r="B270" s="91" t="s">
        <v>78</v>
      </c>
      <c r="C270" s="91" t="s">
        <v>879</v>
      </c>
      <c r="D270" s="91" t="s">
        <v>873</v>
      </c>
      <c r="E270" s="91" t="s">
        <v>650</v>
      </c>
      <c r="F270" s="6"/>
      <c r="G270" s="59">
        <f aca="true" t="shared" si="17" ref="G270:H272">G271</f>
        <v>33772800</v>
      </c>
      <c r="H270" s="59">
        <f t="shared" si="17"/>
        <v>33772800</v>
      </c>
      <c r="I270" s="59">
        <f t="shared" si="15"/>
        <v>100</v>
      </c>
    </row>
    <row r="271" spans="1:9" ht="94.5">
      <c r="A271" s="130" t="s">
        <v>822</v>
      </c>
      <c r="B271" s="91" t="s">
        <v>78</v>
      </c>
      <c r="C271" s="91" t="s">
        <v>879</v>
      </c>
      <c r="D271" s="91" t="s">
        <v>873</v>
      </c>
      <c r="E271" s="91" t="s">
        <v>823</v>
      </c>
      <c r="F271" s="6"/>
      <c r="G271" s="59">
        <f t="shared" si="17"/>
        <v>33772800</v>
      </c>
      <c r="H271" s="59">
        <f t="shared" si="17"/>
        <v>33772800</v>
      </c>
      <c r="I271" s="59">
        <f t="shared" si="15"/>
        <v>100</v>
      </c>
    </row>
    <row r="272" spans="1:9" ht="31.5">
      <c r="A272" s="122" t="s">
        <v>557</v>
      </c>
      <c r="B272" s="6" t="s">
        <v>78</v>
      </c>
      <c r="C272" s="6" t="s">
        <v>879</v>
      </c>
      <c r="D272" s="6" t="s">
        <v>873</v>
      </c>
      <c r="E272" s="91" t="s">
        <v>823</v>
      </c>
      <c r="F272" s="6" t="s">
        <v>683</v>
      </c>
      <c r="G272" s="59">
        <f t="shared" si="17"/>
        <v>33772800</v>
      </c>
      <c r="H272" s="59">
        <f t="shared" si="17"/>
        <v>33772800</v>
      </c>
      <c r="I272" s="59">
        <f t="shared" si="15"/>
        <v>100</v>
      </c>
    </row>
    <row r="273" spans="1:9" ht="94.5">
      <c r="A273" s="30" t="s">
        <v>594</v>
      </c>
      <c r="B273" s="6" t="s">
        <v>78</v>
      </c>
      <c r="C273" s="6" t="s">
        <v>879</v>
      </c>
      <c r="D273" s="6" t="s">
        <v>873</v>
      </c>
      <c r="E273" s="91" t="s">
        <v>823</v>
      </c>
      <c r="F273" s="6" t="s">
        <v>684</v>
      </c>
      <c r="G273" s="59">
        <f>32737400+965000+70400+239290-239290</f>
        <v>33772800</v>
      </c>
      <c r="H273" s="59">
        <v>33772800</v>
      </c>
      <c r="I273" s="59">
        <f t="shared" si="15"/>
        <v>100</v>
      </c>
    </row>
    <row r="274" spans="1:9" ht="15.75">
      <c r="A274" s="1" t="s">
        <v>634</v>
      </c>
      <c r="B274" s="2" t="s">
        <v>78</v>
      </c>
      <c r="C274" s="2" t="s">
        <v>879</v>
      </c>
      <c r="D274" s="2" t="s">
        <v>877</v>
      </c>
      <c r="E274" s="2"/>
      <c r="F274" s="2"/>
      <c r="G274" s="76">
        <f>G275+G281</f>
        <v>11520390.73</v>
      </c>
      <c r="H274" s="76">
        <f>H275+H281</f>
        <v>11158252.46</v>
      </c>
      <c r="I274" s="76">
        <f t="shared" si="15"/>
        <v>96.86</v>
      </c>
    </row>
    <row r="275" spans="1:9" ht="31.5">
      <c r="A275" s="114" t="s">
        <v>554</v>
      </c>
      <c r="B275" s="2" t="s">
        <v>78</v>
      </c>
      <c r="C275" s="2" t="s">
        <v>879</v>
      </c>
      <c r="D275" s="2" t="s">
        <v>877</v>
      </c>
      <c r="E275" s="2" t="s">
        <v>932</v>
      </c>
      <c r="F275" s="2"/>
      <c r="G275" s="76">
        <f aca="true" t="shared" si="18" ref="G275:H279">G276</f>
        <v>11400</v>
      </c>
      <c r="H275" s="76">
        <f t="shared" si="18"/>
        <v>11400</v>
      </c>
      <c r="I275" s="76">
        <f t="shared" si="15"/>
        <v>100</v>
      </c>
    </row>
    <row r="276" spans="1:9" ht="126">
      <c r="A276" s="5" t="s">
        <v>863</v>
      </c>
      <c r="B276" s="6" t="s">
        <v>78</v>
      </c>
      <c r="C276" s="6" t="s">
        <v>879</v>
      </c>
      <c r="D276" s="6" t="s">
        <v>877</v>
      </c>
      <c r="E276" s="6" t="s">
        <v>626</v>
      </c>
      <c r="F276" s="6"/>
      <c r="G276" s="59">
        <f t="shared" si="18"/>
        <v>11400</v>
      </c>
      <c r="H276" s="59">
        <f t="shared" si="18"/>
        <v>11400</v>
      </c>
      <c r="I276" s="59">
        <f t="shared" si="15"/>
        <v>100</v>
      </c>
    </row>
    <row r="277" spans="1:9" ht="63">
      <c r="A277" s="5" t="s">
        <v>627</v>
      </c>
      <c r="B277" s="6" t="s">
        <v>78</v>
      </c>
      <c r="C277" s="6" t="s">
        <v>879</v>
      </c>
      <c r="D277" s="6" t="s">
        <v>877</v>
      </c>
      <c r="E277" s="6" t="s">
        <v>628</v>
      </c>
      <c r="F277" s="6"/>
      <c r="G277" s="59">
        <f t="shared" si="18"/>
        <v>11400</v>
      </c>
      <c r="H277" s="59">
        <f t="shared" si="18"/>
        <v>11400</v>
      </c>
      <c r="I277" s="59">
        <f t="shared" si="15"/>
        <v>100</v>
      </c>
    </row>
    <row r="278" spans="1:9" ht="47.25">
      <c r="A278" s="113" t="s">
        <v>673</v>
      </c>
      <c r="B278" s="6" t="s">
        <v>78</v>
      </c>
      <c r="C278" s="6" t="s">
        <v>879</v>
      </c>
      <c r="D278" s="6" t="s">
        <v>877</v>
      </c>
      <c r="E278" s="6" t="s">
        <v>628</v>
      </c>
      <c r="F278" s="6" t="s">
        <v>674</v>
      </c>
      <c r="G278" s="59">
        <f t="shared" si="18"/>
        <v>11400</v>
      </c>
      <c r="H278" s="59">
        <f t="shared" si="18"/>
        <v>11400</v>
      </c>
      <c r="I278" s="59">
        <f t="shared" si="15"/>
        <v>100</v>
      </c>
    </row>
    <row r="279" spans="1:9" ht="47.25">
      <c r="A279" s="113" t="s">
        <v>675</v>
      </c>
      <c r="B279" s="6" t="s">
        <v>78</v>
      </c>
      <c r="C279" s="6" t="s">
        <v>879</v>
      </c>
      <c r="D279" s="6" t="s">
        <v>877</v>
      </c>
      <c r="E279" s="6" t="s">
        <v>628</v>
      </c>
      <c r="F279" s="6" t="s">
        <v>676</v>
      </c>
      <c r="G279" s="59">
        <f t="shared" si="18"/>
        <v>11400</v>
      </c>
      <c r="H279" s="59">
        <f t="shared" si="18"/>
        <v>11400</v>
      </c>
      <c r="I279" s="59">
        <f t="shared" si="15"/>
        <v>100</v>
      </c>
    </row>
    <row r="280" spans="1:9" ht="78.75">
      <c r="A280" s="113" t="s">
        <v>679</v>
      </c>
      <c r="B280" s="6" t="s">
        <v>78</v>
      </c>
      <c r="C280" s="6" t="s">
        <v>879</v>
      </c>
      <c r="D280" s="6" t="s">
        <v>877</v>
      </c>
      <c r="E280" s="6" t="s">
        <v>628</v>
      </c>
      <c r="F280" s="6" t="s">
        <v>680</v>
      </c>
      <c r="G280" s="59">
        <v>11400</v>
      </c>
      <c r="H280" s="59">
        <v>11400</v>
      </c>
      <c r="I280" s="59">
        <f t="shared" si="15"/>
        <v>100</v>
      </c>
    </row>
    <row r="281" spans="1:9" ht="47.25">
      <c r="A281" s="1" t="s">
        <v>922</v>
      </c>
      <c r="B281" s="2" t="s">
        <v>78</v>
      </c>
      <c r="C281" s="2" t="s">
        <v>879</v>
      </c>
      <c r="D281" s="2" t="s">
        <v>877</v>
      </c>
      <c r="E281" s="2" t="s">
        <v>923</v>
      </c>
      <c r="F281" s="6"/>
      <c r="G281" s="59">
        <f>G282+G291</f>
        <v>11508990.73</v>
      </c>
      <c r="H281" s="59">
        <f>H282+H291</f>
        <v>11146852.46</v>
      </c>
      <c r="I281" s="59">
        <f t="shared" si="15"/>
        <v>96.85</v>
      </c>
    </row>
    <row r="282" spans="1:9" ht="47.25">
      <c r="A282" s="90" t="s">
        <v>824</v>
      </c>
      <c r="B282" s="91" t="s">
        <v>78</v>
      </c>
      <c r="C282" s="91" t="s">
        <v>879</v>
      </c>
      <c r="D282" s="91" t="s">
        <v>877</v>
      </c>
      <c r="E282" s="91" t="s">
        <v>795</v>
      </c>
      <c r="F282" s="6"/>
      <c r="G282" s="59">
        <f>G283</f>
        <v>2982490.73</v>
      </c>
      <c r="H282" s="59">
        <f>H283</f>
        <v>2827580.38</v>
      </c>
      <c r="I282" s="59">
        <f t="shared" si="15"/>
        <v>94.81</v>
      </c>
    </row>
    <row r="283" spans="1:9" ht="141.75">
      <c r="A283" s="3" t="s">
        <v>825</v>
      </c>
      <c r="B283" s="6" t="s">
        <v>78</v>
      </c>
      <c r="C283" s="6" t="s">
        <v>879</v>
      </c>
      <c r="D283" s="6" t="s">
        <v>877</v>
      </c>
      <c r="E283" s="6" t="s">
        <v>826</v>
      </c>
      <c r="F283" s="6"/>
      <c r="G283" s="59">
        <f>G287+G284</f>
        <v>2982490.73</v>
      </c>
      <c r="H283" s="59">
        <f>H287+H284</f>
        <v>2827580.38</v>
      </c>
      <c r="I283" s="59">
        <f t="shared" si="15"/>
        <v>94.81</v>
      </c>
    </row>
    <row r="284" spans="1:9" ht="157.5">
      <c r="A284" s="3" t="s">
        <v>663</v>
      </c>
      <c r="B284" s="6" t="s">
        <v>78</v>
      </c>
      <c r="C284" s="6" t="s">
        <v>879</v>
      </c>
      <c r="D284" s="6" t="s">
        <v>877</v>
      </c>
      <c r="E284" s="6" t="s">
        <v>826</v>
      </c>
      <c r="F284" s="6" t="s">
        <v>664</v>
      </c>
      <c r="G284" s="59">
        <f>G285</f>
        <v>7100</v>
      </c>
      <c r="H284" s="59">
        <f>H285</f>
        <v>7100</v>
      </c>
      <c r="I284" s="59">
        <f t="shared" si="15"/>
        <v>100</v>
      </c>
    </row>
    <row r="285" spans="1:9" ht="47.25">
      <c r="A285" s="3" t="s">
        <v>667</v>
      </c>
      <c r="B285" s="6" t="s">
        <v>78</v>
      </c>
      <c r="C285" s="6" t="s">
        <v>879</v>
      </c>
      <c r="D285" s="6" t="s">
        <v>877</v>
      </c>
      <c r="E285" s="6" t="s">
        <v>826</v>
      </c>
      <c r="F285" s="6" t="s">
        <v>668</v>
      </c>
      <c r="G285" s="59">
        <f>G286</f>
        <v>7100</v>
      </c>
      <c r="H285" s="59">
        <f>H286</f>
        <v>7100</v>
      </c>
      <c r="I285" s="59">
        <f t="shared" si="15"/>
        <v>100</v>
      </c>
    </row>
    <row r="286" spans="1:9" ht="47.25">
      <c r="A286" s="3" t="s">
        <v>671</v>
      </c>
      <c r="B286" s="6" t="s">
        <v>78</v>
      </c>
      <c r="C286" s="6" t="s">
        <v>879</v>
      </c>
      <c r="D286" s="6" t="s">
        <v>877</v>
      </c>
      <c r="E286" s="6" t="s">
        <v>826</v>
      </c>
      <c r="F286" s="6" t="s">
        <v>672</v>
      </c>
      <c r="G286" s="59">
        <f>1700+7200-1800</f>
        <v>7100</v>
      </c>
      <c r="H286" s="59">
        <v>7100</v>
      </c>
      <c r="I286" s="59">
        <f t="shared" si="15"/>
        <v>100</v>
      </c>
    </row>
    <row r="287" spans="1:9" ht="47.25">
      <c r="A287" s="3" t="s">
        <v>673</v>
      </c>
      <c r="B287" s="6" t="s">
        <v>78</v>
      </c>
      <c r="C287" s="6" t="s">
        <v>879</v>
      </c>
      <c r="D287" s="6" t="s">
        <v>877</v>
      </c>
      <c r="E287" s="6" t="s">
        <v>826</v>
      </c>
      <c r="F287" s="6" t="s">
        <v>674</v>
      </c>
      <c r="G287" s="59">
        <f>G288</f>
        <v>2975390.73</v>
      </c>
      <c r="H287" s="59">
        <f>H288</f>
        <v>2820480.38</v>
      </c>
      <c r="I287" s="59">
        <f t="shared" si="15"/>
        <v>94.79</v>
      </c>
    </row>
    <row r="288" spans="1:9" ht="47.25">
      <c r="A288" s="3" t="s">
        <v>675</v>
      </c>
      <c r="B288" s="6" t="s">
        <v>78</v>
      </c>
      <c r="C288" s="6" t="s">
        <v>879</v>
      </c>
      <c r="D288" s="6" t="s">
        <v>877</v>
      </c>
      <c r="E288" s="6" t="s">
        <v>826</v>
      </c>
      <c r="F288" s="6" t="s">
        <v>676</v>
      </c>
      <c r="G288" s="59">
        <f>G289+G290</f>
        <v>2975390.73</v>
      </c>
      <c r="H288" s="59">
        <f>H289+H290</f>
        <v>2820480.38</v>
      </c>
      <c r="I288" s="59">
        <f t="shared" si="15"/>
        <v>94.79</v>
      </c>
    </row>
    <row r="289" spans="1:9" ht="78.75">
      <c r="A289" s="3" t="s">
        <v>679</v>
      </c>
      <c r="B289" s="6" t="s">
        <v>78</v>
      </c>
      <c r="C289" s="6" t="s">
        <v>879</v>
      </c>
      <c r="D289" s="6" t="s">
        <v>877</v>
      </c>
      <c r="E289" s="6" t="s">
        <v>826</v>
      </c>
      <c r="F289" s="6" t="s">
        <v>680</v>
      </c>
      <c r="G289" s="59">
        <f>3601180-8900+70175.73-419700+200600-97000-50000-50000-50000-30000-70000-100000-22765+1800-35000</f>
        <v>2940390.73</v>
      </c>
      <c r="H289" s="59">
        <v>2785480.38</v>
      </c>
      <c r="I289" s="59">
        <f t="shared" si="15"/>
        <v>94.73</v>
      </c>
    </row>
    <row r="290" spans="1:9" ht="47.25">
      <c r="A290" s="3" t="s">
        <v>677</v>
      </c>
      <c r="B290" s="6" t="s">
        <v>78</v>
      </c>
      <c r="C290" s="6" t="s">
        <v>879</v>
      </c>
      <c r="D290" s="6" t="s">
        <v>877</v>
      </c>
      <c r="E290" s="6" t="s">
        <v>826</v>
      </c>
      <c r="F290" s="6" t="s">
        <v>678</v>
      </c>
      <c r="G290" s="59">
        <v>35000</v>
      </c>
      <c r="H290" s="59">
        <v>35000</v>
      </c>
      <c r="I290" s="59">
        <f t="shared" si="15"/>
        <v>100</v>
      </c>
    </row>
    <row r="291" spans="1:9" ht="47.25">
      <c r="A291" s="90" t="s">
        <v>816</v>
      </c>
      <c r="B291" s="91" t="s">
        <v>78</v>
      </c>
      <c r="C291" s="91" t="s">
        <v>879</v>
      </c>
      <c r="D291" s="91" t="s">
        <v>877</v>
      </c>
      <c r="E291" s="91" t="s">
        <v>650</v>
      </c>
      <c r="F291" s="6"/>
      <c r="G291" s="59">
        <f>G292</f>
        <v>8526500</v>
      </c>
      <c r="H291" s="59">
        <f>H292</f>
        <v>8319272.08</v>
      </c>
      <c r="I291" s="59">
        <f t="shared" si="15"/>
        <v>97.57</v>
      </c>
    </row>
    <row r="292" spans="1:9" ht="157.5">
      <c r="A292" s="3" t="s">
        <v>584</v>
      </c>
      <c r="B292" s="6" t="s">
        <v>78</v>
      </c>
      <c r="C292" s="6" t="s">
        <v>879</v>
      </c>
      <c r="D292" s="6" t="s">
        <v>877</v>
      </c>
      <c r="E292" s="6" t="s">
        <v>828</v>
      </c>
      <c r="F292" s="6"/>
      <c r="G292" s="59">
        <f>G293+G297+G301</f>
        <v>8526500</v>
      </c>
      <c r="H292" s="59">
        <f>H293+H297+H301</f>
        <v>8319272.08</v>
      </c>
      <c r="I292" s="59">
        <f t="shared" si="15"/>
        <v>97.57</v>
      </c>
    </row>
    <row r="293" spans="1:9" ht="157.5">
      <c r="A293" s="3" t="s">
        <v>663</v>
      </c>
      <c r="B293" s="6" t="s">
        <v>78</v>
      </c>
      <c r="C293" s="6" t="s">
        <v>879</v>
      </c>
      <c r="D293" s="6" t="s">
        <v>877</v>
      </c>
      <c r="E293" s="6" t="s">
        <v>828</v>
      </c>
      <c r="F293" s="6" t="s">
        <v>664</v>
      </c>
      <c r="G293" s="59">
        <f>G294</f>
        <v>8141425</v>
      </c>
      <c r="H293" s="59">
        <f>H294</f>
        <v>8003614.34</v>
      </c>
      <c r="I293" s="59">
        <f t="shared" si="15"/>
        <v>98.31</v>
      </c>
    </row>
    <row r="294" spans="1:9" ht="47.25">
      <c r="A294" s="3" t="s">
        <v>725</v>
      </c>
      <c r="B294" s="6" t="s">
        <v>78</v>
      </c>
      <c r="C294" s="6" t="s">
        <v>879</v>
      </c>
      <c r="D294" s="6" t="s">
        <v>877</v>
      </c>
      <c r="E294" s="6" t="s">
        <v>828</v>
      </c>
      <c r="F294" s="6" t="s">
        <v>726</v>
      </c>
      <c r="G294" s="59">
        <f>G295+G296</f>
        <v>8141425</v>
      </c>
      <c r="H294" s="59">
        <f>H295+H296</f>
        <v>8003614.34</v>
      </c>
      <c r="I294" s="59">
        <f t="shared" si="15"/>
        <v>98.31</v>
      </c>
    </row>
    <row r="295" spans="1:9" ht="31.5">
      <c r="A295" s="3" t="s">
        <v>669</v>
      </c>
      <c r="B295" s="6" t="s">
        <v>78</v>
      </c>
      <c r="C295" s="6" t="s">
        <v>879</v>
      </c>
      <c r="D295" s="6" t="s">
        <v>877</v>
      </c>
      <c r="E295" s="6" t="s">
        <v>828</v>
      </c>
      <c r="F295" s="6" t="s">
        <v>727</v>
      </c>
      <c r="G295" s="59">
        <f>6210800+1875600</f>
        <v>8086400</v>
      </c>
      <c r="H295" s="59">
        <v>7949357.49</v>
      </c>
      <c r="I295" s="59">
        <f t="shared" si="15"/>
        <v>98.31</v>
      </c>
    </row>
    <row r="296" spans="1:9" ht="47.25">
      <c r="A296" s="3" t="s">
        <v>671</v>
      </c>
      <c r="B296" s="6" t="s">
        <v>78</v>
      </c>
      <c r="C296" s="6" t="s">
        <v>879</v>
      </c>
      <c r="D296" s="6" t="s">
        <v>877</v>
      </c>
      <c r="E296" s="6" t="s">
        <v>828</v>
      </c>
      <c r="F296" s="6" t="s">
        <v>728</v>
      </c>
      <c r="G296" s="59">
        <f>140000-84975</f>
        <v>55025</v>
      </c>
      <c r="H296" s="59">
        <v>54256.85</v>
      </c>
      <c r="I296" s="59">
        <f t="shared" si="15"/>
        <v>98.6</v>
      </c>
    </row>
    <row r="297" spans="1:9" ht="47.25">
      <c r="A297" s="3" t="s">
        <v>673</v>
      </c>
      <c r="B297" s="6" t="s">
        <v>78</v>
      </c>
      <c r="C297" s="6" t="s">
        <v>879</v>
      </c>
      <c r="D297" s="6" t="s">
        <v>877</v>
      </c>
      <c r="E297" s="6" t="s">
        <v>828</v>
      </c>
      <c r="F297" s="6" t="s">
        <v>674</v>
      </c>
      <c r="G297" s="59">
        <f>G298</f>
        <v>383975</v>
      </c>
      <c r="H297" s="59">
        <f>H298</f>
        <v>314557.74</v>
      </c>
      <c r="I297" s="59">
        <f t="shared" si="15"/>
        <v>81.92</v>
      </c>
    </row>
    <row r="298" spans="1:9" ht="47.25">
      <c r="A298" s="3" t="s">
        <v>675</v>
      </c>
      <c r="B298" s="6" t="s">
        <v>78</v>
      </c>
      <c r="C298" s="6" t="s">
        <v>879</v>
      </c>
      <c r="D298" s="6" t="s">
        <v>877</v>
      </c>
      <c r="E298" s="6" t="s">
        <v>828</v>
      </c>
      <c r="F298" s="6" t="s">
        <v>676</v>
      </c>
      <c r="G298" s="59">
        <f>G299+G300</f>
        <v>383975</v>
      </c>
      <c r="H298" s="59">
        <f>H299+H300</f>
        <v>314557.74</v>
      </c>
      <c r="I298" s="59">
        <f t="shared" si="15"/>
        <v>81.92</v>
      </c>
    </row>
    <row r="299" spans="1:9" ht="78.75">
      <c r="A299" s="3" t="s">
        <v>679</v>
      </c>
      <c r="B299" s="6" t="s">
        <v>78</v>
      </c>
      <c r="C299" s="6" t="s">
        <v>879</v>
      </c>
      <c r="D299" s="6" t="s">
        <v>877</v>
      </c>
      <c r="E299" s="6" t="s">
        <v>828</v>
      </c>
      <c r="F299" s="6" t="s">
        <v>680</v>
      </c>
      <c r="G299" s="59">
        <f>53500-9060</f>
        <v>44440</v>
      </c>
      <c r="H299" s="59">
        <v>42218.24</v>
      </c>
      <c r="I299" s="59">
        <f t="shared" si="15"/>
        <v>95</v>
      </c>
    </row>
    <row r="300" spans="1:9" ht="47.25">
      <c r="A300" s="3" t="s">
        <v>677</v>
      </c>
      <c r="B300" s="6" t="s">
        <v>78</v>
      </c>
      <c r="C300" s="6" t="s">
        <v>879</v>
      </c>
      <c r="D300" s="6" t="s">
        <v>877</v>
      </c>
      <c r="E300" s="6" t="s">
        <v>828</v>
      </c>
      <c r="F300" s="6" t="s">
        <v>678</v>
      </c>
      <c r="G300" s="59">
        <f>246600-1100+94035</f>
        <v>339535</v>
      </c>
      <c r="H300" s="59">
        <v>272339.5</v>
      </c>
      <c r="I300" s="59">
        <f t="shared" si="15"/>
        <v>80.21</v>
      </c>
    </row>
    <row r="301" spans="1:9" ht="31.5">
      <c r="A301" s="90" t="s">
        <v>557</v>
      </c>
      <c r="B301" s="91" t="s">
        <v>78</v>
      </c>
      <c r="C301" s="6" t="s">
        <v>879</v>
      </c>
      <c r="D301" s="6" t="s">
        <v>877</v>
      </c>
      <c r="E301" s="6" t="s">
        <v>828</v>
      </c>
      <c r="F301" s="91" t="s">
        <v>683</v>
      </c>
      <c r="G301" s="59">
        <f>G302</f>
        <v>1100</v>
      </c>
      <c r="H301" s="59">
        <f>H302</f>
        <v>1100</v>
      </c>
      <c r="I301" s="59">
        <f t="shared" si="15"/>
        <v>100</v>
      </c>
    </row>
    <row r="302" spans="1:9" ht="78.75">
      <c r="A302" s="90" t="s">
        <v>729</v>
      </c>
      <c r="B302" s="91" t="s">
        <v>78</v>
      </c>
      <c r="C302" s="6" t="s">
        <v>879</v>
      </c>
      <c r="D302" s="6" t="s">
        <v>877</v>
      </c>
      <c r="E302" s="6" t="s">
        <v>828</v>
      </c>
      <c r="F302" s="91" t="s">
        <v>730</v>
      </c>
      <c r="G302" s="59">
        <f>G303</f>
        <v>1100</v>
      </c>
      <c r="H302" s="59">
        <f>H303</f>
        <v>1100</v>
      </c>
      <c r="I302" s="59">
        <f t="shared" si="15"/>
        <v>100</v>
      </c>
    </row>
    <row r="303" spans="1:9" ht="47.25">
      <c r="A303" s="90" t="s">
        <v>731</v>
      </c>
      <c r="B303" s="91" t="s">
        <v>78</v>
      </c>
      <c r="C303" s="6" t="s">
        <v>879</v>
      </c>
      <c r="D303" s="6" t="s">
        <v>877</v>
      </c>
      <c r="E303" s="6" t="s">
        <v>828</v>
      </c>
      <c r="F303" s="91" t="s">
        <v>732</v>
      </c>
      <c r="G303" s="59">
        <v>1100</v>
      </c>
      <c r="H303" s="59">
        <v>1100</v>
      </c>
      <c r="I303" s="59">
        <f t="shared" si="15"/>
        <v>100</v>
      </c>
    </row>
    <row r="304" spans="1:11" s="24" customFormat="1" ht="47.25">
      <c r="A304" s="1" t="s">
        <v>894</v>
      </c>
      <c r="B304" s="2" t="s">
        <v>78</v>
      </c>
      <c r="C304" s="2" t="s">
        <v>879</v>
      </c>
      <c r="D304" s="2" t="s">
        <v>643</v>
      </c>
      <c r="E304" s="2"/>
      <c r="F304" s="2"/>
      <c r="G304" s="76">
        <f aca="true" t="shared" si="19" ref="G304:H306">G305</f>
        <v>99200</v>
      </c>
      <c r="H304" s="76">
        <f t="shared" si="19"/>
        <v>71686.84999999999</v>
      </c>
      <c r="I304" s="76">
        <f t="shared" si="15"/>
        <v>72.26</v>
      </c>
      <c r="J304" s="96"/>
      <c r="K304" s="187"/>
    </row>
    <row r="305" spans="1:11" s="24" customFormat="1" ht="110.25">
      <c r="A305" s="44" t="s">
        <v>636</v>
      </c>
      <c r="B305" s="6" t="s">
        <v>78</v>
      </c>
      <c r="C305" s="6" t="s">
        <v>879</v>
      </c>
      <c r="D305" s="6" t="s">
        <v>643</v>
      </c>
      <c r="E305" s="6" t="s">
        <v>637</v>
      </c>
      <c r="F305" s="2"/>
      <c r="G305" s="59">
        <f t="shared" si="19"/>
        <v>99200</v>
      </c>
      <c r="H305" s="59">
        <f t="shared" si="19"/>
        <v>71686.84999999999</v>
      </c>
      <c r="I305" s="59">
        <f t="shared" si="15"/>
        <v>72.26</v>
      </c>
      <c r="J305" s="96"/>
      <c r="K305" s="187"/>
    </row>
    <row r="306" spans="1:11" s="24" customFormat="1" ht="15.75">
      <c r="A306" s="44" t="s">
        <v>907</v>
      </c>
      <c r="B306" s="6" t="s">
        <v>78</v>
      </c>
      <c r="C306" s="6" t="s">
        <v>879</v>
      </c>
      <c r="D306" s="6" t="s">
        <v>643</v>
      </c>
      <c r="E306" s="6" t="s">
        <v>638</v>
      </c>
      <c r="F306" s="2"/>
      <c r="G306" s="59">
        <f t="shared" si="19"/>
        <v>99200</v>
      </c>
      <c r="H306" s="59">
        <f t="shared" si="19"/>
        <v>71686.84999999999</v>
      </c>
      <c r="I306" s="59">
        <f t="shared" si="15"/>
        <v>72.26</v>
      </c>
      <c r="J306" s="96"/>
      <c r="K306" s="187"/>
    </row>
    <row r="307" spans="1:9" ht="220.5">
      <c r="A307" s="3" t="s">
        <v>544</v>
      </c>
      <c r="B307" s="6" t="s">
        <v>78</v>
      </c>
      <c r="C307" s="6" t="s">
        <v>879</v>
      </c>
      <c r="D307" s="6" t="s">
        <v>643</v>
      </c>
      <c r="E307" s="6" t="s">
        <v>616</v>
      </c>
      <c r="F307" s="6"/>
      <c r="G307" s="59">
        <f>G308+G311</f>
        <v>99200</v>
      </c>
      <c r="H307" s="59">
        <f>H308+H311</f>
        <v>71686.84999999999</v>
      </c>
      <c r="I307" s="59">
        <f t="shared" si="15"/>
        <v>72.26</v>
      </c>
    </row>
    <row r="308" spans="1:9" ht="157.5">
      <c r="A308" s="3" t="s">
        <v>663</v>
      </c>
      <c r="B308" s="6" t="s">
        <v>78</v>
      </c>
      <c r="C308" s="6" t="s">
        <v>879</v>
      </c>
      <c r="D308" s="6" t="s">
        <v>643</v>
      </c>
      <c r="E308" s="6" t="s">
        <v>616</v>
      </c>
      <c r="F308" s="6" t="s">
        <v>664</v>
      </c>
      <c r="G308" s="59">
        <f>G309</f>
        <v>92886.02</v>
      </c>
      <c r="H308" s="59">
        <f>H309</f>
        <v>71654.01</v>
      </c>
      <c r="I308" s="59">
        <f t="shared" si="15"/>
        <v>77.14</v>
      </c>
    </row>
    <row r="309" spans="1:9" ht="47.25">
      <c r="A309" s="3" t="s">
        <v>667</v>
      </c>
      <c r="B309" s="6" t="s">
        <v>78</v>
      </c>
      <c r="C309" s="6" t="s">
        <v>879</v>
      </c>
      <c r="D309" s="6" t="s">
        <v>643</v>
      </c>
      <c r="E309" s="6" t="s">
        <v>616</v>
      </c>
      <c r="F309" s="6" t="s">
        <v>668</v>
      </c>
      <c r="G309" s="59">
        <f>G310</f>
        <v>92886.02</v>
      </c>
      <c r="H309" s="59">
        <f>H310</f>
        <v>71654.01</v>
      </c>
      <c r="I309" s="59">
        <f t="shared" si="15"/>
        <v>77.14</v>
      </c>
    </row>
    <row r="310" spans="1:9" ht="31.5">
      <c r="A310" s="3" t="s">
        <v>669</v>
      </c>
      <c r="B310" s="6" t="s">
        <v>78</v>
      </c>
      <c r="C310" s="6" t="s">
        <v>879</v>
      </c>
      <c r="D310" s="6" t="s">
        <v>643</v>
      </c>
      <c r="E310" s="6" t="s">
        <v>616</v>
      </c>
      <c r="F310" s="6" t="s">
        <v>670</v>
      </c>
      <c r="G310" s="59">
        <v>92886.02</v>
      </c>
      <c r="H310" s="59">
        <v>71654.01</v>
      </c>
      <c r="I310" s="59">
        <f t="shared" si="15"/>
        <v>77.14</v>
      </c>
    </row>
    <row r="311" spans="1:9" ht="47.25">
      <c r="A311" s="3" t="s">
        <v>673</v>
      </c>
      <c r="B311" s="6" t="s">
        <v>78</v>
      </c>
      <c r="C311" s="6" t="s">
        <v>879</v>
      </c>
      <c r="D311" s="6" t="s">
        <v>643</v>
      </c>
      <c r="E311" s="6" t="s">
        <v>616</v>
      </c>
      <c r="F311" s="6" t="s">
        <v>674</v>
      </c>
      <c r="G311" s="59">
        <f>G312</f>
        <v>6313.98</v>
      </c>
      <c r="H311" s="59">
        <f>H312</f>
        <v>32.84</v>
      </c>
      <c r="I311" s="59">
        <f t="shared" si="15"/>
        <v>0.52</v>
      </c>
    </row>
    <row r="312" spans="1:9" ht="47.25">
      <c r="A312" s="3" t="s">
        <v>675</v>
      </c>
      <c r="B312" s="6" t="s">
        <v>78</v>
      </c>
      <c r="C312" s="6" t="s">
        <v>879</v>
      </c>
      <c r="D312" s="6" t="s">
        <v>643</v>
      </c>
      <c r="E312" s="6" t="s">
        <v>616</v>
      </c>
      <c r="F312" s="6" t="s">
        <v>676</v>
      </c>
      <c r="G312" s="59">
        <f>G313</f>
        <v>6313.98</v>
      </c>
      <c r="H312" s="59">
        <f>H313</f>
        <v>32.84</v>
      </c>
      <c r="I312" s="59">
        <f t="shared" si="15"/>
        <v>0.52</v>
      </c>
    </row>
    <row r="313" spans="1:9" ht="78.75">
      <c r="A313" s="3" t="s">
        <v>679</v>
      </c>
      <c r="B313" s="6" t="s">
        <v>78</v>
      </c>
      <c r="C313" s="6" t="s">
        <v>879</v>
      </c>
      <c r="D313" s="6" t="s">
        <v>643</v>
      </c>
      <c r="E313" s="6" t="s">
        <v>616</v>
      </c>
      <c r="F313" s="6" t="s">
        <v>680</v>
      </c>
      <c r="G313" s="59">
        <v>6313.98</v>
      </c>
      <c r="H313" s="59">
        <v>32.84</v>
      </c>
      <c r="I313" s="59">
        <f t="shared" si="15"/>
        <v>0.52</v>
      </c>
    </row>
    <row r="314" spans="1:11" s="22" customFormat="1" ht="37.5">
      <c r="A314" s="13" t="s">
        <v>883</v>
      </c>
      <c r="B314" s="14" t="s">
        <v>78</v>
      </c>
      <c r="C314" s="14" t="s">
        <v>877</v>
      </c>
      <c r="D314" s="14"/>
      <c r="E314" s="14"/>
      <c r="F314" s="14"/>
      <c r="G314" s="56">
        <f>G315+G321</f>
        <v>3107956.44</v>
      </c>
      <c r="H314" s="56">
        <f>H315+H321</f>
        <v>2526692.21</v>
      </c>
      <c r="I314" s="56">
        <f t="shared" si="15"/>
        <v>81.3</v>
      </c>
      <c r="J314" s="115"/>
      <c r="K314" s="188"/>
    </row>
    <row r="315" spans="1:11" s="22" customFormat="1" ht="18.75">
      <c r="A315" s="1" t="s">
        <v>912</v>
      </c>
      <c r="B315" s="2" t="s">
        <v>78</v>
      </c>
      <c r="C315" s="2" t="s">
        <v>877</v>
      </c>
      <c r="D315" s="2" t="s">
        <v>869</v>
      </c>
      <c r="E315" s="2"/>
      <c r="F315" s="2"/>
      <c r="G315" s="50">
        <f aca="true" t="shared" si="20" ref="G315:H319">G316</f>
        <v>1861456.44</v>
      </c>
      <c r="H315" s="50">
        <f t="shared" si="20"/>
        <v>1319580.7</v>
      </c>
      <c r="I315" s="50">
        <f t="shared" si="15"/>
        <v>70.89</v>
      </c>
      <c r="J315" s="115"/>
      <c r="K315" s="188"/>
    </row>
    <row r="316" spans="1:11" s="22" customFormat="1" ht="47.25">
      <c r="A316" s="5" t="s">
        <v>13</v>
      </c>
      <c r="B316" s="6" t="s">
        <v>78</v>
      </c>
      <c r="C316" s="6" t="s">
        <v>877</v>
      </c>
      <c r="D316" s="6" t="s">
        <v>869</v>
      </c>
      <c r="E316" s="6" t="s">
        <v>24</v>
      </c>
      <c r="F316" s="6"/>
      <c r="G316" s="46">
        <f t="shared" si="20"/>
        <v>1861456.44</v>
      </c>
      <c r="H316" s="46">
        <f t="shared" si="20"/>
        <v>1319580.7</v>
      </c>
      <c r="I316" s="46">
        <f t="shared" si="15"/>
        <v>70.89</v>
      </c>
      <c r="J316" s="115"/>
      <c r="K316" s="188"/>
    </row>
    <row r="317" spans="1:11" s="22" customFormat="1" ht="78.75">
      <c r="A317" s="5" t="s">
        <v>913</v>
      </c>
      <c r="B317" s="6" t="s">
        <v>78</v>
      </c>
      <c r="C317" s="6" t="s">
        <v>877</v>
      </c>
      <c r="D317" s="6" t="s">
        <v>869</v>
      </c>
      <c r="E317" s="6" t="s">
        <v>25</v>
      </c>
      <c r="F317" s="6"/>
      <c r="G317" s="46">
        <f t="shared" si="20"/>
        <v>1861456.44</v>
      </c>
      <c r="H317" s="46">
        <f t="shared" si="20"/>
        <v>1319580.7</v>
      </c>
      <c r="I317" s="46">
        <f t="shared" si="15"/>
        <v>70.89</v>
      </c>
      <c r="J317" s="115"/>
      <c r="K317" s="188"/>
    </row>
    <row r="318" spans="1:11" s="22" customFormat="1" ht="31.5">
      <c r="A318" s="5" t="s">
        <v>595</v>
      </c>
      <c r="B318" s="6" t="s">
        <v>78</v>
      </c>
      <c r="C318" s="6" t="s">
        <v>877</v>
      </c>
      <c r="D318" s="6" t="s">
        <v>869</v>
      </c>
      <c r="E318" s="6" t="s">
        <v>25</v>
      </c>
      <c r="F318" s="6" t="s">
        <v>596</v>
      </c>
      <c r="G318" s="46">
        <f t="shared" si="20"/>
        <v>1861456.44</v>
      </c>
      <c r="H318" s="46">
        <f t="shared" si="20"/>
        <v>1319580.7</v>
      </c>
      <c r="I318" s="46">
        <f t="shared" si="15"/>
        <v>70.89</v>
      </c>
      <c r="J318" s="115"/>
      <c r="K318" s="188"/>
    </row>
    <row r="319" spans="1:11" s="22" customFormat="1" ht="47.25">
      <c r="A319" s="5" t="s">
        <v>609</v>
      </c>
      <c r="B319" s="6" t="s">
        <v>78</v>
      </c>
      <c r="C319" s="6" t="s">
        <v>877</v>
      </c>
      <c r="D319" s="6" t="s">
        <v>869</v>
      </c>
      <c r="E319" s="6" t="s">
        <v>25</v>
      </c>
      <c r="F319" s="6" t="s">
        <v>610</v>
      </c>
      <c r="G319" s="46">
        <f t="shared" si="20"/>
        <v>1861456.44</v>
      </c>
      <c r="H319" s="46">
        <f t="shared" si="20"/>
        <v>1319580.7</v>
      </c>
      <c r="I319" s="46">
        <f t="shared" si="15"/>
        <v>70.89</v>
      </c>
      <c r="J319" s="115"/>
      <c r="K319" s="188"/>
    </row>
    <row r="320" spans="1:11" s="22" customFormat="1" ht="63">
      <c r="A320" s="5" t="s">
        <v>611</v>
      </c>
      <c r="B320" s="6" t="s">
        <v>78</v>
      </c>
      <c r="C320" s="6" t="s">
        <v>877</v>
      </c>
      <c r="D320" s="6" t="s">
        <v>869</v>
      </c>
      <c r="E320" s="6" t="s">
        <v>25</v>
      </c>
      <c r="F320" s="6" t="s">
        <v>612</v>
      </c>
      <c r="G320" s="46">
        <f>2353278-491821.56</f>
        <v>1861456.44</v>
      </c>
      <c r="H320" s="46">
        <v>1319580.7</v>
      </c>
      <c r="I320" s="46">
        <f t="shared" si="15"/>
        <v>70.89</v>
      </c>
      <c r="J320" s="115"/>
      <c r="K320" s="188"/>
    </row>
    <row r="321" spans="1:11" s="24" customFormat="1" ht="15.75">
      <c r="A321" s="1" t="s">
        <v>948</v>
      </c>
      <c r="B321" s="2" t="s">
        <v>78</v>
      </c>
      <c r="C321" s="2" t="s">
        <v>877</v>
      </c>
      <c r="D321" s="2" t="s">
        <v>879</v>
      </c>
      <c r="E321" s="2"/>
      <c r="F321" s="2"/>
      <c r="G321" s="50">
        <f>G322</f>
        <v>1246500</v>
      </c>
      <c r="H321" s="50">
        <f>H322</f>
        <v>1207111.5100000002</v>
      </c>
      <c r="I321" s="50">
        <f t="shared" si="15"/>
        <v>96.84</v>
      </c>
      <c r="J321" s="96"/>
      <c r="K321" s="187"/>
    </row>
    <row r="322" spans="1:11" s="24" customFormat="1" ht="110.25">
      <c r="A322" s="44" t="s">
        <v>636</v>
      </c>
      <c r="B322" s="6" t="s">
        <v>78</v>
      </c>
      <c r="C322" s="6" t="s">
        <v>877</v>
      </c>
      <c r="D322" s="6" t="s">
        <v>879</v>
      </c>
      <c r="E322" s="6" t="s">
        <v>637</v>
      </c>
      <c r="F322" s="2"/>
      <c r="G322" s="46">
        <f>G323</f>
        <v>1246500</v>
      </c>
      <c r="H322" s="46">
        <f>H323</f>
        <v>1207111.5100000002</v>
      </c>
      <c r="I322" s="46">
        <f t="shared" si="15"/>
        <v>96.84</v>
      </c>
      <c r="J322" s="96"/>
      <c r="K322" s="187"/>
    </row>
    <row r="323" spans="1:11" s="24" customFormat="1" ht="15.75">
      <c r="A323" s="44" t="s">
        <v>907</v>
      </c>
      <c r="B323" s="6" t="s">
        <v>78</v>
      </c>
      <c r="C323" s="6" t="s">
        <v>877</v>
      </c>
      <c r="D323" s="6" t="s">
        <v>879</v>
      </c>
      <c r="E323" s="6" t="s">
        <v>638</v>
      </c>
      <c r="F323" s="2"/>
      <c r="G323" s="46">
        <f>G324+G333</f>
        <v>1246500</v>
      </c>
      <c r="H323" s="46">
        <f>H324+H333</f>
        <v>1207111.5100000002</v>
      </c>
      <c r="I323" s="46">
        <f t="shared" si="15"/>
        <v>96.84</v>
      </c>
      <c r="J323" s="96"/>
      <c r="K323" s="187"/>
    </row>
    <row r="324" spans="1:9" ht="94.5">
      <c r="A324" s="3" t="s">
        <v>943</v>
      </c>
      <c r="B324" s="6" t="s">
        <v>78</v>
      </c>
      <c r="C324" s="6" t="s">
        <v>877</v>
      </c>
      <c r="D324" s="6" t="s">
        <v>879</v>
      </c>
      <c r="E324" s="6" t="s">
        <v>944</v>
      </c>
      <c r="F324" s="6"/>
      <c r="G324" s="46">
        <f>G325+G329</f>
        <v>1139600</v>
      </c>
      <c r="H324" s="46">
        <f>H325+H329</f>
        <v>1121895.6600000001</v>
      </c>
      <c r="I324" s="46">
        <f t="shared" si="15"/>
        <v>98.45</v>
      </c>
    </row>
    <row r="325" spans="1:9" ht="157.5">
      <c r="A325" s="3" t="s">
        <v>663</v>
      </c>
      <c r="B325" s="6" t="s">
        <v>78</v>
      </c>
      <c r="C325" s="6" t="s">
        <v>877</v>
      </c>
      <c r="D325" s="6" t="s">
        <v>879</v>
      </c>
      <c r="E325" s="6" t="s">
        <v>944</v>
      </c>
      <c r="F325" s="6" t="s">
        <v>664</v>
      </c>
      <c r="G325" s="46">
        <f>G326</f>
        <v>1045597.4600000001</v>
      </c>
      <c r="H325" s="46">
        <f>H326</f>
        <v>1036613.42</v>
      </c>
      <c r="I325" s="46">
        <f t="shared" si="15"/>
        <v>99.14</v>
      </c>
    </row>
    <row r="326" spans="1:9" ht="47.25">
      <c r="A326" s="3" t="s">
        <v>667</v>
      </c>
      <c r="B326" s="6" t="s">
        <v>78</v>
      </c>
      <c r="C326" s="6" t="s">
        <v>877</v>
      </c>
      <c r="D326" s="6" t="s">
        <v>879</v>
      </c>
      <c r="E326" s="6" t="s">
        <v>944</v>
      </c>
      <c r="F326" s="6" t="s">
        <v>668</v>
      </c>
      <c r="G326" s="46">
        <f>G327+G328</f>
        <v>1045597.4600000001</v>
      </c>
      <c r="H326" s="46">
        <f>H327+H328</f>
        <v>1036613.42</v>
      </c>
      <c r="I326" s="46">
        <f t="shared" si="15"/>
        <v>99.14</v>
      </c>
    </row>
    <row r="327" spans="1:9" ht="31.5">
      <c r="A327" s="3" t="s">
        <v>669</v>
      </c>
      <c r="B327" s="6" t="s">
        <v>78</v>
      </c>
      <c r="C327" s="6" t="s">
        <v>877</v>
      </c>
      <c r="D327" s="6" t="s">
        <v>879</v>
      </c>
      <c r="E327" s="6" t="s">
        <v>944</v>
      </c>
      <c r="F327" s="6" t="s">
        <v>670</v>
      </c>
      <c r="G327" s="46">
        <f>1004491.16+9500+2662</f>
        <v>1016653.16</v>
      </c>
      <c r="H327" s="46">
        <v>1007669.12</v>
      </c>
      <c r="I327" s="46">
        <f t="shared" si="15"/>
        <v>99.12</v>
      </c>
    </row>
    <row r="328" spans="1:9" ht="47.25">
      <c r="A328" s="3" t="s">
        <v>671</v>
      </c>
      <c r="B328" s="6" t="s">
        <v>78</v>
      </c>
      <c r="C328" s="6" t="s">
        <v>877</v>
      </c>
      <c r="D328" s="6" t="s">
        <v>879</v>
      </c>
      <c r="E328" s="6" t="s">
        <v>944</v>
      </c>
      <c r="F328" s="6" t="s">
        <v>672</v>
      </c>
      <c r="G328" s="46">
        <f>20000+8643.7+300.6</f>
        <v>28944.3</v>
      </c>
      <c r="H328" s="46">
        <v>28944.3</v>
      </c>
      <c r="I328" s="46">
        <f aca="true" t="shared" si="21" ref="I328:I391">ROUND(H328/G328*100,2)</f>
        <v>100</v>
      </c>
    </row>
    <row r="329" spans="1:9" ht="47.25">
      <c r="A329" s="3" t="s">
        <v>673</v>
      </c>
      <c r="B329" s="6" t="s">
        <v>78</v>
      </c>
      <c r="C329" s="6" t="s">
        <v>877</v>
      </c>
      <c r="D329" s="6" t="s">
        <v>879</v>
      </c>
      <c r="E329" s="6" t="s">
        <v>944</v>
      </c>
      <c r="F329" s="6" t="s">
        <v>674</v>
      </c>
      <c r="G329" s="46">
        <f>G330</f>
        <v>94002.53999999998</v>
      </c>
      <c r="H329" s="46">
        <f>H330</f>
        <v>85282.24</v>
      </c>
      <c r="I329" s="46">
        <f t="shared" si="21"/>
        <v>90.72</v>
      </c>
    </row>
    <row r="330" spans="1:9" ht="47.25">
      <c r="A330" s="3" t="s">
        <v>675</v>
      </c>
      <c r="B330" s="6" t="s">
        <v>78</v>
      </c>
      <c r="C330" s="6" t="s">
        <v>877</v>
      </c>
      <c r="D330" s="6" t="s">
        <v>879</v>
      </c>
      <c r="E330" s="6" t="s">
        <v>944</v>
      </c>
      <c r="F330" s="6" t="s">
        <v>676</v>
      </c>
      <c r="G330" s="46">
        <f>G331+G332</f>
        <v>94002.53999999998</v>
      </c>
      <c r="H330" s="46">
        <f>H331+H332</f>
        <v>85282.24</v>
      </c>
      <c r="I330" s="46">
        <f t="shared" si="21"/>
        <v>90.72</v>
      </c>
    </row>
    <row r="331" spans="1:9" ht="78.75">
      <c r="A331" s="3" t="s">
        <v>679</v>
      </c>
      <c r="B331" s="6" t="s">
        <v>78</v>
      </c>
      <c r="C331" s="6" t="s">
        <v>877</v>
      </c>
      <c r="D331" s="6" t="s">
        <v>879</v>
      </c>
      <c r="E331" s="6" t="s">
        <v>944</v>
      </c>
      <c r="F331" s="6" t="s">
        <v>680</v>
      </c>
      <c r="G331" s="46">
        <f>22608.8+2810.82+480</f>
        <v>25899.62</v>
      </c>
      <c r="H331" s="46">
        <v>25899.62</v>
      </c>
      <c r="I331" s="46">
        <f t="shared" si="21"/>
        <v>100</v>
      </c>
    </row>
    <row r="332" spans="1:9" ht="47.25">
      <c r="A332" s="15" t="s">
        <v>677</v>
      </c>
      <c r="B332" s="9" t="s">
        <v>78</v>
      </c>
      <c r="C332" s="9" t="s">
        <v>877</v>
      </c>
      <c r="D332" s="9" t="s">
        <v>879</v>
      </c>
      <c r="E332" s="9" t="s">
        <v>944</v>
      </c>
      <c r="F332" s="9" t="s">
        <v>678</v>
      </c>
      <c r="G332" s="48">
        <f>80300.04+44+12156-11454.52-2711.3-7400-2050.7-780.6</f>
        <v>68102.91999999998</v>
      </c>
      <c r="H332" s="48">
        <v>59382.62</v>
      </c>
      <c r="I332" s="48">
        <f t="shared" si="21"/>
        <v>87.2</v>
      </c>
    </row>
    <row r="333" spans="1:9" ht="222.75" customHeight="1">
      <c r="A333" s="3" t="s">
        <v>472</v>
      </c>
      <c r="B333" s="6" t="s">
        <v>78</v>
      </c>
      <c r="C333" s="6" t="s">
        <v>877</v>
      </c>
      <c r="D333" s="6" t="s">
        <v>879</v>
      </c>
      <c r="E333" s="6" t="s">
        <v>473</v>
      </c>
      <c r="F333" s="6"/>
      <c r="G333" s="46">
        <f>G334+G337</f>
        <v>106900</v>
      </c>
      <c r="H333" s="46">
        <f>H334+H337</f>
        <v>85215.85</v>
      </c>
      <c r="I333" s="46">
        <f t="shared" si="21"/>
        <v>79.72</v>
      </c>
    </row>
    <row r="334" spans="1:9" ht="157.5">
      <c r="A334" s="3" t="s">
        <v>663</v>
      </c>
      <c r="B334" s="6" t="s">
        <v>78</v>
      </c>
      <c r="C334" s="6" t="s">
        <v>877</v>
      </c>
      <c r="D334" s="6" t="s">
        <v>879</v>
      </c>
      <c r="E334" s="6" t="s">
        <v>473</v>
      </c>
      <c r="F334" s="6" t="s">
        <v>664</v>
      </c>
      <c r="G334" s="46">
        <f>G335</f>
        <v>100900</v>
      </c>
      <c r="H334" s="46">
        <f>H335</f>
        <v>79215.85</v>
      </c>
      <c r="I334" s="46">
        <f t="shared" si="21"/>
        <v>78.51</v>
      </c>
    </row>
    <row r="335" spans="1:9" ht="47.25">
      <c r="A335" s="3" t="s">
        <v>667</v>
      </c>
      <c r="B335" s="6" t="s">
        <v>78</v>
      </c>
      <c r="C335" s="6" t="s">
        <v>877</v>
      </c>
      <c r="D335" s="6" t="s">
        <v>879</v>
      </c>
      <c r="E335" s="6" t="s">
        <v>473</v>
      </c>
      <c r="F335" s="6" t="s">
        <v>668</v>
      </c>
      <c r="G335" s="46">
        <f>G336</f>
        <v>100900</v>
      </c>
      <c r="H335" s="46">
        <f>H336</f>
        <v>79215.85</v>
      </c>
      <c r="I335" s="46">
        <f t="shared" si="21"/>
        <v>78.51</v>
      </c>
    </row>
    <row r="336" spans="1:9" ht="31.5">
      <c r="A336" s="3" t="s">
        <v>669</v>
      </c>
      <c r="B336" s="6" t="s">
        <v>78</v>
      </c>
      <c r="C336" s="6" t="s">
        <v>877</v>
      </c>
      <c r="D336" s="6" t="s">
        <v>879</v>
      </c>
      <c r="E336" s="6" t="s">
        <v>473</v>
      </c>
      <c r="F336" s="6" t="s">
        <v>670</v>
      </c>
      <c r="G336" s="46">
        <f>106900-6000</f>
        <v>100900</v>
      </c>
      <c r="H336" s="46">
        <v>79215.85</v>
      </c>
      <c r="I336" s="46">
        <f t="shared" si="21"/>
        <v>78.51</v>
      </c>
    </row>
    <row r="337" spans="1:9" ht="47.25">
      <c r="A337" s="44" t="s">
        <v>673</v>
      </c>
      <c r="B337" s="6" t="s">
        <v>78</v>
      </c>
      <c r="C337" s="6" t="s">
        <v>877</v>
      </c>
      <c r="D337" s="6" t="s">
        <v>879</v>
      </c>
      <c r="E337" s="6" t="s">
        <v>473</v>
      </c>
      <c r="F337" s="6" t="s">
        <v>674</v>
      </c>
      <c r="G337" s="46">
        <f>G338</f>
        <v>6000</v>
      </c>
      <c r="H337" s="46">
        <f>H338</f>
        <v>6000</v>
      </c>
      <c r="I337" s="46">
        <f t="shared" si="21"/>
        <v>100</v>
      </c>
    </row>
    <row r="338" spans="1:9" ht="47.25">
      <c r="A338" s="44" t="s">
        <v>675</v>
      </c>
      <c r="B338" s="6" t="s">
        <v>78</v>
      </c>
      <c r="C338" s="6" t="s">
        <v>877</v>
      </c>
      <c r="D338" s="6" t="s">
        <v>879</v>
      </c>
      <c r="E338" s="6" t="s">
        <v>473</v>
      </c>
      <c r="F338" s="6" t="s">
        <v>676</v>
      </c>
      <c r="G338" s="46">
        <f>G339</f>
        <v>6000</v>
      </c>
      <c r="H338" s="46">
        <f>H339</f>
        <v>6000</v>
      </c>
      <c r="I338" s="46">
        <f t="shared" si="21"/>
        <v>100</v>
      </c>
    </row>
    <row r="339" spans="1:9" ht="47.25">
      <c r="A339" s="44" t="s">
        <v>677</v>
      </c>
      <c r="B339" s="6" t="s">
        <v>78</v>
      </c>
      <c r="C339" s="6" t="s">
        <v>877</v>
      </c>
      <c r="D339" s="6" t="s">
        <v>879</v>
      </c>
      <c r="E339" s="6" t="s">
        <v>473</v>
      </c>
      <c r="F339" s="6" t="s">
        <v>678</v>
      </c>
      <c r="G339" s="46">
        <v>6000</v>
      </c>
      <c r="H339" s="46">
        <v>6000</v>
      </c>
      <c r="I339" s="46">
        <f t="shared" si="21"/>
        <v>100</v>
      </c>
    </row>
    <row r="340" spans="1:11" s="24" customFormat="1" ht="31.5">
      <c r="A340" s="1" t="s">
        <v>633</v>
      </c>
      <c r="B340" s="2" t="s">
        <v>78</v>
      </c>
      <c r="C340" s="2" t="s">
        <v>643</v>
      </c>
      <c r="D340" s="2" t="s">
        <v>910</v>
      </c>
      <c r="E340" s="2"/>
      <c r="F340" s="2"/>
      <c r="G340" s="50">
        <f aca="true" t="shared" si="22" ref="G340:H345">G341</f>
        <v>6066606.61</v>
      </c>
      <c r="H340" s="50">
        <f t="shared" si="22"/>
        <v>6066606.6</v>
      </c>
      <c r="I340" s="50">
        <f t="shared" si="21"/>
        <v>100</v>
      </c>
      <c r="J340" s="96"/>
      <c r="K340" s="187"/>
    </row>
    <row r="341" spans="1:9" ht="31.5">
      <c r="A341" s="3" t="s">
        <v>451</v>
      </c>
      <c r="B341" s="6" t="s">
        <v>78</v>
      </c>
      <c r="C341" s="6" t="s">
        <v>643</v>
      </c>
      <c r="D341" s="6" t="s">
        <v>874</v>
      </c>
      <c r="E341" s="6"/>
      <c r="F341" s="6"/>
      <c r="G341" s="46">
        <f t="shared" si="22"/>
        <v>6066606.61</v>
      </c>
      <c r="H341" s="46">
        <f t="shared" si="22"/>
        <v>6066606.6</v>
      </c>
      <c r="I341" s="46">
        <f t="shared" si="21"/>
        <v>100</v>
      </c>
    </row>
    <row r="342" spans="1:9" ht="47.25">
      <c r="A342" s="5" t="s">
        <v>922</v>
      </c>
      <c r="B342" s="6" t="s">
        <v>78</v>
      </c>
      <c r="C342" s="6" t="s">
        <v>643</v>
      </c>
      <c r="D342" s="6" t="s">
        <v>874</v>
      </c>
      <c r="E342" s="6" t="s">
        <v>923</v>
      </c>
      <c r="F342" s="6"/>
      <c r="G342" s="46">
        <f t="shared" si="22"/>
        <v>6066606.61</v>
      </c>
      <c r="H342" s="46">
        <f t="shared" si="22"/>
        <v>6066606.6</v>
      </c>
      <c r="I342" s="46">
        <f t="shared" si="21"/>
        <v>100</v>
      </c>
    </row>
    <row r="343" spans="1:9" ht="47.25">
      <c r="A343" s="90" t="s">
        <v>816</v>
      </c>
      <c r="B343" s="91" t="s">
        <v>78</v>
      </c>
      <c r="C343" s="91" t="s">
        <v>643</v>
      </c>
      <c r="D343" s="91" t="s">
        <v>874</v>
      </c>
      <c r="E343" s="91" t="s">
        <v>650</v>
      </c>
      <c r="F343" s="6"/>
      <c r="G343" s="46">
        <f t="shared" si="22"/>
        <v>6066606.61</v>
      </c>
      <c r="H343" s="46">
        <f t="shared" si="22"/>
        <v>6066606.6</v>
      </c>
      <c r="I343" s="46">
        <f t="shared" si="21"/>
        <v>100</v>
      </c>
    </row>
    <row r="344" spans="1:9" ht="110.25">
      <c r="A344" s="3" t="s">
        <v>471</v>
      </c>
      <c r="B344" s="6" t="s">
        <v>78</v>
      </c>
      <c r="C344" s="6" t="s">
        <v>643</v>
      </c>
      <c r="D344" s="6" t="s">
        <v>874</v>
      </c>
      <c r="E344" s="6" t="s">
        <v>827</v>
      </c>
      <c r="F344" s="6"/>
      <c r="G344" s="46">
        <f t="shared" si="22"/>
        <v>6066606.61</v>
      </c>
      <c r="H344" s="46">
        <f t="shared" si="22"/>
        <v>6066606.6</v>
      </c>
      <c r="I344" s="46">
        <f t="shared" si="21"/>
        <v>100</v>
      </c>
    </row>
    <row r="345" spans="1:9" ht="31.5">
      <c r="A345" s="122" t="s">
        <v>557</v>
      </c>
      <c r="B345" s="6" t="s">
        <v>78</v>
      </c>
      <c r="C345" s="6" t="s">
        <v>643</v>
      </c>
      <c r="D345" s="6" t="s">
        <v>874</v>
      </c>
      <c r="E345" s="6" t="s">
        <v>827</v>
      </c>
      <c r="F345" s="6" t="s">
        <v>683</v>
      </c>
      <c r="G345" s="46">
        <f t="shared" si="22"/>
        <v>6066606.61</v>
      </c>
      <c r="H345" s="46">
        <f t="shared" si="22"/>
        <v>6066606.6</v>
      </c>
      <c r="I345" s="46">
        <f t="shared" si="21"/>
        <v>100</v>
      </c>
    </row>
    <row r="346" spans="1:9" ht="94.5">
      <c r="A346" s="30" t="s">
        <v>594</v>
      </c>
      <c r="B346" s="6" t="s">
        <v>78</v>
      </c>
      <c r="C346" s="6" t="s">
        <v>643</v>
      </c>
      <c r="D346" s="6" t="s">
        <v>874</v>
      </c>
      <c r="E346" s="6" t="s">
        <v>827</v>
      </c>
      <c r="F346" s="6" t="s">
        <v>684</v>
      </c>
      <c r="G346" s="46">
        <f>3000000+3925000-858393.39</f>
        <v>6066606.61</v>
      </c>
      <c r="H346" s="46">
        <v>6066606.6</v>
      </c>
      <c r="I346" s="46">
        <f t="shared" si="21"/>
        <v>100</v>
      </c>
    </row>
    <row r="347" spans="1:9" ht="112.5">
      <c r="A347" s="16" t="s">
        <v>815</v>
      </c>
      <c r="B347" s="17" t="s">
        <v>79</v>
      </c>
      <c r="C347" s="17"/>
      <c r="D347" s="17"/>
      <c r="E347" s="17"/>
      <c r="F347" s="17"/>
      <c r="G347" s="179">
        <f>G348+G445+G487+G702+G656+G426+G637+G687</f>
        <v>561411656.31</v>
      </c>
      <c r="H347" s="179">
        <f>H348+H445+H487+H702+H656+H426+H637+H687</f>
        <v>411035114.01000005</v>
      </c>
      <c r="I347" s="179">
        <f t="shared" si="21"/>
        <v>73.21</v>
      </c>
    </row>
    <row r="348" spans="1:9" ht="31.5">
      <c r="A348" s="39" t="s">
        <v>890</v>
      </c>
      <c r="B348" s="10" t="s">
        <v>79</v>
      </c>
      <c r="C348" s="10" t="s">
        <v>869</v>
      </c>
      <c r="D348" s="10"/>
      <c r="E348" s="18"/>
      <c r="F348" s="18"/>
      <c r="G348" s="54">
        <f>G349+G368</f>
        <v>35915825.65</v>
      </c>
      <c r="H348" s="54">
        <f>H349+H368</f>
        <v>35379020.51</v>
      </c>
      <c r="I348" s="54">
        <f t="shared" si="21"/>
        <v>98.51</v>
      </c>
    </row>
    <row r="349" spans="1:9" ht="126">
      <c r="A349" s="1" t="s">
        <v>640</v>
      </c>
      <c r="B349" s="10" t="s">
        <v>79</v>
      </c>
      <c r="C349" s="10" t="s">
        <v>869</v>
      </c>
      <c r="D349" s="10" t="s">
        <v>879</v>
      </c>
      <c r="E349" s="10"/>
      <c r="F349" s="10"/>
      <c r="G349" s="54">
        <f>G350</f>
        <v>11305288.559999999</v>
      </c>
      <c r="H349" s="54">
        <f>H350</f>
        <v>11286125.559999999</v>
      </c>
      <c r="I349" s="54">
        <f t="shared" si="21"/>
        <v>99.83</v>
      </c>
    </row>
    <row r="350" spans="1:9" ht="110.25">
      <c r="A350" s="44" t="s">
        <v>636</v>
      </c>
      <c r="B350" s="6" t="s">
        <v>79</v>
      </c>
      <c r="C350" s="6" t="s">
        <v>869</v>
      </c>
      <c r="D350" s="6" t="s">
        <v>879</v>
      </c>
      <c r="E350" s="6" t="s">
        <v>637</v>
      </c>
      <c r="F350" s="6"/>
      <c r="G350" s="46">
        <f>G351</f>
        <v>11305288.559999999</v>
      </c>
      <c r="H350" s="46">
        <f>H351</f>
        <v>11286125.559999999</v>
      </c>
      <c r="I350" s="46">
        <f t="shared" si="21"/>
        <v>99.83</v>
      </c>
    </row>
    <row r="351" spans="1:9" ht="15.75">
      <c r="A351" s="44" t="s">
        <v>907</v>
      </c>
      <c r="B351" s="6" t="s">
        <v>79</v>
      </c>
      <c r="C351" s="6" t="s">
        <v>869</v>
      </c>
      <c r="D351" s="6" t="s">
        <v>879</v>
      </c>
      <c r="E351" s="6" t="s">
        <v>638</v>
      </c>
      <c r="F351" s="6"/>
      <c r="G351" s="46">
        <f>G352+G364</f>
        <v>11305288.559999999</v>
      </c>
      <c r="H351" s="46">
        <f>H352+H364</f>
        <v>11286125.559999999</v>
      </c>
      <c r="I351" s="46">
        <f t="shared" si="21"/>
        <v>99.83</v>
      </c>
    </row>
    <row r="352" spans="1:9" ht="47.25">
      <c r="A352" s="44" t="s">
        <v>642</v>
      </c>
      <c r="B352" s="6" t="s">
        <v>79</v>
      </c>
      <c r="C352" s="6" t="s">
        <v>869</v>
      </c>
      <c r="D352" s="6" t="s">
        <v>879</v>
      </c>
      <c r="E352" s="6" t="s">
        <v>639</v>
      </c>
      <c r="F352" s="6"/>
      <c r="G352" s="46">
        <f>G353+G357+G361</f>
        <v>10752368.11</v>
      </c>
      <c r="H352" s="46">
        <f>H353+H357+H361</f>
        <v>10733205.11</v>
      </c>
      <c r="I352" s="46">
        <f t="shared" si="21"/>
        <v>99.82</v>
      </c>
    </row>
    <row r="353" spans="1:9" ht="157.5">
      <c r="A353" s="44" t="s">
        <v>663</v>
      </c>
      <c r="B353" s="6" t="s">
        <v>79</v>
      </c>
      <c r="C353" s="6" t="s">
        <v>869</v>
      </c>
      <c r="D353" s="6" t="s">
        <v>879</v>
      </c>
      <c r="E353" s="6" t="s">
        <v>639</v>
      </c>
      <c r="F353" s="6" t="s">
        <v>664</v>
      </c>
      <c r="G353" s="46">
        <f>G354</f>
        <v>10360489.9</v>
      </c>
      <c r="H353" s="46">
        <f>H354</f>
        <v>10360489.9</v>
      </c>
      <c r="I353" s="46">
        <f t="shared" si="21"/>
        <v>100</v>
      </c>
    </row>
    <row r="354" spans="1:9" ht="47.25">
      <c r="A354" s="44" t="s">
        <v>667</v>
      </c>
      <c r="B354" s="6" t="s">
        <v>79</v>
      </c>
      <c r="C354" s="6" t="s">
        <v>869</v>
      </c>
      <c r="D354" s="6" t="s">
        <v>879</v>
      </c>
      <c r="E354" s="6" t="s">
        <v>639</v>
      </c>
      <c r="F354" s="6" t="s">
        <v>668</v>
      </c>
      <c r="G354" s="46">
        <f>G355+G356</f>
        <v>10360489.9</v>
      </c>
      <c r="H354" s="46">
        <f>H355+H356</f>
        <v>10360489.9</v>
      </c>
      <c r="I354" s="46">
        <f t="shared" si="21"/>
        <v>100</v>
      </c>
    </row>
    <row r="355" spans="1:9" ht="31.5">
      <c r="A355" s="44" t="s">
        <v>669</v>
      </c>
      <c r="B355" s="6" t="s">
        <v>79</v>
      </c>
      <c r="C355" s="6" t="s">
        <v>869</v>
      </c>
      <c r="D355" s="6" t="s">
        <v>879</v>
      </c>
      <c r="E355" s="6" t="s">
        <v>639</v>
      </c>
      <c r="F355" s="6" t="s">
        <v>670</v>
      </c>
      <c r="G355" s="46">
        <f>9330560+425959-500+183682-38130-4727.81-195272.03-58972.15+195272.03+19727.97-374173.67-19000+298676.42-54643+160800+250000</f>
        <v>10119258.76</v>
      </c>
      <c r="H355" s="46">
        <v>10119258.76</v>
      </c>
      <c r="I355" s="46">
        <f t="shared" si="21"/>
        <v>100</v>
      </c>
    </row>
    <row r="356" spans="1:9" ht="47.25">
      <c r="A356" s="44" t="s">
        <v>671</v>
      </c>
      <c r="B356" s="6" t="s">
        <v>79</v>
      </c>
      <c r="C356" s="6" t="s">
        <v>869</v>
      </c>
      <c r="D356" s="6" t="s">
        <v>879</v>
      </c>
      <c r="E356" s="6" t="s">
        <v>639</v>
      </c>
      <c r="F356" s="6" t="s">
        <v>672</v>
      </c>
      <c r="G356" s="46">
        <f>137600+80448+19830+14305.2-16894.11-7823+19940.91-4000-495.86-1680</f>
        <v>241231.14000000004</v>
      </c>
      <c r="H356" s="46">
        <v>241231.14</v>
      </c>
      <c r="I356" s="46">
        <f t="shared" si="21"/>
        <v>100</v>
      </c>
    </row>
    <row r="357" spans="1:9" ht="47.25">
      <c r="A357" s="44" t="s">
        <v>673</v>
      </c>
      <c r="B357" s="6" t="s">
        <v>79</v>
      </c>
      <c r="C357" s="6" t="s">
        <v>869</v>
      </c>
      <c r="D357" s="6" t="s">
        <v>879</v>
      </c>
      <c r="E357" s="6" t="s">
        <v>639</v>
      </c>
      <c r="F357" s="6" t="s">
        <v>674</v>
      </c>
      <c r="G357" s="46">
        <f>G358</f>
        <v>390378.20999999996</v>
      </c>
      <c r="H357" s="46">
        <f>H358</f>
        <v>371215.20999999996</v>
      </c>
      <c r="I357" s="46">
        <f t="shared" si="21"/>
        <v>95.09</v>
      </c>
    </row>
    <row r="358" spans="1:9" ht="47.25">
      <c r="A358" s="44" t="s">
        <v>675</v>
      </c>
      <c r="B358" s="6" t="s">
        <v>79</v>
      </c>
      <c r="C358" s="6" t="s">
        <v>869</v>
      </c>
      <c r="D358" s="6" t="s">
        <v>879</v>
      </c>
      <c r="E358" s="6" t="s">
        <v>639</v>
      </c>
      <c r="F358" s="6" t="s">
        <v>676</v>
      </c>
      <c r="G358" s="46">
        <f>G359+G360</f>
        <v>390378.20999999996</v>
      </c>
      <c r="H358" s="46">
        <f>H359+H360</f>
        <v>371215.20999999996</v>
      </c>
      <c r="I358" s="46">
        <f t="shared" si="21"/>
        <v>95.09</v>
      </c>
    </row>
    <row r="359" spans="1:9" ht="78.75">
      <c r="A359" s="3" t="s">
        <v>679</v>
      </c>
      <c r="B359" s="6" t="s">
        <v>79</v>
      </c>
      <c r="C359" s="6" t="s">
        <v>869</v>
      </c>
      <c r="D359" s="6" t="s">
        <v>879</v>
      </c>
      <c r="E359" s="6" t="s">
        <v>639</v>
      </c>
      <c r="F359" s="6" t="s">
        <v>680</v>
      </c>
      <c r="G359" s="46">
        <f>167000-15700</f>
        <v>151300</v>
      </c>
      <c r="H359" s="46">
        <v>151300</v>
      </c>
      <c r="I359" s="46">
        <f t="shared" si="21"/>
        <v>100</v>
      </c>
    </row>
    <row r="360" spans="1:9" ht="47.25">
      <c r="A360" s="44" t="s">
        <v>677</v>
      </c>
      <c r="B360" s="6" t="s">
        <v>79</v>
      </c>
      <c r="C360" s="6" t="s">
        <v>869</v>
      </c>
      <c r="D360" s="6" t="s">
        <v>879</v>
      </c>
      <c r="E360" s="6" t="s">
        <v>639</v>
      </c>
      <c r="F360" s="6" t="s">
        <v>678</v>
      </c>
      <c r="G360" s="46">
        <f>196830-80448-19830+38130-14305.2+4727.81+75497.4+43717.11-1000-4240.91</f>
        <v>239078.21</v>
      </c>
      <c r="H360" s="46">
        <v>219915.21</v>
      </c>
      <c r="I360" s="46">
        <f t="shared" si="21"/>
        <v>91.98</v>
      </c>
    </row>
    <row r="361" spans="1:9" ht="31.5">
      <c r="A361" s="90" t="s">
        <v>557</v>
      </c>
      <c r="B361" s="6" t="s">
        <v>79</v>
      </c>
      <c r="C361" s="6" t="s">
        <v>869</v>
      </c>
      <c r="D361" s="6" t="s">
        <v>879</v>
      </c>
      <c r="E361" s="6" t="s">
        <v>639</v>
      </c>
      <c r="F361" s="91" t="s">
        <v>683</v>
      </c>
      <c r="G361" s="46">
        <f>G362</f>
        <v>1500</v>
      </c>
      <c r="H361" s="46">
        <f>H362</f>
        <v>1500</v>
      </c>
      <c r="I361" s="46">
        <f t="shared" si="21"/>
        <v>100</v>
      </c>
    </row>
    <row r="362" spans="1:9" ht="78.75">
      <c r="A362" s="90" t="s">
        <v>729</v>
      </c>
      <c r="B362" s="6" t="s">
        <v>79</v>
      </c>
      <c r="C362" s="6" t="s">
        <v>869</v>
      </c>
      <c r="D362" s="6" t="s">
        <v>879</v>
      </c>
      <c r="E362" s="6" t="s">
        <v>639</v>
      </c>
      <c r="F362" s="91" t="s">
        <v>730</v>
      </c>
      <c r="G362" s="46">
        <f>G363</f>
        <v>1500</v>
      </c>
      <c r="H362" s="46">
        <f>H363</f>
        <v>1500</v>
      </c>
      <c r="I362" s="46">
        <f t="shared" si="21"/>
        <v>100</v>
      </c>
    </row>
    <row r="363" spans="1:9" ht="47.25">
      <c r="A363" s="90" t="s">
        <v>731</v>
      </c>
      <c r="B363" s="6" t="s">
        <v>79</v>
      </c>
      <c r="C363" s="6" t="s">
        <v>869</v>
      </c>
      <c r="D363" s="6" t="s">
        <v>879</v>
      </c>
      <c r="E363" s="6" t="s">
        <v>639</v>
      </c>
      <c r="F363" s="91" t="s">
        <v>732</v>
      </c>
      <c r="G363" s="46">
        <f>500+1000</f>
        <v>1500</v>
      </c>
      <c r="H363" s="46">
        <v>1500</v>
      </c>
      <c r="I363" s="46">
        <f t="shared" si="21"/>
        <v>100</v>
      </c>
    </row>
    <row r="364" spans="1:9" ht="179.25" customHeight="1">
      <c r="A364" s="44" t="s">
        <v>601</v>
      </c>
      <c r="B364" s="6" t="s">
        <v>79</v>
      </c>
      <c r="C364" s="6" t="s">
        <v>869</v>
      </c>
      <c r="D364" s="6" t="s">
        <v>879</v>
      </c>
      <c r="E364" s="6" t="s">
        <v>468</v>
      </c>
      <c r="F364" s="6"/>
      <c r="G364" s="46">
        <f aca="true" t="shared" si="23" ref="G364:H366">G365</f>
        <v>552920.45</v>
      </c>
      <c r="H364" s="46">
        <f t="shared" si="23"/>
        <v>552920.45</v>
      </c>
      <c r="I364" s="46">
        <f t="shared" si="21"/>
        <v>100</v>
      </c>
    </row>
    <row r="365" spans="1:9" ht="157.5">
      <c r="A365" s="44" t="s">
        <v>663</v>
      </c>
      <c r="B365" s="6" t="s">
        <v>79</v>
      </c>
      <c r="C365" s="6" t="s">
        <v>869</v>
      </c>
      <c r="D365" s="6" t="s">
        <v>879</v>
      </c>
      <c r="E365" s="6" t="s">
        <v>468</v>
      </c>
      <c r="F365" s="6" t="s">
        <v>664</v>
      </c>
      <c r="G365" s="46">
        <f t="shared" si="23"/>
        <v>552920.45</v>
      </c>
      <c r="H365" s="46">
        <f t="shared" si="23"/>
        <v>552920.45</v>
      </c>
      <c r="I365" s="46">
        <f t="shared" si="21"/>
        <v>100</v>
      </c>
    </row>
    <row r="366" spans="1:9" ht="47.25">
      <c r="A366" s="44" t="s">
        <v>667</v>
      </c>
      <c r="B366" s="6" t="s">
        <v>79</v>
      </c>
      <c r="C366" s="6" t="s">
        <v>869</v>
      </c>
      <c r="D366" s="6" t="s">
        <v>879</v>
      </c>
      <c r="E366" s="6" t="s">
        <v>468</v>
      </c>
      <c r="F366" s="6" t="s">
        <v>668</v>
      </c>
      <c r="G366" s="46">
        <f t="shared" si="23"/>
        <v>552920.45</v>
      </c>
      <c r="H366" s="46">
        <f t="shared" si="23"/>
        <v>552920.45</v>
      </c>
      <c r="I366" s="46">
        <f t="shared" si="21"/>
        <v>100</v>
      </c>
    </row>
    <row r="367" spans="1:9" ht="42" customHeight="1">
      <c r="A367" s="3" t="s">
        <v>669</v>
      </c>
      <c r="B367" s="6" t="s">
        <v>79</v>
      </c>
      <c r="C367" s="6" t="s">
        <v>869</v>
      </c>
      <c r="D367" s="60" t="s">
        <v>879</v>
      </c>
      <c r="E367" s="6" t="s">
        <v>468</v>
      </c>
      <c r="F367" s="4" t="s">
        <v>670</v>
      </c>
      <c r="G367" s="46">
        <f>195272.03+58972.15+298676.27</f>
        <v>552920.45</v>
      </c>
      <c r="H367" s="46">
        <v>552920.45</v>
      </c>
      <c r="I367" s="46">
        <f t="shared" si="21"/>
        <v>100</v>
      </c>
    </row>
    <row r="368" spans="1:9" ht="47.25">
      <c r="A368" s="20" t="s">
        <v>906</v>
      </c>
      <c r="B368" s="7" t="s">
        <v>79</v>
      </c>
      <c r="C368" s="7" t="s">
        <v>869</v>
      </c>
      <c r="D368" s="7" t="s">
        <v>659</v>
      </c>
      <c r="E368" s="7"/>
      <c r="F368" s="7"/>
      <c r="G368" s="45">
        <f>G369+G391+G381</f>
        <v>24610537.09</v>
      </c>
      <c r="H368" s="45">
        <f>H369+H391+H381</f>
        <v>24092894.95</v>
      </c>
      <c r="I368" s="45">
        <f t="shared" si="21"/>
        <v>97.9</v>
      </c>
    </row>
    <row r="369" spans="1:9" ht="126">
      <c r="A369" s="1" t="s">
        <v>651</v>
      </c>
      <c r="B369" s="2" t="s">
        <v>79</v>
      </c>
      <c r="C369" s="2" t="s">
        <v>869</v>
      </c>
      <c r="D369" s="2" t="s">
        <v>659</v>
      </c>
      <c r="E369" s="2" t="s">
        <v>652</v>
      </c>
      <c r="F369" s="2"/>
      <c r="G369" s="50">
        <f>G370+G374</f>
        <v>1495046.02</v>
      </c>
      <c r="H369" s="50">
        <f>H370+H374</f>
        <v>1478363.22</v>
      </c>
      <c r="I369" s="50">
        <f t="shared" si="21"/>
        <v>98.88</v>
      </c>
    </row>
    <row r="370" spans="1:9" ht="94.5">
      <c r="A370" s="3" t="s">
        <v>866</v>
      </c>
      <c r="B370" s="6" t="s">
        <v>79</v>
      </c>
      <c r="C370" s="6" t="s">
        <v>869</v>
      </c>
      <c r="D370" s="6" t="s">
        <v>659</v>
      </c>
      <c r="E370" s="6" t="s">
        <v>867</v>
      </c>
      <c r="F370" s="6"/>
      <c r="G370" s="46">
        <f aca="true" t="shared" si="24" ref="G370:H372">G371</f>
        <v>550428.4299999999</v>
      </c>
      <c r="H370" s="46">
        <f t="shared" si="24"/>
        <v>533745.63</v>
      </c>
      <c r="I370" s="46">
        <f t="shared" si="21"/>
        <v>96.97</v>
      </c>
    </row>
    <row r="371" spans="1:9" ht="47.25">
      <c r="A371" s="3" t="s">
        <v>673</v>
      </c>
      <c r="B371" s="6" t="s">
        <v>79</v>
      </c>
      <c r="C371" s="6" t="s">
        <v>869</v>
      </c>
      <c r="D371" s="6" t="s">
        <v>659</v>
      </c>
      <c r="E371" s="6" t="s">
        <v>867</v>
      </c>
      <c r="F371" s="6" t="s">
        <v>674</v>
      </c>
      <c r="G371" s="46">
        <f t="shared" si="24"/>
        <v>550428.4299999999</v>
      </c>
      <c r="H371" s="46">
        <f t="shared" si="24"/>
        <v>533745.63</v>
      </c>
      <c r="I371" s="46">
        <f t="shared" si="21"/>
        <v>96.97</v>
      </c>
    </row>
    <row r="372" spans="1:9" ht="47.25">
      <c r="A372" s="3" t="s">
        <v>675</v>
      </c>
      <c r="B372" s="6" t="s">
        <v>79</v>
      </c>
      <c r="C372" s="6" t="s">
        <v>869</v>
      </c>
      <c r="D372" s="6" t="s">
        <v>659</v>
      </c>
      <c r="E372" s="6" t="s">
        <v>867</v>
      </c>
      <c r="F372" s="6" t="s">
        <v>676</v>
      </c>
      <c r="G372" s="46">
        <f t="shared" si="24"/>
        <v>550428.4299999999</v>
      </c>
      <c r="H372" s="46">
        <f t="shared" si="24"/>
        <v>533745.63</v>
      </c>
      <c r="I372" s="46">
        <f t="shared" si="21"/>
        <v>96.97</v>
      </c>
    </row>
    <row r="373" spans="1:9" ht="47.25">
      <c r="A373" s="3" t="s">
        <v>677</v>
      </c>
      <c r="B373" s="6" t="s">
        <v>79</v>
      </c>
      <c r="C373" s="6" t="s">
        <v>869</v>
      </c>
      <c r="D373" s="6" t="s">
        <v>659</v>
      </c>
      <c r="E373" s="6" t="s">
        <v>867</v>
      </c>
      <c r="F373" s="6" t="s">
        <v>678</v>
      </c>
      <c r="G373" s="46">
        <f>368540+300000-118111.57</f>
        <v>550428.4299999999</v>
      </c>
      <c r="H373" s="46">
        <v>533745.63</v>
      </c>
      <c r="I373" s="46">
        <f t="shared" si="21"/>
        <v>96.97</v>
      </c>
    </row>
    <row r="374" spans="1:9" ht="47.25">
      <c r="A374" s="3" t="s">
        <v>934</v>
      </c>
      <c r="B374" s="6" t="s">
        <v>79</v>
      </c>
      <c r="C374" s="6" t="s">
        <v>869</v>
      </c>
      <c r="D374" s="6" t="s">
        <v>659</v>
      </c>
      <c r="E374" s="6" t="s">
        <v>935</v>
      </c>
      <c r="F374" s="6"/>
      <c r="G374" s="46">
        <f>G375+G378</f>
        <v>944617.59</v>
      </c>
      <c r="H374" s="46">
        <f>H375+H378</f>
        <v>944617.59</v>
      </c>
      <c r="I374" s="46">
        <f t="shared" si="21"/>
        <v>100</v>
      </c>
    </row>
    <row r="375" spans="1:9" ht="15.75">
      <c r="A375" s="122" t="s">
        <v>940</v>
      </c>
      <c r="B375" s="6" t="s">
        <v>79</v>
      </c>
      <c r="C375" s="6" t="s">
        <v>869</v>
      </c>
      <c r="D375" s="6" t="s">
        <v>659</v>
      </c>
      <c r="E375" s="6" t="s">
        <v>935</v>
      </c>
      <c r="F375" s="6" t="s">
        <v>31</v>
      </c>
      <c r="G375" s="46">
        <f>G376</f>
        <v>357070.73</v>
      </c>
      <c r="H375" s="46">
        <f>H376</f>
        <v>357070.73</v>
      </c>
      <c r="I375" s="46">
        <f t="shared" si="21"/>
        <v>100</v>
      </c>
    </row>
    <row r="376" spans="1:9" ht="94.5">
      <c r="A376" s="5" t="s">
        <v>32</v>
      </c>
      <c r="B376" s="6" t="s">
        <v>79</v>
      </c>
      <c r="C376" s="6" t="s">
        <v>869</v>
      </c>
      <c r="D376" s="6" t="s">
        <v>659</v>
      </c>
      <c r="E376" s="6" t="s">
        <v>935</v>
      </c>
      <c r="F376" s="6" t="s">
        <v>33</v>
      </c>
      <c r="G376" s="46">
        <f>G377</f>
        <v>357070.73</v>
      </c>
      <c r="H376" s="46">
        <f>H377</f>
        <v>357070.73</v>
      </c>
      <c r="I376" s="46">
        <f t="shared" si="21"/>
        <v>100</v>
      </c>
    </row>
    <row r="377" spans="1:9" ht="94.5">
      <c r="A377" s="5" t="s">
        <v>34</v>
      </c>
      <c r="B377" s="6" t="s">
        <v>79</v>
      </c>
      <c r="C377" s="6" t="s">
        <v>869</v>
      </c>
      <c r="D377" s="6" t="s">
        <v>659</v>
      </c>
      <c r="E377" s="6" t="s">
        <v>935</v>
      </c>
      <c r="F377" s="6" t="s">
        <v>35</v>
      </c>
      <c r="G377" s="46">
        <v>357070.73</v>
      </c>
      <c r="H377" s="46">
        <v>357070.73</v>
      </c>
      <c r="I377" s="46">
        <f t="shared" si="21"/>
        <v>100</v>
      </c>
    </row>
    <row r="378" spans="1:9" ht="31.5">
      <c r="A378" s="90" t="s">
        <v>557</v>
      </c>
      <c r="B378" s="6" t="s">
        <v>79</v>
      </c>
      <c r="C378" s="6" t="s">
        <v>869</v>
      </c>
      <c r="D378" s="6" t="s">
        <v>659</v>
      </c>
      <c r="E378" s="6" t="s">
        <v>935</v>
      </c>
      <c r="F378" s="91" t="s">
        <v>683</v>
      </c>
      <c r="G378" s="46">
        <f>G379</f>
        <v>587546.86</v>
      </c>
      <c r="H378" s="46">
        <f>H379</f>
        <v>587546.86</v>
      </c>
      <c r="I378" s="46">
        <f t="shared" si="21"/>
        <v>100</v>
      </c>
    </row>
    <row r="379" spans="1:9" ht="27" customHeight="1">
      <c r="A379" s="90" t="s">
        <v>602</v>
      </c>
      <c r="B379" s="6" t="s">
        <v>79</v>
      </c>
      <c r="C379" s="6" t="s">
        <v>869</v>
      </c>
      <c r="D379" s="6" t="s">
        <v>659</v>
      </c>
      <c r="E379" s="6" t="s">
        <v>935</v>
      </c>
      <c r="F379" s="91" t="s">
        <v>603</v>
      </c>
      <c r="G379" s="46">
        <f>G380</f>
        <v>587546.86</v>
      </c>
      <c r="H379" s="46">
        <f>H380</f>
        <v>587546.86</v>
      </c>
      <c r="I379" s="46">
        <f t="shared" si="21"/>
        <v>100</v>
      </c>
    </row>
    <row r="380" spans="1:9" ht="252">
      <c r="A380" s="90" t="s">
        <v>605</v>
      </c>
      <c r="B380" s="6" t="s">
        <v>79</v>
      </c>
      <c r="C380" s="6" t="s">
        <v>869</v>
      </c>
      <c r="D380" s="6" t="s">
        <v>659</v>
      </c>
      <c r="E380" s="6" t="s">
        <v>935</v>
      </c>
      <c r="F380" s="91" t="s">
        <v>606</v>
      </c>
      <c r="G380" s="46">
        <v>587546.86</v>
      </c>
      <c r="H380" s="46">
        <v>587546.86</v>
      </c>
      <c r="I380" s="46">
        <f t="shared" si="21"/>
        <v>100</v>
      </c>
    </row>
    <row r="381" spans="1:9" ht="31.5">
      <c r="A381" s="1" t="s">
        <v>554</v>
      </c>
      <c r="B381" s="2" t="s">
        <v>79</v>
      </c>
      <c r="C381" s="2" t="s">
        <v>869</v>
      </c>
      <c r="D381" s="2" t="s">
        <v>659</v>
      </c>
      <c r="E381" s="2" t="s">
        <v>932</v>
      </c>
      <c r="F381" s="133"/>
      <c r="G381" s="50">
        <f>G382</f>
        <v>130000</v>
      </c>
      <c r="H381" s="50">
        <f>H382</f>
        <v>128270</v>
      </c>
      <c r="I381" s="50">
        <f t="shared" si="21"/>
        <v>98.67</v>
      </c>
    </row>
    <row r="382" spans="1:9" ht="141.75">
      <c r="A382" s="90" t="s">
        <v>846</v>
      </c>
      <c r="B382" s="6" t="s">
        <v>79</v>
      </c>
      <c r="C382" s="6" t="s">
        <v>869</v>
      </c>
      <c r="D382" s="6" t="s">
        <v>659</v>
      </c>
      <c r="E382" s="6" t="s">
        <v>847</v>
      </c>
      <c r="F382" s="91"/>
      <c r="G382" s="46">
        <f>G383</f>
        <v>130000</v>
      </c>
      <c r="H382" s="46">
        <f>H383</f>
        <v>128270</v>
      </c>
      <c r="I382" s="46">
        <f t="shared" si="21"/>
        <v>98.67</v>
      </c>
    </row>
    <row r="383" spans="1:9" ht="110.25">
      <c r="A383" s="90" t="s">
        <v>92</v>
      </c>
      <c r="B383" s="6" t="s">
        <v>79</v>
      </c>
      <c r="C383" s="6" t="s">
        <v>869</v>
      </c>
      <c r="D383" s="6" t="s">
        <v>659</v>
      </c>
      <c r="E383" s="6" t="s">
        <v>93</v>
      </c>
      <c r="F383" s="91"/>
      <c r="G383" s="46">
        <f>G387+G384</f>
        <v>130000</v>
      </c>
      <c r="H383" s="46">
        <f>H387+H384</f>
        <v>128270</v>
      </c>
      <c r="I383" s="46">
        <f t="shared" si="21"/>
        <v>98.67</v>
      </c>
    </row>
    <row r="384" spans="1:9" ht="157.5">
      <c r="A384" s="3" t="s">
        <v>663</v>
      </c>
      <c r="B384" s="6" t="s">
        <v>79</v>
      </c>
      <c r="C384" s="6" t="s">
        <v>869</v>
      </c>
      <c r="D384" s="6" t="s">
        <v>659</v>
      </c>
      <c r="E384" s="6" t="s">
        <v>93</v>
      </c>
      <c r="F384" s="6" t="s">
        <v>664</v>
      </c>
      <c r="G384" s="46">
        <f>G385</f>
        <v>9120</v>
      </c>
      <c r="H384" s="46">
        <f>H385</f>
        <v>8370</v>
      </c>
      <c r="I384" s="46">
        <f t="shared" si="21"/>
        <v>91.78</v>
      </c>
    </row>
    <row r="385" spans="1:9" ht="47.25">
      <c r="A385" s="3" t="s">
        <v>725</v>
      </c>
      <c r="B385" s="6" t="s">
        <v>79</v>
      </c>
      <c r="C385" s="6" t="s">
        <v>869</v>
      </c>
      <c r="D385" s="6" t="s">
        <v>659</v>
      </c>
      <c r="E385" s="6" t="s">
        <v>93</v>
      </c>
      <c r="F385" s="6" t="s">
        <v>726</v>
      </c>
      <c r="G385" s="46">
        <f>G386</f>
        <v>9120</v>
      </c>
      <c r="H385" s="46">
        <f>H386</f>
        <v>8370</v>
      </c>
      <c r="I385" s="46">
        <f t="shared" si="21"/>
        <v>91.78</v>
      </c>
    </row>
    <row r="386" spans="1:9" ht="47.25">
      <c r="A386" s="3" t="s">
        <v>671</v>
      </c>
      <c r="B386" s="6" t="s">
        <v>79</v>
      </c>
      <c r="C386" s="6" t="s">
        <v>869</v>
      </c>
      <c r="D386" s="6" t="s">
        <v>659</v>
      </c>
      <c r="E386" s="6" t="s">
        <v>93</v>
      </c>
      <c r="F386" s="91" t="s">
        <v>728</v>
      </c>
      <c r="G386" s="46">
        <f>10334-1214</f>
        <v>9120</v>
      </c>
      <c r="H386" s="46">
        <v>8370</v>
      </c>
      <c r="I386" s="46">
        <f t="shared" si="21"/>
        <v>91.78</v>
      </c>
    </row>
    <row r="387" spans="1:9" ht="47.25">
      <c r="A387" s="113" t="s">
        <v>673</v>
      </c>
      <c r="B387" s="6" t="s">
        <v>79</v>
      </c>
      <c r="C387" s="6" t="s">
        <v>869</v>
      </c>
      <c r="D387" s="6" t="s">
        <v>659</v>
      </c>
      <c r="E387" s="6" t="s">
        <v>93</v>
      </c>
      <c r="F387" s="91" t="s">
        <v>674</v>
      </c>
      <c r="G387" s="46">
        <f>G388</f>
        <v>120880</v>
      </c>
      <c r="H387" s="46">
        <f>H388</f>
        <v>119900</v>
      </c>
      <c r="I387" s="46">
        <f t="shared" si="21"/>
        <v>99.19</v>
      </c>
    </row>
    <row r="388" spans="1:9" ht="47.25">
      <c r="A388" s="113" t="s">
        <v>675</v>
      </c>
      <c r="B388" s="6" t="s">
        <v>79</v>
      </c>
      <c r="C388" s="6" t="s">
        <v>869</v>
      </c>
      <c r="D388" s="6" t="s">
        <v>659</v>
      </c>
      <c r="E388" s="6" t="s">
        <v>93</v>
      </c>
      <c r="F388" s="91" t="s">
        <v>676</v>
      </c>
      <c r="G388" s="46">
        <f>G389+G390</f>
        <v>120880</v>
      </c>
      <c r="H388" s="46">
        <f>H389+H390</f>
        <v>119900</v>
      </c>
      <c r="I388" s="46">
        <f t="shared" si="21"/>
        <v>99.19</v>
      </c>
    </row>
    <row r="389" spans="1:9" ht="78.75">
      <c r="A389" s="113" t="s">
        <v>679</v>
      </c>
      <c r="B389" s="6" t="s">
        <v>79</v>
      </c>
      <c r="C389" s="6" t="s">
        <v>869</v>
      </c>
      <c r="D389" s="6" t="s">
        <v>659</v>
      </c>
      <c r="E389" s="6" t="s">
        <v>93</v>
      </c>
      <c r="F389" s="91" t="s">
        <v>680</v>
      </c>
      <c r="G389" s="46">
        <f>17000+17000</f>
        <v>34000</v>
      </c>
      <c r="H389" s="46">
        <v>34000</v>
      </c>
      <c r="I389" s="46">
        <f t="shared" si="21"/>
        <v>100</v>
      </c>
    </row>
    <row r="390" spans="1:9" ht="47.25">
      <c r="A390" s="5" t="s">
        <v>677</v>
      </c>
      <c r="B390" s="6" t="s">
        <v>79</v>
      </c>
      <c r="C390" s="6" t="s">
        <v>869</v>
      </c>
      <c r="D390" s="6" t="s">
        <v>659</v>
      </c>
      <c r="E390" s="6" t="s">
        <v>93</v>
      </c>
      <c r="F390" s="91" t="s">
        <v>678</v>
      </c>
      <c r="G390" s="46">
        <f>96000-10334+1214</f>
        <v>86880</v>
      </c>
      <c r="H390" s="46">
        <v>85900</v>
      </c>
      <c r="I390" s="46">
        <f t="shared" si="21"/>
        <v>98.87</v>
      </c>
    </row>
    <row r="391" spans="1:9" ht="47.25">
      <c r="A391" s="1" t="s">
        <v>922</v>
      </c>
      <c r="B391" s="2" t="s">
        <v>79</v>
      </c>
      <c r="C391" s="2" t="s">
        <v>869</v>
      </c>
      <c r="D391" s="2" t="s">
        <v>659</v>
      </c>
      <c r="E391" s="2" t="s">
        <v>923</v>
      </c>
      <c r="F391" s="2"/>
      <c r="G391" s="50">
        <f>G392+G416</f>
        <v>22985491.07</v>
      </c>
      <c r="H391" s="50">
        <f>H392+H416</f>
        <v>22486261.73</v>
      </c>
      <c r="I391" s="50">
        <f t="shared" si="21"/>
        <v>97.83</v>
      </c>
    </row>
    <row r="392" spans="1:9" ht="47.25">
      <c r="A392" s="90" t="s">
        <v>824</v>
      </c>
      <c r="B392" s="91" t="s">
        <v>79</v>
      </c>
      <c r="C392" s="91" t="s">
        <v>869</v>
      </c>
      <c r="D392" s="91" t="s">
        <v>659</v>
      </c>
      <c r="E392" s="91" t="s">
        <v>795</v>
      </c>
      <c r="F392" s="6"/>
      <c r="G392" s="46">
        <f>G411+G393+G405+G397+G401</f>
        <v>4469397.07</v>
      </c>
      <c r="H392" s="46">
        <f>H411+H393+H405+H397+H401</f>
        <v>3970167.73</v>
      </c>
      <c r="I392" s="46">
        <f aca="true" t="shared" si="25" ref="I392:I455">ROUND(H392/G392*100,2)</f>
        <v>88.83</v>
      </c>
    </row>
    <row r="393" spans="1:9" ht="110.25">
      <c r="A393" s="90" t="s">
        <v>767</v>
      </c>
      <c r="B393" s="91" t="s">
        <v>79</v>
      </c>
      <c r="C393" s="91" t="s">
        <v>869</v>
      </c>
      <c r="D393" s="91" t="s">
        <v>659</v>
      </c>
      <c r="E393" s="91" t="s">
        <v>769</v>
      </c>
      <c r="F393" s="6"/>
      <c r="G393" s="46">
        <f aca="true" t="shared" si="26" ref="G393:H395">G394</f>
        <v>1201143.22</v>
      </c>
      <c r="H393" s="46">
        <f t="shared" si="26"/>
        <v>1198141.56</v>
      </c>
      <c r="I393" s="46">
        <f t="shared" si="25"/>
        <v>99.75</v>
      </c>
    </row>
    <row r="394" spans="1:9" ht="47.25">
      <c r="A394" s="3" t="s">
        <v>673</v>
      </c>
      <c r="B394" s="91" t="s">
        <v>79</v>
      </c>
      <c r="C394" s="91" t="s">
        <v>869</v>
      </c>
      <c r="D394" s="91" t="s">
        <v>659</v>
      </c>
      <c r="E394" s="91" t="s">
        <v>769</v>
      </c>
      <c r="F394" s="6" t="s">
        <v>674</v>
      </c>
      <c r="G394" s="46">
        <f t="shared" si="26"/>
        <v>1201143.22</v>
      </c>
      <c r="H394" s="46">
        <f t="shared" si="26"/>
        <v>1198141.56</v>
      </c>
      <c r="I394" s="46">
        <f t="shared" si="25"/>
        <v>99.75</v>
      </c>
    </row>
    <row r="395" spans="1:9" ht="47.25">
      <c r="A395" s="3" t="s">
        <v>675</v>
      </c>
      <c r="B395" s="91" t="s">
        <v>79</v>
      </c>
      <c r="C395" s="91" t="s">
        <v>869</v>
      </c>
      <c r="D395" s="91" t="s">
        <v>659</v>
      </c>
      <c r="E395" s="91" t="s">
        <v>769</v>
      </c>
      <c r="F395" s="6" t="s">
        <v>676</v>
      </c>
      <c r="G395" s="46">
        <f t="shared" si="26"/>
        <v>1201143.22</v>
      </c>
      <c r="H395" s="46">
        <f t="shared" si="26"/>
        <v>1198141.56</v>
      </c>
      <c r="I395" s="46">
        <f t="shared" si="25"/>
        <v>99.75</v>
      </c>
    </row>
    <row r="396" spans="1:9" ht="63">
      <c r="A396" s="5" t="s">
        <v>768</v>
      </c>
      <c r="B396" s="91" t="s">
        <v>79</v>
      </c>
      <c r="C396" s="91" t="s">
        <v>869</v>
      </c>
      <c r="D396" s="91" t="s">
        <v>659</v>
      </c>
      <c r="E396" s="91" t="s">
        <v>769</v>
      </c>
      <c r="F396" s="6" t="s">
        <v>770</v>
      </c>
      <c r="G396" s="46">
        <f>1970000-768856.78</f>
        <v>1201143.22</v>
      </c>
      <c r="H396" s="46">
        <v>1198141.56</v>
      </c>
      <c r="I396" s="46">
        <f t="shared" si="25"/>
        <v>99.75</v>
      </c>
    </row>
    <row r="397" spans="1:9" ht="126">
      <c r="A397" s="90" t="s">
        <v>748</v>
      </c>
      <c r="B397" s="91" t="s">
        <v>79</v>
      </c>
      <c r="C397" s="91" t="s">
        <v>869</v>
      </c>
      <c r="D397" s="91" t="s">
        <v>659</v>
      </c>
      <c r="E397" s="6" t="s">
        <v>779</v>
      </c>
      <c r="F397" s="6"/>
      <c r="G397" s="59">
        <f aca="true" t="shared" si="27" ref="G397:H399">G398</f>
        <v>895419.91</v>
      </c>
      <c r="H397" s="59">
        <f t="shared" si="27"/>
        <v>445471.4</v>
      </c>
      <c r="I397" s="59">
        <f t="shared" si="25"/>
        <v>49.75</v>
      </c>
    </row>
    <row r="398" spans="1:9" ht="15.75">
      <c r="A398" s="122" t="s">
        <v>940</v>
      </c>
      <c r="B398" s="91" t="s">
        <v>79</v>
      </c>
      <c r="C398" s="91" t="s">
        <v>869</v>
      </c>
      <c r="D398" s="91" t="s">
        <v>659</v>
      </c>
      <c r="E398" s="6" t="s">
        <v>779</v>
      </c>
      <c r="F398" s="6" t="s">
        <v>31</v>
      </c>
      <c r="G398" s="59">
        <f t="shared" si="27"/>
        <v>895419.91</v>
      </c>
      <c r="H398" s="59">
        <f t="shared" si="27"/>
        <v>445471.4</v>
      </c>
      <c r="I398" s="59">
        <f t="shared" si="25"/>
        <v>49.75</v>
      </c>
    </row>
    <row r="399" spans="1:9" ht="94.5">
      <c r="A399" s="5" t="s">
        <v>32</v>
      </c>
      <c r="B399" s="91" t="s">
        <v>79</v>
      </c>
      <c r="C399" s="91" t="s">
        <v>869</v>
      </c>
      <c r="D399" s="91" t="s">
        <v>659</v>
      </c>
      <c r="E399" s="6" t="s">
        <v>779</v>
      </c>
      <c r="F399" s="6" t="s">
        <v>33</v>
      </c>
      <c r="G399" s="59">
        <f t="shared" si="27"/>
        <v>895419.91</v>
      </c>
      <c r="H399" s="59">
        <f t="shared" si="27"/>
        <v>445471.4</v>
      </c>
      <c r="I399" s="59">
        <f t="shared" si="25"/>
        <v>49.75</v>
      </c>
    </row>
    <row r="400" spans="1:9" ht="94.5">
      <c r="A400" s="5" t="s">
        <v>34</v>
      </c>
      <c r="B400" s="91" t="s">
        <v>79</v>
      </c>
      <c r="C400" s="91" t="s">
        <v>869</v>
      </c>
      <c r="D400" s="91" t="s">
        <v>659</v>
      </c>
      <c r="E400" s="6" t="s">
        <v>779</v>
      </c>
      <c r="F400" s="6" t="s">
        <v>35</v>
      </c>
      <c r="G400" s="59">
        <f>3000000-1000000-345000-759580.09</f>
        <v>895419.91</v>
      </c>
      <c r="H400" s="59">
        <v>445471.4</v>
      </c>
      <c r="I400" s="59">
        <f t="shared" si="25"/>
        <v>49.75</v>
      </c>
    </row>
    <row r="401" spans="1:9" ht="173.25">
      <c r="A401" s="5" t="s">
        <v>777</v>
      </c>
      <c r="B401" s="6" t="s">
        <v>79</v>
      </c>
      <c r="C401" s="6" t="s">
        <v>869</v>
      </c>
      <c r="D401" s="6" t="s">
        <v>659</v>
      </c>
      <c r="E401" s="157" t="s">
        <v>778</v>
      </c>
      <c r="F401" s="6"/>
      <c r="G401" s="59">
        <f aca="true" t="shared" si="28" ref="G401:H403">G402</f>
        <v>1774329.77</v>
      </c>
      <c r="H401" s="59">
        <f t="shared" si="28"/>
        <v>1774329.77</v>
      </c>
      <c r="I401" s="59">
        <f t="shared" si="25"/>
        <v>100</v>
      </c>
    </row>
    <row r="402" spans="1:9" ht="47.25">
      <c r="A402" s="122" t="s">
        <v>673</v>
      </c>
      <c r="B402" s="6" t="s">
        <v>79</v>
      </c>
      <c r="C402" s="6" t="s">
        <v>869</v>
      </c>
      <c r="D402" s="6" t="s">
        <v>659</v>
      </c>
      <c r="E402" s="157" t="s">
        <v>778</v>
      </c>
      <c r="F402" s="6" t="s">
        <v>674</v>
      </c>
      <c r="G402" s="59">
        <f t="shared" si="28"/>
        <v>1774329.77</v>
      </c>
      <c r="H402" s="59">
        <f t="shared" si="28"/>
        <v>1774329.77</v>
      </c>
      <c r="I402" s="59">
        <f t="shared" si="25"/>
        <v>100</v>
      </c>
    </row>
    <row r="403" spans="1:9" ht="47.25">
      <c r="A403" s="122" t="s">
        <v>675</v>
      </c>
      <c r="B403" s="6" t="s">
        <v>79</v>
      </c>
      <c r="C403" s="6" t="s">
        <v>869</v>
      </c>
      <c r="D403" s="6" t="s">
        <v>659</v>
      </c>
      <c r="E403" s="157" t="s">
        <v>778</v>
      </c>
      <c r="F403" s="6" t="s">
        <v>676</v>
      </c>
      <c r="G403" s="59">
        <f t="shared" si="28"/>
        <v>1774329.77</v>
      </c>
      <c r="H403" s="59">
        <f t="shared" si="28"/>
        <v>1774329.77</v>
      </c>
      <c r="I403" s="59">
        <f t="shared" si="25"/>
        <v>100</v>
      </c>
    </row>
    <row r="404" spans="1:9" ht="63">
      <c r="A404" s="5" t="s">
        <v>768</v>
      </c>
      <c r="B404" s="6" t="s">
        <v>79</v>
      </c>
      <c r="C404" s="6" t="s">
        <v>869</v>
      </c>
      <c r="D404" s="6" t="s">
        <v>659</v>
      </c>
      <c r="E404" s="157" t="s">
        <v>778</v>
      </c>
      <c r="F404" s="6" t="s">
        <v>770</v>
      </c>
      <c r="G404" s="59">
        <f>1785000-10670.23</f>
        <v>1774329.77</v>
      </c>
      <c r="H404" s="59">
        <v>1774329.77</v>
      </c>
      <c r="I404" s="59">
        <f t="shared" si="25"/>
        <v>100</v>
      </c>
    </row>
    <row r="405" spans="1:9" ht="110.25">
      <c r="A405" s="5" t="s">
        <v>771</v>
      </c>
      <c r="B405" s="91" t="s">
        <v>79</v>
      </c>
      <c r="C405" s="91" t="s">
        <v>869</v>
      </c>
      <c r="D405" s="91" t="s">
        <v>659</v>
      </c>
      <c r="E405" s="91" t="s">
        <v>772</v>
      </c>
      <c r="F405" s="6"/>
      <c r="G405" s="46">
        <f>G406+G409</f>
        <v>86779.17</v>
      </c>
      <c r="H405" s="46">
        <f>H406+H409</f>
        <v>40500</v>
      </c>
      <c r="I405" s="46">
        <f t="shared" si="25"/>
        <v>46.67</v>
      </c>
    </row>
    <row r="406" spans="1:9" ht="47.25">
      <c r="A406" s="3" t="s">
        <v>673</v>
      </c>
      <c r="B406" s="91" t="s">
        <v>79</v>
      </c>
      <c r="C406" s="6" t="s">
        <v>869</v>
      </c>
      <c r="D406" s="6" t="s">
        <v>659</v>
      </c>
      <c r="E406" s="91" t="s">
        <v>772</v>
      </c>
      <c r="F406" s="6" t="s">
        <v>674</v>
      </c>
      <c r="G406" s="46">
        <f>G407</f>
        <v>86779.17</v>
      </c>
      <c r="H406" s="46">
        <f>H407</f>
        <v>40500</v>
      </c>
      <c r="I406" s="46">
        <f t="shared" si="25"/>
        <v>46.67</v>
      </c>
    </row>
    <row r="407" spans="1:9" ht="47.25">
      <c r="A407" s="3" t="s">
        <v>675</v>
      </c>
      <c r="B407" s="91" t="s">
        <v>79</v>
      </c>
      <c r="C407" s="6" t="s">
        <v>869</v>
      </c>
      <c r="D407" s="6" t="s">
        <v>659</v>
      </c>
      <c r="E407" s="91" t="s">
        <v>772</v>
      </c>
      <c r="F407" s="6" t="s">
        <v>676</v>
      </c>
      <c r="G407" s="46">
        <f>G408</f>
        <v>86779.17</v>
      </c>
      <c r="H407" s="46">
        <f>H408</f>
        <v>40500</v>
      </c>
      <c r="I407" s="46">
        <f t="shared" si="25"/>
        <v>46.67</v>
      </c>
    </row>
    <row r="408" spans="1:9" ht="47.25">
      <c r="A408" s="3" t="s">
        <v>677</v>
      </c>
      <c r="B408" s="91" t="s">
        <v>79</v>
      </c>
      <c r="C408" s="6" t="s">
        <v>869</v>
      </c>
      <c r="D408" s="6" t="s">
        <v>659</v>
      </c>
      <c r="E408" s="91" t="s">
        <v>772</v>
      </c>
      <c r="F408" s="6" t="s">
        <v>678</v>
      </c>
      <c r="G408" s="46">
        <f>100000+100000-113220.83</f>
        <v>86779.17</v>
      </c>
      <c r="H408" s="46">
        <v>40500</v>
      </c>
      <c r="I408" s="46">
        <f t="shared" si="25"/>
        <v>46.67</v>
      </c>
    </row>
    <row r="409" spans="1:9" ht="31.5" customHeight="1" hidden="1">
      <c r="A409" s="122" t="s">
        <v>557</v>
      </c>
      <c r="B409" s="91" t="s">
        <v>79</v>
      </c>
      <c r="C409" s="6" t="s">
        <v>869</v>
      </c>
      <c r="D409" s="6" t="s">
        <v>659</v>
      </c>
      <c r="E409" s="91" t="s">
        <v>772</v>
      </c>
      <c r="F409" s="6" t="s">
        <v>683</v>
      </c>
      <c r="G409" s="46">
        <f>G410</f>
        <v>0</v>
      </c>
      <c r="H409" s="46">
        <f>H410</f>
        <v>0</v>
      </c>
      <c r="I409" s="46" t="e">
        <f t="shared" si="25"/>
        <v>#DIV/0!</v>
      </c>
    </row>
    <row r="410" spans="1:9" ht="94.5" customHeight="1" hidden="1">
      <c r="A410" s="30" t="s">
        <v>594</v>
      </c>
      <c r="B410" s="91" t="s">
        <v>79</v>
      </c>
      <c r="C410" s="6" t="s">
        <v>869</v>
      </c>
      <c r="D410" s="6" t="s">
        <v>659</v>
      </c>
      <c r="E410" s="91" t="s">
        <v>772</v>
      </c>
      <c r="F410" s="6" t="s">
        <v>684</v>
      </c>
      <c r="G410" s="46">
        <f>100000-100000</f>
        <v>0</v>
      </c>
      <c r="H410" s="46">
        <f>100000-100000</f>
        <v>0</v>
      </c>
      <c r="I410" s="46" t="e">
        <f t="shared" si="25"/>
        <v>#DIV/0!</v>
      </c>
    </row>
    <row r="411" spans="1:9" ht="110.25">
      <c r="A411" s="3" t="s">
        <v>909</v>
      </c>
      <c r="B411" s="6" t="s">
        <v>79</v>
      </c>
      <c r="C411" s="6" t="s">
        <v>869</v>
      </c>
      <c r="D411" s="6" t="s">
        <v>659</v>
      </c>
      <c r="E411" s="6" t="s">
        <v>733</v>
      </c>
      <c r="F411" s="6"/>
      <c r="G411" s="46">
        <f>G412</f>
        <v>511725</v>
      </c>
      <c r="H411" s="46">
        <f>H412</f>
        <v>511725</v>
      </c>
      <c r="I411" s="46">
        <f t="shared" si="25"/>
        <v>100</v>
      </c>
    </row>
    <row r="412" spans="1:9" ht="47.25">
      <c r="A412" s="3" t="s">
        <v>673</v>
      </c>
      <c r="B412" s="6" t="s">
        <v>79</v>
      </c>
      <c r="C412" s="6" t="s">
        <v>869</v>
      </c>
      <c r="D412" s="6" t="s">
        <v>659</v>
      </c>
      <c r="E412" s="6" t="s">
        <v>733</v>
      </c>
      <c r="F412" s="6" t="s">
        <v>674</v>
      </c>
      <c r="G412" s="46">
        <f>G413</f>
        <v>511725</v>
      </c>
      <c r="H412" s="46">
        <f>H413</f>
        <v>511725</v>
      </c>
      <c r="I412" s="46">
        <f t="shared" si="25"/>
        <v>100</v>
      </c>
    </row>
    <row r="413" spans="1:9" ht="47.25">
      <c r="A413" s="3" t="s">
        <v>675</v>
      </c>
      <c r="B413" s="6" t="s">
        <v>79</v>
      </c>
      <c r="C413" s="6" t="s">
        <v>869</v>
      </c>
      <c r="D413" s="6" t="s">
        <v>659</v>
      </c>
      <c r="E413" s="6" t="s">
        <v>733</v>
      </c>
      <c r="F413" s="6" t="s">
        <v>676</v>
      </c>
      <c r="G413" s="46">
        <f>G414+G415</f>
        <v>511725</v>
      </c>
      <c r="H413" s="46">
        <f>H414+H415</f>
        <v>511725</v>
      </c>
      <c r="I413" s="46">
        <f t="shared" si="25"/>
        <v>100</v>
      </c>
    </row>
    <row r="414" spans="1:9" ht="78.75">
      <c r="A414" s="3" t="s">
        <v>679</v>
      </c>
      <c r="B414" s="6" t="s">
        <v>79</v>
      </c>
      <c r="C414" s="6" t="s">
        <v>869</v>
      </c>
      <c r="D414" s="6" t="s">
        <v>659</v>
      </c>
      <c r="E414" s="6" t="s">
        <v>733</v>
      </c>
      <c r="F414" s="6" t="s">
        <v>680</v>
      </c>
      <c r="G414" s="46">
        <f>45000+50000+50000+368145-6420</f>
        <v>506725</v>
      </c>
      <c r="H414" s="46">
        <v>506725</v>
      </c>
      <c r="I414" s="46">
        <f t="shared" si="25"/>
        <v>100</v>
      </c>
    </row>
    <row r="415" spans="1:9" ht="47.25">
      <c r="A415" s="3" t="s">
        <v>677</v>
      </c>
      <c r="B415" s="6" t="s">
        <v>79</v>
      </c>
      <c r="C415" s="6" t="s">
        <v>869</v>
      </c>
      <c r="D415" s="6" t="s">
        <v>659</v>
      </c>
      <c r="E415" s="6" t="s">
        <v>733</v>
      </c>
      <c r="F415" s="6" t="s">
        <v>678</v>
      </c>
      <c r="G415" s="46">
        <v>5000</v>
      </c>
      <c r="H415" s="46">
        <v>5000</v>
      </c>
      <c r="I415" s="46">
        <f t="shared" si="25"/>
        <v>100</v>
      </c>
    </row>
    <row r="416" spans="1:9" ht="47.25">
      <c r="A416" s="90" t="s">
        <v>816</v>
      </c>
      <c r="B416" s="91" t="s">
        <v>79</v>
      </c>
      <c r="C416" s="91" t="s">
        <v>869</v>
      </c>
      <c r="D416" s="91" t="s">
        <v>659</v>
      </c>
      <c r="E416" s="91" t="s">
        <v>650</v>
      </c>
      <c r="F416" s="2"/>
      <c r="G416" s="46">
        <f>G417</f>
        <v>18516094</v>
      </c>
      <c r="H416" s="46">
        <f>H417</f>
        <v>18516094</v>
      </c>
      <c r="I416" s="46">
        <f t="shared" si="25"/>
        <v>100</v>
      </c>
    </row>
    <row r="417" spans="1:9" ht="173.25">
      <c r="A417" s="5" t="s">
        <v>831</v>
      </c>
      <c r="B417" s="6" t="s">
        <v>79</v>
      </c>
      <c r="C417" s="6" t="s">
        <v>869</v>
      </c>
      <c r="D417" s="6" t="s">
        <v>659</v>
      </c>
      <c r="E417" s="6" t="s">
        <v>832</v>
      </c>
      <c r="F417" s="2"/>
      <c r="G417" s="46">
        <f>G418+G422</f>
        <v>18516094</v>
      </c>
      <c r="H417" s="46">
        <f>H418+H422</f>
        <v>18516094</v>
      </c>
      <c r="I417" s="46">
        <f t="shared" si="25"/>
        <v>100</v>
      </c>
    </row>
    <row r="418" spans="1:9" ht="157.5">
      <c r="A418" s="3" t="s">
        <v>663</v>
      </c>
      <c r="B418" s="6" t="s">
        <v>79</v>
      </c>
      <c r="C418" s="6" t="s">
        <v>869</v>
      </c>
      <c r="D418" s="6" t="s">
        <v>659</v>
      </c>
      <c r="E418" s="6" t="s">
        <v>832</v>
      </c>
      <c r="F418" s="6" t="s">
        <v>664</v>
      </c>
      <c r="G418" s="46">
        <f>G419</f>
        <v>17166209.18</v>
      </c>
      <c r="H418" s="46">
        <f>H419</f>
        <v>17166209.18</v>
      </c>
      <c r="I418" s="46">
        <f t="shared" si="25"/>
        <v>100</v>
      </c>
    </row>
    <row r="419" spans="1:9" ht="47.25">
      <c r="A419" s="3" t="s">
        <v>725</v>
      </c>
      <c r="B419" s="6" t="s">
        <v>79</v>
      </c>
      <c r="C419" s="6" t="s">
        <v>869</v>
      </c>
      <c r="D419" s="6" t="s">
        <v>659</v>
      </c>
      <c r="E419" s="6" t="s">
        <v>832</v>
      </c>
      <c r="F419" s="6" t="s">
        <v>726</v>
      </c>
      <c r="G419" s="46">
        <f>G420+G421</f>
        <v>17166209.18</v>
      </c>
      <c r="H419" s="46">
        <f>H420+H421</f>
        <v>17166209.18</v>
      </c>
      <c r="I419" s="46">
        <f t="shared" si="25"/>
        <v>100</v>
      </c>
    </row>
    <row r="420" spans="1:9" ht="31.5">
      <c r="A420" s="3" t="s">
        <v>669</v>
      </c>
      <c r="B420" s="6" t="s">
        <v>79</v>
      </c>
      <c r="C420" s="6" t="s">
        <v>869</v>
      </c>
      <c r="D420" s="6" t="s">
        <v>659</v>
      </c>
      <c r="E420" s="6" t="s">
        <v>832</v>
      </c>
      <c r="F420" s="6" t="s">
        <v>727</v>
      </c>
      <c r="G420" s="46">
        <f>12746210+3849460-290723.28+526458</f>
        <v>16831404.72</v>
      </c>
      <c r="H420" s="46">
        <v>16831404.72</v>
      </c>
      <c r="I420" s="46">
        <f t="shared" si="25"/>
        <v>100</v>
      </c>
    </row>
    <row r="421" spans="1:9" ht="47.25">
      <c r="A421" s="3" t="s">
        <v>671</v>
      </c>
      <c r="B421" s="6" t="s">
        <v>79</v>
      </c>
      <c r="C421" s="6" t="s">
        <v>869</v>
      </c>
      <c r="D421" s="6" t="s">
        <v>659</v>
      </c>
      <c r="E421" s="6" t="s">
        <v>832</v>
      </c>
      <c r="F421" s="6" t="s">
        <v>728</v>
      </c>
      <c r="G421" s="46">
        <f>51350+157310+40000+129623.7-27186.37-16292.87</f>
        <v>334804.46</v>
      </c>
      <c r="H421" s="46">
        <v>334804.46</v>
      </c>
      <c r="I421" s="46">
        <f t="shared" si="25"/>
        <v>100</v>
      </c>
    </row>
    <row r="422" spans="1:9" ht="47.25">
      <c r="A422" s="3" t="s">
        <v>673</v>
      </c>
      <c r="B422" s="6" t="s">
        <v>79</v>
      </c>
      <c r="C422" s="6" t="s">
        <v>869</v>
      </c>
      <c r="D422" s="6" t="s">
        <v>659</v>
      </c>
      <c r="E422" s="6" t="s">
        <v>832</v>
      </c>
      <c r="F422" s="6" t="s">
        <v>674</v>
      </c>
      <c r="G422" s="46">
        <f>G423</f>
        <v>1349884.8200000003</v>
      </c>
      <c r="H422" s="46">
        <f>H423</f>
        <v>1349884.8199999998</v>
      </c>
      <c r="I422" s="46">
        <f t="shared" si="25"/>
        <v>100</v>
      </c>
    </row>
    <row r="423" spans="1:9" ht="47.25">
      <c r="A423" s="3" t="s">
        <v>675</v>
      </c>
      <c r="B423" s="6" t="s">
        <v>79</v>
      </c>
      <c r="C423" s="6" t="s">
        <v>869</v>
      </c>
      <c r="D423" s="6" t="s">
        <v>659</v>
      </c>
      <c r="E423" s="6" t="s">
        <v>832</v>
      </c>
      <c r="F423" s="6" t="s">
        <v>676</v>
      </c>
      <c r="G423" s="46">
        <f>G424+G425</f>
        <v>1349884.8200000003</v>
      </c>
      <c r="H423" s="46">
        <f>H424+H425</f>
        <v>1349884.8199999998</v>
      </c>
      <c r="I423" s="46">
        <f t="shared" si="25"/>
        <v>100</v>
      </c>
    </row>
    <row r="424" spans="1:9" ht="78.75">
      <c r="A424" s="3" t="s">
        <v>679</v>
      </c>
      <c r="B424" s="6" t="s">
        <v>79</v>
      </c>
      <c r="C424" s="6" t="s">
        <v>869</v>
      </c>
      <c r="D424" s="6" t="s">
        <v>659</v>
      </c>
      <c r="E424" s="6" t="s">
        <v>832</v>
      </c>
      <c r="F424" s="6" t="s">
        <v>680</v>
      </c>
      <c r="G424" s="46">
        <f>139000+41773.12</f>
        <v>180773.12</v>
      </c>
      <c r="H424" s="46">
        <v>180773.12</v>
      </c>
      <c r="I424" s="46">
        <f t="shared" si="25"/>
        <v>100</v>
      </c>
    </row>
    <row r="425" spans="1:9" ht="47.25">
      <c r="A425" s="3" t="s">
        <v>677</v>
      </c>
      <c r="B425" s="6" t="s">
        <v>79</v>
      </c>
      <c r="C425" s="6" t="s">
        <v>869</v>
      </c>
      <c r="D425" s="6" t="s">
        <v>659</v>
      </c>
      <c r="E425" s="6" t="s">
        <v>832</v>
      </c>
      <c r="F425" s="6" t="s">
        <v>678</v>
      </c>
      <c r="G425" s="46">
        <f>931910-157310-40000+177706+119326.46+27186.37+94000+16292.87</f>
        <v>1169111.7000000002</v>
      </c>
      <c r="H425" s="46">
        <v>1169111.7</v>
      </c>
      <c r="I425" s="46">
        <f t="shared" si="25"/>
        <v>100</v>
      </c>
    </row>
    <row r="426" spans="1:9" ht="75">
      <c r="A426" s="11" t="s">
        <v>891</v>
      </c>
      <c r="B426" s="2" t="s">
        <v>79</v>
      </c>
      <c r="C426" s="2" t="s">
        <v>876</v>
      </c>
      <c r="D426" s="2" t="s">
        <v>910</v>
      </c>
      <c r="E426" s="2"/>
      <c r="F426" s="2"/>
      <c r="G426" s="50">
        <f>G427</f>
        <v>5319521.050000001</v>
      </c>
      <c r="H426" s="50">
        <f>H427</f>
        <v>4746760.65</v>
      </c>
      <c r="I426" s="50">
        <f t="shared" si="25"/>
        <v>89.23</v>
      </c>
    </row>
    <row r="427" spans="1:9" ht="78.75">
      <c r="A427" s="5" t="s">
        <v>929</v>
      </c>
      <c r="B427" s="6" t="s">
        <v>79</v>
      </c>
      <c r="C427" s="6" t="s">
        <v>876</v>
      </c>
      <c r="D427" s="6" t="s">
        <v>793</v>
      </c>
      <c r="E427" s="6"/>
      <c r="F427" s="6"/>
      <c r="G427" s="46">
        <f>G428+G439</f>
        <v>5319521.050000001</v>
      </c>
      <c r="H427" s="46">
        <f>H428+H439</f>
        <v>4746760.65</v>
      </c>
      <c r="I427" s="46">
        <f t="shared" si="25"/>
        <v>89.23</v>
      </c>
    </row>
    <row r="428" spans="1:9" ht="31.5">
      <c r="A428" s="3" t="s">
        <v>554</v>
      </c>
      <c r="B428" s="6" t="s">
        <v>79</v>
      </c>
      <c r="C428" s="6" t="s">
        <v>876</v>
      </c>
      <c r="D428" s="6" t="s">
        <v>793</v>
      </c>
      <c r="E428" s="6" t="s">
        <v>932</v>
      </c>
      <c r="F428" s="6"/>
      <c r="G428" s="46">
        <f>G429+G434</f>
        <v>2189312.37</v>
      </c>
      <c r="H428" s="46">
        <f>H429+H434</f>
        <v>1992356.01</v>
      </c>
      <c r="I428" s="46">
        <f t="shared" si="25"/>
        <v>91</v>
      </c>
    </row>
    <row r="429" spans="1:9" ht="147.75" customHeight="1">
      <c r="A429" s="5" t="s">
        <v>846</v>
      </c>
      <c r="B429" s="6" t="s">
        <v>79</v>
      </c>
      <c r="C429" s="6" t="s">
        <v>876</v>
      </c>
      <c r="D429" s="6" t="s">
        <v>793</v>
      </c>
      <c r="E429" s="6" t="s">
        <v>847</v>
      </c>
      <c r="F429" s="6"/>
      <c r="G429" s="46">
        <f aca="true" t="shared" si="29" ref="G429:H432">G430</f>
        <v>774631.97</v>
      </c>
      <c r="H429" s="46">
        <f t="shared" si="29"/>
        <v>774631.97</v>
      </c>
      <c r="I429" s="46">
        <f t="shared" si="25"/>
        <v>100</v>
      </c>
    </row>
    <row r="430" spans="1:9" ht="126">
      <c r="A430" s="5" t="s">
        <v>848</v>
      </c>
      <c r="B430" s="6" t="s">
        <v>79</v>
      </c>
      <c r="C430" s="6" t="s">
        <v>876</v>
      </c>
      <c r="D430" s="6" t="s">
        <v>793</v>
      </c>
      <c r="E430" s="6" t="s">
        <v>849</v>
      </c>
      <c r="F430" s="6"/>
      <c r="G430" s="46">
        <f t="shared" si="29"/>
        <v>774631.97</v>
      </c>
      <c r="H430" s="46">
        <f t="shared" si="29"/>
        <v>774631.97</v>
      </c>
      <c r="I430" s="46">
        <f t="shared" si="25"/>
        <v>100</v>
      </c>
    </row>
    <row r="431" spans="1:9" ht="47.25">
      <c r="A431" s="3" t="s">
        <v>673</v>
      </c>
      <c r="B431" s="6" t="s">
        <v>79</v>
      </c>
      <c r="C431" s="6" t="s">
        <v>876</v>
      </c>
      <c r="D431" s="6" t="s">
        <v>793</v>
      </c>
      <c r="E431" s="6" t="s">
        <v>849</v>
      </c>
      <c r="F431" s="6" t="s">
        <v>674</v>
      </c>
      <c r="G431" s="46">
        <f t="shared" si="29"/>
        <v>774631.97</v>
      </c>
      <c r="H431" s="46">
        <f t="shared" si="29"/>
        <v>774631.97</v>
      </c>
      <c r="I431" s="46">
        <f t="shared" si="25"/>
        <v>100</v>
      </c>
    </row>
    <row r="432" spans="1:9" ht="47.25">
      <c r="A432" s="3" t="s">
        <v>675</v>
      </c>
      <c r="B432" s="6" t="s">
        <v>79</v>
      </c>
      <c r="C432" s="6" t="s">
        <v>876</v>
      </c>
      <c r="D432" s="6" t="s">
        <v>793</v>
      </c>
      <c r="E432" s="6" t="s">
        <v>849</v>
      </c>
      <c r="F432" s="6" t="s">
        <v>676</v>
      </c>
      <c r="G432" s="46">
        <f t="shared" si="29"/>
        <v>774631.97</v>
      </c>
      <c r="H432" s="46">
        <f t="shared" si="29"/>
        <v>774631.97</v>
      </c>
      <c r="I432" s="46">
        <f t="shared" si="25"/>
        <v>100</v>
      </c>
    </row>
    <row r="433" spans="1:9" ht="47.25">
      <c r="A433" s="3" t="s">
        <v>677</v>
      </c>
      <c r="B433" s="6" t="s">
        <v>79</v>
      </c>
      <c r="C433" s="6" t="s">
        <v>876</v>
      </c>
      <c r="D433" s="6" t="s">
        <v>793</v>
      </c>
      <c r="E433" s="6" t="s">
        <v>849</v>
      </c>
      <c r="F433" s="6" t="s">
        <v>678</v>
      </c>
      <c r="G433" s="46">
        <f>774631.97</f>
        <v>774631.97</v>
      </c>
      <c r="H433" s="46">
        <v>774631.97</v>
      </c>
      <c r="I433" s="46">
        <f t="shared" si="25"/>
        <v>100</v>
      </c>
    </row>
    <row r="434" spans="1:9" ht="110.25">
      <c r="A434" s="3" t="s">
        <v>545</v>
      </c>
      <c r="B434" s="6" t="s">
        <v>79</v>
      </c>
      <c r="C434" s="6" t="s">
        <v>876</v>
      </c>
      <c r="D434" s="6" t="s">
        <v>793</v>
      </c>
      <c r="E434" s="6" t="s">
        <v>687</v>
      </c>
      <c r="F434" s="6"/>
      <c r="G434" s="46">
        <f aca="true" t="shared" si="30" ref="G434:H437">G435</f>
        <v>1414680.4</v>
      </c>
      <c r="H434" s="46">
        <f t="shared" si="30"/>
        <v>1217724.04</v>
      </c>
      <c r="I434" s="46">
        <f t="shared" si="25"/>
        <v>86.08</v>
      </c>
    </row>
    <row r="435" spans="1:9" ht="110.25">
      <c r="A435" s="3" t="s">
        <v>688</v>
      </c>
      <c r="B435" s="6" t="s">
        <v>79</v>
      </c>
      <c r="C435" s="6" t="s">
        <v>876</v>
      </c>
      <c r="D435" s="6" t="s">
        <v>793</v>
      </c>
      <c r="E435" s="6" t="s">
        <v>689</v>
      </c>
      <c r="F435" s="6"/>
      <c r="G435" s="46">
        <f t="shared" si="30"/>
        <v>1414680.4</v>
      </c>
      <c r="H435" s="46">
        <f t="shared" si="30"/>
        <v>1217724.04</v>
      </c>
      <c r="I435" s="46">
        <f t="shared" si="25"/>
        <v>86.08</v>
      </c>
    </row>
    <row r="436" spans="1:9" ht="47.25">
      <c r="A436" s="3" t="s">
        <v>673</v>
      </c>
      <c r="B436" s="6" t="s">
        <v>79</v>
      </c>
      <c r="C436" s="6" t="s">
        <v>876</v>
      </c>
      <c r="D436" s="6" t="s">
        <v>793</v>
      </c>
      <c r="E436" s="6" t="s">
        <v>689</v>
      </c>
      <c r="F436" s="6" t="s">
        <v>674</v>
      </c>
      <c r="G436" s="46">
        <f t="shared" si="30"/>
        <v>1414680.4</v>
      </c>
      <c r="H436" s="46">
        <f t="shared" si="30"/>
        <v>1217724.04</v>
      </c>
      <c r="I436" s="46">
        <f t="shared" si="25"/>
        <v>86.08</v>
      </c>
    </row>
    <row r="437" spans="1:9" ht="47.25">
      <c r="A437" s="3" t="s">
        <v>675</v>
      </c>
      <c r="B437" s="6" t="s">
        <v>79</v>
      </c>
      <c r="C437" s="6" t="s">
        <v>876</v>
      </c>
      <c r="D437" s="6" t="s">
        <v>793</v>
      </c>
      <c r="E437" s="6" t="s">
        <v>689</v>
      </c>
      <c r="F437" s="6" t="s">
        <v>676</v>
      </c>
      <c r="G437" s="46">
        <f t="shared" si="30"/>
        <v>1414680.4</v>
      </c>
      <c r="H437" s="46">
        <f t="shared" si="30"/>
        <v>1217724.04</v>
      </c>
      <c r="I437" s="46">
        <f t="shared" si="25"/>
        <v>86.08</v>
      </c>
    </row>
    <row r="438" spans="1:9" ht="47.25">
      <c r="A438" s="3" t="s">
        <v>677</v>
      </c>
      <c r="B438" s="6" t="s">
        <v>79</v>
      </c>
      <c r="C438" s="6" t="s">
        <v>876</v>
      </c>
      <c r="D438" s="6" t="s">
        <v>793</v>
      </c>
      <c r="E438" s="6" t="s">
        <v>689</v>
      </c>
      <c r="F438" s="6" t="s">
        <v>678</v>
      </c>
      <c r="G438" s="46">
        <f>1313500+11+101169.4</f>
        <v>1414680.4</v>
      </c>
      <c r="H438" s="46">
        <v>1217724.04</v>
      </c>
      <c r="I438" s="46">
        <f t="shared" si="25"/>
        <v>86.08</v>
      </c>
    </row>
    <row r="439" spans="1:9" ht="47.25">
      <c r="A439" s="5" t="s">
        <v>922</v>
      </c>
      <c r="B439" s="6" t="s">
        <v>79</v>
      </c>
      <c r="C439" s="6" t="s">
        <v>876</v>
      </c>
      <c r="D439" s="6" t="s">
        <v>793</v>
      </c>
      <c r="E439" s="6" t="s">
        <v>923</v>
      </c>
      <c r="F439" s="91"/>
      <c r="G439" s="46">
        <f aca="true" t="shared" si="31" ref="G439:H443">G440</f>
        <v>3130208.68</v>
      </c>
      <c r="H439" s="46">
        <f t="shared" si="31"/>
        <v>2754404.64</v>
      </c>
      <c r="I439" s="46">
        <f t="shared" si="25"/>
        <v>87.99</v>
      </c>
    </row>
    <row r="440" spans="1:9" ht="47.25">
      <c r="A440" s="90" t="s">
        <v>824</v>
      </c>
      <c r="B440" s="6" t="s">
        <v>79</v>
      </c>
      <c r="C440" s="6" t="s">
        <v>876</v>
      </c>
      <c r="D440" s="6" t="s">
        <v>793</v>
      </c>
      <c r="E440" s="6" t="s">
        <v>795</v>
      </c>
      <c r="F440" s="91"/>
      <c r="G440" s="46">
        <f t="shared" si="31"/>
        <v>3130208.68</v>
      </c>
      <c r="H440" s="46">
        <f t="shared" si="31"/>
        <v>2754404.64</v>
      </c>
      <c r="I440" s="46">
        <f t="shared" si="25"/>
        <v>87.99</v>
      </c>
    </row>
    <row r="441" spans="1:9" ht="126">
      <c r="A441" s="90" t="s">
        <v>748</v>
      </c>
      <c r="B441" s="6" t="s">
        <v>79</v>
      </c>
      <c r="C441" s="6" t="s">
        <v>876</v>
      </c>
      <c r="D441" s="6" t="s">
        <v>793</v>
      </c>
      <c r="E441" s="6" t="s">
        <v>779</v>
      </c>
      <c r="F441" s="91"/>
      <c r="G441" s="46">
        <f t="shared" si="31"/>
        <v>3130208.68</v>
      </c>
      <c r="H441" s="46">
        <f t="shared" si="31"/>
        <v>2754404.64</v>
      </c>
      <c r="I441" s="46">
        <f t="shared" si="25"/>
        <v>87.99</v>
      </c>
    </row>
    <row r="442" spans="1:9" ht="47.25">
      <c r="A442" s="5" t="s">
        <v>673</v>
      </c>
      <c r="B442" s="6" t="s">
        <v>79</v>
      </c>
      <c r="C442" s="6" t="s">
        <v>876</v>
      </c>
      <c r="D442" s="6" t="s">
        <v>793</v>
      </c>
      <c r="E442" s="6" t="s">
        <v>779</v>
      </c>
      <c r="F442" s="6" t="s">
        <v>674</v>
      </c>
      <c r="G442" s="46">
        <f t="shared" si="31"/>
        <v>3130208.68</v>
      </c>
      <c r="H442" s="46">
        <f t="shared" si="31"/>
        <v>2754404.64</v>
      </c>
      <c r="I442" s="46">
        <f t="shared" si="25"/>
        <v>87.99</v>
      </c>
    </row>
    <row r="443" spans="1:9" ht="47.25">
      <c r="A443" s="5" t="s">
        <v>675</v>
      </c>
      <c r="B443" s="6" t="s">
        <v>79</v>
      </c>
      <c r="C443" s="6" t="s">
        <v>876</v>
      </c>
      <c r="D443" s="6" t="s">
        <v>793</v>
      </c>
      <c r="E443" s="6" t="s">
        <v>779</v>
      </c>
      <c r="F443" s="6" t="s">
        <v>676</v>
      </c>
      <c r="G443" s="46">
        <f t="shared" si="31"/>
        <v>3130208.68</v>
      </c>
      <c r="H443" s="46">
        <f t="shared" si="31"/>
        <v>2754404.64</v>
      </c>
      <c r="I443" s="46">
        <f t="shared" si="25"/>
        <v>87.99</v>
      </c>
    </row>
    <row r="444" spans="1:9" ht="47.25">
      <c r="A444" s="5" t="s">
        <v>677</v>
      </c>
      <c r="B444" s="6" t="s">
        <v>79</v>
      </c>
      <c r="C444" s="6" t="s">
        <v>876</v>
      </c>
      <c r="D444" s="6" t="s">
        <v>793</v>
      </c>
      <c r="E444" s="6" t="s">
        <v>779</v>
      </c>
      <c r="F444" s="6" t="s">
        <v>678</v>
      </c>
      <c r="G444" s="46">
        <f>417200+1306210+948805.93+457992.75</f>
        <v>3130208.68</v>
      </c>
      <c r="H444" s="46">
        <v>2754404.64</v>
      </c>
      <c r="I444" s="46">
        <f t="shared" si="25"/>
        <v>87.99</v>
      </c>
    </row>
    <row r="445" spans="1:9" ht="37.5">
      <c r="A445" s="11" t="s">
        <v>892</v>
      </c>
      <c r="B445" s="2" t="s">
        <v>79</v>
      </c>
      <c r="C445" s="2" t="s">
        <v>879</v>
      </c>
      <c r="D445" s="2" t="s">
        <v>910</v>
      </c>
      <c r="E445" s="2"/>
      <c r="F445" s="2"/>
      <c r="G445" s="50">
        <f>G446+G459+G466</f>
        <v>82153926.04</v>
      </c>
      <c r="H445" s="50">
        <f>H446+H459+H466</f>
        <v>80779953.61000001</v>
      </c>
      <c r="I445" s="50">
        <f t="shared" si="25"/>
        <v>98.33</v>
      </c>
    </row>
    <row r="446" spans="1:9" ht="31.5">
      <c r="A446" s="1" t="s">
        <v>556</v>
      </c>
      <c r="B446" s="2" t="s">
        <v>79</v>
      </c>
      <c r="C446" s="2" t="s">
        <v>879</v>
      </c>
      <c r="D446" s="2" t="s">
        <v>875</v>
      </c>
      <c r="E446" s="2"/>
      <c r="F446" s="2"/>
      <c r="G446" s="50">
        <f>G453+G447</f>
        <v>70203838.34</v>
      </c>
      <c r="H446" s="50">
        <f>H453+H447</f>
        <v>68969527.01</v>
      </c>
      <c r="I446" s="50">
        <f t="shared" si="25"/>
        <v>98.24</v>
      </c>
    </row>
    <row r="447" spans="1:9" ht="31.5">
      <c r="A447" s="122" t="s">
        <v>554</v>
      </c>
      <c r="B447" s="6" t="s">
        <v>79</v>
      </c>
      <c r="C447" s="6" t="s">
        <v>879</v>
      </c>
      <c r="D447" s="6" t="s">
        <v>875</v>
      </c>
      <c r="E447" s="6" t="s">
        <v>932</v>
      </c>
      <c r="F447" s="6"/>
      <c r="G447" s="46">
        <f aca="true" t="shared" si="32" ref="G447:H451">G448</f>
        <v>17857000</v>
      </c>
      <c r="H447" s="46">
        <f t="shared" si="32"/>
        <v>16762781.17</v>
      </c>
      <c r="I447" s="46">
        <f t="shared" si="25"/>
        <v>93.87</v>
      </c>
    </row>
    <row r="448" spans="1:9" ht="94.5">
      <c r="A448" s="30" t="s">
        <v>552</v>
      </c>
      <c r="B448" s="6" t="s">
        <v>79</v>
      </c>
      <c r="C448" s="6" t="s">
        <v>879</v>
      </c>
      <c r="D448" s="6" t="s">
        <v>875</v>
      </c>
      <c r="E448" s="6" t="s">
        <v>555</v>
      </c>
      <c r="F448" s="6"/>
      <c r="G448" s="46">
        <f t="shared" si="32"/>
        <v>17857000</v>
      </c>
      <c r="H448" s="46">
        <f t="shared" si="32"/>
        <v>16762781.17</v>
      </c>
      <c r="I448" s="46">
        <f t="shared" si="25"/>
        <v>93.87</v>
      </c>
    </row>
    <row r="449" spans="1:9" ht="126">
      <c r="A449" s="30" t="s">
        <v>629</v>
      </c>
      <c r="B449" s="6" t="s">
        <v>79</v>
      </c>
      <c r="C449" s="6" t="s">
        <v>879</v>
      </c>
      <c r="D449" s="6" t="s">
        <v>875</v>
      </c>
      <c r="E449" s="6" t="s">
        <v>630</v>
      </c>
      <c r="F449" s="6"/>
      <c r="G449" s="46">
        <f t="shared" si="32"/>
        <v>17857000</v>
      </c>
      <c r="H449" s="46">
        <f t="shared" si="32"/>
        <v>16762781.17</v>
      </c>
      <c r="I449" s="46">
        <f t="shared" si="25"/>
        <v>93.87</v>
      </c>
    </row>
    <row r="450" spans="1:9" ht="47.25">
      <c r="A450" s="30" t="s">
        <v>673</v>
      </c>
      <c r="B450" s="6" t="s">
        <v>79</v>
      </c>
      <c r="C450" s="6" t="s">
        <v>879</v>
      </c>
      <c r="D450" s="6" t="s">
        <v>875</v>
      </c>
      <c r="E450" s="6" t="s">
        <v>630</v>
      </c>
      <c r="F450" s="6" t="s">
        <v>674</v>
      </c>
      <c r="G450" s="46">
        <f t="shared" si="32"/>
        <v>17857000</v>
      </c>
      <c r="H450" s="46">
        <f t="shared" si="32"/>
        <v>16762781.17</v>
      </c>
      <c r="I450" s="46">
        <f t="shared" si="25"/>
        <v>93.87</v>
      </c>
    </row>
    <row r="451" spans="1:9" ht="47.25">
      <c r="A451" s="30" t="s">
        <v>675</v>
      </c>
      <c r="B451" s="6" t="s">
        <v>79</v>
      </c>
      <c r="C451" s="6" t="s">
        <v>879</v>
      </c>
      <c r="D451" s="6" t="s">
        <v>875</v>
      </c>
      <c r="E451" s="6" t="s">
        <v>630</v>
      </c>
      <c r="F451" s="6" t="s">
        <v>676</v>
      </c>
      <c r="G451" s="46">
        <f t="shared" si="32"/>
        <v>17857000</v>
      </c>
      <c r="H451" s="46">
        <f t="shared" si="32"/>
        <v>16762781.17</v>
      </c>
      <c r="I451" s="46">
        <f t="shared" si="25"/>
        <v>93.87</v>
      </c>
    </row>
    <row r="452" spans="1:9" ht="47.25">
      <c r="A452" s="30" t="s">
        <v>677</v>
      </c>
      <c r="B452" s="6" t="s">
        <v>79</v>
      </c>
      <c r="C452" s="6" t="s">
        <v>879</v>
      </c>
      <c r="D452" s="6" t="s">
        <v>875</v>
      </c>
      <c r="E452" s="6" t="s">
        <v>630</v>
      </c>
      <c r="F452" s="6" t="s">
        <v>678</v>
      </c>
      <c r="G452" s="46">
        <f>17857000</f>
        <v>17857000</v>
      </c>
      <c r="H452" s="46">
        <v>16762781.17</v>
      </c>
      <c r="I452" s="46">
        <f t="shared" si="25"/>
        <v>93.87</v>
      </c>
    </row>
    <row r="453" spans="1:9" ht="47.25">
      <c r="A453" s="5" t="s">
        <v>922</v>
      </c>
      <c r="B453" s="6" t="s">
        <v>79</v>
      </c>
      <c r="C453" s="6" t="s">
        <v>879</v>
      </c>
      <c r="D453" s="6" t="s">
        <v>875</v>
      </c>
      <c r="E453" s="6" t="s">
        <v>923</v>
      </c>
      <c r="F453" s="6"/>
      <c r="G453" s="46">
        <f aca="true" t="shared" si="33" ref="G453:H457">G454</f>
        <v>52346838.339999996</v>
      </c>
      <c r="H453" s="46">
        <f t="shared" si="33"/>
        <v>52206745.84</v>
      </c>
      <c r="I453" s="46">
        <f t="shared" si="25"/>
        <v>99.73</v>
      </c>
    </row>
    <row r="454" spans="1:9" ht="47.25">
      <c r="A454" s="90" t="s">
        <v>824</v>
      </c>
      <c r="B454" s="91" t="s">
        <v>79</v>
      </c>
      <c r="C454" s="91" t="s">
        <v>879</v>
      </c>
      <c r="D454" s="91" t="s">
        <v>875</v>
      </c>
      <c r="E454" s="91" t="s">
        <v>795</v>
      </c>
      <c r="F454" s="6"/>
      <c r="G454" s="46">
        <f t="shared" si="33"/>
        <v>52346838.339999996</v>
      </c>
      <c r="H454" s="46">
        <f t="shared" si="33"/>
        <v>52206745.84</v>
      </c>
      <c r="I454" s="46">
        <f t="shared" si="25"/>
        <v>99.73</v>
      </c>
    </row>
    <row r="455" spans="1:9" ht="110.25">
      <c r="A455" s="30" t="s">
        <v>765</v>
      </c>
      <c r="B455" s="6" t="s">
        <v>79</v>
      </c>
      <c r="C455" s="6" t="s">
        <v>879</v>
      </c>
      <c r="D455" s="6" t="s">
        <v>875</v>
      </c>
      <c r="E455" s="6" t="s">
        <v>766</v>
      </c>
      <c r="F455" s="6"/>
      <c r="G455" s="46">
        <f t="shared" si="33"/>
        <v>52346838.339999996</v>
      </c>
      <c r="H455" s="46">
        <f t="shared" si="33"/>
        <v>52206745.84</v>
      </c>
      <c r="I455" s="46">
        <f t="shared" si="25"/>
        <v>99.73</v>
      </c>
    </row>
    <row r="456" spans="1:9" ht="47.25">
      <c r="A456" s="5" t="s">
        <v>673</v>
      </c>
      <c r="B456" s="6" t="s">
        <v>79</v>
      </c>
      <c r="C456" s="6" t="s">
        <v>879</v>
      </c>
      <c r="D456" s="6" t="s">
        <v>875</v>
      </c>
      <c r="E456" s="6" t="s">
        <v>766</v>
      </c>
      <c r="F456" s="6" t="s">
        <v>674</v>
      </c>
      <c r="G456" s="46">
        <f t="shared" si="33"/>
        <v>52346838.339999996</v>
      </c>
      <c r="H456" s="46">
        <f t="shared" si="33"/>
        <v>52206745.84</v>
      </c>
      <c r="I456" s="46">
        <f aca="true" t="shared" si="34" ref="I456:I519">ROUND(H456/G456*100,2)</f>
        <v>99.73</v>
      </c>
    </row>
    <row r="457" spans="1:9" ht="47.25">
      <c r="A457" s="5" t="s">
        <v>675</v>
      </c>
      <c r="B457" s="6" t="s">
        <v>79</v>
      </c>
      <c r="C457" s="6" t="s">
        <v>879</v>
      </c>
      <c r="D457" s="6" t="s">
        <v>875</v>
      </c>
      <c r="E457" s="6" t="s">
        <v>766</v>
      </c>
      <c r="F457" s="6" t="s">
        <v>676</v>
      </c>
      <c r="G457" s="46">
        <f t="shared" si="33"/>
        <v>52346838.339999996</v>
      </c>
      <c r="H457" s="46">
        <f t="shared" si="33"/>
        <v>52206745.84</v>
      </c>
      <c r="I457" s="46">
        <f t="shared" si="34"/>
        <v>99.73</v>
      </c>
    </row>
    <row r="458" spans="1:9" ht="47.25">
      <c r="A458" s="5" t="s">
        <v>677</v>
      </c>
      <c r="B458" s="6" t="s">
        <v>79</v>
      </c>
      <c r="C458" s="6" t="s">
        <v>879</v>
      </c>
      <c r="D458" s="6" t="s">
        <v>875</v>
      </c>
      <c r="E458" s="6" t="s">
        <v>766</v>
      </c>
      <c r="F458" s="6" t="s">
        <v>678</v>
      </c>
      <c r="G458" s="46">
        <f>48323780+367035.29+272201+362124+3021698.05</f>
        <v>52346838.339999996</v>
      </c>
      <c r="H458" s="46">
        <v>52206745.84</v>
      </c>
      <c r="I458" s="46">
        <f t="shared" si="34"/>
        <v>99.73</v>
      </c>
    </row>
    <row r="459" spans="1:9" ht="15.75">
      <c r="A459" s="1" t="s">
        <v>634</v>
      </c>
      <c r="B459" s="2" t="s">
        <v>79</v>
      </c>
      <c r="C459" s="2" t="s">
        <v>879</v>
      </c>
      <c r="D459" s="2" t="s">
        <v>877</v>
      </c>
      <c r="E459" s="2"/>
      <c r="F459" s="2"/>
      <c r="G459" s="50">
        <f aca="true" t="shared" si="35" ref="G459:H464">G460</f>
        <v>2494619</v>
      </c>
      <c r="H459" s="50">
        <f t="shared" si="35"/>
        <v>2391050.48</v>
      </c>
      <c r="I459" s="50">
        <f t="shared" si="34"/>
        <v>95.85</v>
      </c>
    </row>
    <row r="460" spans="1:9" ht="47.25">
      <c r="A460" s="5" t="s">
        <v>922</v>
      </c>
      <c r="B460" s="6" t="s">
        <v>79</v>
      </c>
      <c r="C460" s="6" t="s">
        <v>879</v>
      </c>
      <c r="D460" s="6" t="s">
        <v>877</v>
      </c>
      <c r="E460" s="6" t="s">
        <v>923</v>
      </c>
      <c r="F460" s="6"/>
      <c r="G460" s="46">
        <f t="shared" si="35"/>
        <v>2494619</v>
      </c>
      <c r="H460" s="46">
        <f t="shared" si="35"/>
        <v>2391050.48</v>
      </c>
      <c r="I460" s="46">
        <f t="shared" si="34"/>
        <v>95.85</v>
      </c>
    </row>
    <row r="461" spans="1:9" ht="47.25">
      <c r="A461" s="90" t="s">
        <v>824</v>
      </c>
      <c r="B461" s="91" t="s">
        <v>79</v>
      </c>
      <c r="C461" s="91" t="s">
        <v>879</v>
      </c>
      <c r="D461" s="91" t="s">
        <v>877</v>
      </c>
      <c r="E461" s="91" t="s">
        <v>795</v>
      </c>
      <c r="F461" s="6"/>
      <c r="G461" s="46">
        <f t="shared" si="35"/>
        <v>2494619</v>
      </c>
      <c r="H461" s="46">
        <f t="shared" si="35"/>
        <v>2391050.48</v>
      </c>
      <c r="I461" s="46">
        <f t="shared" si="34"/>
        <v>95.85</v>
      </c>
    </row>
    <row r="462" spans="1:9" ht="141.75">
      <c r="A462" s="3" t="s">
        <v>825</v>
      </c>
      <c r="B462" s="6" t="s">
        <v>79</v>
      </c>
      <c r="C462" s="6" t="s">
        <v>879</v>
      </c>
      <c r="D462" s="6" t="s">
        <v>877</v>
      </c>
      <c r="E462" s="6" t="s">
        <v>826</v>
      </c>
      <c r="F462" s="6"/>
      <c r="G462" s="46">
        <f t="shared" si="35"/>
        <v>2494619</v>
      </c>
      <c r="H462" s="46">
        <f t="shared" si="35"/>
        <v>2391050.48</v>
      </c>
      <c r="I462" s="46">
        <f t="shared" si="34"/>
        <v>95.85</v>
      </c>
    </row>
    <row r="463" spans="1:9" ht="47.25">
      <c r="A463" s="3" t="s">
        <v>673</v>
      </c>
      <c r="B463" s="6" t="s">
        <v>79</v>
      </c>
      <c r="C463" s="6" t="s">
        <v>879</v>
      </c>
      <c r="D463" s="6" t="s">
        <v>877</v>
      </c>
      <c r="E463" s="6" t="s">
        <v>826</v>
      </c>
      <c r="F463" s="6" t="s">
        <v>674</v>
      </c>
      <c r="G463" s="46">
        <f t="shared" si="35"/>
        <v>2494619</v>
      </c>
      <c r="H463" s="46">
        <f t="shared" si="35"/>
        <v>2391050.48</v>
      </c>
      <c r="I463" s="46">
        <f t="shared" si="34"/>
        <v>95.85</v>
      </c>
    </row>
    <row r="464" spans="1:9" ht="47.25">
      <c r="A464" s="3" t="s">
        <v>675</v>
      </c>
      <c r="B464" s="6" t="s">
        <v>79</v>
      </c>
      <c r="C464" s="6" t="s">
        <v>879</v>
      </c>
      <c r="D464" s="6" t="s">
        <v>877</v>
      </c>
      <c r="E464" s="6" t="s">
        <v>826</v>
      </c>
      <c r="F464" s="6" t="s">
        <v>676</v>
      </c>
      <c r="G464" s="46">
        <f t="shared" si="35"/>
        <v>2494619</v>
      </c>
      <c r="H464" s="46">
        <f t="shared" si="35"/>
        <v>2391050.48</v>
      </c>
      <c r="I464" s="46">
        <f t="shared" si="34"/>
        <v>95.85</v>
      </c>
    </row>
    <row r="465" spans="1:9" ht="78.75">
      <c r="A465" s="15" t="s">
        <v>679</v>
      </c>
      <c r="B465" s="9" t="s">
        <v>79</v>
      </c>
      <c r="C465" s="9" t="s">
        <v>879</v>
      </c>
      <c r="D465" s="9" t="s">
        <v>877</v>
      </c>
      <c r="E465" s="9" t="s">
        <v>826</v>
      </c>
      <c r="F465" s="9" t="s">
        <v>680</v>
      </c>
      <c r="G465" s="48">
        <f>2353000+845490-50000-50000-368145-11072-14050-183125-3499-23980</f>
        <v>2494619</v>
      </c>
      <c r="H465" s="48">
        <v>2391050.48</v>
      </c>
      <c r="I465" s="48">
        <f t="shared" si="34"/>
        <v>95.85</v>
      </c>
    </row>
    <row r="466" spans="1:9" ht="47.25">
      <c r="A466" s="1" t="s">
        <v>894</v>
      </c>
      <c r="B466" s="2" t="s">
        <v>79</v>
      </c>
      <c r="C466" s="2" t="s">
        <v>879</v>
      </c>
      <c r="D466" s="2" t="s">
        <v>643</v>
      </c>
      <c r="E466" s="2"/>
      <c r="F466" s="2"/>
      <c r="G466" s="50">
        <f>G467+G472</f>
        <v>9455468.7</v>
      </c>
      <c r="H466" s="50">
        <f>H467+H472</f>
        <v>9419376.120000001</v>
      </c>
      <c r="I466" s="50">
        <f t="shared" si="34"/>
        <v>99.62</v>
      </c>
    </row>
    <row r="467" spans="1:9" ht="63">
      <c r="A467" s="5" t="s">
        <v>456</v>
      </c>
      <c r="B467" s="4" t="s">
        <v>79</v>
      </c>
      <c r="C467" s="6" t="s">
        <v>879</v>
      </c>
      <c r="D467" s="6" t="s">
        <v>643</v>
      </c>
      <c r="E467" s="6" t="s">
        <v>457</v>
      </c>
      <c r="F467" s="6"/>
      <c r="G467" s="46">
        <f aca="true" t="shared" si="36" ref="G467:H470">G468</f>
        <v>1738650</v>
      </c>
      <c r="H467" s="46">
        <f t="shared" si="36"/>
        <v>1738650</v>
      </c>
      <c r="I467" s="46">
        <f t="shared" si="34"/>
        <v>100</v>
      </c>
    </row>
    <row r="468" spans="1:9" ht="47.25">
      <c r="A468" s="5" t="s">
        <v>449</v>
      </c>
      <c r="B468" s="6" t="s">
        <v>79</v>
      </c>
      <c r="C468" s="6" t="s">
        <v>879</v>
      </c>
      <c r="D468" s="6" t="s">
        <v>643</v>
      </c>
      <c r="E468" s="6" t="s">
        <v>450</v>
      </c>
      <c r="F468" s="6"/>
      <c r="G468" s="46">
        <f t="shared" si="36"/>
        <v>1738650</v>
      </c>
      <c r="H468" s="46">
        <f t="shared" si="36"/>
        <v>1738650</v>
      </c>
      <c r="I468" s="46">
        <f t="shared" si="34"/>
        <v>100</v>
      </c>
    </row>
    <row r="469" spans="1:9" ht="47.25">
      <c r="A469" s="5" t="s">
        <v>673</v>
      </c>
      <c r="B469" s="6" t="s">
        <v>79</v>
      </c>
      <c r="C469" s="6" t="s">
        <v>879</v>
      </c>
      <c r="D469" s="6" t="s">
        <v>643</v>
      </c>
      <c r="E469" s="6" t="s">
        <v>450</v>
      </c>
      <c r="F469" s="6" t="s">
        <v>674</v>
      </c>
      <c r="G469" s="46">
        <f t="shared" si="36"/>
        <v>1738650</v>
      </c>
      <c r="H469" s="46">
        <f t="shared" si="36"/>
        <v>1738650</v>
      </c>
      <c r="I469" s="46">
        <f t="shared" si="34"/>
        <v>100</v>
      </c>
    </row>
    <row r="470" spans="1:9" ht="47.25">
      <c r="A470" s="5" t="s">
        <v>675</v>
      </c>
      <c r="B470" s="6" t="s">
        <v>79</v>
      </c>
      <c r="C470" s="6" t="s">
        <v>879</v>
      </c>
      <c r="D470" s="6" t="s">
        <v>643</v>
      </c>
      <c r="E470" s="6" t="s">
        <v>450</v>
      </c>
      <c r="F470" s="6" t="s">
        <v>676</v>
      </c>
      <c r="G470" s="46">
        <f t="shared" si="36"/>
        <v>1738650</v>
      </c>
      <c r="H470" s="46">
        <f t="shared" si="36"/>
        <v>1738650</v>
      </c>
      <c r="I470" s="46">
        <f t="shared" si="34"/>
        <v>100</v>
      </c>
    </row>
    <row r="471" spans="1:9" ht="47.25">
      <c r="A471" s="5" t="s">
        <v>677</v>
      </c>
      <c r="B471" s="6" t="s">
        <v>79</v>
      </c>
      <c r="C471" s="6" t="s">
        <v>879</v>
      </c>
      <c r="D471" s="6" t="s">
        <v>643</v>
      </c>
      <c r="E471" s="6" t="s">
        <v>450</v>
      </c>
      <c r="F471" s="6" t="s">
        <v>678</v>
      </c>
      <c r="G471" s="46">
        <f>2192000-300000-153350</f>
        <v>1738650</v>
      </c>
      <c r="H471" s="46">
        <v>1738650</v>
      </c>
      <c r="I471" s="46">
        <f t="shared" si="34"/>
        <v>100</v>
      </c>
    </row>
    <row r="472" spans="1:9" ht="47.25">
      <c r="A472" s="1" t="s">
        <v>922</v>
      </c>
      <c r="B472" s="2" t="s">
        <v>79</v>
      </c>
      <c r="C472" s="2" t="s">
        <v>879</v>
      </c>
      <c r="D472" s="2" t="s">
        <v>643</v>
      </c>
      <c r="E472" s="2" t="s">
        <v>923</v>
      </c>
      <c r="F472" s="2"/>
      <c r="G472" s="50">
        <f>G473</f>
        <v>7716818.7</v>
      </c>
      <c r="H472" s="50">
        <f>H473</f>
        <v>7680726.12</v>
      </c>
      <c r="I472" s="50">
        <f t="shared" si="34"/>
        <v>99.53</v>
      </c>
    </row>
    <row r="473" spans="1:9" ht="47.25">
      <c r="A473" s="90" t="s">
        <v>816</v>
      </c>
      <c r="B473" s="91" t="s">
        <v>79</v>
      </c>
      <c r="C473" s="91" t="s">
        <v>879</v>
      </c>
      <c r="D473" s="91" t="s">
        <v>643</v>
      </c>
      <c r="E473" s="91" t="s">
        <v>650</v>
      </c>
      <c r="F473" s="6"/>
      <c r="G473" s="46">
        <f>G474</f>
        <v>7716818.7</v>
      </c>
      <c r="H473" s="46">
        <f>H474</f>
        <v>7680726.12</v>
      </c>
      <c r="I473" s="46">
        <f t="shared" si="34"/>
        <v>99.53</v>
      </c>
    </row>
    <row r="474" spans="1:9" ht="157.5">
      <c r="A474" s="5" t="s">
        <v>585</v>
      </c>
      <c r="B474" s="6" t="s">
        <v>79</v>
      </c>
      <c r="C474" s="6" t="s">
        <v>879</v>
      </c>
      <c r="D474" s="6" t="s">
        <v>643</v>
      </c>
      <c r="E474" s="6" t="s">
        <v>833</v>
      </c>
      <c r="F474" s="6"/>
      <c r="G474" s="46">
        <f>G475+G479+G483</f>
        <v>7716818.7</v>
      </c>
      <c r="H474" s="46">
        <f>H475+H479+H483</f>
        <v>7680726.12</v>
      </c>
      <c r="I474" s="46">
        <f t="shared" si="34"/>
        <v>99.53</v>
      </c>
    </row>
    <row r="475" spans="1:9" ht="157.5">
      <c r="A475" s="3" t="s">
        <v>663</v>
      </c>
      <c r="B475" s="6" t="s">
        <v>79</v>
      </c>
      <c r="C475" s="6" t="s">
        <v>879</v>
      </c>
      <c r="D475" s="6" t="s">
        <v>643</v>
      </c>
      <c r="E475" s="6" t="s">
        <v>833</v>
      </c>
      <c r="F475" s="6" t="s">
        <v>664</v>
      </c>
      <c r="G475" s="46">
        <f>G476</f>
        <v>6993506.48</v>
      </c>
      <c r="H475" s="46">
        <f>H476</f>
        <v>6993506.48</v>
      </c>
      <c r="I475" s="46">
        <f t="shared" si="34"/>
        <v>100</v>
      </c>
    </row>
    <row r="476" spans="1:9" ht="47.25">
      <c r="A476" s="3" t="s">
        <v>725</v>
      </c>
      <c r="B476" s="6" t="s">
        <v>79</v>
      </c>
      <c r="C476" s="6" t="s">
        <v>879</v>
      </c>
      <c r="D476" s="6" t="s">
        <v>643</v>
      </c>
      <c r="E476" s="6" t="s">
        <v>833</v>
      </c>
      <c r="F476" s="6" t="s">
        <v>726</v>
      </c>
      <c r="G476" s="46">
        <f>G477+G478</f>
        <v>6993506.48</v>
      </c>
      <c r="H476" s="46">
        <f>H477+H478</f>
        <v>6993506.48</v>
      </c>
      <c r="I476" s="46">
        <f t="shared" si="34"/>
        <v>100</v>
      </c>
    </row>
    <row r="477" spans="1:9" ht="31.5">
      <c r="A477" s="3" t="s">
        <v>669</v>
      </c>
      <c r="B477" s="6" t="s">
        <v>79</v>
      </c>
      <c r="C477" s="6" t="s">
        <v>879</v>
      </c>
      <c r="D477" s="6" t="s">
        <v>643</v>
      </c>
      <c r="E477" s="6" t="s">
        <v>833</v>
      </c>
      <c r="F477" s="6" t="s">
        <v>727</v>
      </c>
      <c r="G477" s="46">
        <f>4988770+1506610-60000+317926.74+75885.99+19286.47</f>
        <v>6848479.2</v>
      </c>
      <c r="H477" s="46">
        <v>6848479.2</v>
      </c>
      <c r="I477" s="46">
        <f t="shared" si="34"/>
        <v>100</v>
      </c>
    </row>
    <row r="478" spans="1:9" ht="47.25">
      <c r="A478" s="3" t="s">
        <v>671</v>
      </c>
      <c r="B478" s="6" t="s">
        <v>79</v>
      </c>
      <c r="C478" s="6" t="s">
        <v>879</v>
      </c>
      <c r="D478" s="6" t="s">
        <v>643</v>
      </c>
      <c r="E478" s="6" t="s">
        <v>833</v>
      </c>
      <c r="F478" s="6" t="s">
        <v>728</v>
      </c>
      <c r="G478" s="46">
        <f>127350+4560+1144.2+4000+60000-12302.72-39000-724.2</f>
        <v>145027.28</v>
      </c>
      <c r="H478" s="46">
        <v>145027.28</v>
      </c>
      <c r="I478" s="46">
        <f t="shared" si="34"/>
        <v>100</v>
      </c>
    </row>
    <row r="479" spans="1:9" ht="47.25">
      <c r="A479" s="3" t="s">
        <v>673</v>
      </c>
      <c r="B479" s="6" t="s">
        <v>79</v>
      </c>
      <c r="C479" s="6" t="s">
        <v>879</v>
      </c>
      <c r="D479" s="6" t="s">
        <v>643</v>
      </c>
      <c r="E479" s="6" t="s">
        <v>833</v>
      </c>
      <c r="F479" s="6" t="s">
        <v>674</v>
      </c>
      <c r="G479" s="46">
        <f>G480</f>
        <v>625095.8</v>
      </c>
      <c r="H479" s="46">
        <f>H480</f>
        <v>625095.8</v>
      </c>
      <c r="I479" s="46">
        <f t="shared" si="34"/>
        <v>100</v>
      </c>
    </row>
    <row r="480" spans="1:9" ht="47.25">
      <c r="A480" s="3" t="s">
        <v>675</v>
      </c>
      <c r="B480" s="6" t="s">
        <v>79</v>
      </c>
      <c r="C480" s="6" t="s">
        <v>879</v>
      </c>
      <c r="D480" s="6" t="s">
        <v>643</v>
      </c>
      <c r="E480" s="6" t="s">
        <v>833</v>
      </c>
      <c r="F480" s="6" t="s">
        <v>676</v>
      </c>
      <c r="G480" s="46">
        <f>G481+G482</f>
        <v>625095.8</v>
      </c>
      <c r="H480" s="46">
        <f>H481+H482</f>
        <v>625095.8</v>
      </c>
      <c r="I480" s="46">
        <f t="shared" si="34"/>
        <v>100</v>
      </c>
    </row>
    <row r="481" spans="1:9" ht="78.75">
      <c r="A481" s="3" t="s">
        <v>679</v>
      </c>
      <c r="B481" s="6" t="s">
        <v>79</v>
      </c>
      <c r="C481" s="6" t="s">
        <v>879</v>
      </c>
      <c r="D481" s="6" t="s">
        <v>643</v>
      </c>
      <c r="E481" s="6" t="s">
        <v>833</v>
      </c>
      <c r="F481" s="6" t="s">
        <v>680</v>
      </c>
      <c r="G481" s="46">
        <f>53800+16640.66</f>
        <v>70440.66</v>
      </c>
      <c r="H481" s="46">
        <v>70440.66</v>
      </c>
      <c r="I481" s="46">
        <f t="shared" si="34"/>
        <v>100</v>
      </c>
    </row>
    <row r="482" spans="1:9" ht="47.25">
      <c r="A482" s="3" t="s">
        <v>677</v>
      </c>
      <c r="B482" s="6" t="s">
        <v>79</v>
      </c>
      <c r="C482" s="6" t="s">
        <v>879</v>
      </c>
      <c r="D482" s="6" t="s">
        <v>643</v>
      </c>
      <c r="E482" s="6" t="s">
        <v>833</v>
      </c>
      <c r="F482" s="6" t="s">
        <v>678</v>
      </c>
      <c r="G482" s="46">
        <f>745820-50000-4560-100000-1144.2-4000-16763-14697.66</f>
        <v>554655.14</v>
      </c>
      <c r="H482" s="46">
        <v>554655.14</v>
      </c>
      <c r="I482" s="46">
        <f t="shared" si="34"/>
        <v>100</v>
      </c>
    </row>
    <row r="483" spans="1:9" ht="31.5">
      <c r="A483" s="90" t="s">
        <v>557</v>
      </c>
      <c r="B483" s="6" t="s">
        <v>79</v>
      </c>
      <c r="C483" s="6" t="s">
        <v>879</v>
      </c>
      <c r="D483" s="6" t="s">
        <v>643</v>
      </c>
      <c r="E483" s="6" t="s">
        <v>833</v>
      </c>
      <c r="F483" s="91" t="s">
        <v>683</v>
      </c>
      <c r="G483" s="46">
        <f>G484</f>
        <v>98216.42</v>
      </c>
      <c r="H483" s="46">
        <f>H484</f>
        <v>62123.84</v>
      </c>
      <c r="I483" s="46">
        <f t="shared" si="34"/>
        <v>63.25</v>
      </c>
    </row>
    <row r="484" spans="1:9" ht="78.75">
      <c r="A484" s="90" t="s">
        <v>729</v>
      </c>
      <c r="B484" s="6" t="s">
        <v>79</v>
      </c>
      <c r="C484" s="6" t="s">
        <v>879</v>
      </c>
      <c r="D484" s="6" t="s">
        <v>643</v>
      </c>
      <c r="E484" s="6" t="s">
        <v>833</v>
      </c>
      <c r="F484" s="91" t="s">
        <v>730</v>
      </c>
      <c r="G484" s="46">
        <f>G486+G485</f>
        <v>98216.42</v>
      </c>
      <c r="H484" s="46">
        <f>H486+H485</f>
        <v>62123.84</v>
      </c>
      <c r="I484" s="46">
        <f t="shared" si="34"/>
        <v>63.25</v>
      </c>
    </row>
    <row r="485" spans="1:9" ht="47.25">
      <c r="A485" s="90" t="s">
        <v>607</v>
      </c>
      <c r="B485" s="6" t="s">
        <v>79</v>
      </c>
      <c r="C485" s="6" t="s">
        <v>879</v>
      </c>
      <c r="D485" s="6" t="s">
        <v>643</v>
      </c>
      <c r="E485" s="6" t="s">
        <v>833</v>
      </c>
      <c r="F485" s="91" t="s">
        <v>608</v>
      </c>
      <c r="G485" s="46">
        <v>16763</v>
      </c>
      <c r="H485" s="46">
        <v>16763</v>
      </c>
      <c r="I485" s="46">
        <f t="shared" si="34"/>
        <v>100</v>
      </c>
    </row>
    <row r="486" spans="1:9" ht="47.25">
      <c r="A486" s="90" t="s">
        <v>731</v>
      </c>
      <c r="B486" s="6" t="s">
        <v>79</v>
      </c>
      <c r="C486" s="6" t="s">
        <v>879</v>
      </c>
      <c r="D486" s="6" t="s">
        <v>643</v>
      </c>
      <c r="E486" s="6" t="s">
        <v>833</v>
      </c>
      <c r="F486" s="91" t="s">
        <v>732</v>
      </c>
      <c r="G486" s="46">
        <f>50000+100000-8926.75-59619.83</f>
        <v>81453.42</v>
      </c>
      <c r="H486" s="46">
        <v>45360.84</v>
      </c>
      <c r="I486" s="46">
        <f t="shared" si="34"/>
        <v>55.69</v>
      </c>
    </row>
    <row r="487" spans="1:9" ht="56.25">
      <c r="A487" s="13" t="s">
        <v>878</v>
      </c>
      <c r="B487" s="14" t="s">
        <v>79</v>
      </c>
      <c r="C487" s="14" t="s">
        <v>871</v>
      </c>
      <c r="D487" s="14"/>
      <c r="E487" s="14"/>
      <c r="F487" s="14"/>
      <c r="G487" s="49">
        <f>G488+G542+G572+G590</f>
        <v>270433237.37</v>
      </c>
      <c r="H487" s="49">
        <f>H488+H542+H572+H590</f>
        <v>260856632.31</v>
      </c>
      <c r="I487" s="49">
        <f t="shared" si="34"/>
        <v>96.46</v>
      </c>
    </row>
    <row r="488" spans="1:9" ht="37.5">
      <c r="A488" s="11" t="s">
        <v>884</v>
      </c>
      <c r="B488" s="12" t="s">
        <v>79</v>
      </c>
      <c r="C488" s="12" t="s">
        <v>871</v>
      </c>
      <c r="D488" s="12" t="s">
        <v>869</v>
      </c>
      <c r="E488" s="12"/>
      <c r="F488" s="12"/>
      <c r="G488" s="63">
        <f>G508+G493+G489</f>
        <v>59274859.58</v>
      </c>
      <c r="H488" s="63">
        <f>H508+H493+H489</f>
        <v>50361201.68</v>
      </c>
      <c r="I488" s="63">
        <f t="shared" si="34"/>
        <v>84.96</v>
      </c>
    </row>
    <row r="489" spans="1:9" ht="126">
      <c r="A489" s="1" t="s">
        <v>706</v>
      </c>
      <c r="B489" s="2" t="s">
        <v>79</v>
      </c>
      <c r="C489" s="2" t="s">
        <v>871</v>
      </c>
      <c r="D489" s="2" t="s">
        <v>869</v>
      </c>
      <c r="E489" s="2" t="s">
        <v>709</v>
      </c>
      <c r="F489" s="2"/>
      <c r="G489" s="50">
        <f aca="true" t="shared" si="37" ref="G489:H491">G490</f>
        <v>10318685.66</v>
      </c>
      <c r="H489" s="50">
        <f t="shared" si="37"/>
        <v>10313950.15</v>
      </c>
      <c r="I489" s="50">
        <f t="shared" si="34"/>
        <v>99.95</v>
      </c>
    </row>
    <row r="490" spans="1:9" ht="63">
      <c r="A490" s="5" t="s">
        <v>707</v>
      </c>
      <c r="B490" s="6" t="s">
        <v>79</v>
      </c>
      <c r="C490" s="6" t="s">
        <v>871</v>
      </c>
      <c r="D490" s="6" t="s">
        <v>869</v>
      </c>
      <c r="E490" s="6" t="s">
        <v>708</v>
      </c>
      <c r="F490" s="6"/>
      <c r="G490" s="46">
        <f t="shared" si="37"/>
        <v>10318685.66</v>
      </c>
      <c r="H490" s="46">
        <f t="shared" si="37"/>
        <v>10313950.15</v>
      </c>
      <c r="I490" s="46">
        <f t="shared" si="34"/>
        <v>99.95</v>
      </c>
    </row>
    <row r="491" spans="1:9" ht="31.5">
      <c r="A491" s="122" t="s">
        <v>557</v>
      </c>
      <c r="B491" s="6" t="s">
        <v>79</v>
      </c>
      <c r="C491" s="6" t="s">
        <v>871</v>
      </c>
      <c r="D491" s="6" t="s">
        <v>869</v>
      </c>
      <c r="E491" s="6" t="s">
        <v>708</v>
      </c>
      <c r="F491" s="6" t="s">
        <v>683</v>
      </c>
      <c r="G491" s="46">
        <f t="shared" si="37"/>
        <v>10318685.66</v>
      </c>
      <c r="H491" s="46">
        <f t="shared" si="37"/>
        <v>10313950.15</v>
      </c>
      <c r="I491" s="46">
        <f t="shared" si="34"/>
        <v>99.95</v>
      </c>
    </row>
    <row r="492" spans="1:9" ht="94.5">
      <c r="A492" s="30" t="s">
        <v>594</v>
      </c>
      <c r="B492" s="6" t="s">
        <v>79</v>
      </c>
      <c r="C492" s="6" t="s">
        <v>871</v>
      </c>
      <c r="D492" s="6" t="s">
        <v>869</v>
      </c>
      <c r="E492" s="6" t="s">
        <v>708</v>
      </c>
      <c r="F492" s="6" t="s">
        <v>684</v>
      </c>
      <c r="G492" s="46">
        <f>11229808-911122.34</f>
        <v>10318685.66</v>
      </c>
      <c r="H492" s="46">
        <v>10313950.15</v>
      </c>
      <c r="I492" s="46">
        <f t="shared" si="34"/>
        <v>99.95</v>
      </c>
    </row>
    <row r="493" spans="1:9" ht="31.5">
      <c r="A493" s="3" t="s">
        <v>554</v>
      </c>
      <c r="B493" s="6" t="s">
        <v>79</v>
      </c>
      <c r="C493" s="6" t="s">
        <v>871</v>
      </c>
      <c r="D493" s="6" t="s">
        <v>869</v>
      </c>
      <c r="E493" s="6" t="s">
        <v>932</v>
      </c>
      <c r="F493" s="12"/>
      <c r="G493" s="63">
        <f>G494+G503</f>
        <v>7958983.02</v>
      </c>
      <c r="H493" s="63">
        <f>H494+H503</f>
        <v>2266154.6199999996</v>
      </c>
      <c r="I493" s="63">
        <f t="shared" si="34"/>
        <v>28.47</v>
      </c>
    </row>
    <row r="494" spans="1:9" ht="141.75">
      <c r="A494" s="5" t="s">
        <v>87</v>
      </c>
      <c r="B494" s="6" t="s">
        <v>79</v>
      </c>
      <c r="C494" s="6" t="s">
        <v>871</v>
      </c>
      <c r="D494" s="6" t="s">
        <v>869</v>
      </c>
      <c r="E494" s="6" t="s">
        <v>88</v>
      </c>
      <c r="F494" s="6"/>
      <c r="G494" s="46">
        <f>G495+G499</f>
        <v>2370067.5199999996</v>
      </c>
      <c r="H494" s="46">
        <f>H495+H499</f>
        <v>2030108.8399999999</v>
      </c>
      <c r="I494" s="46">
        <f t="shared" si="34"/>
        <v>85.66</v>
      </c>
    </row>
    <row r="495" spans="1:9" ht="126">
      <c r="A495" s="5" t="s">
        <v>850</v>
      </c>
      <c r="B495" s="6" t="s">
        <v>79</v>
      </c>
      <c r="C495" s="6" t="s">
        <v>871</v>
      </c>
      <c r="D495" s="6" t="s">
        <v>869</v>
      </c>
      <c r="E495" s="6" t="s">
        <v>90</v>
      </c>
      <c r="F495" s="6"/>
      <c r="G495" s="46">
        <f aca="true" t="shared" si="38" ref="G495:H497">G496</f>
        <v>1165891.8199999998</v>
      </c>
      <c r="H495" s="46">
        <f t="shared" si="38"/>
        <v>825933.14</v>
      </c>
      <c r="I495" s="46">
        <f t="shared" si="34"/>
        <v>70.84</v>
      </c>
    </row>
    <row r="496" spans="1:9" ht="31.5">
      <c r="A496" s="5" t="s">
        <v>595</v>
      </c>
      <c r="B496" s="6" t="s">
        <v>79</v>
      </c>
      <c r="C496" s="6" t="s">
        <v>871</v>
      </c>
      <c r="D496" s="6" t="s">
        <v>869</v>
      </c>
      <c r="E496" s="6" t="s">
        <v>90</v>
      </c>
      <c r="F496" s="6" t="s">
        <v>596</v>
      </c>
      <c r="G496" s="46">
        <f t="shared" si="38"/>
        <v>1165891.8199999998</v>
      </c>
      <c r="H496" s="46">
        <f t="shared" si="38"/>
        <v>825933.14</v>
      </c>
      <c r="I496" s="46">
        <f t="shared" si="34"/>
        <v>70.84</v>
      </c>
    </row>
    <row r="497" spans="1:9" ht="63">
      <c r="A497" s="5" t="s">
        <v>22</v>
      </c>
      <c r="B497" s="6" t="s">
        <v>79</v>
      </c>
      <c r="C497" s="6" t="s">
        <v>871</v>
      </c>
      <c r="D497" s="6" t="s">
        <v>869</v>
      </c>
      <c r="E497" s="6" t="s">
        <v>90</v>
      </c>
      <c r="F497" s="6" t="s">
        <v>23</v>
      </c>
      <c r="G497" s="46">
        <f t="shared" si="38"/>
        <v>1165891.8199999998</v>
      </c>
      <c r="H497" s="46">
        <f t="shared" si="38"/>
        <v>825933.14</v>
      </c>
      <c r="I497" s="46">
        <f t="shared" si="34"/>
        <v>70.84</v>
      </c>
    </row>
    <row r="498" spans="1:9" ht="78.75">
      <c r="A498" s="5" t="s">
        <v>691</v>
      </c>
      <c r="B498" s="6" t="s">
        <v>79</v>
      </c>
      <c r="C498" s="6" t="s">
        <v>871</v>
      </c>
      <c r="D498" s="6" t="s">
        <v>869</v>
      </c>
      <c r="E498" s="6" t="s">
        <v>90</v>
      </c>
      <c r="F498" s="6" t="s">
        <v>690</v>
      </c>
      <c r="G498" s="46">
        <f>822000+5972.82+337919</f>
        <v>1165891.8199999998</v>
      </c>
      <c r="H498" s="46">
        <v>825933.14</v>
      </c>
      <c r="I498" s="46">
        <f t="shared" si="34"/>
        <v>70.84</v>
      </c>
    </row>
    <row r="499" spans="1:9" ht="143.25" customHeight="1">
      <c r="A499" s="5" t="s">
        <v>705</v>
      </c>
      <c r="B499" s="6" t="s">
        <v>79</v>
      </c>
      <c r="C499" s="6" t="s">
        <v>871</v>
      </c>
      <c r="D499" s="6" t="s">
        <v>869</v>
      </c>
      <c r="E499" s="6" t="s">
        <v>851</v>
      </c>
      <c r="F499" s="6"/>
      <c r="G499" s="46">
        <f aca="true" t="shared" si="39" ref="G499:H501">G500</f>
        <v>1204175.7</v>
      </c>
      <c r="H499" s="46">
        <f t="shared" si="39"/>
        <v>1204175.7</v>
      </c>
      <c r="I499" s="46">
        <f t="shared" si="34"/>
        <v>100</v>
      </c>
    </row>
    <row r="500" spans="1:9" ht="47.25">
      <c r="A500" s="122" t="s">
        <v>673</v>
      </c>
      <c r="B500" s="6" t="s">
        <v>79</v>
      </c>
      <c r="C500" s="6" t="s">
        <v>871</v>
      </c>
      <c r="D500" s="6" t="s">
        <v>869</v>
      </c>
      <c r="E500" s="6" t="s">
        <v>851</v>
      </c>
      <c r="F500" s="6" t="s">
        <v>674</v>
      </c>
      <c r="G500" s="46">
        <f t="shared" si="39"/>
        <v>1204175.7</v>
      </c>
      <c r="H500" s="46">
        <f t="shared" si="39"/>
        <v>1204175.7</v>
      </c>
      <c r="I500" s="46">
        <f t="shared" si="34"/>
        <v>100</v>
      </c>
    </row>
    <row r="501" spans="1:9" ht="47.25">
      <c r="A501" s="122" t="s">
        <v>675</v>
      </c>
      <c r="B501" s="6" t="s">
        <v>79</v>
      </c>
      <c r="C501" s="6" t="s">
        <v>871</v>
      </c>
      <c r="D501" s="6" t="s">
        <v>869</v>
      </c>
      <c r="E501" s="6" t="s">
        <v>851</v>
      </c>
      <c r="F501" s="6" t="s">
        <v>676</v>
      </c>
      <c r="G501" s="46">
        <f t="shared" si="39"/>
        <v>1204175.7</v>
      </c>
      <c r="H501" s="46">
        <f t="shared" si="39"/>
        <v>1204175.7</v>
      </c>
      <c r="I501" s="46">
        <f t="shared" si="34"/>
        <v>100</v>
      </c>
    </row>
    <row r="502" spans="1:9" ht="47.25">
      <c r="A502" s="122" t="s">
        <v>677</v>
      </c>
      <c r="B502" s="6" t="s">
        <v>79</v>
      </c>
      <c r="C502" s="6" t="s">
        <v>871</v>
      </c>
      <c r="D502" s="6" t="s">
        <v>869</v>
      </c>
      <c r="E502" s="6" t="s">
        <v>851</v>
      </c>
      <c r="F502" s="6" t="s">
        <v>678</v>
      </c>
      <c r="G502" s="46">
        <f>1204175.7</f>
        <v>1204175.7</v>
      </c>
      <c r="H502" s="46">
        <v>1204175.7</v>
      </c>
      <c r="I502" s="46">
        <f t="shared" si="34"/>
        <v>100</v>
      </c>
    </row>
    <row r="503" spans="1:9" ht="226.5" customHeight="1">
      <c r="A503" s="122" t="s">
        <v>852</v>
      </c>
      <c r="B503" s="6" t="s">
        <v>79</v>
      </c>
      <c r="C503" s="6" t="s">
        <v>871</v>
      </c>
      <c r="D503" s="6" t="s">
        <v>869</v>
      </c>
      <c r="E503" s="6" t="s">
        <v>941</v>
      </c>
      <c r="F503" s="6"/>
      <c r="G503" s="46">
        <f aca="true" t="shared" si="40" ref="G503:H506">G504</f>
        <v>5588915.5</v>
      </c>
      <c r="H503" s="46">
        <f t="shared" si="40"/>
        <v>236045.78</v>
      </c>
      <c r="I503" s="46">
        <f t="shared" si="34"/>
        <v>4.22</v>
      </c>
    </row>
    <row r="504" spans="1:9" ht="31.5">
      <c r="A504" s="122" t="s">
        <v>476</v>
      </c>
      <c r="B504" s="6" t="s">
        <v>79</v>
      </c>
      <c r="C504" s="6" t="s">
        <v>871</v>
      </c>
      <c r="D504" s="6" t="s">
        <v>869</v>
      </c>
      <c r="E504" s="6" t="s">
        <v>622</v>
      </c>
      <c r="F504" s="6"/>
      <c r="G504" s="46">
        <f t="shared" si="40"/>
        <v>5588915.5</v>
      </c>
      <c r="H504" s="46">
        <f t="shared" si="40"/>
        <v>236045.78</v>
      </c>
      <c r="I504" s="46">
        <f t="shared" si="34"/>
        <v>4.22</v>
      </c>
    </row>
    <row r="505" spans="1:9" ht="47.25">
      <c r="A505" s="122" t="s">
        <v>673</v>
      </c>
      <c r="B505" s="6" t="s">
        <v>79</v>
      </c>
      <c r="C505" s="6" t="s">
        <v>871</v>
      </c>
      <c r="D505" s="6" t="s">
        <v>869</v>
      </c>
      <c r="E505" s="6" t="s">
        <v>622</v>
      </c>
      <c r="F505" s="6" t="s">
        <v>674</v>
      </c>
      <c r="G505" s="46">
        <f t="shared" si="40"/>
        <v>5588915.5</v>
      </c>
      <c r="H505" s="46">
        <f t="shared" si="40"/>
        <v>236045.78</v>
      </c>
      <c r="I505" s="46">
        <f t="shared" si="34"/>
        <v>4.22</v>
      </c>
    </row>
    <row r="506" spans="1:9" ht="47.25">
      <c r="A506" s="122" t="s">
        <v>675</v>
      </c>
      <c r="B506" s="6" t="s">
        <v>79</v>
      </c>
      <c r="C506" s="6" t="s">
        <v>871</v>
      </c>
      <c r="D506" s="6" t="s">
        <v>869</v>
      </c>
      <c r="E506" s="6" t="s">
        <v>622</v>
      </c>
      <c r="F506" s="6" t="s">
        <v>676</v>
      </c>
      <c r="G506" s="46">
        <f t="shared" si="40"/>
        <v>5588915.5</v>
      </c>
      <c r="H506" s="46">
        <f t="shared" si="40"/>
        <v>236045.78</v>
      </c>
      <c r="I506" s="46">
        <f t="shared" si="34"/>
        <v>4.22</v>
      </c>
    </row>
    <row r="507" spans="1:9" ht="47.25">
      <c r="A507" s="122" t="s">
        <v>677</v>
      </c>
      <c r="B507" s="6" t="s">
        <v>79</v>
      </c>
      <c r="C507" s="6" t="s">
        <v>871</v>
      </c>
      <c r="D507" s="6" t="s">
        <v>869</v>
      </c>
      <c r="E507" s="6" t="s">
        <v>622</v>
      </c>
      <c r="F507" s="6" t="s">
        <v>678</v>
      </c>
      <c r="G507" s="46">
        <f>5588915.5</f>
        <v>5588915.5</v>
      </c>
      <c r="H507" s="46">
        <v>236045.78</v>
      </c>
      <c r="I507" s="46">
        <f t="shared" si="34"/>
        <v>4.22</v>
      </c>
    </row>
    <row r="508" spans="1:9" ht="47.25">
      <c r="A508" s="1" t="s">
        <v>922</v>
      </c>
      <c r="B508" s="2" t="s">
        <v>79</v>
      </c>
      <c r="C508" s="2" t="s">
        <v>871</v>
      </c>
      <c r="D508" s="2" t="s">
        <v>869</v>
      </c>
      <c r="E508" s="2" t="s">
        <v>923</v>
      </c>
      <c r="F508" s="2"/>
      <c r="G508" s="50">
        <f>G520+G509</f>
        <v>40997190.900000006</v>
      </c>
      <c r="H508" s="50">
        <f>H520+H509</f>
        <v>37781096.910000004</v>
      </c>
      <c r="I508" s="50">
        <f t="shared" si="34"/>
        <v>92.16</v>
      </c>
    </row>
    <row r="509" spans="1:9" ht="47.25">
      <c r="A509" s="90" t="s">
        <v>824</v>
      </c>
      <c r="B509" s="6" t="s">
        <v>79</v>
      </c>
      <c r="C509" s="6" t="s">
        <v>871</v>
      </c>
      <c r="D509" s="6" t="s">
        <v>869</v>
      </c>
      <c r="E509" s="6" t="s">
        <v>795</v>
      </c>
      <c r="F509" s="6"/>
      <c r="G509" s="46">
        <f>G510</f>
        <v>12010452.930000002</v>
      </c>
      <c r="H509" s="46">
        <f>H510</f>
        <v>9387504.110000001</v>
      </c>
      <c r="I509" s="46">
        <f t="shared" si="34"/>
        <v>78.16</v>
      </c>
    </row>
    <row r="510" spans="1:9" ht="173.25">
      <c r="A510" s="5" t="s">
        <v>777</v>
      </c>
      <c r="B510" s="6" t="s">
        <v>79</v>
      </c>
      <c r="C510" s="6" t="s">
        <v>871</v>
      </c>
      <c r="D510" s="6" t="s">
        <v>869</v>
      </c>
      <c r="E510" s="157" t="s">
        <v>778</v>
      </c>
      <c r="F510" s="6"/>
      <c r="G510" s="46">
        <f>G511+G517+G514</f>
        <v>12010452.930000002</v>
      </c>
      <c r="H510" s="46">
        <f>H511+H517+H514</f>
        <v>9387504.110000001</v>
      </c>
      <c r="I510" s="46">
        <f t="shared" si="34"/>
        <v>78.16</v>
      </c>
    </row>
    <row r="511" spans="1:9" ht="47.25">
      <c r="A511" s="3" t="s">
        <v>673</v>
      </c>
      <c r="B511" s="6" t="s">
        <v>79</v>
      </c>
      <c r="C511" s="6" t="s">
        <v>871</v>
      </c>
      <c r="D511" s="6" t="s">
        <v>869</v>
      </c>
      <c r="E511" s="157" t="s">
        <v>778</v>
      </c>
      <c r="F511" s="6" t="s">
        <v>674</v>
      </c>
      <c r="G511" s="46">
        <f>G512</f>
        <v>11946332.870000001</v>
      </c>
      <c r="H511" s="46">
        <f>H512</f>
        <v>9340963.89</v>
      </c>
      <c r="I511" s="46">
        <f t="shared" si="34"/>
        <v>78.19</v>
      </c>
    </row>
    <row r="512" spans="1:9" ht="47.25">
      <c r="A512" s="3" t="s">
        <v>675</v>
      </c>
      <c r="B512" s="6" t="s">
        <v>79</v>
      </c>
      <c r="C512" s="6" t="s">
        <v>871</v>
      </c>
      <c r="D512" s="6" t="s">
        <v>869</v>
      </c>
      <c r="E512" s="157" t="s">
        <v>778</v>
      </c>
      <c r="F512" s="6" t="s">
        <v>676</v>
      </c>
      <c r="G512" s="46">
        <f>G513</f>
        <v>11946332.870000001</v>
      </c>
      <c r="H512" s="46">
        <f>H513</f>
        <v>9340963.89</v>
      </c>
      <c r="I512" s="46">
        <f t="shared" si="34"/>
        <v>78.19</v>
      </c>
    </row>
    <row r="513" spans="1:9" ht="47.25">
      <c r="A513" s="3" t="s">
        <v>677</v>
      </c>
      <c r="B513" s="6" t="s">
        <v>79</v>
      </c>
      <c r="C513" s="6" t="s">
        <v>871</v>
      </c>
      <c r="D513" s="6" t="s">
        <v>869</v>
      </c>
      <c r="E513" s="157" t="s">
        <v>778</v>
      </c>
      <c r="F513" s="6" t="s">
        <v>678</v>
      </c>
      <c r="G513" s="46">
        <f>16054608.92-314.36-44685.64-472201-335050-3021698.05-234327</f>
        <v>11946332.870000001</v>
      </c>
      <c r="H513" s="46">
        <v>9340963.89</v>
      </c>
      <c r="I513" s="46">
        <f t="shared" si="34"/>
        <v>78.19</v>
      </c>
    </row>
    <row r="514" spans="1:9" ht="31.5">
      <c r="A514" s="5" t="s">
        <v>595</v>
      </c>
      <c r="B514" s="6" t="s">
        <v>79</v>
      </c>
      <c r="C514" s="6" t="s">
        <v>871</v>
      </c>
      <c r="D514" s="6" t="s">
        <v>869</v>
      </c>
      <c r="E514" s="157" t="s">
        <v>778</v>
      </c>
      <c r="F514" s="6" t="s">
        <v>596</v>
      </c>
      <c r="G514" s="46">
        <f>G515</f>
        <v>61050</v>
      </c>
      <c r="H514" s="46">
        <f>H515</f>
        <v>43470.16</v>
      </c>
      <c r="I514" s="46">
        <f t="shared" si="34"/>
        <v>71.2</v>
      </c>
    </row>
    <row r="515" spans="1:9" ht="63">
      <c r="A515" s="5" t="s">
        <v>22</v>
      </c>
      <c r="B515" s="6" t="s">
        <v>79</v>
      </c>
      <c r="C515" s="6" t="s">
        <v>871</v>
      </c>
      <c r="D515" s="6" t="s">
        <v>869</v>
      </c>
      <c r="E515" s="157" t="s">
        <v>778</v>
      </c>
      <c r="F515" s="6" t="s">
        <v>23</v>
      </c>
      <c r="G515" s="46">
        <f>G516</f>
        <v>61050</v>
      </c>
      <c r="H515" s="46">
        <f>H516</f>
        <v>43470.16</v>
      </c>
      <c r="I515" s="46">
        <f t="shared" si="34"/>
        <v>71.2</v>
      </c>
    </row>
    <row r="516" spans="1:9" ht="78.75">
      <c r="A516" s="5" t="s">
        <v>691</v>
      </c>
      <c r="B516" s="6" t="s">
        <v>79</v>
      </c>
      <c r="C516" s="6" t="s">
        <v>871</v>
      </c>
      <c r="D516" s="6" t="s">
        <v>869</v>
      </c>
      <c r="E516" s="157" t="s">
        <v>778</v>
      </c>
      <c r="F516" s="6" t="s">
        <v>690</v>
      </c>
      <c r="G516" s="46">
        <f>314.36+44685.64+16050</f>
        <v>61050</v>
      </c>
      <c r="H516" s="46">
        <v>43470.16</v>
      </c>
      <c r="I516" s="46">
        <f t="shared" si="34"/>
        <v>71.2</v>
      </c>
    </row>
    <row r="517" spans="1:9" ht="31.5">
      <c r="A517" s="3" t="s">
        <v>557</v>
      </c>
      <c r="B517" s="6" t="s">
        <v>79</v>
      </c>
      <c r="C517" s="6" t="s">
        <v>871</v>
      </c>
      <c r="D517" s="6" t="s">
        <v>869</v>
      </c>
      <c r="E517" s="157" t="s">
        <v>778</v>
      </c>
      <c r="F517" s="6" t="s">
        <v>683</v>
      </c>
      <c r="G517" s="46">
        <f>G518</f>
        <v>3070.06</v>
      </c>
      <c r="H517" s="46">
        <f>H518</f>
        <v>3070.06</v>
      </c>
      <c r="I517" s="46">
        <f t="shared" si="34"/>
        <v>100</v>
      </c>
    </row>
    <row r="518" spans="1:9" ht="31.5">
      <c r="A518" s="3" t="s">
        <v>602</v>
      </c>
      <c r="B518" s="6" t="s">
        <v>79</v>
      </c>
      <c r="C518" s="6" t="s">
        <v>871</v>
      </c>
      <c r="D518" s="6" t="s">
        <v>869</v>
      </c>
      <c r="E518" s="157" t="s">
        <v>778</v>
      </c>
      <c r="F518" s="6" t="s">
        <v>603</v>
      </c>
      <c r="G518" s="46">
        <f>G519</f>
        <v>3070.06</v>
      </c>
      <c r="H518" s="46">
        <f>H519</f>
        <v>3070.06</v>
      </c>
      <c r="I518" s="46">
        <f t="shared" si="34"/>
        <v>100</v>
      </c>
    </row>
    <row r="519" spans="1:9" ht="262.5" customHeight="1">
      <c r="A519" s="3" t="s">
        <v>605</v>
      </c>
      <c r="B519" s="6" t="s">
        <v>79</v>
      </c>
      <c r="C519" s="6" t="s">
        <v>871</v>
      </c>
      <c r="D519" s="6" t="s">
        <v>869</v>
      </c>
      <c r="E519" s="157" t="s">
        <v>778</v>
      </c>
      <c r="F519" s="6" t="s">
        <v>606</v>
      </c>
      <c r="G519" s="46">
        <f>3070.06</f>
        <v>3070.06</v>
      </c>
      <c r="H519" s="46">
        <v>3070.06</v>
      </c>
      <c r="I519" s="46">
        <f t="shared" si="34"/>
        <v>100</v>
      </c>
    </row>
    <row r="520" spans="1:9" ht="47.25">
      <c r="A520" s="90" t="s">
        <v>816</v>
      </c>
      <c r="B520" s="91" t="s">
        <v>79</v>
      </c>
      <c r="C520" s="91" t="s">
        <v>871</v>
      </c>
      <c r="D520" s="91" t="s">
        <v>869</v>
      </c>
      <c r="E520" s="91" t="s">
        <v>650</v>
      </c>
      <c r="F520" s="2"/>
      <c r="G520" s="46">
        <f>G521</f>
        <v>28986737.970000003</v>
      </c>
      <c r="H520" s="46">
        <f>H521</f>
        <v>28393592.8</v>
      </c>
      <c r="I520" s="46">
        <f aca="true" t="shared" si="41" ref="I520:I583">ROUND(H520/G520*100,2)</f>
        <v>97.95</v>
      </c>
    </row>
    <row r="521" spans="1:9" ht="110.25">
      <c r="A521" s="5" t="s">
        <v>834</v>
      </c>
      <c r="B521" s="6" t="s">
        <v>79</v>
      </c>
      <c r="C521" s="6" t="s">
        <v>871</v>
      </c>
      <c r="D521" s="6" t="s">
        <v>869</v>
      </c>
      <c r="E521" s="6" t="s">
        <v>835</v>
      </c>
      <c r="F521" s="6"/>
      <c r="G521" s="46">
        <f>G522+G540</f>
        <v>28986737.970000003</v>
      </c>
      <c r="H521" s="46">
        <f>H522+H540</f>
        <v>28393592.8</v>
      </c>
      <c r="I521" s="46">
        <f t="shared" si="41"/>
        <v>97.95</v>
      </c>
    </row>
    <row r="522" spans="1:9" ht="47.25">
      <c r="A522" s="122" t="s">
        <v>673</v>
      </c>
      <c r="B522" s="6" t="s">
        <v>79</v>
      </c>
      <c r="C522" s="6" t="s">
        <v>871</v>
      </c>
      <c r="D522" s="6" t="s">
        <v>869</v>
      </c>
      <c r="E522" s="6" t="s">
        <v>835</v>
      </c>
      <c r="F522" s="6" t="s">
        <v>674</v>
      </c>
      <c r="G522" s="46">
        <f>G523</f>
        <v>17018960.360000003</v>
      </c>
      <c r="H522" s="46">
        <f>H523</f>
        <v>16529800.82</v>
      </c>
      <c r="I522" s="46">
        <f t="shared" si="41"/>
        <v>97.13</v>
      </c>
    </row>
    <row r="523" spans="1:9" ht="47.25">
      <c r="A523" s="122" t="s">
        <v>675</v>
      </c>
      <c r="B523" s="6" t="s">
        <v>79</v>
      </c>
      <c r="C523" s="6" t="s">
        <v>871</v>
      </c>
      <c r="D523" s="6" t="s">
        <v>869</v>
      </c>
      <c r="E523" s="6" t="s">
        <v>835</v>
      </c>
      <c r="F523" s="6" t="s">
        <v>676</v>
      </c>
      <c r="G523" s="46">
        <f>G524+G539</f>
        <v>17018960.360000003</v>
      </c>
      <c r="H523" s="46">
        <f>H524+H539</f>
        <v>16529800.82</v>
      </c>
      <c r="I523" s="46">
        <f t="shared" si="41"/>
        <v>97.13</v>
      </c>
    </row>
    <row r="524" spans="1:9" ht="83.25" customHeight="1">
      <c r="A524" s="5" t="s">
        <v>768</v>
      </c>
      <c r="B524" s="6" t="s">
        <v>79</v>
      </c>
      <c r="C524" s="6" t="s">
        <v>871</v>
      </c>
      <c r="D524" s="6" t="s">
        <v>869</v>
      </c>
      <c r="E524" s="6" t="s">
        <v>835</v>
      </c>
      <c r="F524" s="6" t="s">
        <v>770</v>
      </c>
      <c r="G524" s="46">
        <f>28732000-367035.29+245000+100000+2000000-11997777.61-107921.9-328181.21-365000-170000-652123.63-100000-1003825.15</f>
        <v>15985135.210000003</v>
      </c>
      <c r="H524" s="46">
        <v>15495975.67</v>
      </c>
      <c r="I524" s="46">
        <f t="shared" si="41"/>
        <v>96.94</v>
      </c>
    </row>
    <row r="525" spans="1:9" ht="31.5" customHeight="1" hidden="1">
      <c r="A525" s="5" t="s">
        <v>554</v>
      </c>
      <c r="B525" s="6" t="s">
        <v>79</v>
      </c>
      <c r="C525" s="6" t="s">
        <v>871</v>
      </c>
      <c r="D525" s="6" t="s">
        <v>869</v>
      </c>
      <c r="E525" s="6" t="s">
        <v>932</v>
      </c>
      <c r="F525" s="2"/>
      <c r="G525" s="46"/>
      <c r="H525" s="46"/>
      <c r="I525" s="46" t="e">
        <f t="shared" si="41"/>
        <v>#DIV/0!</v>
      </c>
    </row>
    <row r="526" spans="1:9" ht="141.75" customHeight="1" hidden="1">
      <c r="A526" s="98" t="s">
        <v>87</v>
      </c>
      <c r="B526" s="6" t="s">
        <v>79</v>
      </c>
      <c r="C526" s="6" t="s">
        <v>871</v>
      </c>
      <c r="D526" s="6" t="s">
        <v>869</v>
      </c>
      <c r="E526" s="6" t="s">
        <v>88</v>
      </c>
      <c r="F526" s="2"/>
      <c r="G526" s="46"/>
      <c r="H526" s="46"/>
      <c r="I526" s="46" t="e">
        <f t="shared" si="41"/>
        <v>#DIV/0!</v>
      </c>
    </row>
    <row r="527" spans="1:9" ht="126" customHeight="1" hidden="1">
      <c r="A527" s="98" t="s">
        <v>89</v>
      </c>
      <c r="B527" s="6" t="s">
        <v>79</v>
      </c>
      <c r="C527" s="6" t="s">
        <v>871</v>
      </c>
      <c r="D527" s="6" t="s">
        <v>869</v>
      </c>
      <c r="E527" s="6" t="s">
        <v>90</v>
      </c>
      <c r="F527" s="2"/>
      <c r="G527" s="46"/>
      <c r="H527" s="46"/>
      <c r="I527" s="46" t="e">
        <f t="shared" si="41"/>
        <v>#DIV/0!</v>
      </c>
    </row>
    <row r="528" spans="1:9" ht="47.25" customHeight="1" hidden="1">
      <c r="A528" s="122" t="s">
        <v>673</v>
      </c>
      <c r="B528" s="6" t="s">
        <v>79</v>
      </c>
      <c r="C528" s="6" t="s">
        <v>871</v>
      </c>
      <c r="D528" s="6" t="s">
        <v>869</v>
      </c>
      <c r="E528" s="6" t="s">
        <v>90</v>
      </c>
      <c r="F528" s="6" t="s">
        <v>674</v>
      </c>
      <c r="G528" s="46"/>
      <c r="H528" s="46"/>
      <c r="I528" s="46" t="e">
        <f t="shared" si="41"/>
        <v>#DIV/0!</v>
      </c>
    </row>
    <row r="529" spans="1:9" ht="47.25" customHeight="1" hidden="1">
      <c r="A529" s="122" t="s">
        <v>675</v>
      </c>
      <c r="B529" s="6" t="s">
        <v>79</v>
      </c>
      <c r="C529" s="6" t="s">
        <v>871</v>
      </c>
      <c r="D529" s="6" t="s">
        <v>869</v>
      </c>
      <c r="E529" s="6" t="s">
        <v>90</v>
      </c>
      <c r="F529" s="6" t="s">
        <v>676</v>
      </c>
      <c r="G529" s="46"/>
      <c r="H529" s="46"/>
      <c r="I529" s="46" t="e">
        <f t="shared" si="41"/>
        <v>#DIV/0!</v>
      </c>
    </row>
    <row r="530" spans="1:9" ht="47.25" customHeight="1" hidden="1">
      <c r="A530" s="122" t="s">
        <v>677</v>
      </c>
      <c r="B530" s="6" t="s">
        <v>79</v>
      </c>
      <c r="C530" s="6" t="s">
        <v>871</v>
      </c>
      <c r="D530" s="6" t="s">
        <v>869</v>
      </c>
      <c r="E530" s="6" t="s">
        <v>90</v>
      </c>
      <c r="F530" s="6" t="s">
        <v>678</v>
      </c>
      <c r="G530" s="46"/>
      <c r="H530" s="46"/>
      <c r="I530" s="46" t="e">
        <f t="shared" si="41"/>
        <v>#DIV/0!</v>
      </c>
    </row>
    <row r="531" spans="1:9" ht="236.25" customHeight="1" hidden="1">
      <c r="A531" s="122" t="s">
        <v>30</v>
      </c>
      <c r="B531" s="6" t="s">
        <v>79</v>
      </c>
      <c r="C531" s="6" t="s">
        <v>871</v>
      </c>
      <c r="D531" s="6" t="s">
        <v>869</v>
      </c>
      <c r="E531" s="6" t="s">
        <v>941</v>
      </c>
      <c r="F531" s="6"/>
      <c r="G531" s="46"/>
      <c r="H531" s="46"/>
      <c r="I531" s="46" t="e">
        <f t="shared" si="41"/>
        <v>#DIV/0!</v>
      </c>
    </row>
    <row r="532" spans="1:9" ht="47.25" customHeight="1" hidden="1">
      <c r="A532" s="122" t="s">
        <v>673</v>
      </c>
      <c r="B532" s="6" t="s">
        <v>79</v>
      </c>
      <c r="C532" s="6" t="s">
        <v>871</v>
      </c>
      <c r="D532" s="6" t="s">
        <v>869</v>
      </c>
      <c r="E532" s="6" t="s">
        <v>941</v>
      </c>
      <c r="F532" s="6" t="s">
        <v>674</v>
      </c>
      <c r="G532" s="46"/>
      <c r="H532" s="46"/>
      <c r="I532" s="46" t="e">
        <f t="shared" si="41"/>
        <v>#DIV/0!</v>
      </c>
    </row>
    <row r="533" spans="1:9" ht="47.25" customHeight="1" hidden="1">
      <c r="A533" s="122" t="s">
        <v>675</v>
      </c>
      <c r="B533" s="6" t="s">
        <v>79</v>
      </c>
      <c r="C533" s="6" t="s">
        <v>871</v>
      </c>
      <c r="D533" s="6" t="s">
        <v>869</v>
      </c>
      <c r="E533" s="6" t="s">
        <v>941</v>
      </c>
      <c r="F533" s="6" t="s">
        <v>676</v>
      </c>
      <c r="G533" s="46"/>
      <c r="H533" s="46"/>
      <c r="I533" s="46" t="e">
        <f t="shared" si="41"/>
        <v>#DIV/0!</v>
      </c>
    </row>
    <row r="534" spans="1:9" ht="47.25" customHeight="1" hidden="1">
      <c r="A534" s="122" t="s">
        <v>677</v>
      </c>
      <c r="B534" s="6" t="s">
        <v>79</v>
      </c>
      <c r="C534" s="6" t="s">
        <v>871</v>
      </c>
      <c r="D534" s="6" t="s">
        <v>869</v>
      </c>
      <c r="E534" s="6" t="s">
        <v>941</v>
      </c>
      <c r="F534" s="6" t="s">
        <v>678</v>
      </c>
      <c r="G534" s="46"/>
      <c r="H534" s="46"/>
      <c r="I534" s="46" t="e">
        <f t="shared" si="41"/>
        <v>#DIV/0!</v>
      </c>
    </row>
    <row r="535" spans="1:9" ht="31.5" customHeight="1" hidden="1">
      <c r="A535" s="5" t="s">
        <v>476</v>
      </c>
      <c r="B535" s="6" t="s">
        <v>79</v>
      </c>
      <c r="C535" s="6" t="s">
        <v>871</v>
      </c>
      <c r="D535" s="6" t="s">
        <v>869</v>
      </c>
      <c r="E535" s="6" t="s">
        <v>617</v>
      </c>
      <c r="F535" s="6"/>
      <c r="G535" s="46"/>
      <c r="H535" s="46"/>
      <c r="I535" s="46" t="e">
        <f t="shared" si="41"/>
        <v>#DIV/0!</v>
      </c>
    </row>
    <row r="536" spans="1:9" ht="47.25" customHeight="1" hidden="1">
      <c r="A536" s="122" t="s">
        <v>673</v>
      </c>
      <c r="B536" s="6" t="s">
        <v>79</v>
      </c>
      <c r="C536" s="6" t="s">
        <v>871</v>
      </c>
      <c r="D536" s="6" t="s">
        <v>869</v>
      </c>
      <c r="E536" s="6" t="s">
        <v>617</v>
      </c>
      <c r="F536" s="6" t="s">
        <v>674</v>
      </c>
      <c r="G536" s="46"/>
      <c r="H536" s="46"/>
      <c r="I536" s="46" t="e">
        <f t="shared" si="41"/>
        <v>#DIV/0!</v>
      </c>
    </row>
    <row r="537" spans="1:9" ht="47.25" customHeight="1" hidden="1">
      <c r="A537" s="122" t="s">
        <v>675</v>
      </c>
      <c r="B537" s="6" t="s">
        <v>79</v>
      </c>
      <c r="C537" s="6" t="s">
        <v>871</v>
      </c>
      <c r="D537" s="6" t="s">
        <v>869</v>
      </c>
      <c r="E537" s="6" t="s">
        <v>617</v>
      </c>
      <c r="F537" s="6" t="s">
        <v>676</v>
      </c>
      <c r="G537" s="46"/>
      <c r="H537" s="46"/>
      <c r="I537" s="46" t="e">
        <f t="shared" si="41"/>
        <v>#DIV/0!</v>
      </c>
    </row>
    <row r="538" spans="1:9" ht="47.25" customHeight="1" hidden="1">
      <c r="A538" s="122" t="s">
        <v>677</v>
      </c>
      <c r="B538" s="6" t="s">
        <v>79</v>
      </c>
      <c r="C538" s="6" t="s">
        <v>871</v>
      </c>
      <c r="D538" s="6" t="s">
        <v>869</v>
      </c>
      <c r="E538" s="6" t="s">
        <v>617</v>
      </c>
      <c r="F538" s="6" t="s">
        <v>678</v>
      </c>
      <c r="G538" s="46"/>
      <c r="H538" s="46"/>
      <c r="I538" s="46" t="e">
        <f t="shared" si="41"/>
        <v>#DIV/0!</v>
      </c>
    </row>
    <row r="539" spans="1:9" ht="47.25">
      <c r="A539" s="3" t="s">
        <v>677</v>
      </c>
      <c r="B539" s="6" t="s">
        <v>79</v>
      </c>
      <c r="C539" s="6" t="s">
        <v>871</v>
      </c>
      <c r="D539" s="6" t="s">
        <v>869</v>
      </c>
      <c r="E539" s="6" t="s">
        <v>835</v>
      </c>
      <c r="F539" s="6" t="s">
        <v>678</v>
      </c>
      <c r="G539" s="46">
        <v>1033825.15</v>
      </c>
      <c r="H539" s="46">
        <v>1033825.15</v>
      </c>
      <c r="I539" s="46">
        <f t="shared" si="41"/>
        <v>100</v>
      </c>
    </row>
    <row r="540" spans="1:9" ht="31.5">
      <c r="A540" s="122" t="s">
        <v>557</v>
      </c>
      <c r="B540" s="6" t="s">
        <v>79</v>
      </c>
      <c r="C540" s="6" t="s">
        <v>871</v>
      </c>
      <c r="D540" s="6" t="s">
        <v>869</v>
      </c>
      <c r="E540" s="6" t="s">
        <v>835</v>
      </c>
      <c r="F540" s="6" t="s">
        <v>683</v>
      </c>
      <c r="G540" s="46">
        <f>G541</f>
        <v>11967777.61</v>
      </c>
      <c r="H540" s="46">
        <f>H541</f>
        <v>11863791.98</v>
      </c>
      <c r="I540" s="46">
        <f t="shared" si="41"/>
        <v>99.13</v>
      </c>
    </row>
    <row r="541" spans="1:9" ht="94.5">
      <c r="A541" s="30" t="s">
        <v>594</v>
      </c>
      <c r="B541" s="6" t="s">
        <v>79</v>
      </c>
      <c r="C541" s="6" t="s">
        <v>871</v>
      </c>
      <c r="D541" s="6" t="s">
        <v>869</v>
      </c>
      <c r="E541" s="6" t="s">
        <v>835</v>
      </c>
      <c r="F541" s="6" t="s">
        <v>684</v>
      </c>
      <c r="G541" s="46">
        <f>11997777.61-30000</f>
        <v>11967777.61</v>
      </c>
      <c r="H541" s="46">
        <v>11863791.98</v>
      </c>
      <c r="I541" s="46">
        <f t="shared" si="41"/>
        <v>99.13</v>
      </c>
    </row>
    <row r="542" spans="1:9" ht="40.5" customHeight="1">
      <c r="A542" s="20" t="s">
        <v>635</v>
      </c>
      <c r="B542" s="7" t="s">
        <v>79</v>
      </c>
      <c r="C542" s="7" t="s">
        <v>871</v>
      </c>
      <c r="D542" s="7" t="s">
        <v>874</v>
      </c>
      <c r="E542" s="7"/>
      <c r="F542" s="7"/>
      <c r="G542" s="45">
        <f>G555+G549+G543</f>
        <v>63796291.42</v>
      </c>
      <c r="H542" s="45">
        <f>H555+H549+H543</f>
        <v>63557219.62</v>
      </c>
      <c r="I542" s="45">
        <f t="shared" si="41"/>
        <v>99.63</v>
      </c>
    </row>
    <row r="543" spans="1:9" ht="40.5" customHeight="1">
      <c r="A543" s="1" t="s">
        <v>554</v>
      </c>
      <c r="B543" s="2" t="s">
        <v>79</v>
      </c>
      <c r="C543" s="2" t="s">
        <v>871</v>
      </c>
      <c r="D543" s="2" t="s">
        <v>874</v>
      </c>
      <c r="E543" s="2" t="s">
        <v>932</v>
      </c>
      <c r="F543" s="6"/>
      <c r="G543" s="50">
        <f aca="true" t="shared" si="42" ref="G543:H547">G544</f>
        <v>14266760</v>
      </c>
      <c r="H543" s="50">
        <f t="shared" si="42"/>
        <v>14146338.81</v>
      </c>
      <c r="I543" s="50">
        <f t="shared" si="41"/>
        <v>99.16</v>
      </c>
    </row>
    <row r="544" spans="1:9" ht="155.25" customHeight="1">
      <c r="A544" s="5" t="s">
        <v>87</v>
      </c>
      <c r="B544" s="6" t="s">
        <v>79</v>
      </c>
      <c r="C544" s="6" t="s">
        <v>871</v>
      </c>
      <c r="D544" s="6" t="s">
        <v>874</v>
      </c>
      <c r="E544" s="6" t="s">
        <v>88</v>
      </c>
      <c r="F544" s="6"/>
      <c r="G544" s="46">
        <f t="shared" si="42"/>
        <v>14266760</v>
      </c>
      <c r="H544" s="46">
        <f t="shared" si="42"/>
        <v>14146338.81</v>
      </c>
      <c r="I544" s="46">
        <f t="shared" si="41"/>
        <v>99.16</v>
      </c>
    </row>
    <row r="545" spans="1:9" ht="140.25" customHeight="1">
      <c r="A545" s="5" t="s">
        <v>703</v>
      </c>
      <c r="B545" s="6" t="s">
        <v>79</v>
      </c>
      <c r="C545" s="6" t="s">
        <v>871</v>
      </c>
      <c r="D545" s="6" t="s">
        <v>874</v>
      </c>
      <c r="E545" s="6" t="s">
        <v>704</v>
      </c>
      <c r="F545" s="2"/>
      <c r="G545" s="46">
        <f t="shared" si="42"/>
        <v>14266760</v>
      </c>
      <c r="H545" s="46">
        <f t="shared" si="42"/>
        <v>14146338.81</v>
      </c>
      <c r="I545" s="46">
        <f t="shared" si="41"/>
        <v>99.16</v>
      </c>
    </row>
    <row r="546" spans="1:9" ht="52.5" customHeight="1">
      <c r="A546" s="122" t="s">
        <v>673</v>
      </c>
      <c r="B546" s="4" t="s">
        <v>79</v>
      </c>
      <c r="C546" s="6" t="s">
        <v>871</v>
      </c>
      <c r="D546" s="6" t="s">
        <v>874</v>
      </c>
      <c r="E546" s="6" t="s">
        <v>704</v>
      </c>
      <c r="F546" s="6" t="s">
        <v>674</v>
      </c>
      <c r="G546" s="46">
        <f t="shared" si="42"/>
        <v>14266760</v>
      </c>
      <c r="H546" s="46">
        <f t="shared" si="42"/>
        <v>14146338.81</v>
      </c>
      <c r="I546" s="46">
        <f t="shared" si="41"/>
        <v>99.16</v>
      </c>
    </row>
    <row r="547" spans="1:9" ht="53.25" customHeight="1">
      <c r="A547" s="122" t="s">
        <v>675</v>
      </c>
      <c r="B547" s="4" t="s">
        <v>79</v>
      </c>
      <c r="C547" s="6" t="s">
        <v>871</v>
      </c>
      <c r="D547" s="6" t="s">
        <v>874</v>
      </c>
      <c r="E547" s="6" t="s">
        <v>704</v>
      </c>
      <c r="F547" s="6" t="s">
        <v>676</v>
      </c>
      <c r="G547" s="46">
        <f t="shared" si="42"/>
        <v>14266760</v>
      </c>
      <c r="H547" s="46">
        <f t="shared" si="42"/>
        <v>14146338.81</v>
      </c>
      <c r="I547" s="46">
        <f t="shared" si="41"/>
        <v>99.16</v>
      </c>
    </row>
    <row r="548" spans="1:9" ht="70.5" customHeight="1">
      <c r="A548" s="5" t="s">
        <v>768</v>
      </c>
      <c r="B548" s="4" t="s">
        <v>79</v>
      </c>
      <c r="C548" s="6" t="s">
        <v>871</v>
      </c>
      <c r="D548" s="6" t="s">
        <v>874</v>
      </c>
      <c r="E548" s="6" t="s">
        <v>704</v>
      </c>
      <c r="F548" s="6" t="s">
        <v>770</v>
      </c>
      <c r="G548" s="46">
        <f>10996550+3438780-168570</f>
        <v>14266760</v>
      </c>
      <c r="H548" s="46">
        <v>14146338.81</v>
      </c>
      <c r="I548" s="46">
        <f t="shared" si="41"/>
        <v>99.16</v>
      </c>
    </row>
    <row r="549" spans="1:9" ht="31.5" customHeight="1" hidden="1">
      <c r="A549" s="125" t="s">
        <v>463</v>
      </c>
      <c r="B549" s="4" t="s">
        <v>79</v>
      </c>
      <c r="C549" s="6" t="s">
        <v>871</v>
      </c>
      <c r="D549" s="6" t="s">
        <v>874</v>
      </c>
      <c r="E549" s="6" t="s">
        <v>462</v>
      </c>
      <c r="F549" s="6"/>
      <c r="G549" s="46">
        <f aca="true" t="shared" si="43" ref="G549:H553">G550</f>
        <v>0</v>
      </c>
      <c r="H549" s="46">
        <f t="shared" si="43"/>
        <v>0</v>
      </c>
      <c r="I549" s="46" t="e">
        <f t="shared" si="41"/>
        <v>#DIV/0!</v>
      </c>
    </row>
    <row r="550" spans="1:9" ht="110.25" customHeight="1" hidden="1">
      <c r="A550" s="125" t="s">
        <v>829</v>
      </c>
      <c r="B550" s="4" t="s">
        <v>79</v>
      </c>
      <c r="C550" s="6" t="s">
        <v>871</v>
      </c>
      <c r="D550" s="6" t="s">
        <v>874</v>
      </c>
      <c r="E550" s="6" t="s">
        <v>561</v>
      </c>
      <c r="F550" s="6"/>
      <c r="G550" s="46">
        <f t="shared" si="43"/>
        <v>0</v>
      </c>
      <c r="H550" s="46">
        <f t="shared" si="43"/>
        <v>0</v>
      </c>
      <c r="I550" s="46" t="e">
        <f t="shared" si="41"/>
        <v>#DIV/0!</v>
      </c>
    </row>
    <row r="551" spans="1:9" ht="78.75" customHeight="1" hidden="1">
      <c r="A551" s="125" t="s">
        <v>562</v>
      </c>
      <c r="B551" s="4" t="s">
        <v>79</v>
      </c>
      <c r="C551" s="6" t="s">
        <v>871</v>
      </c>
      <c r="D551" s="6" t="s">
        <v>874</v>
      </c>
      <c r="E551" s="6" t="s">
        <v>563</v>
      </c>
      <c r="F551" s="6"/>
      <c r="G551" s="46">
        <f t="shared" si="43"/>
        <v>0</v>
      </c>
      <c r="H551" s="46">
        <f t="shared" si="43"/>
        <v>0</v>
      </c>
      <c r="I551" s="46" t="e">
        <f t="shared" si="41"/>
        <v>#DIV/0!</v>
      </c>
    </row>
    <row r="552" spans="1:9" ht="47.25" customHeight="1" hidden="1">
      <c r="A552" s="122" t="s">
        <v>673</v>
      </c>
      <c r="B552" s="4" t="s">
        <v>79</v>
      </c>
      <c r="C552" s="6" t="s">
        <v>871</v>
      </c>
      <c r="D552" s="6" t="s">
        <v>874</v>
      </c>
      <c r="E552" s="6" t="s">
        <v>563</v>
      </c>
      <c r="F552" s="6" t="s">
        <v>674</v>
      </c>
      <c r="G552" s="46">
        <f t="shared" si="43"/>
        <v>0</v>
      </c>
      <c r="H552" s="46">
        <f t="shared" si="43"/>
        <v>0</v>
      </c>
      <c r="I552" s="46" t="e">
        <f t="shared" si="41"/>
        <v>#DIV/0!</v>
      </c>
    </row>
    <row r="553" spans="1:9" ht="47.25" customHeight="1" hidden="1">
      <c r="A553" s="122" t="s">
        <v>675</v>
      </c>
      <c r="B553" s="4" t="s">
        <v>79</v>
      </c>
      <c r="C553" s="6" t="s">
        <v>871</v>
      </c>
      <c r="D553" s="6" t="s">
        <v>874</v>
      </c>
      <c r="E553" s="6" t="s">
        <v>563</v>
      </c>
      <c r="F553" s="6" t="s">
        <v>676</v>
      </c>
      <c r="G553" s="46">
        <f t="shared" si="43"/>
        <v>0</v>
      </c>
      <c r="H553" s="46">
        <f t="shared" si="43"/>
        <v>0</v>
      </c>
      <c r="I553" s="46" t="e">
        <f t="shared" si="41"/>
        <v>#DIV/0!</v>
      </c>
    </row>
    <row r="554" spans="1:9" ht="84" customHeight="1" hidden="1">
      <c r="A554" s="5" t="s">
        <v>768</v>
      </c>
      <c r="B554" s="4" t="s">
        <v>79</v>
      </c>
      <c r="C554" s="6" t="s">
        <v>871</v>
      </c>
      <c r="D554" s="6" t="s">
        <v>874</v>
      </c>
      <c r="E554" s="6" t="s">
        <v>563</v>
      </c>
      <c r="F554" s="6" t="s">
        <v>770</v>
      </c>
      <c r="G554" s="46"/>
      <c r="H554" s="46"/>
      <c r="I554" s="46" t="e">
        <f t="shared" si="41"/>
        <v>#DIV/0!</v>
      </c>
    </row>
    <row r="555" spans="1:9" ht="47.25">
      <c r="A555" s="1" t="s">
        <v>922</v>
      </c>
      <c r="B555" s="2" t="s">
        <v>79</v>
      </c>
      <c r="C555" s="2" t="s">
        <v>871</v>
      </c>
      <c r="D555" s="2" t="s">
        <v>874</v>
      </c>
      <c r="E555" s="2" t="s">
        <v>923</v>
      </c>
      <c r="F555" s="2"/>
      <c r="G555" s="50">
        <f>G556</f>
        <v>49529531.42</v>
      </c>
      <c r="H555" s="50">
        <f>H556</f>
        <v>49410880.809999995</v>
      </c>
      <c r="I555" s="50">
        <f t="shared" si="41"/>
        <v>99.76</v>
      </c>
    </row>
    <row r="556" spans="1:9" ht="47.25">
      <c r="A556" s="90" t="s">
        <v>816</v>
      </c>
      <c r="B556" s="4" t="s">
        <v>79</v>
      </c>
      <c r="C556" s="6" t="s">
        <v>871</v>
      </c>
      <c r="D556" s="6" t="s">
        <v>874</v>
      </c>
      <c r="E556" s="91" t="s">
        <v>650</v>
      </c>
      <c r="F556" s="6"/>
      <c r="G556" s="46">
        <f>G557+G561</f>
        <v>49529531.42</v>
      </c>
      <c r="H556" s="46">
        <f>H557+H561</f>
        <v>49410880.809999995</v>
      </c>
      <c r="I556" s="46">
        <f t="shared" si="41"/>
        <v>99.76</v>
      </c>
    </row>
    <row r="557" spans="1:9" ht="126">
      <c r="A557" s="125" t="s">
        <v>839</v>
      </c>
      <c r="B557" s="4" t="s">
        <v>79</v>
      </c>
      <c r="C557" s="6" t="s">
        <v>871</v>
      </c>
      <c r="D557" s="6" t="s">
        <v>874</v>
      </c>
      <c r="E557" s="6" t="s">
        <v>840</v>
      </c>
      <c r="F557" s="6"/>
      <c r="G557" s="46">
        <f aca="true" t="shared" si="44" ref="G557:H559">G558</f>
        <v>2721020</v>
      </c>
      <c r="H557" s="46">
        <f t="shared" si="44"/>
        <v>2711912.73</v>
      </c>
      <c r="I557" s="46">
        <f t="shared" si="41"/>
        <v>99.67</v>
      </c>
    </row>
    <row r="558" spans="1:9" ht="47.25">
      <c r="A558" s="122" t="s">
        <v>673</v>
      </c>
      <c r="B558" s="4" t="s">
        <v>79</v>
      </c>
      <c r="C558" s="6" t="s">
        <v>871</v>
      </c>
      <c r="D558" s="6" t="s">
        <v>874</v>
      </c>
      <c r="E558" s="6" t="s">
        <v>840</v>
      </c>
      <c r="F558" s="6" t="s">
        <v>674</v>
      </c>
      <c r="G558" s="46">
        <f t="shared" si="44"/>
        <v>2721020</v>
      </c>
      <c r="H558" s="46">
        <f t="shared" si="44"/>
        <v>2711912.73</v>
      </c>
      <c r="I558" s="46">
        <f t="shared" si="41"/>
        <v>99.67</v>
      </c>
    </row>
    <row r="559" spans="1:9" ht="47.25">
      <c r="A559" s="122" t="s">
        <v>675</v>
      </c>
      <c r="B559" s="4" t="s">
        <v>79</v>
      </c>
      <c r="C559" s="6" t="s">
        <v>871</v>
      </c>
      <c r="D559" s="6" t="s">
        <v>874</v>
      </c>
      <c r="E559" s="6" t="s">
        <v>840</v>
      </c>
      <c r="F559" s="6" t="s">
        <v>676</v>
      </c>
      <c r="G559" s="46">
        <f t="shared" si="44"/>
        <v>2721020</v>
      </c>
      <c r="H559" s="46">
        <f t="shared" si="44"/>
        <v>2711912.73</v>
      </c>
      <c r="I559" s="46">
        <f t="shared" si="41"/>
        <v>99.67</v>
      </c>
    </row>
    <row r="560" spans="1:9" ht="90" customHeight="1">
      <c r="A560" s="8" t="s">
        <v>768</v>
      </c>
      <c r="B560" s="21" t="s">
        <v>79</v>
      </c>
      <c r="C560" s="9" t="s">
        <v>871</v>
      </c>
      <c r="D560" s="9" t="s">
        <v>874</v>
      </c>
      <c r="E560" s="6" t="s">
        <v>840</v>
      </c>
      <c r="F560" s="9" t="s">
        <v>770</v>
      </c>
      <c r="G560" s="48">
        <f>2551020+170000</f>
        <v>2721020</v>
      </c>
      <c r="H560" s="48">
        <v>2711912.73</v>
      </c>
      <c r="I560" s="48">
        <f t="shared" si="41"/>
        <v>99.67</v>
      </c>
    </row>
    <row r="561" spans="1:9" ht="141.75">
      <c r="A561" s="130" t="s">
        <v>836</v>
      </c>
      <c r="B561" s="4" t="s">
        <v>79</v>
      </c>
      <c r="C561" s="6" t="s">
        <v>871</v>
      </c>
      <c r="D561" s="6" t="s">
        <v>874</v>
      </c>
      <c r="E561" s="89" t="s">
        <v>837</v>
      </c>
      <c r="F561" s="6"/>
      <c r="G561" s="46">
        <f>G562+G565+G568</f>
        <v>46808511.42</v>
      </c>
      <c r="H561" s="46">
        <f>H562+H565+H568</f>
        <v>46698968.08</v>
      </c>
      <c r="I561" s="46">
        <f t="shared" si="41"/>
        <v>99.77</v>
      </c>
    </row>
    <row r="562" spans="1:9" ht="47.25">
      <c r="A562" s="122" t="s">
        <v>673</v>
      </c>
      <c r="B562" s="4" t="s">
        <v>79</v>
      </c>
      <c r="C562" s="6" t="s">
        <v>871</v>
      </c>
      <c r="D562" s="6" t="s">
        <v>874</v>
      </c>
      <c r="E562" s="91" t="s">
        <v>837</v>
      </c>
      <c r="F562" s="6" t="s">
        <v>674</v>
      </c>
      <c r="G562" s="46">
        <f>G563</f>
        <v>4527121.42</v>
      </c>
      <c r="H562" s="46">
        <f>H563</f>
        <v>4417578.08</v>
      </c>
      <c r="I562" s="46">
        <f t="shared" si="41"/>
        <v>97.58</v>
      </c>
    </row>
    <row r="563" spans="1:9" ht="47.25">
      <c r="A563" s="122" t="s">
        <v>675</v>
      </c>
      <c r="B563" s="4" t="s">
        <v>79</v>
      </c>
      <c r="C563" s="6" t="s">
        <v>871</v>
      </c>
      <c r="D563" s="6" t="s">
        <v>874</v>
      </c>
      <c r="E563" s="91" t="s">
        <v>837</v>
      </c>
      <c r="F563" s="6" t="s">
        <v>676</v>
      </c>
      <c r="G563" s="46">
        <f>G564</f>
        <v>4527121.42</v>
      </c>
      <c r="H563" s="46">
        <f>H564</f>
        <v>4417578.08</v>
      </c>
      <c r="I563" s="46">
        <f t="shared" si="41"/>
        <v>97.58</v>
      </c>
    </row>
    <row r="564" spans="1:9" ht="47.25">
      <c r="A564" s="125" t="s">
        <v>677</v>
      </c>
      <c r="B564" s="4" t="s">
        <v>79</v>
      </c>
      <c r="C564" s="6" t="s">
        <v>871</v>
      </c>
      <c r="D564" s="6" t="s">
        <v>874</v>
      </c>
      <c r="E564" s="91" t="s">
        <v>837</v>
      </c>
      <c r="F564" s="6" t="s">
        <v>678</v>
      </c>
      <c r="G564" s="46">
        <f>90116190-50000000-3000000-1393000-35626190-200+4000000+193258.41-283445.26-160000-700000+579659.98+800848.29</f>
        <v>4527121.42</v>
      </c>
      <c r="H564" s="46">
        <v>4417578.08</v>
      </c>
      <c r="I564" s="46">
        <f t="shared" si="41"/>
        <v>97.58</v>
      </c>
    </row>
    <row r="565" spans="1:9" ht="78.75">
      <c r="A565" s="5" t="s">
        <v>936</v>
      </c>
      <c r="B565" s="4" t="s">
        <v>79</v>
      </c>
      <c r="C565" s="6" t="s">
        <v>871</v>
      </c>
      <c r="D565" s="6" t="s">
        <v>874</v>
      </c>
      <c r="E565" s="91" t="s">
        <v>837</v>
      </c>
      <c r="F565" s="6" t="s">
        <v>685</v>
      </c>
      <c r="G565" s="46">
        <f>G566</f>
        <v>6076762.65</v>
      </c>
      <c r="H565" s="46">
        <f>H566</f>
        <v>6076762.65</v>
      </c>
      <c r="I565" s="46">
        <f t="shared" si="41"/>
        <v>100</v>
      </c>
    </row>
    <row r="566" spans="1:9" ht="31.5">
      <c r="A566" s="122" t="s">
        <v>45</v>
      </c>
      <c r="B566" s="4" t="s">
        <v>79</v>
      </c>
      <c r="C566" s="6" t="s">
        <v>871</v>
      </c>
      <c r="D566" s="6" t="s">
        <v>874</v>
      </c>
      <c r="E566" s="91" t="s">
        <v>837</v>
      </c>
      <c r="F566" s="6" t="s">
        <v>686</v>
      </c>
      <c r="G566" s="46">
        <f>G567</f>
        <v>6076762.65</v>
      </c>
      <c r="H566" s="46">
        <f>H567</f>
        <v>6076762.65</v>
      </c>
      <c r="I566" s="46">
        <f t="shared" si="41"/>
        <v>100</v>
      </c>
    </row>
    <row r="567" spans="1:9" ht="47.25">
      <c r="A567" s="122" t="s">
        <v>46</v>
      </c>
      <c r="B567" s="4" t="s">
        <v>79</v>
      </c>
      <c r="C567" s="6" t="s">
        <v>871</v>
      </c>
      <c r="D567" s="6" t="s">
        <v>874</v>
      </c>
      <c r="E567" s="91" t="s">
        <v>837</v>
      </c>
      <c r="F567" s="6" t="s">
        <v>57</v>
      </c>
      <c r="G567" s="46">
        <f>6076762.65</f>
        <v>6076762.65</v>
      </c>
      <c r="H567" s="46">
        <v>6076762.65</v>
      </c>
      <c r="I567" s="46">
        <f t="shared" si="41"/>
        <v>100</v>
      </c>
    </row>
    <row r="568" spans="1:9" ht="31.5">
      <c r="A568" s="122" t="s">
        <v>557</v>
      </c>
      <c r="B568" s="4" t="s">
        <v>79</v>
      </c>
      <c r="C568" s="6" t="s">
        <v>871</v>
      </c>
      <c r="D568" s="6" t="s">
        <v>874</v>
      </c>
      <c r="E568" s="91" t="s">
        <v>837</v>
      </c>
      <c r="F568" s="6" t="s">
        <v>683</v>
      </c>
      <c r="G568" s="46">
        <f>G569+G570</f>
        <v>36204627.35</v>
      </c>
      <c r="H568" s="46">
        <f>H569+H570</f>
        <v>36204627.35</v>
      </c>
      <c r="I568" s="46">
        <f t="shared" si="41"/>
        <v>100</v>
      </c>
    </row>
    <row r="569" spans="1:9" ht="94.5">
      <c r="A569" s="30" t="s">
        <v>594</v>
      </c>
      <c r="B569" s="4" t="s">
        <v>79</v>
      </c>
      <c r="C569" s="6" t="s">
        <v>871</v>
      </c>
      <c r="D569" s="6" t="s">
        <v>874</v>
      </c>
      <c r="E569" s="91" t="s">
        <v>837</v>
      </c>
      <c r="F569" s="6" t="s">
        <v>684</v>
      </c>
      <c r="G569" s="46">
        <f>29549427.35-200000-2645000-4000000-1500000+15000000</f>
        <v>36204427.35</v>
      </c>
      <c r="H569" s="46">
        <v>36204427.35</v>
      </c>
      <c r="I569" s="46">
        <f t="shared" si="41"/>
        <v>100</v>
      </c>
    </row>
    <row r="570" spans="1:9" ht="78.75">
      <c r="A570" s="90" t="s">
        <v>729</v>
      </c>
      <c r="B570" s="4" t="s">
        <v>79</v>
      </c>
      <c r="C570" s="6" t="s">
        <v>871</v>
      </c>
      <c r="D570" s="6" t="s">
        <v>874</v>
      </c>
      <c r="E570" s="91" t="s">
        <v>837</v>
      </c>
      <c r="F570" s="6" t="s">
        <v>730</v>
      </c>
      <c r="G570" s="46">
        <f>G571</f>
        <v>200</v>
      </c>
      <c r="H570" s="46">
        <f>H571</f>
        <v>200</v>
      </c>
      <c r="I570" s="46">
        <f t="shared" si="41"/>
        <v>100</v>
      </c>
    </row>
    <row r="571" spans="1:9" ht="47.25">
      <c r="A571" s="90" t="s">
        <v>731</v>
      </c>
      <c r="B571" s="4" t="s">
        <v>79</v>
      </c>
      <c r="C571" s="6" t="s">
        <v>871</v>
      </c>
      <c r="D571" s="6" t="s">
        <v>874</v>
      </c>
      <c r="E571" s="91" t="s">
        <v>837</v>
      </c>
      <c r="F571" s="6" t="s">
        <v>732</v>
      </c>
      <c r="G571" s="46">
        <v>200</v>
      </c>
      <c r="H571" s="46">
        <v>200</v>
      </c>
      <c r="I571" s="46">
        <f t="shared" si="41"/>
        <v>100</v>
      </c>
    </row>
    <row r="572" spans="1:11" s="24" customFormat="1" ht="15.75">
      <c r="A572" s="126" t="s">
        <v>794</v>
      </c>
      <c r="B572" s="7" t="s">
        <v>79</v>
      </c>
      <c r="C572" s="7" t="s">
        <v>871</v>
      </c>
      <c r="D572" s="7" t="s">
        <v>876</v>
      </c>
      <c r="E572" s="7"/>
      <c r="F572" s="7"/>
      <c r="G572" s="45">
        <f>G573</f>
        <v>34691095.39</v>
      </c>
      <c r="H572" s="45">
        <f>H573</f>
        <v>34284197.46</v>
      </c>
      <c r="I572" s="45">
        <f t="shared" si="41"/>
        <v>98.83</v>
      </c>
      <c r="J572" s="96"/>
      <c r="K572" s="187"/>
    </row>
    <row r="573" spans="1:11" s="24" customFormat="1" ht="47.25">
      <c r="A573" s="1" t="s">
        <v>922</v>
      </c>
      <c r="B573" s="2" t="s">
        <v>79</v>
      </c>
      <c r="C573" s="2" t="s">
        <v>871</v>
      </c>
      <c r="D573" s="2" t="s">
        <v>876</v>
      </c>
      <c r="E573" s="2" t="s">
        <v>923</v>
      </c>
      <c r="F573" s="2"/>
      <c r="G573" s="50">
        <f>G574</f>
        <v>34691095.39</v>
      </c>
      <c r="H573" s="50">
        <f>H574</f>
        <v>34284197.46</v>
      </c>
      <c r="I573" s="50">
        <f t="shared" si="41"/>
        <v>98.83</v>
      </c>
      <c r="J573" s="96"/>
      <c r="K573" s="187"/>
    </row>
    <row r="574" spans="1:11" s="24" customFormat="1" ht="47.25">
      <c r="A574" s="90" t="s">
        <v>816</v>
      </c>
      <c r="B574" s="4" t="s">
        <v>79</v>
      </c>
      <c r="C574" s="6" t="s">
        <v>871</v>
      </c>
      <c r="D574" s="6" t="s">
        <v>876</v>
      </c>
      <c r="E574" s="91" t="s">
        <v>650</v>
      </c>
      <c r="F574" s="12"/>
      <c r="G574" s="46">
        <f>G575+G579+G582</f>
        <v>34691095.39</v>
      </c>
      <c r="H574" s="46">
        <f>H575+H579+H582</f>
        <v>34284197.46</v>
      </c>
      <c r="I574" s="46">
        <f t="shared" si="41"/>
        <v>98.83</v>
      </c>
      <c r="J574" s="96"/>
      <c r="K574" s="187"/>
    </row>
    <row r="575" spans="1:11" s="24" customFormat="1" ht="141.75">
      <c r="A575" s="30" t="s">
        <v>841</v>
      </c>
      <c r="B575" s="6" t="s">
        <v>79</v>
      </c>
      <c r="C575" s="6" t="s">
        <v>871</v>
      </c>
      <c r="D575" s="6" t="s">
        <v>876</v>
      </c>
      <c r="E575" s="6" t="s">
        <v>842</v>
      </c>
      <c r="F575" s="6"/>
      <c r="G575" s="46">
        <f>G576+G586</f>
        <v>34691095.39</v>
      </c>
      <c r="H575" s="46">
        <f>H576+H586</f>
        <v>34284197.46</v>
      </c>
      <c r="I575" s="46">
        <f t="shared" si="41"/>
        <v>98.83</v>
      </c>
      <c r="J575" s="96"/>
      <c r="K575" s="187"/>
    </row>
    <row r="576" spans="1:11" s="24" customFormat="1" ht="47.25">
      <c r="A576" s="44" t="s">
        <v>673</v>
      </c>
      <c r="B576" s="6" t="s">
        <v>79</v>
      </c>
      <c r="C576" s="6" t="s">
        <v>871</v>
      </c>
      <c r="D576" s="6" t="s">
        <v>876</v>
      </c>
      <c r="E576" s="6" t="s">
        <v>842</v>
      </c>
      <c r="F576" s="6" t="s">
        <v>674</v>
      </c>
      <c r="G576" s="46">
        <f>G577</f>
        <v>32090400.470000003</v>
      </c>
      <c r="H576" s="46">
        <f>H577</f>
        <v>31804544.58</v>
      </c>
      <c r="I576" s="46">
        <f t="shared" si="41"/>
        <v>99.11</v>
      </c>
      <c r="J576" s="96"/>
      <c r="K576" s="187"/>
    </row>
    <row r="577" spans="1:11" s="24" customFormat="1" ht="47.25">
      <c r="A577" s="30" t="s">
        <v>675</v>
      </c>
      <c r="B577" s="6" t="s">
        <v>79</v>
      </c>
      <c r="C577" s="6" t="s">
        <v>871</v>
      </c>
      <c r="D577" s="6" t="s">
        <v>876</v>
      </c>
      <c r="E577" s="6" t="s">
        <v>842</v>
      </c>
      <c r="F577" s="6" t="s">
        <v>676</v>
      </c>
      <c r="G577" s="46">
        <f>G578</f>
        <v>32090400.470000003</v>
      </c>
      <c r="H577" s="46">
        <f>H578</f>
        <v>31804544.58</v>
      </c>
      <c r="I577" s="46">
        <f t="shared" si="41"/>
        <v>99.11</v>
      </c>
      <c r="J577" s="96"/>
      <c r="K577" s="187"/>
    </row>
    <row r="578" spans="1:11" s="24" customFormat="1" ht="47.25">
      <c r="A578" s="30" t="s">
        <v>677</v>
      </c>
      <c r="B578" s="6" t="s">
        <v>79</v>
      </c>
      <c r="C578" s="6" t="s">
        <v>871</v>
      </c>
      <c r="D578" s="6" t="s">
        <v>876</v>
      </c>
      <c r="E578" s="6" t="s">
        <v>842</v>
      </c>
      <c r="F578" s="6" t="s">
        <v>678</v>
      </c>
      <c r="G578" s="46">
        <f>27780380+380000-1218916.95+1000000+2000000+100000+100000-566257.95+391367.16+328181.21+365000+160000+700000-579659.98+500000+484479.98+234327-68500</f>
        <v>32090400.470000003</v>
      </c>
      <c r="H578" s="46">
        <v>31804544.58</v>
      </c>
      <c r="I578" s="46">
        <f t="shared" si="41"/>
        <v>99.11</v>
      </c>
      <c r="J578" s="96"/>
      <c r="K578" s="187"/>
    </row>
    <row r="579" spans="1:9" ht="15.75" customHeight="1" hidden="1">
      <c r="A579" s="122" t="s">
        <v>940</v>
      </c>
      <c r="B579" s="6" t="s">
        <v>79</v>
      </c>
      <c r="C579" s="6" t="s">
        <v>871</v>
      </c>
      <c r="D579" s="6" t="s">
        <v>876</v>
      </c>
      <c r="E579" s="6" t="s">
        <v>842</v>
      </c>
      <c r="F579" s="6" t="s">
        <v>31</v>
      </c>
      <c r="G579" s="46">
        <f>G580</f>
        <v>0</v>
      </c>
      <c r="H579" s="46">
        <f>H580</f>
        <v>0</v>
      </c>
      <c r="I579" s="46" t="e">
        <f t="shared" si="41"/>
        <v>#DIV/0!</v>
      </c>
    </row>
    <row r="580" spans="1:9" ht="94.5" customHeight="1" hidden="1">
      <c r="A580" s="5" t="s">
        <v>32</v>
      </c>
      <c r="B580" s="6" t="s">
        <v>79</v>
      </c>
      <c r="C580" s="6" t="s">
        <v>871</v>
      </c>
      <c r="D580" s="6" t="s">
        <v>876</v>
      </c>
      <c r="E580" s="6" t="s">
        <v>842</v>
      </c>
      <c r="F580" s="6" t="s">
        <v>33</v>
      </c>
      <c r="G580" s="46">
        <f>G581</f>
        <v>0</v>
      </c>
      <c r="H580" s="46">
        <f>H581</f>
        <v>0</v>
      </c>
      <c r="I580" s="46" t="e">
        <f t="shared" si="41"/>
        <v>#DIV/0!</v>
      </c>
    </row>
    <row r="581" spans="1:9" ht="94.5" customHeight="1" hidden="1">
      <c r="A581" s="5" t="s">
        <v>34</v>
      </c>
      <c r="B581" s="6" t="s">
        <v>79</v>
      </c>
      <c r="C581" s="6" t="s">
        <v>871</v>
      </c>
      <c r="D581" s="6" t="s">
        <v>876</v>
      </c>
      <c r="E581" s="6" t="s">
        <v>842</v>
      </c>
      <c r="F581" s="6" t="s">
        <v>35</v>
      </c>
      <c r="G581" s="46"/>
      <c r="H581" s="46"/>
      <c r="I581" s="46" t="e">
        <f t="shared" si="41"/>
        <v>#DIV/0!</v>
      </c>
    </row>
    <row r="582" spans="1:9" ht="31.5" customHeight="1" hidden="1">
      <c r="A582" s="122" t="s">
        <v>557</v>
      </c>
      <c r="B582" s="6" t="s">
        <v>79</v>
      </c>
      <c r="C582" s="6" t="s">
        <v>871</v>
      </c>
      <c r="D582" s="6" t="s">
        <v>876</v>
      </c>
      <c r="E582" s="6" t="s">
        <v>842</v>
      </c>
      <c r="F582" s="6" t="s">
        <v>683</v>
      </c>
      <c r="G582" s="46">
        <f>G583+G584</f>
        <v>0</v>
      </c>
      <c r="H582" s="46">
        <f>H583+H584</f>
        <v>0</v>
      </c>
      <c r="I582" s="46" t="e">
        <f t="shared" si="41"/>
        <v>#DIV/0!</v>
      </c>
    </row>
    <row r="583" spans="1:9" ht="94.5" customHeight="1" hidden="1">
      <c r="A583" s="30" t="s">
        <v>594</v>
      </c>
      <c r="B583" s="6" t="s">
        <v>79</v>
      </c>
      <c r="C583" s="6" t="s">
        <v>871</v>
      </c>
      <c r="D583" s="6" t="s">
        <v>876</v>
      </c>
      <c r="E583" s="6" t="s">
        <v>842</v>
      </c>
      <c r="F583" s="6" t="s">
        <v>684</v>
      </c>
      <c r="G583" s="46"/>
      <c r="H583" s="46"/>
      <c r="I583" s="46" t="e">
        <f t="shared" si="41"/>
        <v>#DIV/0!</v>
      </c>
    </row>
    <row r="584" spans="1:9" ht="78.75" customHeight="1" hidden="1">
      <c r="A584" s="90" t="s">
        <v>729</v>
      </c>
      <c r="B584" s="91" t="s">
        <v>79</v>
      </c>
      <c r="C584" s="6" t="s">
        <v>871</v>
      </c>
      <c r="D584" s="6" t="s">
        <v>876</v>
      </c>
      <c r="E584" s="6" t="s">
        <v>842</v>
      </c>
      <c r="F584" s="91" t="s">
        <v>730</v>
      </c>
      <c r="G584" s="46">
        <f>G585</f>
        <v>0</v>
      </c>
      <c r="H584" s="46">
        <f>H585</f>
        <v>0</v>
      </c>
      <c r="I584" s="46" t="e">
        <f aca="true" t="shared" si="45" ref="I584:I647">ROUND(H584/G584*100,2)</f>
        <v>#DIV/0!</v>
      </c>
    </row>
    <row r="585" spans="1:9" ht="47.25" customHeight="1" hidden="1">
      <c r="A585" s="90" t="s">
        <v>731</v>
      </c>
      <c r="B585" s="91" t="s">
        <v>79</v>
      </c>
      <c r="C585" s="6" t="s">
        <v>871</v>
      </c>
      <c r="D585" s="6" t="s">
        <v>876</v>
      </c>
      <c r="E585" s="6" t="s">
        <v>842</v>
      </c>
      <c r="F585" s="91" t="s">
        <v>732</v>
      </c>
      <c r="G585" s="46"/>
      <c r="H585" s="46"/>
      <c r="I585" s="46" t="e">
        <f t="shared" si="45"/>
        <v>#DIV/0!</v>
      </c>
    </row>
    <row r="586" spans="1:9" ht="31.5">
      <c r="A586" s="122" t="s">
        <v>557</v>
      </c>
      <c r="B586" s="6" t="s">
        <v>79</v>
      </c>
      <c r="C586" s="6" t="s">
        <v>871</v>
      </c>
      <c r="D586" s="6" t="s">
        <v>876</v>
      </c>
      <c r="E586" s="6" t="s">
        <v>842</v>
      </c>
      <c r="F586" s="91" t="s">
        <v>683</v>
      </c>
      <c r="G586" s="46">
        <f>G587+G588</f>
        <v>2600694.9200000004</v>
      </c>
      <c r="H586" s="46">
        <f>H587+H588</f>
        <v>2479652.88</v>
      </c>
      <c r="I586" s="46">
        <f t="shared" si="45"/>
        <v>95.35</v>
      </c>
    </row>
    <row r="587" spans="1:9" ht="94.5">
      <c r="A587" s="30" t="s">
        <v>594</v>
      </c>
      <c r="B587" s="6" t="s">
        <v>79</v>
      </c>
      <c r="C587" s="6" t="s">
        <v>871</v>
      </c>
      <c r="D587" s="6" t="s">
        <v>876</v>
      </c>
      <c r="E587" s="6" t="s">
        <v>842</v>
      </c>
      <c r="F587" s="91" t="s">
        <v>684</v>
      </c>
      <c r="G587" s="46">
        <f>1218916.95+800000+1000000+548457.95-500000-484479.98</f>
        <v>2582894.9200000004</v>
      </c>
      <c r="H587" s="46">
        <v>2461852.88</v>
      </c>
      <c r="I587" s="46">
        <f t="shared" si="45"/>
        <v>95.31</v>
      </c>
    </row>
    <row r="588" spans="1:9" ht="31.5">
      <c r="A588" s="3" t="s">
        <v>602</v>
      </c>
      <c r="B588" s="6" t="s">
        <v>79</v>
      </c>
      <c r="C588" s="6" t="s">
        <v>871</v>
      </c>
      <c r="D588" s="6" t="s">
        <v>876</v>
      </c>
      <c r="E588" s="6" t="s">
        <v>842</v>
      </c>
      <c r="F588" s="6" t="s">
        <v>603</v>
      </c>
      <c r="G588" s="46">
        <f>G589</f>
        <v>17800</v>
      </c>
      <c r="H588" s="46">
        <f>H589</f>
        <v>17800</v>
      </c>
      <c r="I588" s="46">
        <f t="shared" si="45"/>
        <v>100</v>
      </c>
    </row>
    <row r="589" spans="1:9" ht="252">
      <c r="A589" s="3" t="s">
        <v>605</v>
      </c>
      <c r="B589" s="6" t="s">
        <v>79</v>
      </c>
      <c r="C589" s="6" t="s">
        <v>871</v>
      </c>
      <c r="D589" s="6" t="s">
        <v>876</v>
      </c>
      <c r="E589" s="6" t="s">
        <v>842</v>
      </c>
      <c r="F589" s="6" t="s">
        <v>606</v>
      </c>
      <c r="G589" s="46">
        <f>17800</f>
        <v>17800</v>
      </c>
      <c r="H589" s="46">
        <v>17800</v>
      </c>
      <c r="I589" s="46">
        <f t="shared" si="45"/>
        <v>100</v>
      </c>
    </row>
    <row r="590" spans="1:9" ht="63">
      <c r="A590" s="20" t="s">
        <v>898</v>
      </c>
      <c r="B590" s="7" t="s">
        <v>79</v>
      </c>
      <c r="C590" s="7" t="s">
        <v>871</v>
      </c>
      <c r="D590" s="7" t="s">
        <v>871</v>
      </c>
      <c r="E590" s="7"/>
      <c r="F590" s="7"/>
      <c r="G590" s="45">
        <f>G591+G600</f>
        <v>112670990.98000002</v>
      </c>
      <c r="H590" s="45">
        <f>H591+H600</f>
        <v>112654013.55000001</v>
      </c>
      <c r="I590" s="45">
        <f t="shared" si="45"/>
        <v>99.98</v>
      </c>
    </row>
    <row r="591" spans="1:11" s="24" customFormat="1" ht="47.25">
      <c r="A591" s="1" t="s">
        <v>914</v>
      </c>
      <c r="B591" s="2" t="s">
        <v>79</v>
      </c>
      <c r="C591" s="2" t="s">
        <v>871</v>
      </c>
      <c r="D591" s="2" t="s">
        <v>871</v>
      </c>
      <c r="E591" s="2" t="s">
        <v>937</v>
      </c>
      <c r="F591" s="2"/>
      <c r="G591" s="50">
        <f>G596+G592</f>
        <v>77730037.35000001</v>
      </c>
      <c r="H591" s="50">
        <f>H596+H592</f>
        <v>77730037.35000001</v>
      </c>
      <c r="I591" s="50">
        <f t="shared" si="45"/>
        <v>100</v>
      </c>
      <c r="J591" s="96"/>
      <c r="K591" s="187"/>
    </row>
    <row r="592" spans="1:11" s="24" customFormat="1" ht="126">
      <c r="A592" s="5" t="s">
        <v>40</v>
      </c>
      <c r="B592" s="6" t="s">
        <v>79</v>
      </c>
      <c r="C592" s="6" t="s">
        <v>871</v>
      </c>
      <c r="D592" s="6" t="s">
        <v>871</v>
      </c>
      <c r="E592" s="6" t="s">
        <v>41</v>
      </c>
      <c r="F592" s="6"/>
      <c r="G592" s="46">
        <f aca="true" t="shared" si="46" ref="G592:H594">G593</f>
        <v>3084540.34</v>
      </c>
      <c r="H592" s="46">
        <f t="shared" si="46"/>
        <v>3084540.34</v>
      </c>
      <c r="I592" s="46">
        <f t="shared" si="45"/>
        <v>100</v>
      </c>
      <c r="J592" s="96"/>
      <c r="K592" s="187"/>
    </row>
    <row r="593" spans="1:11" s="24" customFormat="1" ht="15.75">
      <c r="A593" s="122" t="s">
        <v>940</v>
      </c>
      <c r="B593" s="6" t="s">
        <v>79</v>
      </c>
      <c r="C593" s="6" t="s">
        <v>871</v>
      </c>
      <c r="D593" s="6" t="s">
        <v>871</v>
      </c>
      <c r="E593" s="6" t="s">
        <v>41</v>
      </c>
      <c r="F593" s="6" t="s">
        <v>31</v>
      </c>
      <c r="G593" s="46">
        <f t="shared" si="46"/>
        <v>3084540.34</v>
      </c>
      <c r="H593" s="46">
        <f t="shared" si="46"/>
        <v>3084540.34</v>
      </c>
      <c r="I593" s="46">
        <f t="shared" si="45"/>
        <v>100</v>
      </c>
      <c r="J593" s="96"/>
      <c r="K593" s="187"/>
    </row>
    <row r="594" spans="1:11" s="24" customFormat="1" ht="94.5">
      <c r="A594" s="5" t="s">
        <v>32</v>
      </c>
      <c r="B594" s="6" t="s">
        <v>79</v>
      </c>
      <c r="C594" s="6" t="s">
        <v>871</v>
      </c>
      <c r="D594" s="6" t="s">
        <v>871</v>
      </c>
      <c r="E594" s="6" t="s">
        <v>41</v>
      </c>
      <c r="F594" s="6" t="s">
        <v>33</v>
      </c>
      <c r="G594" s="46">
        <f t="shared" si="46"/>
        <v>3084540.34</v>
      </c>
      <c r="H594" s="46">
        <f t="shared" si="46"/>
        <v>3084540.34</v>
      </c>
      <c r="I594" s="46">
        <f t="shared" si="45"/>
        <v>100</v>
      </c>
      <c r="J594" s="96"/>
      <c r="K594" s="187"/>
    </row>
    <row r="595" spans="1:11" s="24" customFormat="1" ht="94.5">
      <c r="A595" s="5" t="s">
        <v>34</v>
      </c>
      <c r="B595" s="6" t="s">
        <v>79</v>
      </c>
      <c r="C595" s="6" t="s">
        <v>871</v>
      </c>
      <c r="D595" s="6" t="s">
        <v>871</v>
      </c>
      <c r="E595" s="6" t="s">
        <v>41</v>
      </c>
      <c r="F595" s="6" t="s">
        <v>35</v>
      </c>
      <c r="G595" s="46">
        <f>3084540.34</f>
        <v>3084540.34</v>
      </c>
      <c r="H595" s="46">
        <v>3084540.34</v>
      </c>
      <c r="I595" s="46">
        <f t="shared" si="45"/>
        <v>100</v>
      </c>
      <c r="J595" s="96"/>
      <c r="K595" s="187"/>
    </row>
    <row r="596" spans="1:9" ht="78.75">
      <c r="A596" s="5" t="s">
        <v>938</v>
      </c>
      <c r="B596" s="6" t="s">
        <v>79</v>
      </c>
      <c r="C596" s="6" t="s">
        <v>871</v>
      </c>
      <c r="D596" s="6" t="s">
        <v>871</v>
      </c>
      <c r="E596" s="6" t="s">
        <v>939</v>
      </c>
      <c r="F596" s="6"/>
      <c r="G596" s="46">
        <f aca="true" t="shared" si="47" ref="G596:H598">G597</f>
        <v>74645497.01</v>
      </c>
      <c r="H596" s="46">
        <f t="shared" si="47"/>
        <v>74645497.01</v>
      </c>
      <c r="I596" s="46">
        <f t="shared" si="45"/>
        <v>100</v>
      </c>
    </row>
    <row r="597" spans="1:9" ht="15.75">
      <c r="A597" s="122" t="s">
        <v>940</v>
      </c>
      <c r="B597" s="6" t="s">
        <v>79</v>
      </c>
      <c r="C597" s="6" t="s">
        <v>871</v>
      </c>
      <c r="D597" s="6" t="s">
        <v>871</v>
      </c>
      <c r="E597" s="6" t="s">
        <v>939</v>
      </c>
      <c r="F597" s="6" t="s">
        <v>31</v>
      </c>
      <c r="G597" s="46">
        <f t="shared" si="47"/>
        <v>74645497.01</v>
      </c>
      <c r="H597" s="46">
        <f t="shared" si="47"/>
        <v>74645497.01</v>
      </c>
      <c r="I597" s="46">
        <f t="shared" si="45"/>
        <v>100</v>
      </c>
    </row>
    <row r="598" spans="1:9" ht="94.5">
      <c r="A598" s="5" t="s">
        <v>32</v>
      </c>
      <c r="B598" s="6" t="s">
        <v>79</v>
      </c>
      <c r="C598" s="6" t="s">
        <v>871</v>
      </c>
      <c r="D598" s="6" t="s">
        <v>871</v>
      </c>
      <c r="E598" s="6" t="s">
        <v>939</v>
      </c>
      <c r="F598" s="6" t="s">
        <v>33</v>
      </c>
      <c r="G598" s="46">
        <f t="shared" si="47"/>
        <v>74645497.01</v>
      </c>
      <c r="H598" s="46">
        <f t="shared" si="47"/>
        <v>74645497.01</v>
      </c>
      <c r="I598" s="46">
        <f t="shared" si="45"/>
        <v>100</v>
      </c>
    </row>
    <row r="599" spans="1:9" ht="94.5">
      <c r="A599" s="5" t="s">
        <v>34</v>
      </c>
      <c r="B599" s="6" t="s">
        <v>79</v>
      </c>
      <c r="C599" s="6" t="s">
        <v>871</v>
      </c>
      <c r="D599" s="6" t="s">
        <v>871</v>
      </c>
      <c r="E599" s="6" t="s">
        <v>939</v>
      </c>
      <c r="F599" s="6" t="s">
        <v>35</v>
      </c>
      <c r="G599" s="46">
        <f>69821430+4824067.01</f>
        <v>74645497.01</v>
      </c>
      <c r="H599" s="46">
        <v>74645497.01</v>
      </c>
      <c r="I599" s="46">
        <f t="shared" si="45"/>
        <v>100</v>
      </c>
    </row>
    <row r="600" spans="1:9" ht="47.25">
      <c r="A600" s="1" t="s">
        <v>922</v>
      </c>
      <c r="B600" s="2" t="s">
        <v>79</v>
      </c>
      <c r="C600" s="2" t="s">
        <v>871</v>
      </c>
      <c r="D600" s="2" t="s">
        <v>871</v>
      </c>
      <c r="E600" s="2" t="s">
        <v>923</v>
      </c>
      <c r="F600" s="2"/>
      <c r="G600" s="50">
        <f>G613+G601</f>
        <v>34940953.63</v>
      </c>
      <c r="H600" s="50">
        <f>H613+H601</f>
        <v>34923976.2</v>
      </c>
      <c r="I600" s="50">
        <f t="shared" si="45"/>
        <v>99.95</v>
      </c>
    </row>
    <row r="601" spans="1:9" ht="47.25" customHeight="1" hidden="1">
      <c r="A601" s="90" t="s">
        <v>824</v>
      </c>
      <c r="B601" s="6" t="s">
        <v>79</v>
      </c>
      <c r="C601" s="6" t="s">
        <v>871</v>
      </c>
      <c r="D601" s="6" t="s">
        <v>871</v>
      </c>
      <c r="E601" s="6" t="s">
        <v>795</v>
      </c>
      <c r="F601" s="6"/>
      <c r="G601" s="46">
        <f>G606+G602</f>
        <v>0</v>
      </c>
      <c r="H601" s="46">
        <f>H606+H602</f>
        <v>0</v>
      </c>
      <c r="I601" s="46" t="e">
        <f t="shared" si="45"/>
        <v>#DIV/0!</v>
      </c>
    </row>
    <row r="602" spans="1:9" ht="94.5" customHeight="1" hidden="1">
      <c r="A602" s="90" t="s">
        <v>755</v>
      </c>
      <c r="B602" s="6" t="s">
        <v>79</v>
      </c>
      <c r="C602" s="6" t="s">
        <v>871</v>
      </c>
      <c r="D602" s="6" t="s">
        <v>871</v>
      </c>
      <c r="E602" s="6" t="s">
        <v>756</v>
      </c>
      <c r="F602" s="6"/>
      <c r="G602" s="46">
        <f aca="true" t="shared" si="48" ref="G602:H604">G603</f>
        <v>0</v>
      </c>
      <c r="H602" s="46">
        <f t="shared" si="48"/>
        <v>0</v>
      </c>
      <c r="I602" s="46" t="e">
        <f t="shared" si="45"/>
        <v>#DIV/0!</v>
      </c>
    </row>
    <row r="603" spans="1:9" ht="15.75" customHeight="1" hidden="1">
      <c r="A603" s="122" t="s">
        <v>940</v>
      </c>
      <c r="B603" s="6" t="s">
        <v>79</v>
      </c>
      <c r="C603" s="6" t="s">
        <v>871</v>
      </c>
      <c r="D603" s="6" t="s">
        <v>871</v>
      </c>
      <c r="E603" s="6" t="s">
        <v>756</v>
      </c>
      <c r="F603" s="6" t="s">
        <v>31</v>
      </c>
      <c r="G603" s="46">
        <f t="shared" si="48"/>
        <v>0</v>
      </c>
      <c r="H603" s="46">
        <f t="shared" si="48"/>
        <v>0</v>
      </c>
      <c r="I603" s="46" t="e">
        <f t="shared" si="45"/>
        <v>#DIV/0!</v>
      </c>
    </row>
    <row r="604" spans="1:9" ht="94.5" customHeight="1" hidden="1">
      <c r="A604" s="5" t="s">
        <v>32</v>
      </c>
      <c r="B604" s="6" t="s">
        <v>79</v>
      </c>
      <c r="C604" s="6" t="s">
        <v>871</v>
      </c>
      <c r="D604" s="6" t="s">
        <v>871</v>
      </c>
      <c r="E604" s="6" t="s">
        <v>756</v>
      </c>
      <c r="F604" s="6" t="s">
        <v>33</v>
      </c>
      <c r="G604" s="46">
        <f t="shared" si="48"/>
        <v>0</v>
      </c>
      <c r="H604" s="46">
        <f t="shared" si="48"/>
        <v>0</v>
      </c>
      <c r="I604" s="46" t="e">
        <f t="shared" si="45"/>
        <v>#DIV/0!</v>
      </c>
    </row>
    <row r="605" spans="1:9" ht="94.5" customHeight="1" hidden="1">
      <c r="A605" s="5" t="s">
        <v>34</v>
      </c>
      <c r="B605" s="6" t="s">
        <v>79</v>
      </c>
      <c r="C605" s="6" t="s">
        <v>871</v>
      </c>
      <c r="D605" s="6" t="s">
        <v>871</v>
      </c>
      <c r="E605" s="6" t="s">
        <v>756</v>
      </c>
      <c r="F605" s="6" t="s">
        <v>35</v>
      </c>
      <c r="G605" s="46">
        <f>5000000-5000000</f>
        <v>0</v>
      </c>
      <c r="H605" s="46">
        <f>5000000-5000000</f>
        <v>0</v>
      </c>
      <c r="I605" s="46" t="e">
        <f t="shared" si="45"/>
        <v>#DIV/0!</v>
      </c>
    </row>
    <row r="606" spans="1:9" ht="173.25" customHeight="1" hidden="1">
      <c r="A606" s="5" t="s">
        <v>777</v>
      </c>
      <c r="B606" s="6" t="s">
        <v>79</v>
      </c>
      <c r="C606" s="6" t="s">
        <v>871</v>
      </c>
      <c r="D606" s="6" t="s">
        <v>871</v>
      </c>
      <c r="E606" s="157" t="s">
        <v>778</v>
      </c>
      <c r="F606" s="6"/>
      <c r="G606" s="46">
        <f>G607+G610</f>
        <v>0</v>
      </c>
      <c r="H606" s="46">
        <f>H607+H610</f>
        <v>0</v>
      </c>
      <c r="I606" s="46" t="e">
        <f t="shared" si="45"/>
        <v>#DIV/0!</v>
      </c>
    </row>
    <row r="607" spans="1:9" ht="47.25" customHeight="1" hidden="1">
      <c r="A607" s="3" t="s">
        <v>673</v>
      </c>
      <c r="B607" s="6" t="s">
        <v>79</v>
      </c>
      <c r="C607" s="6" t="s">
        <v>871</v>
      </c>
      <c r="D607" s="6" t="s">
        <v>871</v>
      </c>
      <c r="E607" s="157" t="s">
        <v>778</v>
      </c>
      <c r="F607" s="6" t="s">
        <v>674</v>
      </c>
      <c r="G607" s="46">
        <f>G608</f>
        <v>0</v>
      </c>
      <c r="H607" s="46">
        <f>H608</f>
        <v>0</v>
      </c>
      <c r="I607" s="46" t="e">
        <f t="shared" si="45"/>
        <v>#DIV/0!</v>
      </c>
    </row>
    <row r="608" spans="1:9" ht="47.25" customHeight="1" hidden="1">
      <c r="A608" s="3" t="s">
        <v>675</v>
      </c>
      <c r="B608" s="6" t="s">
        <v>79</v>
      </c>
      <c r="C608" s="6" t="s">
        <v>871</v>
      </c>
      <c r="D608" s="6" t="s">
        <v>871</v>
      </c>
      <c r="E608" s="157" t="s">
        <v>778</v>
      </c>
      <c r="F608" s="6" t="s">
        <v>676</v>
      </c>
      <c r="G608" s="46">
        <f>G609</f>
        <v>0</v>
      </c>
      <c r="H608" s="46">
        <f>H609</f>
        <v>0</v>
      </c>
      <c r="I608" s="46" t="e">
        <f t="shared" si="45"/>
        <v>#DIV/0!</v>
      </c>
    </row>
    <row r="609" spans="1:9" ht="47.25" customHeight="1" hidden="1">
      <c r="A609" s="3" t="s">
        <v>677</v>
      </c>
      <c r="B609" s="6" t="s">
        <v>79</v>
      </c>
      <c r="C609" s="6" t="s">
        <v>871</v>
      </c>
      <c r="D609" s="6" t="s">
        <v>871</v>
      </c>
      <c r="E609" s="157" t="s">
        <v>778</v>
      </c>
      <c r="F609" s="6" t="s">
        <v>678</v>
      </c>
      <c r="G609" s="46">
        <v>0</v>
      </c>
      <c r="H609" s="46">
        <v>0</v>
      </c>
      <c r="I609" s="46" t="e">
        <f t="shared" si="45"/>
        <v>#DIV/0!</v>
      </c>
    </row>
    <row r="610" spans="1:9" ht="15.75" customHeight="1" hidden="1">
      <c r="A610" s="122" t="s">
        <v>940</v>
      </c>
      <c r="B610" s="6" t="s">
        <v>79</v>
      </c>
      <c r="C610" s="6" t="s">
        <v>871</v>
      </c>
      <c r="D610" s="6" t="s">
        <v>871</v>
      </c>
      <c r="E610" s="157" t="s">
        <v>778</v>
      </c>
      <c r="F610" s="6" t="s">
        <v>31</v>
      </c>
      <c r="G610" s="46">
        <f>G611</f>
        <v>0</v>
      </c>
      <c r="H610" s="46">
        <f>H611</f>
        <v>0</v>
      </c>
      <c r="I610" s="46" t="e">
        <f t="shared" si="45"/>
        <v>#DIV/0!</v>
      </c>
    </row>
    <row r="611" spans="1:9" ht="94.5" customHeight="1" hidden="1">
      <c r="A611" s="5" t="s">
        <v>32</v>
      </c>
      <c r="B611" s="6" t="s">
        <v>79</v>
      </c>
      <c r="C611" s="6" t="s">
        <v>871</v>
      </c>
      <c r="D611" s="6" t="s">
        <v>871</v>
      </c>
      <c r="E611" s="157" t="s">
        <v>778</v>
      </c>
      <c r="F611" s="6" t="s">
        <v>33</v>
      </c>
      <c r="G611" s="46">
        <f>G612</f>
        <v>0</v>
      </c>
      <c r="H611" s="46">
        <f>H612</f>
        <v>0</v>
      </c>
      <c r="I611" s="46" t="e">
        <f t="shared" si="45"/>
        <v>#DIV/0!</v>
      </c>
    </row>
    <row r="612" spans="1:9" ht="94.5" customHeight="1" hidden="1">
      <c r="A612" s="5" t="s">
        <v>34</v>
      </c>
      <c r="B612" s="6" t="s">
        <v>79</v>
      </c>
      <c r="C612" s="6" t="s">
        <v>871</v>
      </c>
      <c r="D612" s="6" t="s">
        <v>871</v>
      </c>
      <c r="E612" s="157" t="s">
        <v>778</v>
      </c>
      <c r="F612" s="6" t="s">
        <v>35</v>
      </c>
      <c r="G612" s="46">
        <v>0</v>
      </c>
      <c r="H612" s="46">
        <v>0</v>
      </c>
      <c r="I612" s="46" t="e">
        <f t="shared" si="45"/>
        <v>#DIV/0!</v>
      </c>
    </row>
    <row r="613" spans="1:9" ht="47.25">
      <c r="A613" s="90" t="s">
        <v>816</v>
      </c>
      <c r="B613" s="4" t="s">
        <v>79</v>
      </c>
      <c r="C613" s="6" t="s">
        <v>871</v>
      </c>
      <c r="D613" s="6" t="s">
        <v>871</v>
      </c>
      <c r="E613" s="91" t="s">
        <v>650</v>
      </c>
      <c r="F613" s="6"/>
      <c r="G613" s="46">
        <f>G614+G619</f>
        <v>34940953.63</v>
      </c>
      <c r="H613" s="46">
        <f>H614+H619</f>
        <v>34923976.2</v>
      </c>
      <c r="I613" s="46">
        <f t="shared" si="45"/>
        <v>99.95</v>
      </c>
    </row>
    <row r="614" spans="1:9" ht="141.75">
      <c r="A614" s="130" t="s">
        <v>836</v>
      </c>
      <c r="B614" s="4" t="s">
        <v>79</v>
      </c>
      <c r="C614" s="6" t="s">
        <v>871</v>
      </c>
      <c r="D614" s="6" t="s">
        <v>871</v>
      </c>
      <c r="E614" s="91" t="s">
        <v>837</v>
      </c>
      <c r="F614" s="6"/>
      <c r="G614" s="46">
        <f>G615</f>
        <v>6450700</v>
      </c>
      <c r="H614" s="46">
        <f>H615</f>
        <v>6445717.31</v>
      </c>
      <c r="I614" s="46">
        <f t="shared" si="45"/>
        <v>99.92</v>
      </c>
    </row>
    <row r="615" spans="1:9" ht="78.75">
      <c r="A615" s="5" t="s">
        <v>936</v>
      </c>
      <c r="B615" s="6" t="s">
        <v>79</v>
      </c>
      <c r="C615" s="6" t="s">
        <v>871</v>
      </c>
      <c r="D615" s="6" t="s">
        <v>871</v>
      </c>
      <c r="E615" s="6" t="s">
        <v>837</v>
      </c>
      <c r="F615" s="6" t="s">
        <v>685</v>
      </c>
      <c r="G615" s="46">
        <f>G616</f>
        <v>6450700</v>
      </c>
      <c r="H615" s="46">
        <f>H616</f>
        <v>6445717.31</v>
      </c>
      <c r="I615" s="46">
        <f t="shared" si="45"/>
        <v>99.92</v>
      </c>
    </row>
    <row r="616" spans="1:9" ht="31.5">
      <c r="A616" s="122" t="s">
        <v>45</v>
      </c>
      <c r="B616" s="6" t="s">
        <v>79</v>
      </c>
      <c r="C616" s="6" t="s">
        <v>871</v>
      </c>
      <c r="D616" s="6" t="s">
        <v>871</v>
      </c>
      <c r="E616" s="6" t="s">
        <v>837</v>
      </c>
      <c r="F616" s="6" t="s">
        <v>686</v>
      </c>
      <c r="G616" s="46">
        <f>G617+G618</f>
        <v>6450700</v>
      </c>
      <c r="H616" s="46">
        <f>H617+H618</f>
        <v>6445717.31</v>
      </c>
      <c r="I616" s="46">
        <f t="shared" si="45"/>
        <v>99.92</v>
      </c>
    </row>
    <row r="617" spans="1:9" ht="110.25">
      <c r="A617" s="5" t="s">
        <v>64</v>
      </c>
      <c r="B617" s="6" t="s">
        <v>79</v>
      </c>
      <c r="C617" s="6" t="s">
        <v>871</v>
      </c>
      <c r="D617" s="6" t="s">
        <v>871</v>
      </c>
      <c r="E617" s="6" t="s">
        <v>837</v>
      </c>
      <c r="F617" s="6" t="s">
        <v>65</v>
      </c>
      <c r="G617" s="46">
        <v>6359200</v>
      </c>
      <c r="H617" s="46">
        <v>6359200</v>
      </c>
      <c r="I617" s="46">
        <f t="shared" si="45"/>
        <v>100</v>
      </c>
    </row>
    <row r="618" spans="1:9" ht="47.25">
      <c r="A618" s="124" t="s">
        <v>46</v>
      </c>
      <c r="B618" s="9" t="s">
        <v>79</v>
      </c>
      <c r="C618" s="9" t="s">
        <v>871</v>
      </c>
      <c r="D618" s="9" t="s">
        <v>871</v>
      </c>
      <c r="E618" s="9" t="s">
        <v>837</v>
      </c>
      <c r="F618" s="9" t="s">
        <v>57</v>
      </c>
      <c r="G618" s="48">
        <f>50160+41329+11</f>
        <v>91500</v>
      </c>
      <c r="H618" s="48">
        <v>86517.31</v>
      </c>
      <c r="I618" s="48">
        <f t="shared" si="45"/>
        <v>94.55</v>
      </c>
    </row>
    <row r="619" spans="1:9" ht="126">
      <c r="A619" s="5" t="s">
        <v>843</v>
      </c>
      <c r="B619" s="6" t="s">
        <v>79</v>
      </c>
      <c r="C619" s="6" t="s">
        <v>871</v>
      </c>
      <c r="D619" s="6" t="s">
        <v>871</v>
      </c>
      <c r="E619" s="6" t="s">
        <v>844</v>
      </c>
      <c r="F619" s="6"/>
      <c r="G619" s="46">
        <f>G620+G624+G628</f>
        <v>28490253.630000003</v>
      </c>
      <c r="H619" s="46">
        <f>H620+H624+H628</f>
        <v>28478258.89</v>
      </c>
      <c r="I619" s="46">
        <f t="shared" si="45"/>
        <v>99.96</v>
      </c>
    </row>
    <row r="620" spans="1:9" ht="157.5">
      <c r="A620" s="3" t="s">
        <v>663</v>
      </c>
      <c r="B620" s="6" t="s">
        <v>79</v>
      </c>
      <c r="C620" s="6" t="s">
        <v>871</v>
      </c>
      <c r="D620" s="6" t="s">
        <v>871</v>
      </c>
      <c r="E620" s="6" t="s">
        <v>844</v>
      </c>
      <c r="F620" s="6" t="s">
        <v>664</v>
      </c>
      <c r="G620" s="46">
        <f>G621</f>
        <v>11503156.08</v>
      </c>
      <c r="H620" s="46">
        <f>H621</f>
        <v>11502416.08</v>
      </c>
      <c r="I620" s="46">
        <f t="shared" si="45"/>
        <v>99.99</v>
      </c>
    </row>
    <row r="621" spans="1:9" ht="47.25">
      <c r="A621" s="3" t="s">
        <v>725</v>
      </c>
      <c r="B621" s="6" t="s">
        <v>79</v>
      </c>
      <c r="C621" s="6" t="s">
        <v>871</v>
      </c>
      <c r="D621" s="6" t="s">
        <v>871</v>
      </c>
      <c r="E621" s="6" t="s">
        <v>844</v>
      </c>
      <c r="F621" s="6" t="s">
        <v>726</v>
      </c>
      <c r="G621" s="46">
        <f>G622+G623</f>
        <v>11503156.08</v>
      </c>
      <c r="H621" s="46">
        <f>H622+H623</f>
        <v>11502416.08</v>
      </c>
      <c r="I621" s="46">
        <f t="shared" si="45"/>
        <v>99.99</v>
      </c>
    </row>
    <row r="622" spans="1:9" ht="31.5">
      <c r="A622" s="3" t="s">
        <v>669</v>
      </c>
      <c r="B622" s="6" t="s">
        <v>79</v>
      </c>
      <c r="C622" s="6" t="s">
        <v>871</v>
      </c>
      <c r="D622" s="6" t="s">
        <v>871</v>
      </c>
      <c r="E622" s="6" t="s">
        <v>844</v>
      </c>
      <c r="F622" s="6" t="s">
        <v>727</v>
      </c>
      <c r="G622" s="46">
        <f>8356540+2523680-24000-45000-26000-182128.39+495048.18+149504.55</f>
        <v>11247644.34</v>
      </c>
      <c r="H622" s="46">
        <v>11247644.34</v>
      </c>
      <c r="I622" s="46">
        <f t="shared" si="45"/>
        <v>100</v>
      </c>
    </row>
    <row r="623" spans="1:9" ht="47.25">
      <c r="A623" s="3" t="s">
        <v>671</v>
      </c>
      <c r="B623" s="6" t="s">
        <v>79</v>
      </c>
      <c r="C623" s="6" t="s">
        <v>871</v>
      </c>
      <c r="D623" s="6" t="s">
        <v>871</v>
      </c>
      <c r="E623" s="6" t="s">
        <v>844</v>
      </c>
      <c r="F623" s="6" t="s">
        <v>728</v>
      </c>
      <c r="G623" s="46">
        <f>47090+3740+26000+178681.74</f>
        <v>255511.74</v>
      </c>
      <c r="H623" s="46">
        <v>254771.74</v>
      </c>
      <c r="I623" s="46">
        <f t="shared" si="45"/>
        <v>99.71</v>
      </c>
    </row>
    <row r="624" spans="1:9" ht="47.25">
      <c r="A624" s="3" t="s">
        <v>673</v>
      </c>
      <c r="B624" s="6" t="s">
        <v>79</v>
      </c>
      <c r="C624" s="6" t="s">
        <v>871</v>
      </c>
      <c r="D624" s="6" t="s">
        <v>871</v>
      </c>
      <c r="E624" s="6" t="s">
        <v>844</v>
      </c>
      <c r="F624" s="6" t="s">
        <v>674</v>
      </c>
      <c r="G624" s="46">
        <f>G625</f>
        <v>783080</v>
      </c>
      <c r="H624" s="46">
        <f>H625</f>
        <v>771825.26</v>
      </c>
      <c r="I624" s="46">
        <f t="shared" si="45"/>
        <v>98.56</v>
      </c>
    </row>
    <row r="625" spans="1:9" ht="47.25">
      <c r="A625" s="3" t="s">
        <v>675</v>
      </c>
      <c r="B625" s="6" t="s">
        <v>79</v>
      </c>
      <c r="C625" s="6" t="s">
        <v>871</v>
      </c>
      <c r="D625" s="6" t="s">
        <v>871</v>
      </c>
      <c r="E625" s="6" t="s">
        <v>844</v>
      </c>
      <c r="F625" s="6" t="s">
        <v>676</v>
      </c>
      <c r="G625" s="46">
        <f>G626+G627</f>
        <v>783080</v>
      </c>
      <c r="H625" s="46">
        <f>H626+H627</f>
        <v>771825.26</v>
      </c>
      <c r="I625" s="46">
        <f t="shared" si="45"/>
        <v>98.56</v>
      </c>
    </row>
    <row r="626" spans="1:9" ht="78.75">
      <c r="A626" s="3" t="s">
        <v>679</v>
      </c>
      <c r="B626" s="6" t="s">
        <v>79</v>
      </c>
      <c r="C626" s="6" t="s">
        <v>871</v>
      </c>
      <c r="D626" s="6" t="s">
        <v>871</v>
      </c>
      <c r="E626" s="6" t="s">
        <v>844</v>
      </c>
      <c r="F626" s="6" t="s">
        <v>680</v>
      </c>
      <c r="G626" s="46">
        <f>136000+5000+24000</f>
        <v>165000</v>
      </c>
      <c r="H626" s="46">
        <v>160769.09</v>
      </c>
      <c r="I626" s="46">
        <f t="shared" si="45"/>
        <v>97.44</v>
      </c>
    </row>
    <row r="627" spans="1:9" ht="47.25">
      <c r="A627" s="3" t="s">
        <v>677</v>
      </c>
      <c r="B627" s="6" t="s">
        <v>79</v>
      </c>
      <c r="C627" s="6" t="s">
        <v>871</v>
      </c>
      <c r="D627" s="6" t="s">
        <v>871</v>
      </c>
      <c r="E627" s="6" t="s">
        <v>844</v>
      </c>
      <c r="F627" s="6" t="s">
        <v>678</v>
      </c>
      <c r="G627" s="46">
        <f>674790+30-24000+24000-3740-5000-20000-24500-3500</f>
        <v>618080</v>
      </c>
      <c r="H627" s="46">
        <v>611056.17</v>
      </c>
      <c r="I627" s="46">
        <f t="shared" si="45"/>
        <v>98.86</v>
      </c>
    </row>
    <row r="628" spans="1:9" ht="31.5">
      <c r="A628" s="3" t="s">
        <v>557</v>
      </c>
      <c r="B628" s="4" t="s">
        <v>79</v>
      </c>
      <c r="C628" s="4" t="s">
        <v>871</v>
      </c>
      <c r="D628" s="4" t="s">
        <v>871</v>
      </c>
      <c r="E628" s="4" t="s">
        <v>844</v>
      </c>
      <c r="F628" s="4" t="s">
        <v>683</v>
      </c>
      <c r="G628" s="61">
        <f>G631+G634+G629</f>
        <v>16204017.55</v>
      </c>
      <c r="H628" s="61">
        <f>H631+H634+H629</f>
        <v>16204017.55</v>
      </c>
      <c r="I628" s="61">
        <f t="shared" si="45"/>
        <v>100</v>
      </c>
    </row>
    <row r="629" spans="1:9" ht="31.5">
      <c r="A629" s="3" t="s">
        <v>602</v>
      </c>
      <c r="B629" s="6" t="s">
        <v>79</v>
      </c>
      <c r="C629" s="6" t="s">
        <v>871</v>
      </c>
      <c r="D629" s="6" t="s">
        <v>871</v>
      </c>
      <c r="E629" s="6" t="s">
        <v>844</v>
      </c>
      <c r="F629" s="6" t="s">
        <v>603</v>
      </c>
      <c r="G629" s="46">
        <f>G630</f>
        <v>96017.54999999999</v>
      </c>
      <c r="H629" s="46">
        <f>H630</f>
        <v>96017.55</v>
      </c>
      <c r="I629" s="46">
        <f t="shared" si="45"/>
        <v>100</v>
      </c>
    </row>
    <row r="630" spans="1:9" ht="252">
      <c r="A630" s="3" t="s">
        <v>605</v>
      </c>
      <c r="B630" s="6" t="s">
        <v>79</v>
      </c>
      <c r="C630" s="6" t="s">
        <v>871</v>
      </c>
      <c r="D630" s="6" t="s">
        <v>871</v>
      </c>
      <c r="E630" s="6" t="s">
        <v>844</v>
      </c>
      <c r="F630" s="6" t="s">
        <v>606</v>
      </c>
      <c r="G630" s="46">
        <f>8446.65+87570.9</f>
        <v>96017.54999999999</v>
      </c>
      <c r="H630" s="46">
        <v>96017.55</v>
      </c>
      <c r="I630" s="46">
        <f t="shared" si="45"/>
        <v>100</v>
      </c>
    </row>
    <row r="631" spans="1:9" ht="78.75">
      <c r="A631" s="90" t="s">
        <v>729</v>
      </c>
      <c r="B631" s="6" t="s">
        <v>79</v>
      </c>
      <c r="C631" s="6" t="s">
        <v>871</v>
      </c>
      <c r="D631" s="6" t="s">
        <v>871</v>
      </c>
      <c r="E631" s="6" t="s">
        <v>844</v>
      </c>
      <c r="F631" s="91" t="s">
        <v>730</v>
      </c>
      <c r="G631" s="46">
        <f>G633+G632</f>
        <v>108000</v>
      </c>
      <c r="H631" s="46">
        <f>H633+H632</f>
        <v>108000</v>
      </c>
      <c r="I631" s="46">
        <f t="shared" si="45"/>
        <v>100</v>
      </c>
    </row>
    <row r="632" spans="1:9" ht="47.25">
      <c r="A632" s="90" t="s">
        <v>607</v>
      </c>
      <c r="B632" s="6" t="s">
        <v>79</v>
      </c>
      <c r="C632" s="6" t="s">
        <v>871</v>
      </c>
      <c r="D632" s="6" t="s">
        <v>871</v>
      </c>
      <c r="E632" s="6" t="s">
        <v>844</v>
      </c>
      <c r="F632" s="91" t="s">
        <v>608</v>
      </c>
      <c r="G632" s="46">
        <f>15000+3500</f>
        <v>18500</v>
      </c>
      <c r="H632" s="46">
        <v>18500</v>
      </c>
      <c r="I632" s="46">
        <f t="shared" si="45"/>
        <v>100</v>
      </c>
    </row>
    <row r="633" spans="1:9" ht="47.25">
      <c r="A633" s="90" t="s">
        <v>731</v>
      </c>
      <c r="B633" s="6" t="s">
        <v>79</v>
      </c>
      <c r="C633" s="6" t="s">
        <v>871</v>
      </c>
      <c r="D633" s="6" t="s">
        <v>871</v>
      </c>
      <c r="E633" s="6" t="s">
        <v>844</v>
      </c>
      <c r="F633" s="91" t="s">
        <v>732</v>
      </c>
      <c r="G633" s="46">
        <f>54000+15000+500+20000</f>
        <v>89500</v>
      </c>
      <c r="H633" s="46">
        <v>89500</v>
      </c>
      <c r="I633" s="46">
        <f t="shared" si="45"/>
        <v>100</v>
      </c>
    </row>
    <row r="634" spans="1:9" ht="31.5">
      <c r="A634" s="136" t="s">
        <v>759</v>
      </c>
      <c r="B634" s="6" t="s">
        <v>79</v>
      </c>
      <c r="C634" s="6" t="s">
        <v>871</v>
      </c>
      <c r="D634" s="6" t="s">
        <v>871</v>
      </c>
      <c r="E634" s="6" t="s">
        <v>844</v>
      </c>
      <c r="F634" s="6" t="s">
        <v>761</v>
      </c>
      <c r="G634" s="46">
        <f>G636+G635</f>
        <v>16000000</v>
      </c>
      <c r="H634" s="46">
        <f>H636+H635</f>
        <v>16000000</v>
      </c>
      <c r="I634" s="46">
        <f t="shared" si="45"/>
        <v>100</v>
      </c>
    </row>
    <row r="635" spans="1:9" ht="94.5">
      <c r="A635" s="30" t="s">
        <v>38</v>
      </c>
      <c r="B635" s="6" t="s">
        <v>79</v>
      </c>
      <c r="C635" s="6" t="s">
        <v>871</v>
      </c>
      <c r="D635" s="6" t="s">
        <v>871</v>
      </c>
      <c r="E635" s="6" t="s">
        <v>844</v>
      </c>
      <c r="F635" s="6" t="s">
        <v>39</v>
      </c>
      <c r="G635" s="46">
        <f>6000000</f>
        <v>6000000</v>
      </c>
      <c r="H635" s="46">
        <v>6000000</v>
      </c>
      <c r="I635" s="46">
        <f t="shared" si="45"/>
        <v>100</v>
      </c>
    </row>
    <row r="636" spans="1:9" ht="94.5">
      <c r="A636" s="30" t="s">
        <v>838</v>
      </c>
      <c r="B636" s="6" t="s">
        <v>79</v>
      </c>
      <c r="C636" s="6" t="s">
        <v>871</v>
      </c>
      <c r="D636" s="6" t="s">
        <v>871</v>
      </c>
      <c r="E636" s="6" t="s">
        <v>844</v>
      </c>
      <c r="F636" s="6" t="s">
        <v>75</v>
      </c>
      <c r="G636" s="46">
        <f>39000000-6000000-23000000</f>
        <v>10000000</v>
      </c>
      <c r="H636" s="46">
        <v>10000000</v>
      </c>
      <c r="I636" s="46">
        <f t="shared" si="45"/>
        <v>100</v>
      </c>
    </row>
    <row r="637" spans="1:11" s="24" customFormat="1" ht="40.5" customHeight="1">
      <c r="A637" s="20" t="s">
        <v>753</v>
      </c>
      <c r="B637" s="7" t="s">
        <v>79</v>
      </c>
      <c r="C637" s="7" t="s">
        <v>870</v>
      </c>
      <c r="D637" s="7"/>
      <c r="E637" s="7"/>
      <c r="F637" s="7"/>
      <c r="G637" s="45">
        <f>G644+G638</f>
        <v>3614559.62</v>
      </c>
      <c r="H637" s="45">
        <f>H644+H638</f>
        <v>2109749.99</v>
      </c>
      <c r="I637" s="45">
        <f t="shared" si="45"/>
        <v>58.37</v>
      </c>
      <c r="J637" s="96"/>
      <c r="K637" s="187"/>
    </row>
    <row r="638" spans="1:11" s="24" customFormat="1" ht="63.75" customHeight="1">
      <c r="A638" s="1" t="s">
        <v>857</v>
      </c>
      <c r="B638" s="2" t="s">
        <v>79</v>
      </c>
      <c r="C638" s="2" t="s">
        <v>870</v>
      </c>
      <c r="D638" s="2" t="s">
        <v>876</v>
      </c>
      <c r="E638" s="2"/>
      <c r="F638" s="2"/>
      <c r="G638" s="50">
        <f aca="true" t="shared" si="49" ref="G638:H642">G639</f>
        <v>310730</v>
      </c>
      <c r="H638" s="50">
        <f t="shared" si="49"/>
        <v>0</v>
      </c>
      <c r="I638" s="50">
        <f t="shared" si="45"/>
        <v>0</v>
      </c>
      <c r="J638" s="96"/>
      <c r="K638" s="187"/>
    </row>
    <row r="639" spans="1:11" s="24" customFormat="1" ht="81.75" customHeight="1">
      <c r="A639" s="5" t="s">
        <v>858</v>
      </c>
      <c r="B639" s="6" t="s">
        <v>859</v>
      </c>
      <c r="C639" s="6" t="s">
        <v>870</v>
      </c>
      <c r="D639" s="6" t="s">
        <v>876</v>
      </c>
      <c r="E639" s="6" t="s">
        <v>860</v>
      </c>
      <c r="F639" s="6"/>
      <c r="G639" s="46">
        <f t="shared" si="49"/>
        <v>310730</v>
      </c>
      <c r="H639" s="46">
        <f t="shared" si="49"/>
        <v>0</v>
      </c>
      <c r="I639" s="46">
        <f t="shared" si="45"/>
        <v>0</v>
      </c>
      <c r="J639" s="96"/>
      <c r="K639" s="187"/>
    </row>
    <row r="640" spans="1:11" s="24" customFormat="1" ht="111" customHeight="1">
      <c r="A640" s="5" t="s">
        <v>861</v>
      </c>
      <c r="B640" s="6" t="s">
        <v>859</v>
      </c>
      <c r="C640" s="6" t="s">
        <v>870</v>
      </c>
      <c r="D640" s="6" t="s">
        <v>876</v>
      </c>
      <c r="E640" s="6" t="s">
        <v>862</v>
      </c>
      <c r="F640" s="6"/>
      <c r="G640" s="46">
        <f t="shared" si="49"/>
        <v>310730</v>
      </c>
      <c r="H640" s="46">
        <f t="shared" si="49"/>
        <v>0</v>
      </c>
      <c r="I640" s="46">
        <f t="shared" si="45"/>
        <v>0</v>
      </c>
      <c r="J640" s="96"/>
      <c r="K640" s="187"/>
    </row>
    <row r="641" spans="1:11" s="24" customFormat="1" ht="49.5" customHeight="1">
      <c r="A641" s="3" t="s">
        <v>673</v>
      </c>
      <c r="B641" s="6" t="s">
        <v>859</v>
      </c>
      <c r="C641" s="6" t="s">
        <v>870</v>
      </c>
      <c r="D641" s="6" t="s">
        <v>876</v>
      </c>
      <c r="E641" s="6" t="s">
        <v>862</v>
      </c>
      <c r="F641" s="6" t="s">
        <v>674</v>
      </c>
      <c r="G641" s="46">
        <f t="shared" si="49"/>
        <v>310730</v>
      </c>
      <c r="H641" s="46">
        <f t="shared" si="49"/>
        <v>0</v>
      </c>
      <c r="I641" s="46">
        <f t="shared" si="45"/>
        <v>0</v>
      </c>
      <c r="J641" s="96"/>
      <c r="K641" s="187"/>
    </row>
    <row r="642" spans="1:11" s="24" customFormat="1" ht="56.25" customHeight="1">
      <c r="A642" s="3" t="s">
        <v>675</v>
      </c>
      <c r="B642" s="6" t="s">
        <v>859</v>
      </c>
      <c r="C642" s="6" t="s">
        <v>870</v>
      </c>
      <c r="D642" s="6" t="s">
        <v>876</v>
      </c>
      <c r="E642" s="6" t="s">
        <v>862</v>
      </c>
      <c r="F642" s="6" t="s">
        <v>676</v>
      </c>
      <c r="G642" s="46">
        <f t="shared" si="49"/>
        <v>310730</v>
      </c>
      <c r="H642" s="46">
        <f t="shared" si="49"/>
        <v>0</v>
      </c>
      <c r="I642" s="46">
        <f t="shared" si="45"/>
        <v>0</v>
      </c>
      <c r="J642" s="96"/>
      <c r="K642" s="187"/>
    </row>
    <row r="643" spans="1:11" s="24" customFormat="1" ht="58.5" customHeight="1">
      <c r="A643" s="3" t="s">
        <v>677</v>
      </c>
      <c r="B643" s="6" t="s">
        <v>859</v>
      </c>
      <c r="C643" s="6" t="s">
        <v>870</v>
      </c>
      <c r="D643" s="6" t="s">
        <v>876</v>
      </c>
      <c r="E643" s="6" t="s">
        <v>862</v>
      </c>
      <c r="F643" s="6" t="s">
        <v>678</v>
      </c>
      <c r="G643" s="46">
        <f>310730</f>
        <v>310730</v>
      </c>
      <c r="H643" s="46">
        <v>0</v>
      </c>
      <c r="I643" s="46">
        <f t="shared" si="45"/>
        <v>0</v>
      </c>
      <c r="J643" s="96"/>
      <c r="K643" s="187"/>
    </row>
    <row r="644" spans="1:11" s="24" customFormat="1" ht="47.25">
      <c r="A644" s="1" t="s">
        <v>754</v>
      </c>
      <c r="B644" s="2" t="s">
        <v>79</v>
      </c>
      <c r="C644" s="2" t="s">
        <v>870</v>
      </c>
      <c r="D644" s="2" t="s">
        <v>871</v>
      </c>
      <c r="E644" s="2"/>
      <c r="F644" s="2"/>
      <c r="G644" s="50">
        <f aca="true" t="shared" si="50" ref="G644:H646">G645</f>
        <v>3303829.62</v>
      </c>
      <c r="H644" s="50">
        <f t="shared" si="50"/>
        <v>2109749.99</v>
      </c>
      <c r="I644" s="50">
        <f t="shared" si="45"/>
        <v>63.86</v>
      </c>
      <c r="J644" s="96"/>
      <c r="K644" s="187"/>
    </row>
    <row r="645" spans="1:9" ht="47.25">
      <c r="A645" s="5" t="s">
        <v>922</v>
      </c>
      <c r="B645" s="6" t="s">
        <v>79</v>
      </c>
      <c r="C645" s="6" t="s">
        <v>870</v>
      </c>
      <c r="D645" s="6" t="s">
        <v>871</v>
      </c>
      <c r="E645" s="6" t="s">
        <v>923</v>
      </c>
      <c r="F645" s="6"/>
      <c r="G645" s="46">
        <f t="shared" si="50"/>
        <v>3303829.62</v>
      </c>
      <c r="H645" s="46">
        <f t="shared" si="50"/>
        <v>2109749.99</v>
      </c>
      <c r="I645" s="46">
        <f t="shared" si="45"/>
        <v>63.86</v>
      </c>
    </row>
    <row r="646" spans="1:9" ht="47.25">
      <c r="A646" s="90" t="s">
        <v>824</v>
      </c>
      <c r="B646" s="6" t="s">
        <v>79</v>
      </c>
      <c r="C646" s="6" t="s">
        <v>870</v>
      </c>
      <c r="D646" s="6" t="s">
        <v>871</v>
      </c>
      <c r="E646" s="6" t="s">
        <v>795</v>
      </c>
      <c r="F646" s="6"/>
      <c r="G646" s="46">
        <f t="shared" si="50"/>
        <v>3303829.62</v>
      </c>
      <c r="H646" s="46">
        <f t="shared" si="50"/>
        <v>2109749.99</v>
      </c>
      <c r="I646" s="46">
        <f t="shared" si="45"/>
        <v>63.86</v>
      </c>
    </row>
    <row r="647" spans="1:9" ht="94.5">
      <c r="A647" s="90" t="s">
        <v>755</v>
      </c>
      <c r="B647" s="6" t="s">
        <v>79</v>
      </c>
      <c r="C647" s="6" t="s">
        <v>870</v>
      </c>
      <c r="D647" s="6" t="s">
        <v>871</v>
      </c>
      <c r="E647" s="6" t="s">
        <v>756</v>
      </c>
      <c r="F647" s="6"/>
      <c r="G647" s="46">
        <f>G648+G651+G654</f>
        <v>3303829.62</v>
      </c>
      <c r="H647" s="46">
        <f>H648+H651+H654</f>
        <v>2109749.99</v>
      </c>
      <c r="I647" s="46">
        <f t="shared" si="45"/>
        <v>63.86</v>
      </c>
    </row>
    <row r="648" spans="1:9" ht="47.25">
      <c r="A648" s="3" t="s">
        <v>673</v>
      </c>
      <c r="B648" s="4" t="s">
        <v>79</v>
      </c>
      <c r="C648" s="4" t="s">
        <v>870</v>
      </c>
      <c r="D648" s="4" t="s">
        <v>871</v>
      </c>
      <c r="E648" s="4" t="s">
        <v>756</v>
      </c>
      <c r="F648" s="4" t="s">
        <v>674</v>
      </c>
      <c r="G648" s="61">
        <f>G649</f>
        <v>1230000</v>
      </c>
      <c r="H648" s="61">
        <f>H649</f>
        <v>1199795.49</v>
      </c>
      <c r="I648" s="61">
        <f aca="true" t="shared" si="51" ref="I648:I711">ROUND(H648/G648*100,2)</f>
        <v>97.54</v>
      </c>
    </row>
    <row r="649" spans="1:9" ht="47.25">
      <c r="A649" s="3" t="s">
        <v>675</v>
      </c>
      <c r="B649" s="6" t="s">
        <v>79</v>
      </c>
      <c r="C649" s="6" t="s">
        <v>870</v>
      </c>
      <c r="D649" s="6" t="s">
        <v>871</v>
      </c>
      <c r="E649" s="6" t="s">
        <v>756</v>
      </c>
      <c r="F649" s="6" t="s">
        <v>676</v>
      </c>
      <c r="G649" s="46">
        <f>G650</f>
        <v>1230000</v>
      </c>
      <c r="H649" s="46">
        <f>H650</f>
        <v>1199795.49</v>
      </c>
      <c r="I649" s="46">
        <f t="shared" si="51"/>
        <v>97.54</v>
      </c>
    </row>
    <row r="650" spans="1:9" ht="47.25">
      <c r="A650" s="3" t="s">
        <v>677</v>
      </c>
      <c r="B650" s="6" t="s">
        <v>79</v>
      </c>
      <c r="C650" s="6" t="s">
        <v>870</v>
      </c>
      <c r="D650" s="6" t="s">
        <v>871</v>
      </c>
      <c r="E650" s="6" t="s">
        <v>756</v>
      </c>
      <c r="F650" s="6" t="s">
        <v>678</v>
      </c>
      <c r="G650" s="46">
        <v>1230000</v>
      </c>
      <c r="H650" s="46">
        <v>1199795.49</v>
      </c>
      <c r="I650" s="46">
        <f t="shared" si="51"/>
        <v>97.54</v>
      </c>
    </row>
    <row r="651" spans="1:9" ht="15.75">
      <c r="A651" s="122" t="s">
        <v>940</v>
      </c>
      <c r="B651" s="6" t="s">
        <v>79</v>
      </c>
      <c r="C651" s="6" t="s">
        <v>870</v>
      </c>
      <c r="D651" s="6" t="s">
        <v>871</v>
      </c>
      <c r="E651" s="6" t="s">
        <v>756</v>
      </c>
      <c r="F651" s="6" t="s">
        <v>31</v>
      </c>
      <c r="G651" s="46">
        <f>G652</f>
        <v>1911629.62</v>
      </c>
      <c r="H651" s="46">
        <f>H652</f>
        <v>909954.5</v>
      </c>
      <c r="I651" s="46">
        <f t="shared" si="51"/>
        <v>47.6</v>
      </c>
    </row>
    <row r="652" spans="1:9" ht="94.5">
      <c r="A652" s="5" t="s">
        <v>32</v>
      </c>
      <c r="B652" s="6" t="s">
        <v>79</v>
      </c>
      <c r="C652" s="6" t="s">
        <v>870</v>
      </c>
      <c r="D652" s="6" t="s">
        <v>871</v>
      </c>
      <c r="E652" s="6" t="s">
        <v>756</v>
      </c>
      <c r="F652" s="6" t="s">
        <v>33</v>
      </c>
      <c r="G652" s="46">
        <f>G653</f>
        <v>1911629.62</v>
      </c>
      <c r="H652" s="46">
        <f>H653</f>
        <v>909954.5</v>
      </c>
      <c r="I652" s="46">
        <f t="shared" si="51"/>
        <v>47.6</v>
      </c>
    </row>
    <row r="653" spans="1:9" ht="94.5">
      <c r="A653" s="5" t="s">
        <v>34</v>
      </c>
      <c r="B653" s="6" t="s">
        <v>79</v>
      </c>
      <c r="C653" s="6" t="s">
        <v>870</v>
      </c>
      <c r="D653" s="6" t="s">
        <v>871</v>
      </c>
      <c r="E653" s="6" t="s">
        <v>756</v>
      </c>
      <c r="F653" s="6" t="s">
        <v>35</v>
      </c>
      <c r="G653" s="46">
        <f>3000000-1000000-88370.38</f>
        <v>1911629.62</v>
      </c>
      <c r="H653" s="46">
        <v>909954.5</v>
      </c>
      <c r="I653" s="46">
        <f t="shared" si="51"/>
        <v>47.6</v>
      </c>
    </row>
    <row r="654" spans="1:9" ht="31.5">
      <c r="A654" s="122" t="s">
        <v>557</v>
      </c>
      <c r="B654" s="6" t="s">
        <v>79</v>
      </c>
      <c r="C654" s="6" t="s">
        <v>870</v>
      </c>
      <c r="D654" s="6" t="s">
        <v>871</v>
      </c>
      <c r="E654" s="6" t="s">
        <v>756</v>
      </c>
      <c r="F654" s="6" t="s">
        <v>683</v>
      </c>
      <c r="G654" s="46">
        <f>G655</f>
        <v>162200</v>
      </c>
      <c r="H654" s="46">
        <f>H655</f>
        <v>0</v>
      </c>
      <c r="I654" s="46">
        <f t="shared" si="51"/>
        <v>0</v>
      </c>
    </row>
    <row r="655" spans="1:9" ht="94.5">
      <c r="A655" s="30" t="s">
        <v>594</v>
      </c>
      <c r="B655" s="6" t="s">
        <v>79</v>
      </c>
      <c r="C655" s="6" t="s">
        <v>870</v>
      </c>
      <c r="D655" s="6" t="s">
        <v>871</v>
      </c>
      <c r="E655" s="6" t="s">
        <v>756</v>
      </c>
      <c r="F655" s="6" t="s">
        <v>684</v>
      </c>
      <c r="G655" s="46">
        <f>1000000-94000-510000-233800</f>
        <v>162200</v>
      </c>
      <c r="H655" s="46">
        <v>0</v>
      </c>
      <c r="I655" s="46">
        <f t="shared" si="51"/>
        <v>0</v>
      </c>
    </row>
    <row r="656" spans="1:9" ht="18.75">
      <c r="A656" s="13" t="s">
        <v>880</v>
      </c>
      <c r="B656" s="7" t="s">
        <v>79</v>
      </c>
      <c r="C656" s="7" t="s">
        <v>872</v>
      </c>
      <c r="D656" s="7"/>
      <c r="E656" s="7"/>
      <c r="F656" s="7"/>
      <c r="G656" s="45">
        <f>G657+G669+G663</f>
        <v>144273773.48000002</v>
      </c>
      <c r="H656" s="45">
        <f>H657+H669+H663</f>
        <v>7473113.85</v>
      </c>
      <c r="I656" s="45">
        <f t="shared" si="51"/>
        <v>5.18</v>
      </c>
    </row>
    <row r="657" spans="1:9" ht="36" customHeight="1" hidden="1">
      <c r="A657" s="1" t="s">
        <v>881</v>
      </c>
      <c r="B657" s="2" t="s">
        <v>79</v>
      </c>
      <c r="C657" s="2" t="s">
        <v>872</v>
      </c>
      <c r="D657" s="2" t="s">
        <v>869</v>
      </c>
      <c r="E657" s="2"/>
      <c r="F657" s="2"/>
      <c r="G657" s="50">
        <f aca="true" t="shared" si="52" ref="G657:H661">G658</f>
        <v>0</v>
      </c>
      <c r="H657" s="50">
        <f t="shared" si="52"/>
        <v>0</v>
      </c>
      <c r="I657" s="50" t="e">
        <f t="shared" si="51"/>
        <v>#DIV/0!</v>
      </c>
    </row>
    <row r="658" spans="1:9" ht="31.5" customHeight="1" hidden="1">
      <c r="A658" s="98" t="s">
        <v>621</v>
      </c>
      <c r="B658" s="6" t="s">
        <v>79</v>
      </c>
      <c r="C658" s="6" t="s">
        <v>872</v>
      </c>
      <c r="D658" s="6" t="s">
        <v>869</v>
      </c>
      <c r="E658" s="6" t="s">
        <v>623</v>
      </c>
      <c r="F658" s="6"/>
      <c r="G658" s="46">
        <f t="shared" si="52"/>
        <v>0</v>
      </c>
      <c r="H658" s="46">
        <f t="shared" si="52"/>
        <v>0</v>
      </c>
      <c r="I658" s="46" t="e">
        <f t="shared" si="51"/>
        <v>#DIV/0!</v>
      </c>
    </row>
    <row r="659" spans="1:9" ht="47.25" customHeight="1" hidden="1">
      <c r="A659" s="98" t="s">
        <v>888</v>
      </c>
      <c r="B659" s="6" t="s">
        <v>79</v>
      </c>
      <c r="C659" s="6" t="s">
        <v>872</v>
      </c>
      <c r="D659" s="6" t="s">
        <v>869</v>
      </c>
      <c r="E659" s="6" t="s">
        <v>889</v>
      </c>
      <c r="F659" s="6"/>
      <c r="G659" s="46">
        <f>G660</f>
        <v>0</v>
      </c>
      <c r="H659" s="46">
        <f>H660</f>
        <v>0</v>
      </c>
      <c r="I659" s="46" t="e">
        <f t="shared" si="51"/>
        <v>#DIV/0!</v>
      </c>
    </row>
    <row r="660" spans="1:9" ht="15.75" customHeight="1" hidden="1">
      <c r="A660" s="122" t="s">
        <v>940</v>
      </c>
      <c r="B660" s="6" t="s">
        <v>79</v>
      </c>
      <c r="C660" s="6" t="s">
        <v>872</v>
      </c>
      <c r="D660" s="6" t="s">
        <v>869</v>
      </c>
      <c r="E660" s="6" t="s">
        <v>889</v>
      </c>
      <c r="F660" s="6" t="s">
        <v>31</v>
      </c>
      <c r="G660" s="46">
        <f t="shared" si="52"/>
        <v>0</v>
      </c>
      <c r="H660" s="46">
        <f t="shared" si="52"/>
        <v>0</v>
      </c>
      <c r="I660" s="46" t="e">
        <f t="shared" si="51"/>
        <v>#DIV/0!</v>
      </c>
    </row>
    <row r="661" spans="1:9" ht="94.5" customHeight="1" hidden="1">
      <c r="A661" s="5" t="s">
        <v>32</v>
      </c>
      <c r="B661" s="6" t="s">
        <v>79</v>
      </c>
      <c r="C661" s="6" t="s">
        <v>872</v>
      </c>
      <c r="D661" s="6" t="s">
        <v>869</v>
      </c>
      <c r="E661" s="6" t="s">
        <v>889</v>
      </c>
      <c r="F661" s="6" t="s">
        <v>33</v>
      </c>
      <c r="G661" s="46">
        <f t="shared" si="52"/>
        <v>0</v>
      </c>
      <c r="H661" s="46">
        <f t="shared" si="52"/>
        <v>0</v>
      </c>
      <c r="I661" s="46" t="e">
        <f t="shared" si="51"/>
        <v>#DIV/0!</v>
      </c>
    </row>
    <row r="662" spans="1:9" ht="94.5" customHeight="1" hidden="1">
      <c r="A662" s="5" t="s">
        <v>34</v>
      </c>
      <c r="B662" s="6" t="s">
        <v>79</v>
      </c>
      <c r="C662" s="6" t="s">
        <v>872</v>
      </c>
      <c r="D662" s="6" t="s">
        <v>869</v>
      </c>
      <c r="E662" s="6" t="s">
        <v>889</v>
      </c>
      <c r="F662" s="6" t="s">
        <v>35</v>
      </c>
      <c r="G662" s="46">
        <f>11000000-11000000</f>
        <v>0</v>
      </c>
      <c r="H662" s="46">
        <f>11000000-11000000</f>
        <v>0</v>
      </c>
      <c r="I662" s="46" t="e">
        <f t="shared" si="51"/>
        <v>#DIV/0!</v>
      </c>
    </row>
    <row r="663" spans="1:9" ht="31.5">
      <c r="A663" s="20" t="s">
        <v>69</v>
      </c>
      <c r="B663" s="7" t="s">
        <v>79</v>
      </c>
      <c r="C663" s="7" t="s">
        <v>872</v>
      </c>
      <c r="D663" s="7" t="s">
        <v>872</v>
      </c>
      <c r="E663" s="7"/>
      <c r="F663" s="7"/>
      <c r="G663" s="45">
        <f aca="true" t="shared" si="53" ref="G663:H667">G664</f>
        <v>479181.19</v>
      </c>
      <c r="H663" s="45">
        <f t="shared" si="53"/>
        <v>479181.19</v>
      </c>
      <c r="I663" s="45">
        <f t="shared" si="51"/>
        <v>100</v>
      </c>
    </row>
    <row r="664" spans="1:9" ht="47.25">
      <c r="A664" s="1" t="s">
        <v>922</v>
      </c>
      <c r="B664" s="2" t="s">
        <v>79</v>
      </c>
      <c r="C664" s="2" t="s">
        <v>872</v>
      </c>
      <c r="D664" s="2" t="s">
        <v>872</v>
      </c>
      <c r="E664" s="2" t="s">
        <v>923</v>
      </c>
      <c r="F664" s="2"/>
      <c r="G664" s="50">
        <f t="shared" si="53"/>
        <v>479181.19</v>
      </c>
      <c r="H664" s="50">
        <f t="shared" si="53"/>
        <v>479181.19</v>
      </c>
      <c r="I664" s="50">
        <f t="shared" si="51"/>
        <v>100</v>
      </c>
    </row>
    <row r="665" spans="1:9" ht="141.75">
      <c r="A665" s="90" t="s">
        <v>477</v>
      </c>
      <c r="B665" s="6" t="s">
        <v>79</v>
      </c>
      <c r="C665" s="6" t="s">
        <v>872</v>
      </c>
      <c r="D665" s="6" t="s">
        <v>872</v>
      </c>
      <c r="E665" s="6" t="s">
        <v>478</v>
      </c>
      <c r="F665" s="6"/>
      <c r="G665" s="46">
        <f t="shared" si="53"/>
        <v>479181.19</v>
      </c>
      <c r="H665" s="46">
        <f t="shared" si="53"/>
        <v>479181.19</v>
      </c>
      <c r="I665" s="46">
        <f t="shared" si="51"/>
        <v>100</v>
      </c>
    </row>
    <row r="666" spans="1:9" ht="47.25">
      <c r="A666" s="3" t="s">
        <v>673</v>
      </c>
      <c r="B666" s="6" t="s">
        <v>79</v>
      </c>
      <c r="C666" s="6" t="s">
        <v>872</v>
      </c>
      <c r="D666" s="6" t="s">
        <v>872</v>
      </c>
      <c r="E666" s="6" t="s">
        <v>478</v>
      </c>
      <c r="F666" s="6" t="s">
        <v>674</v>
      </c>
      <c r="G666" s="46">
        <f t="shared" si="53"/>
        <v>479181.19</v>
      </c>
      <c r="H666" s="46">
        <f t="shared" si="53"/>
        <v>479181.19</v>
      </c>
      <c r="I666" s="46">
        <f t="shared" si="51"/>
        <v>100</v>
      </c>
    </row>
    <row r="667" spans="1:9" ht="47.25">
      <c r="A667" s="3" t="s">
        <v>675</v>
      </c>
      <c r="B667" s="6" t="s">
        <v>79</v>
      </c>
      <c r="C667" s="6" t="s">
        <v>872</v>
      </c>
      <c r="D667" s="6" t="s">
        <v>872</v>
      </c>
      <c r="E667" s="6" t="s">
        <v>478</v>
      </c>
      <c r="F667" s="6" t="s">
        <v>676</v>
      </c>
      <c r="G667" s="46">
        <f t="shared" si="53"/>
        <v>479181.19</v>
      </c>
      <c r="H667" s="46">
        <f t="shared" si="53"/>
        <v>479181.19</v>
      </c>
      <c r="I667" s="46">
        <f t="shared" si="51"/>
        <v>100</v>
      </c>
    </row>
    <row r="668" spans="1:9" ht="63">
      <c r="A668" s="5" t="s">
        <v>768</v>
      </c>
      <c r="B668" s="6" t="s">
        <v>79</v>
      </c>
      <c r="C668" s="6" t="s">
        <v>872</v>
      </c>
      <c r="D668" s="6" t="s">
        <v>872</v>
      </c>
      <c r="E668" s="6" t="s">
        <v>478</v>
      </c>
      <c r="F668" s="6" t="s">
        <v>770</v>
      </c>
      <c r="G668" s="46">
        <v>479181.19</v>
      </c>
      <c r="H668" s="46">
        <v>479181.19</v>
      </c>
      <c r="I668" s="46">
        <f t="shared" si="51"/>
        <v>100</v>
      </c>
    </row>
    <row r="669" spans="1:9" ht="31.5">
      <c r="A669" s="20" t="s">
        <v>895</v>
      </c>
      <c r="B669" s="7" t="s">
        <v>79</v>
      </c>
      <c r="C669" s="7" t="s">
        <v>872</v>
      </c>
      <c r="D669" s="7" t="s">
        <v>875</v>
      </c>
      <c r="E669" s="7"/>
      <c r="F669" s="7"/>
      <c r="G669" s="45">
        <f>G677+G670</f>
        <v>143794592.29000002</v>
      </c>
      <c r="H669" s="45">
        <f>H677+H670</f>
        <v>6993932.659999999</v>
      </c>
      <c r="I669" s="45">
        <f t="shared" si="51"/>
        <v>4.86</v>
      </c>
    </row>
    <row r="670" spans="1:9" ht="126">
      <c r="A670" s="5" t="s">
        <v>40</v>
      </c>
      <c r="B670" s="6" t="s">
        <v>79</v>
      </c>
      <c r="C670" s="6" t="s">
        <v>872</v>
      </c>
      <c r="D670" s="6" t="s">
        <v>875</v>
      </c>
      <c r="E670" s="6" t="s">
        <v>41</v>
      </c>
      <c r="F670" s="6"/>
      <c r="G670" s="46">
        <f>G671+G674</f>
        <v>29524732.82</v>
      </c>
      <c r="H670" s="46">
        <f>H671+H674</f>
        <v>418248.64</v>
      </c>
      <c r="I670" s="46">
        <f t="shared" si="51"/>
        <v>1.42</v>
      </c>
    </row>
    <row r="671" spans="1:9" ht="47.25">
      <c r="A671" s="3" t="s">
        <v>673</v>
      </c>
      <c r="B671" s="6" t="s">
        <v>79</v>
      </c>
      <c r="C671" s="6" t="s">
        <v>872</v>
      </c>
      <c r="D671" s="6" t="s">
        <v>875</v>
      </c>
      <c r="E671" s="6" t="s">
        <v>41</v>
      </c>
      <c r="F671" s="6" t="s">
        <v>674</v>
      </c>
      <c r="G671" s="46">
        <f>G672</f>
        <v>418248.64</v>
      </c>
      <c r="H671" s="46">
        <f>H672</f>
        <v>418248.64</v>
      </c>
      <c r="I671" s="46">
        <f t="shared" si="51"/>
        <v>100</v>
      </c>
    </row>
    <row r="672" spans="1:9" ht="47.25">
      <c r="A672" s="3" t="s">
        <v>675</v>
      </c>
      <c r="B672" s="6" t="s">
        <v>79</v>
      </c>
      <c r="C672" s="6" t="s">
        <v>872</v>
      </c>
      <c r="D672" s="6" t="s">
        <v>875</v>
      </c>
      <c r="E672" s="6" t="s">
        <v>41</v>
      </c>
      <c r="F672" s="6" t="s">
        <v>676</v>
      </c>
      <c r="G672" s="46">
        <f>G673</f>
        <v>418248.64</v>
      </c>
      <c r="H672" s="46">
        <f>H673</f>
        <v>418248.64</v>
      </c>
      <c r="I672" s="46">
        <f t="shared" si="51"/>
        <v>100</v>
      </c>
    </row>
    <row r="673" spans="1:9" ht="63">
      <c r="A673" s="5" t="s">
        <v>768</v>
      </c>
      <c r="B673" s="6" t="s">
        <v>79</v>
      </c>
      <c r="C673" s="6" t="s">
        <v>872</v>
      </c>
      <c r="D673" s="6" t="s">
        <v>875</v>
      </c>
      <c r="E673" s="6" t="s">
        <v>41</v>
      </c>
      <c r="F673" s="6" t="s">
        <v>770</v>
      </c>
      <c r="G673" s="46">
        <v>418248.64</v>
      </c>
      <c r="H673" s="46">
        <v>418248.64</v>
      </c>
      <c r="I673" s="46">
        <f t="shared" si="51"/>
        <v>100</v>
      </c>
    </row>
    <row r="674" spans="1:9" ht="15.75">
      <c r="A674" s="122" t="s">
        <v>940</v>
      </c>
      <c r="B674" s="6" t="s">
        <v>79</v>
      </c>
      <c r="C674" s="6" t="s">
        <v>872</v>
      </c>
      <c r="D674" s="6" t="s">
        <v>875</v>
      </c>
      <c r="E674" s="6" t="s">
        <v>41</v>
      </c>
      <c r="F674" s="6" t="s">
        <v>31</v>
      </c>
      <c r="G674" s="46">
        <f>G675</f>
        <v>29106484.18</v>
      </c>
      <c r="H674" s="46">
        <f>H675</f>
        <v>0</v>
      </c>
      <c r="I674" s="46">
        <f t="shared" si="51"/>
        <v>0</v>
      </c>
    </row>
    <row r="675" spans="1:9" ht="94.5">
      <c r="A675" s="5" t="s">
        <v>32</v>
      </c>
      <c r="B675" s="6" t="s">
        <v>79</v>
      </c>
      <c r="C675" s="6" t="s">
        <v>872</v>
      </c>
      <c r="D675" s="6" t="s">
        <v>875</v>
      </c>
      <c r="E675" s="6" t="s">
        <v>41</v>
      </c>
      <c r="F675" s="6" t="s">
        <v>33</v>
      </c>
      <c r="G675" s="46">
        <f>G676</f>
        <v>29106484.18</v>
      </c>
      <c r="H675" s="46">
        <f>H676</f>
        <v>0</v>
      </c>
      <c r="I675" s="46">
        <f t="shared" si="51"/>
        <v>0</v>
      </c>
    </row>
    <row r="676" spans="1:9" ht="94.5">
      <c r="A676" s="5" t="s">
        <v>34</v>
      </c>
      <c r="B676" s="6" t="s">
        <v>79</v>
      </c>
      <c r="C676" s="6" t="s">
        <v>872</v>
      </c>
      <c r="D676" s="6" t="s">
        <v>875</v>
      </c>
      <c r="E676" s="6" t="s">
        <v>41</v>
      </c>
      <c r="F676" s="6" t="s">
        <v>35</v>
      </c>
      <c r="G676" s="46">
        <f>29106484.18</f>
        <v>29106484.18</v>
      </c>
      <c r="H676" s="46">
        <v>0</v>
      </c>
      <c r="I676" s="46">
        <f t="shared" si="51"/>
        <v>0</v>
      </c>
    </row>
    <row r="677" spans="1:9" ht="47.25">
      <c r="A677" s="1" t="s">
        <v>922</v>
      </c>
      <c r="B677" s="6" t="s">
        <v>79</v>
      </c>
      <c r="C677" s="2" t="s">
        <v>872</v>
      </c>
      <c r="D677" s="2" t="s">
        <v>875</v>
      </c>
      <c r="E677" s="2" t="s">
        <v>923</v>
      </c>
      <c r="F677" s="6"/>
      <c r="G677" s="46">
        <f>G678</f>
        <v>114269859.47000001</v>
      </c>
      <c r="H677" s="46">
        <f>H678</f>
        <v>6575684.02</v>
      </c>
      <c r="I677" s="46">
        <f t="shared" si="51"/>
        <v>5.75</v>
      </c>
    </row>
    <row r="678" spans="1:9" ht="47.25">
      <c r="A678" s="90" t="s">
        <v>824</v>
      </c>
      <c r="B678" s="6" t="s">
        <v>79</v>
      </c>
      <c r="C678" s="6" t="s">
        <v>872</v>
      </c>
      <c r="D678" s="6" t="s">
        <v>875</v>
      </c>
      <c r="E678" s="91" t="s">
        <v>795</v>
      </c>
      <c r="F678" s="6"/>
      <c r="G678" s="46">
        <f>G679</f>
        <v>114269859.47000001</v>
      </c>
      <c r="H678" s="46">
        <f>H679</f>
        <v>6575684.02</v>
      </c>
      <c r="I678" s="46">
        <f t="shared" si="51"/>
        <v>5.75</v>
      </c>
    </row>
    <row r="679" spans="1:9" ht="94.5">
      <c r="A679" s="90" t="s">
        <v>749</v>
      </c>
      <c r="B679" s="6" t="s">
        <v>79</v>
      </c>
      <c r="C679" s="6" t="s">
        <v>872</v>
      </c>
      <c r="D679" s="6" t="s">
        <v>875</v>
      </c>
      <c r="E679" s="6" t="s">
        <v>750</v>
      </c>
      <c r="F679" s="6"/>
      <c r="G679" s="46">
        <f>G680+G684</f>
        <v>114269859.47000001</v>
      </c>
      <c r="H679" s="46">
        <f>H680+H684</f>
        <v>6575684.02</v>
      </c>
      <c r="I679" s="46">
        <f t="shared" si="51"/>
        <v>5.75</v>
      </c>
    </row>
    <row r="680" spans="1:9" ht="47.25">
      <c r="A680" s="3" t="s">
        <v>673</v>
      </c>
      <c r="B680" s="6" t="s">
        <v>79</v>
      </c>
      <c r="C680" s="6" t="s">
        <v>872</v>
      </c>
      <c r="D680" s="6" t="s">
        <v>875</v>
      </c>
      <c r="E680" s="6" t="s">
        <v>750</v>
      </c>
      <c r="F680" s="6" t="s">
        <v>674</v>
      </c>
      <c r="G680" s="46">
        <f>G681</f>
        <v>1611318.6400000001</v>
      </c>
      <c r="H680" s="46">
        <f>H681</f>
        <v>1611318.64</v>
      </c>
      <c r="I680" s="46">
        <f t="shared" si="51"/>
        <v>100</v>
      </c>
    </row>
    <row r="681" spans="1:9" ht="47.25">
      <c r="A681" s="3" t="s">
        <v>675</v>
      </c>
      <c r="B681" s="6" t="s">
        <v>79</v>
      </c>
      <c r="C681" s="6" t="s">
        <v>872</v>
      </c>
      <c r="D681" s="6" t="s">
        <v>875</v>
      </c>
      <c r="E681" s="6" t="s">
        <v>750</v>
      </c>
      <c r="F681" s="6" t="s">
        <v>676</v>
      </c>
      <c r="G681" s="46">
        <f>G682+G683</f>
        <v>1611318.6400000001</v>
      </c>
      <c r="H681" s="46">
        <f>H682+H683</f>
        <v>1611318.64</v>
      </c>
      <c r="I681" s="46">
        <f t="shared" si="51"/>
        <v>100</v>
      </c>
    </row>
    <row r="682" spans="1:9" ht="63">
      <c r="A682" s="5" t="s">
        <v>768</v>
      </c>
      <c r="B682" s="6" t="s">
        <v>79</v>
      </c>
      <c r="C682" s="6" t="s">
        <v>872</v>
      </c>
      <c r="D682" s="6" t="s">
        <v>875</v>
      </c>
      <c r="E682" s="6" t="s">
        <v>750</v>
      </c>
      <c r="F682" s="6" t="s">
        <v>770</v>
      </c>
      <c r="G682" s="46">
        <f>69965+1500000-69965+191746.26+200000-80427.62-200000</f>
        <v>1611318.6400000001</v>
      </c>
      <c r="H682" s="46">
        <v>1611318.64</v>
      </c>
      <c r="I682" s="46">
        <f t="shared" si="51"/>
        <v>100</v>
      </c>
    </row>
    <row r="683" spans="1:9" ht="47.25" customHeight="1" hidden="1">
      <c r="A683" s="122" t="s">
        <v>677</v>
      </c>
      <c r="B683" s="6" t="s">
        <v>79</v>
      </c>
      <c r="C683" s="6" t="s">
        <v>872</v>
      </c>
      <c r="D683" s="6" t="s">
        <v>875</v>
      </c>
      <c r="E683" s="6" t="s">
        <v>750</v>
      </c>
      <c r="F683" s="6" t="s">
        <v>678</v>
      </c>
      <c r="G683" s="46">
        <f>69965-69965</f>
        <v>0</v>
      </c>
      <c r="H683" s="46">
        <f>69965-69965</f>
        <v>0</v>
      </c>
      <c r="I683" s="46" t="e">
        <f t="shared" si="51"/>
        <v>#DIV/0!</v>
      </c>
    </row>
    <row r="684" spans="1:9" ht="15.75">
      <c r="A684" s="122" t="s">
        <v>940</v>
      </c>
      <c r="B684" s="6" t="s">
        <v>79</v>
      </c>
      <c r="C684" s="6" t="s">
        <v>872</v>
      </c>
      <c r="D684" s="6" t="s">
        <v>875</v>
      </c>
      <c r="E684" s="6" t="s">
        <v>750</v>
      </c>
      <c r="F684" s="6" t="s">
        <v>31</v>
      </c>
      <c r="G684" s="46">
        <f>G685</f>
        <v>112658540.83000001</v>
      </c>
      <c r="H684" s="46">
        <f>H685</f>
        <v>4964365.38</v>
      </c>
      <c r="I684" s="46">
        <f t="shared" si="51"/>
        <v>4.41</v>
      </c>
    </row>
    <row r="685" spans="1:9" ht="94.5">
      <c r="A685" s="5" t="s">
        <v>32</v>
      </c>
      <c r="B685" s="6" t="s">
        <v>79</v>
      </c>
      <c r="C685" s="6" t="s">
        <v>872</v>
      </c>
      <c r="D685" s="6" t="s">
        <v>875</v>
      </c>
      <c r="E685" s="6" t="s">
        <v>750</v>
      </c>
      <c r="F685" s="6" t="s">
        <v>33</v>
      </c>
      <c r="G685" s="46">
        <f>G686</f>
        <v>112658540.83000001</v>
      </c>
      <c r="H685" s="46">
        <f>H686</f>
        <v>4964365.38</v>
      </c>
      <c r="I685" s="46">
        <f t="shared" si="51"/>
        <v>4.41</v>
      </c>
    </row>
    <row r="686" spans="1:9" ht="94.5">
      <c r="A686" s="5" t="s">
        <v>34</v>
      </c>
      <c r="B686" s="6" t="s">
        <v>79</v>
      </c>
      <c r="C686" s="6" t="s">
        <v>872</v>
      </c>
      <c r="D686" s="6" t="s">
        <v>875</v>
      </c>
      <c r="E686" s="6" t="s">
        <v>750</v>
      </c>
      <c r="F686" s="6" t="s">
        <v>35</v>
      </c>
      <c r="G686" s="46">
        <f>32036600+1250000+2500000-32036600+50000000+845000+348770.95+149237.34+261571.8-250000-191746.26-526458-606100-450000-200000+59458300+69965</f>
        <v>112658540.83000001</v>
      </c>
      <c r="H686" s="46">
        <v>4964365.38</v>
      </c>
      <c r="I686" s="46">
        <f t="shared" si="51"/>
        <v>4.41</v>
      </c>
    </row>
    <row r="687" spans="1:9" ht="31.5">
      <c r="A687" s="20" t="s">
        <v>681</v>
      </c>
      <c r="B687" s="7" t="s">
        <v>79</v>
      </c>
      <c r="C687" s="7" t="s">
        <v>873</v>
      </c>
      <c r="D687" s="7"/>
      <c r="E687" s="7"/>
      <c r="F687" s="7"/>
      <c r="G687" s="45">
        <f aca="true" t="shared" si="54" ref="G687:H689">G688</f>
        <v>8279310.11</v>
      </c>
      <c r="H687" s="45">
        <f t="shared" si="54"/>
        <v>8268380.1</v>
      </c>
      <c r="I687" s="45">
        <f t="shared" si="51"/>
        <v>99.87</v>
      </c>
    </row>
    <row r="688" spans="1:9" ht="15.75">
      <c r="A688" s="1" t="s">
        <v>896</v>
      </c>
      <c r="B688" s="2" t="s">
        <v>79</v>
      </c>
      <c r="C688" s="2" t="s">
        <v>873</v>
      </c>
      <c r="D688" s="2" t="s">
        <v>869</v>
      </c>
      <c r="E688" s="2"/>
      <c r="F688" s="2"/>
      <c r="G688" s="50">
        <f t="shared" si="54"/>
        <v>8279310.11</v>
      </c>
      <c r="H688" s="50">
        <f t="shared" si="54"/>
        <v>8268380.1</v>
      </c>
      <c r="I688" s="50">
        <f t="shared" si="51"/>
        <v>99.87</v>
      </c>
    </row>
    <row r="689" spans="1:9" ht="47.25">
      <c r="A689" s="1" t="s">
        <v>922</v>
      </c>
      <c r="B689" s="6" t="s">
        <v>79</v>
      </c>
      <c r="C689" s="6" t="s">
        <v>873</v>
      </c>
      <c r="D689" s="6" t="s">
        <v>869</v>
      </c>
      <c r="E689" s="6" t="s">
        <v>923</v>
      </c>
      <c r="F689" s="6"/>
      <c r="G689" s="46">
        <f t="shared" si="54"/>
        <v>8279310.11</v>
      </c>
      <c r="H689" s="46">
        <f t="shared" si="54"/>
        <v>8268380.1</v>
      </c>
      <c r="I689" s="46">
        <f t="shared" si="51"/>
        <v>99.87</v>
      </c>
    </row>
    <row r="690" spans="1:9" ht="47.25">
      <c r="A690" s="90" t="s">
        <v>824</v>
      </c>
      <c r="B690" s="6" t="s">
        <v>79</v>
      </c>
      <c r="C690" s="6" t="s">
        <v>873</v>
      </c>
      <c r="D690" s="6" t="s">
        <v>869</v>
      </c>
      <c r="E690" s="91" t="s">
        <v>795</v>
      </c>
      <c r="F690" s="6"/>
      <c r="G690" s="46">
        <f>G691+G698</f>
        <v>8279310.11</v>
      </c>
      <c r="H690" s="46">
        <f>H691+H698</f>
        <v>8268380.1</v>
      </c>
      <c r="I690" s="46">
        <f t="shared" si="51"/>
        <v>99.87</v>
      </c>
    </row>
    <row r="691" spans="1:9" ht="141.75">
      <c r="A691" s="90" t="s">
        <v>477</v>
      </c>
      <c r="B691" s="6" t="s">
        <v>79</v>
      </c>
      <c r="C691" s="6" t="s">
        <v>873</v>
      </c>
      <c r="D691" s="6" t="s">
        <v>869</v>
      </c>
      <c r="E691" s="6" t="s">
        <v>478</v>
      </c>
      <c r="F691" s="6"/>
      <c r="G691" s="46">
        <f>G695+G692</f>
        <v>5536654.61</v>
      </c>
      <c r="H691" s="46">
        <f>H695+H692</f>
        <v>5525724.6</v>
      </c>
      <c r="I691" s="46">
        <f t="shared" si="51"/>
        <v>99.8</v>
      </c>
    </row>
    <row r="692" spans="1:9" ht="47.25">
      <c r="A692" s="122" t="s">
        <v>673</v>
      </c>
      <c r="B692" s="6" t="s">
        <v>79</v>
      </c>
      <c r="C692" s="6" t="s">
        <v>873</v>
      </c>
      <c r="D692" s="6" t="s">
        <v>869</v>
      </c>
      <c r="E692" s="6" t="s">
        <v>478</v>
      </c>
      <c r="F692" s="6" t="s">
        <v>674</v>
      </c>
      <c r="G692" s="46">
        <f>G693</f>
        <v>4536654.61</v>
      </c>
      <c r="H692" s="46">
        <f>H693</f>
        <v>4536654.6</v>
      </c>
      <c r="I692" s="46">
        <f t="shared" si="51"/>
        <v>100</v>
      </c>
    </row>
    <row r="693" spans="1:9" ht="47.25">
      <c r="A693" s="122" t="s">
        <v>675</v>
      </c>
      <c r="B693" s="6" t="s">
        <v>79</v>
      </c>
      <c r="C693" s="6" t="s">
        <v>873</v>
      </c>
      <c r="D693" s="6" t="s">
        <v>869</v>
      </c>
      <c r="E693" s="6" t="s">
        <v>478</v>
      </c>
      <c r="F693" s="6" t="s">
        <v>676</v>
      </c>
      <c r="G693" s="46">
        <f>G694</f>
        <v>4536654.61</v>
      </c>
      <c r="H693" s="46">
        <f>H694</f>
        <v>4536654.6</v>
      </c>
      <c r="I693" s="46">
        <f t="shared" si="51"/>
        <v>100</v>
      </c>
    </row>
    <row r="694" spans="1:9" ht="63">
      <c r="A694" s="122" t="s">
        <v>768</v>
      </c>
      <c r="B694" s="6" t="s">
        <v>79</v>
      </c>
      <c r="C694" s="6" t="s">
        <v>873</v>
      </c>
      <c r="D694" s="6" t="s">
        <v>869</v>
      </c>
      <c r="E694" s="6" t="s">
        <v>478</v>
      </c>
      <c r="F694" s="6" t="s">
        <v>770</v>
      </c>
      <c r="G694" s="46">
        <f>5315000-500000-278345.39</f>
        <v>4536654.61</v>
      </c>
      <c r="H694" s="46">
        <v>4536654.6</v>
      </c>
      <c r="I694" s="46">
        <f t="shared" si="51"/>
        <v>100</v>
      </c>
    </row>
    <row r="695" spans="1:9" ht="15.75">
      <c r="A695" s="122" t="s">
        <v>940</v>
      </c>
      <c r="B695" s="6" t="s">
        <v>79</v>
      </c>
      <c r="C695" s="6" t="s">
        <v>873</v>
      </c>
      <c r="D695" s="6" t="s">
        <v>869</v>
      </c>
      <c r="E695" s="6" t="s">
        <v>478</v>
      </c>
      <c r="F695" s="6" t="s">
        <v>31</v>
      </c>
      <c r="G695" s="46">
        <f>G696</f>
        <v>1000000</v>
      </c>
      <c r="H695" s="46">
        <f>H696</f>
        <v>989070</v>
      </c>
      <c r="I695" s="46">
        <f t="shared" si="51"/>
        <v>98.91</v>
      </c>
    </row>
    <row r="696" spans="1:9" ht="94.5">
      <c r="A696" s="5" t="s">
        <v>32</v>
      </c>
      <c r="B696" s="6" t="s">
        <v>79</v>
      </c>
      <c r="C696" s="6" t="s">
        <v>873</v>
      </c>
      <c r="D696" s="6" t="s">
        <v>869</v>
      </c>
      <c r="E696" s="6" t="s">
        <v>478</v>
      </c>
      <c r="F696" s="6" t="s">
        <v>33</v>
      </c>
      <c r="G696" s="46">
        <f>G697</f>
        <v>1000000</v>
      </c>
      <c r="H696" s="46">
        <f>H697</f>
        <v>989070</v>
      </c>
      <c r="I696" s="46">
        <f t="shared" si="51"/>
        <v>98.91</v>
      </c>
    </row>
    <row r="697" spans="1:9" ht="104.25" customHeight="1">
      <c r="A697" s="8" t="s">
        <v>34</v>
      </c>
      <c r="B697" s="9" t="s">
        <v>79</v>
      </c>
      <c r="C697" s="9" t="s">
        <v>873</v>
      </c>
      <c r="D697" s="9" t="s">
        <v>869</v>
      </c>
      <c r="E697" s="9" t="s">
        <v>478</v>
      </c>
      <c r="F697" s="9" t="s">
        <v>35</v>
      </c>
      <c r="G697" s="48">
        <f>1000000</f>
        <v>1000000</v>
      </c>
      <c r="H697" s="48">
        <v>989070</v>
      </c>
      <c r="I697" s="48">
        <f t="shared" si="51"/>
        <v>98.91</v>
      </c>
    </row>
    <row r="698" spans="1:9" ht="129" customHeight="1">
      <c r="A698" s="90" t="s">
        <v>773</v>
      </c>
      <c r="B698" s="91" t="s">
        <v>79</v>
      </c>
      <c r="C698" s="91" t="s">
        <v>873</v>
      </c>
      <c r="D698" s="91" t="s">
        <v>869</v>
      </c>
      <c r="E698" s="91" t="s">
        <v>774</v>
      </c>
      <c r="F698" s="6"/>
      <c r="G698" s="46">
        <f aca="true" t="shared" si="55" ref="G698:H700">G699</f>
        <v>2742655.5</v>
      </c>
      <c r="H698" s="46">
        <f t="shared" si="55"/>
        <v>2742655.5</v>
      </c>
      <c r="I698" s="46">
        <f t="shared" si="51"/>
        <v>100</v>
      </c>
    </row>
    <row r="699" spans="1:9" ht="47.25">
      <c r="A699" s="122" t="s">
        <v>673</v>
      </c>
      <c r="B699" s="91" t="s">
        <v>79</v>
      </c>
      <c r="C699" s="91" t="s">
        <v>873</v>
      </c>
      <c r="D699" s="91" t="s">
        <v>869</v>
      </c>
      <c r="E699" s="91" t="s">
        <v>774</v>
      </c>
      <c r="F699" s="6" t="s">
        <v>674</v>
      </c>
      <c r="G699" s="46">
        <f t="shared" si="55"/>
        <v>2742655.5</v>
      </c>
      <c r="H699" s="46">
        <f t="shared" si="55"/>
        <v>2742655.5</v>
      </c>
      <c r="I699" s="46">
        <f t="shared" si="51"/>
        <v>100</v>
      </c>
    </row>
    <row r="700" spans="1:9" ht="47.25">
      <c r="A700" s="122" t="s">
        <v>675</v>
      </c>
      <c r="B700" s="91" t="s">
        <v>79</v>
      </c>
      <c r="C700" s="91" t="s">
        <v>873</v>
      </c>
      <c r="D700" s="91" t="s">
        <v>869</v>
      </c>
      <c r="E700" s="91" t="s">
        <v>774</v>
      </c>
      <c r="F700" s="6" t="s">
        <v>676</v>
      </c>
      <c r="G700" s="46">
        <f t="shared" si="55"/>
        <v>2742655.5</v>
      </c>
      <c r="H700" s="46">
        <f t="shared" si="55"/>
        <v>2742655.5</v>
      </c>
      <c r="I700" s="46">
        <f t="shared" si="51"/>
        <v>100</v>
      </c>
    </row>
    <row r="701" spans="1:9" ht="83.25" customHeight="1">
      <c r="A701" s="5" t="s">
        <v>768</v>
      </c>
      <c r="B701" s="91" t="s">
        <v>79</v>
      </c>
      <c r="C701" s="91" t="s">
        <v>873</v>
      </c>
      <c r="D701" s="91" t="s">
        <v>869</v>
      </c>
      <c r="E701" s="91" t="s">
        <v>774</v>
      </c>
      <c r="F701" s="6" t="s">
        <v>770</v>
      </c>
      <c r="G701" s="46">
        <f>2957000-214344.5</f>
        <v>2742655.5</v>
      </c>
      <c r="H701" s="46">
        <v>2742655.5</v>
      </c>
      <c r="I701" s="46">
        <f t="shared" si="51"/>
        <v>100</v>
      </c>
    </row>
    <row r="702" spans="1:11" s="22" customFormat="1" ht="37.5">
      <c r="A702" s="13" t="s">
        <v>883</v>
      </c>
      <c r="B702" s="14" t="s">
        <v>79</v>
      </c>
      <c r="C702" s="14" t="s">
        <v>877</v>
      </c>
      <c r="D702" s="14"/>
      <c r="E702" s="14"/>
      <c r="F702" s="14"/>
      <c r="G702" s="56">
        <f aca="true" t="shared" si="56" ref="G702:H706">G703</f>
        <v>11421502.99</v>
      </c>
      <c r="H702" s="56">
        <f t="shared" si="56"/>
        <v>11421502.99</v>
      </c>
      <c r="I702" s="56">
        <f t="shared" si="51"/>
        <v>100</v>
      </c>
      <c r="J702" s="115"/>
      <c r="K702" s="188"/>
    </row>
    <row r="703" spans="1:9" ht="47.25">
      <c r="A703" s="1" t="s">
        <v>931</v>
      </c>
      <c r="B703" s="2" t="s">
        <v>79</v>
      </c>
      <c r="C703" s="2" t="s">
        <v>877</v>
      </c>
      <c r="D703" s="2" t="s">
        <v>870</v>
      </c>
      <c r="E703" s="2"/>
      <c r="F703" s="2"/>
      <c r="G703" s="50">
        <f t="shared" si="56"/>
        <v>11421502.99</v>
      </c>
      <c r="H703" s="50">
        <f t="shared" si="56"/>
        <v>11421502.99</v>
      </c>
      <c r="I703" s="50">
        <f t="shared" si="51"/>
        <v>100</v>
      </c>
    </row>
    <row r="704" spans="1:9" ht="47.25">
      <c r="A704" s="5" t="s">
        <v>914</v>
      </c>
      <c r="B704" s="6" t="s">
        <v>79</v>
      </c>
      <c r="C704" s="6" t="s">
        <v>877</v>
      </c>
      <c r="D704" s="6" t="s">
        <v>870</v>
      </c>
      <c r="E704" s="6" t="s">
        <v>937</v>
      </c>
      <c r="F704" s="6"/>
      <c r="G704" s="46">
        <f t="shared" si="56"/>
        <v>11421502.99</v>
      </c>
      <c r="H704" s="46">
        <f t="shared" si="56"/>
        <v>11421502.99</v>
      </c>
      <c r="I704" s="46">
        <f t="shared" si="51"/>
        <v>100</v>
      </c>
    </row>
    <row r="705" spans="1:9" ht="78.75">
      <c r="A705" s="5" t="s">
        <v>938</v>
      </c>
      <c r="B705" s="6" t="s">
        <v>79</v>
      </c>
      <c r="C705" s="6" t="s">
        <v>877</v>
      </c>
      <c r="D705" s="6" t="s">
        <v>870</v>
      </c>
      <c r="E705" s="6" t="s">
        <v>939</v>
      </c>
      <c r="F705" s="6"/>
      <c r="G705" s="46">
        <f t="shared" si="56"/>
        <v>11421502.99</v>
      </c>
      <c r="H705" s="46">
        <f t="shared" si="56"/>
        <v>11421502.99</v>
      </c>
      <c r="I705" s="46">
        <f t="shared" si="51"/>
        <v>100</v>
      </c>
    </row>
    <row r="706" spans="1:9" ht="31.5">
      <c r="A706" s="122" t="s">
        <v>595</v>
      </c>
      <c r="B706" s="6" t="s">
        <v>79</v>
      </c>
      <c r="C706" s="6" t="s">
        <v>877</v>
      </c>
      <c r="D706" s="6" t="s">
        <v>870</v>
      </c>
      <c r="E706" s="6" t="s">
        <v>939</v>
      </c>
      <c r="F706" s="6" t="s">
        <v>596</v>
      </c>
      <c r="G706" s="46">
        <f t="shared" si="56"/>
        <v>11421502.99</v>
      </c>
      <c r="H706" s="46">
        <f t="shared" si="56"/>
        <v>11421502.99</v>
      </c>
      <c r="I706" s="46">
        <f t="shared" si="51"/>
        <v>100</v>
      </c>
    </row>
    <row r="707" spans="1:9" ht="15.75">
      <c r="A707" s="5" t="s">
        <v>36</v>
      </c>
      <c r="B707" s="6" t="s">
        <v>79</v>
      </c>
      <c r="C707" s="6" t="s">
        <v>877</v>
      </c>
      <c r="D707" s="6" t="s">
        <v>870</v>
      </c>
      <c r="E707" s="6" t="s">
        <v>939</v>
      </c>
      <c r="F707" s="6" t="s">
        <v>37</v>
      </c>
      <c r="G707" s="46">
        <f>16245570-4824067.01</f>
        <v>11421502.99</v>
      </c>
      <c r="H707" s="46">
        <v>11421502.99</v>
      </c>
      <c r="I707" s="46">
        <f t="shared" si="51"/>
        <v>100</v>
      </c>
    </row>
    <row r="708" spans="1:11" s="22" customFormat="1" ht="97.5">
      <c r="A708" s="37" t="s">
        <v>796</v>
      </c>
      <c r="B708" s="36" t="s">
        <v>81</v>
      </c>
      <c r="C708" s="36"/>
      <c r="D708" s="36"/>
      <c r="E708" s="36"/>
      <c r="F708" s="36"/>
      <c r="G708" s="57">
        <f>G709+G739+G747</f>
        <v>12223361.39</v>
      </c>
      <c r="H708" s="57">
        <f>H709+H739+H747</f>
        <v>12038845.76</v>
      </c>
      <c r="I708" s="57">
        <f t="shared" si="51"/>
        <v>98.49</v>
      </c>
      <c r="J708" s="115"/>
      <c r="K708" s="188"/>
    </row>
    <row r="709" spans="1:11" s="27" customFormat="1" ht="31.5">
      <c r="A709" s="39" t="s">
        <v>890</v>
      </c>
      <c r="B709" s="10" t="s">
        <v>81</v>
      </c>
      <c r="C709" s="10" t="s">
        <v>869</v>
      </c>
      <c r="D709" s="10"/>
      <c r="E709" s="10"/>
      <c r="F709" s="10"/>
      <c r="G709" s="54">
        <f>G710+G725</f>
        <v>10369824.950000001</v>
      </c>
      <c r="H709" s="54">
        <f>H710+H725</f>
        <v>10185935.75</v>
      </c>
      <c r="I709" s="54">
        <f t="shared" si="51"/>
        <v>98.23</v>
      </c>
      <c r="J709" s="116"/>
      <c r="K709" s="189"/>
    </row>
    <row r="710" spans="1:11" s="22" customFormat="1" ht="126">
      <c r="A710" s="1" t="s">
        <v>640</v>
      </c>
      <c r="B710" s="10" t="s">
        <v>81</v>
      </c>
      <c r="C710" s="10" t="s">
        <v>869</v>
      </c>
      <c r="D710" s="10" t="s">
        <v>879</v>
      </c>
      <c r="E710" s="10"/>
      <c r="F710" s="10"/>
      <c r="G710" s="54">
        <f aca="true" t="shared" si="57" ref="G710:H712">G711</f>
        <v>10039824.950000001</v>
      </c>
      <c r="H710" s="54">
        <f t="shared" si="57"/>
        <v>9873062.75</v>
      </c>
      <c r="I710" s="54">
        <f t="shared" si="51"/>
        <v>98.34</v>
      </c>
      <c r="J710" s="115"/>
      <c r="K710" s="188"/>
    </row>
    <row r="711" spans="1:11" s="22" customFormat="1" ht="110.25">
      <c r="A711" s="44" t="s">
        <v>636</v>
      </c>
      <c r="B711" s="6" t="s">
        <v>81</v>
      </c>
      <c r="C711" s="6" t="s">
        <v>869</v>
      </c>
      <c r="D711" s="6" t="s">
        <v>879</v>
      </c>
      <c r="E711" s="6" t="s">
        <v>637</v>
      </c>
      <c r="F711" s="6"/>
      <c r="G711" s="46">
        <f t="shared" si="57"/>
        <v>10039824.950000001</v>
      </c>
      <c r="H711" s="46">
        <f t="shared" si="57"/>
        <v>9873062.75</v>
      </c>
      <c r="I711" s="46">
        <f t="shared" si="51"/>
        <v>98.34</v>
      </c>
      <c r="J711" s="115"/>
      <c r="K711" s="188"/>
    </row>
    <row r="712" spans="1:11" s="22" customFormat="1" ht="18.75">
      <c r="A712" s="44" t="s">
        <v>907</v>
      </c>
      <c r="B712" s="6" t="s">
        <v>81</v>
      </c>
      <c r="C712" s="6" t="s">
        <v>869</v>
      </c>
      <c r="D712" s="6" t="s">
        <v>879</v>
      </c>
      <c r="E712" s="6" t="s">
        <v>638</v>
      </c>
      <c r="F712" s="6"/>
      <c r="G712" s="46">
        <f t="shared" si="57"/>
        <v>10039824.950000001</v>
      </c>
      <c r="H712" s="46">
        <f t="shared" si="57"/>
        <v>9873062.75</v>
      </c>
      <c r="I712" s="46">
        <f aca="true" t="shared" si="58" ref="I712:I775">ROUND(H712/G712*100,2)</f>
        <v>98.34</v>
      </c>
      <c r="J712" s="115"/>
      <c r="K712" s="188"/>
    </row>
    <row r="713" spans="1:11" s="22" customFormat="1" ht="47.25">
      <c r="A713" s="44" t="s">
        <v>642</v>
      </c>
      <c r="B713" s="6" t="s">
        <v>81</v>
      </c>
      <c r="C713" s="6" t="s">
        <v>869</v>
      </c>
      <c r="D713" s="6" t="s">
        <v>879</v>
      </c>
      <c r="E713" s="6" t="s">
        <v>639</v>
      </c>
      <c r="F713" s="6"/>
      <c r="G713" s="46">
        <f>G714+G718+G722</f>
        <v>10039824.950000001</v>
      </c>
      <c r="H713" s="46">
        <f>H714+H718+H722</f>
        <v>9873062.75</v>
      </c>
      <c r="I713" s="46">
        <f t="shared" si="58"/>
        <v>98.34</v>
      </c>
      <c r="J713" s="115"/>
      <c r="K713" s="188"/>
    </row>
    <row r="714" spans="1:11" s="22" customFormat="1" ht="157.5">
      <c r="A714" s="44" t="s">
        <v>663</v>
      </c>
      <c r="B714" s="6" t="s">
        <v>81</v>
      </c>
      <c r="C714" s="6" t="s">
        <v>869</v>
      </c>
      <c r="D714" s="6" t="s">
        <v>879</v>
      </c>
      <c r="E714" s="6" t="s">
        <v>639</v>
      </c>
      <c r="F714" s="6" t="s">
        <v>664</v>
      </c>
      <c r="G714" s="46">
        <f>G715</f>
        <v>9855686.43</v>
      </c>
      <c r="H714" s="46">
        <f>H715</f>
        <v>9702197.49</v>
      </c>
      <c r="I714" s="46">
        <f t="shared" si="58"/>
        <v>98.44</v>
      </c>
      <c r="J714" s="115"/>
      <c r="K714" s="188"/>
    </row>
    <row r="715" spans="1:11" s="22" customFormat="1" ht="47.25">
      <c r="A715" s="44" t="s">
        <v>667</v>
      </c>
      <c r="B715" s="6" t="s">
        <v>81</v>
      </c>
      <c r="C715" s="6" t="s">
        <v>869</v>
      </c>
      <c r="D715" s="6" t="s">
        <v>879</v>
      </c>
      <c r="E715" s="6" t="s">
        <v>639</v>
      </c>
      <c r="F715" s="6" t="s">
        <v>668</v>
      </c>
      <c r="G715" s="46">
        <f>G716+G717</f>
        <v>9855686.43</v>
      </c>
      <c r="H715" s="46">
        <f>H716+H717</f>
        <v>9702197.49</v>
      </c>
      <c r="I715" s="46">
        <f t="shared" si="58"/>
        <v>98.44</v>
      </c>
      <c r="J715" s="115"/>
      <c r="K715" s="188"/>
    </row>
    <row r="716" spans="1:11" s="22" customFormat="1" ht="31.5">
      <c r="A716" s="44" t="s">
        <v>669</v>
      </c>
      <c r="B716" s="6" t="s">
        <v>81</v>
      </c>
      <c r="C716" s="6" t="s">
        <v>869</v>
      </c>
      <c r="D716" s="6" t="s">
        <v>879</v>
      </c>
      <c r="E716" s="6" t="s">
        <v>639</v>
      </c>
      <c r="F716" s="6" t="s">
        <v>670</v>
      </c>
      <c r="G716" s="46">
        <f>7000050+2114010+417619+230085-0.03-0.69-55631-15960.96</f>
        <v>9690171.32</v>
      </c>
      <c r="H716" s="46">
        <v>9544312.38</v>
      </c>
      <c r="I716" s="46">
        <f t="shared" si="58"/>
        <v>98.49</v>
      </c>
      <c r="J716" s="115"/>
      <c r="K716" s="188"/>
    </row>
    <row r="717" spans="1:11" s="22" customFormat="1" ht="47.25">
      <c r="A717" s="44" t="s">
        <v>671</v>
      </c>
      <c r="B717" s="6" t="s">
        <v>81</v>
      </c>
      <c r="C717" s="6" t="s">
        <v>869</v>
      </c>
      <c r="D717" s="6" t="s">
        <v>879</v>
      </c>
      <c r="E717" s="6" t="s">
        <v>639</v>
      </c>
      <c r="F717" s="6" t="s">
        <v>672</v>
      </c>
      <c r="G717" s="46">
        <f>184420+4930+1380+34000-36800-2000-6197.8-14217.09</f>
        <v>165515.11000000002</v>
      </c>
      <c r="H717" s="46">
        <v>157885.11</v>
      </c>
      <c r="I717" s="46">
        <f t="shared" si="58"/>
        <v>95.39</v>
      </c>
      <c r="J717" s="115"/>
      <c r="K717" s="188"/>
    </row>
    <row r="718" spans="1:11" s="22" customFormat="1" ht="47.25">
      <c r="A718" s="44" t="s">
        <v>673</v>
      </c>
      <c r="B718" s="6" t="s">
        <v>81</v>
      </c>
      <c r="C718" s="6" t="s">
        <v>869</v>
      </c>
      <c r="D718" s="6" t="s">
        <v>879</v>
      </c>
      <c r="E718" s="6" t="s">
        <v>639</v>
      </c>
      <c r="F718" s="6" t="s">
        <v>674</v>
      </c>
      <c r="G718" s="46">
        <f>G719</f>
        <v>184137.8</v>
      </c>
      <c r="H718" s="46">
        <f>H719</f>
        <v>170864.53999999998</v>
      </c>
      <c r="I718" s="46">
        <f t="shared" si="58"/>
        <v>92.79</v>
      </c>
      <c r="J718" s="115"/>
      <c r="K718" s="188"/>
    </row>
    <row r="719" spans="1:11" s="22" customFormat="1" ht="47.25">
      <c r="A719" s="44" t="s">
        <v>675</v>
      </c>
      <c r="B719" s="6" t="s">
        <v>81</v>
      </c>
      <c r="C719" s="6" t="s">
        <v>869</v>
      </c>
      <c r="D719" s="6" t="s">
        <v>879</v>
      </c>
      <c r="E719" s="6" t="s">
        <v>639</v>
      </c>
      <c r="F719" s="6" t="s">
        <v>676</v>
      </c>
      <c r="G719" s="46">
        <f>G720+G721</f>
        <v>184137.8</v>
      </c>
      <c r="H719" s="46">
        <f>H720+H721</f>
        <v>170864.53999999998</v>
      </c>
      <c r="I719" s="46">
        <f t="shared" si="58"/>
        <v>92.79</v>
      </c>
      <c r="J719" s="115"/>
      <c r="K719" s="188"/>
    </row>
    <row r="720" spans="1:11" s="22" customFormat="1" ht="78.75">
      <c r="A720" s="3" t="s">
        <v>679</v>
      </c>
      <c r="B720" s="6" t="s">
        <v>81</v>
      </c>
      <c r="C720" s="6" t="s">
        <v>869</v>
      </c>
      <c r="D720" s="6" t="s">
        <v>879</v>
      </c>
      <c r="E720" s="6" t="s">
        <v>639</v>
      </c>
      <c r="F720" s="6" t="s">
        <v>680</v>
      </c>
      <c r="G720" s="46">
        <f>160000-2800-76000</f>
        <v>81200</v>
      </c>
      <c r="H720" s="46">
        <v>77374.84</v>
      </c>
      <c r="I720" s="46">
        <f t="shared" si="58"/>
        <v>95.29</v>
      </c>
      <c r="J720" s="115"/>
      <c r="K720" s="188"/>
    </row>
    <row r="721" spans="1:11" s="22" customFormat="1" ht="47.25">
      <c r="A721" s="44" t="s">
        <v>677</v>
      </c>
      <c r="B721" s="6" t="s">
        <v>81</v>
      </c>
      <c r="C721" s="6" t="s">
        <v>869</v>
      </c>
      <c r="D721" s="6" t="s">
        <v>879</v>
      </c>
      <c r="E721" s="6" t="s">
        <v>639</v>
      </c>
      <c r="F721" s="6" t="s">
        <v>678</v>
      </c>
      <c r="G721" s="46">
        <f>180250-4930-1380-34000+2800-11000-35000+6197.8</f>
        <v>102937.8</v>
      </c>
      <c r="H721" s="46">
        <v>93489.7</v>
      </c>
      <c r="I721" s="46">
        <f t="shared" si="58"/>
        <v>90.82</v>
      </c>
      <c r="J721" s="115"/>
      <c r="K721" s="188"/>
    </row>
    <row r="722" spans="1:11" s="22" customFormat="1" ht="31.5">
      <c r="A722" s="122" t="s">
        <v>557</v>
      </c>
      <c r="B722" s="6" t="s">
        <v>81</v>
      </c>
      <c r="C722" s="6" t="s">
        <v>869</v>
      </c>
      <c r="D722" s="6" t="s">
        <v>879</v>
      </c>
      <c r="E722" s="6" t="s">
        <v>639</v>
      </c>
      <c r="F722" s="6" t="s">
        <v>683</v>
      </c>
      <c r="G722" s="46">
        <f>G723</f>
        <v>0.72</v>
      </c>
      <c r="H722" s="46">
        <f>H723</f>
        <v>0.72</v>
      </c>
      <c r="I722" s="46">
        <f t="shared" si="58"/>
        <v>100</v>
      </c>
      <c r="J722" s="115"/>
      <c r="K722" s="188"/>
    </row>
    <row r="723" spans="1:11" s="22" customFormat="1" ht="78.75">
      <c r="A723" s="90" t="s">
        <v>729</v>
      </c>
      <c r="B723" s="6" t="s">
        <v>81</v>
      </c>
      <c r="C723" s="6" t="s">
        <v>869</v>
      </c>
      <c r="D723" s="6" t="s">
        <v>879</v>
      </c>
      <c r="E723" s="6" t="s">
        <v>639</v>
      </c>
      <c r="F723" s="6" t="s">
        <v>730</v>
      </c>
      <c r="G723" s="46">
        <f>G724</f>
        <v>0.72</v>
      </c>
      <c r="H723" s="46">
        <f>H724</f>
        <v>0.72</v>
      </c>
      <c r="I723" s="46">
        <f t="shared" si="58"/>
        <v>100</v>
      </c>
      <c r="J723" s="115"/>
      <c r="K723" s="188"/>
    </row>
    <row r="724" spans="1:11" s="22" customFormat="1" ht="47.25">
      <c r="A724" s="90" t="s">
        <v>731</v>
      </c>
      <c r="B724" s="6" t="s">
        <v>81</v>
      </c>
      <c r="C724" s="6" t="s">
        <v>869</v>
      </c>
      <c r="D724" s="6" t="s">
        <v>879</v>
      </c>
      <c r="E724" s="6" t="s">
        <v>639</v>
      </c>
      <c r="F724" s="6" t="s">
        <v>732</v>
      </c>
      <c r="G724" s="46">
        <f>0.03+0.69</f>
        <v>0.72</v>
      </c>
      <c r="H724" s="46">
        <v>0.72</v>
      </c>
      <c r="I724" s="46">
        <f t="shared" si="58"/>
        <v>100</v>
      </c>
      <c r="J724" s="115"/>
      <c r="K724" s="188"/>
    </row>
    <row r="725" spans="1:11" s="22" customFormat="1" ht="47.25">
      <c r="A725" s="1" t="s">
        <v>906</v>
      </c>
      <c r="B725" s="2" t="s">
        <v>81</v>
      </c>
      <c r="C725" s="2" t="s">
        <v>869</v>
      </c>
      <c r="D725" s="2" t="s">
        <v>659</v>
      </c>
      <c r="E725" s="6"/>
      <c r="F725" s="6"/>
      <c r="G725" s="50">
        <f>G733+G726</f>
        <v>330000</v>
      </c>
      <c r="H725" s="50">
        <f>H733+H726</f>
        <v>312873</v>
      </c>
      <c r="I725" s="50">
        <f t="shared" si="58"/>
        <v>94.81</v>
      </c>
      <c r="J725" s="115"/>
      <c r="K725" s="188"/>
    </row>
    <row r="726" spans="1:11" s="22" customFormat="1" ht="31.5">
      <c r="A726" s="1" t="s">
        <v>554</v>
      </c>
      <c r="B726" s="2" t="s">
        <v>81</v>
      </c>
      <c r="C726" s="2" t="s">
        <v>869</v>
      </c>
      <c r="D726" s="2" t="s">
        <v>659</v>
      </c>
      <c r="E726" s="2" t="s">
        <v>932</v>
      </c>
      <c r="F726" s="133"/>
      <c r="G726" s="46">
        <f aca="true" t="shared" si="59" ref="G726:H729">G727</f>
        <v>280000</v>
      </c>
      <c r="H726" s="46">
        <f t="shared" si="59"/>
        <v>263127</v>
      </c>
      <c r="I726" s="46">
        <f t="shared" si="58"/>
        <v>93.97</v>
      </c>
      <c r="J726" s="115"/>
      <c r="K726" s="188"/>
    </row>
    <row r="727" spans="1:11" s="22" customFormat="1" ht="141.75">
      <c r="A727" s="90" t="s">
        <v>846</v>
      </c>
      <c r="B727" s="6" t="s">
        <v>81</v>
      </c>
      <c r="C727" s="6" t="s">
        <v>869</v>
      </c>
      <c r="D727" s="6" t="s">
        <v>659</v>
      </c>
      <c r="E727" s="6" t="s">
        <v>847</v>
      </c>
      <c r="F727" s="91"/>
      <c r="G727" s="46">
        <f t="shared" si="59"/>
        <v>280000</v>
      </c>
      <c r="H727" s="46">
        <f t="shared" si="59"/>
        <v>263127</v>
      </c>
      <c r="I727" s="46">
        <f t="shared" si="58"/>
        <v>93.97</v>
      </c>
      <c r="J727" s="115"/>
      <c r="K727" s="188"/>
    </row>
    <row r="728" spans="1:11" s="22" customFormat="1" ht="110.25">
      <c r="A728" s="90" t="s">
        <v>92</v>
      </c>
      <c r="B728" s="6" t="s">
        <v>81</v>
      </c>
      <c r="C728" s="6" t="s">
        <v>869</v>
      </c>
      <c r="D728" s="6" t="s">
        <v>659</v>
      </c>
      <c r="E728" s="6" t="s">
        <v>93</v>
      </c>
      <c r="F728" s="91"/>
      <c r="G728" s="46">
        <f t="shared" si="59"/>
        <v>280000</v>
      </c>
      <c r="H728" s="46">
        <f t="shared" si="59"/>
        <v>263127</v>
      </c>
      <c r="I728" s="46">
        <f t="shared" si="58"/>
        <v>93.97</v>
      </c>
      <c r="J728" s="115"/>
      <c r="K728" s="188"/>
    </row>
    <row r="729" spans="1:11" s="22" customFormat="1" ht="47.25">
      <c r="A729" s="113" t="s">
        <v>673</v>
      </c>
      <c r="B729" s="6" t="s">
        <v>81</v>
      </c>
      <c r="C729" s="6" t="s">
        <v>869</v>
      </c>
      <c r="D729" s="6" t="s">
        <v>659</v>
      </c>
      <c r="E729" s="6" t="s">
        <v>93</v>
      </c>
      <c r="F729" s="91" t="s">
        <v>674</v>
      </c>
      <c r="G729" s="46">
        <f t="shared" si="59"/>
        <v>280000</v>
      </c>
      <c r="H729" s="46">
        <f t="shared" si="59"/>
        <v>263127</v>
      </c>
      <c r="I729" s="46">
        <f t="shared" si="58"/>
        <v>93.97</v>
      </c>
      <c r="J729" s="115"/>
      <c r="K729" s="188"/>
    </row>
    <row r="730" spans="1:11" s="22" customFormat="1" ht="47.25">
      <c r="A730" s="113" t="s">
        <v>675</v>
      </c>
      <c r="B730" s="6" t="s">
        <v>81</v>
      </c>
      <c r="C730" s="6" t="s">
        <v>869</v>
      </c>
      <c r="D730" s="6" t="s">
        <v>659</v>
      </c>
      <c r="E730" s="6" t="s">
        <v>93</v>
      </c>
      <c r="F730" s="91" t="s">
        <v>676</v>
      </c>
      <c r="G730" s="46">
        <f>G731+G732</f>
        <v>280000</v>
      </c>
      <c r="H730" s="46">
        <f>H731+H732</f>
        <v>263127</v>
      </c>
      <c r="I730" s="46">
        <f t="shared" si="58"/>
        <v>93.97</v>
      </c>
      <c r="J730" s="115"/>
      <c r="K730" s="188"/>
    </row>
    <row r="731" spans="1:11" s="22" customFormat="1" ht="78.75">
      <c r="A731" s="113" t="s">
        <v>679</v>
      </c>
      <c r="B731" s="6" t="s">
        <v>81</v>
      </c>
      <c r="C731" s="6" t="s">
        <v>869</v>
      </c>
      <c r="D731" s="6" t="s">
        <v>659</v>
      </c>
      <c r="E731" s="6" t="s">
        <v>93</v>
      </c>
      <c r="F731" s="91" t="s">
        <v>680</v>
      </c>
      <c r="G731" s="46">
        <f>200000-46700</f>
        <v>153300</v>
      </c>
      <c r="H731" s="46">
        <v>153277</v>
      </c>
      <c r="I731" s="46">
        <f t="shared" si="58"/>
        <v>99.98</v>
      </c>
      <c r="J731" s="115"/>
      <c r="K731" s="188"/>
    </row>
    <row r="732" spans="1:11" s="22" customFormat="1" ht="47.25">
      <c r="A732" s="5" t="s">
        <v>677</v>
      </c>
      <c r="B732" s="6" t="s">
        <v>81</v>
      </c>
      <c r="C732" s="6" t="s">
        <v>869</v>
      </c>
      <c r="D732" s="6" t="s">
        <v>659</v>
      </c>
      <c r="E732" s="6" t="s">
        <v>93</v>
      </c>
      <c r="F732" s="91" t="s">
        <v>678</v>
      </c>
      <c r="G732" s="46">
        <f>80000+46700</f>
        <v>126700</v>
      </c>
      <c r="H732" s="46">
        <v>109850</v>
      </c>
      <c r="I732" s="46">
        <f t="shared" si="58"/>
        <v>86.7</v>
      </c>
      <c r="J732" s="115"/>
      <c r="K732" s="188"/>
    </row>
    <row r="733" spans="1:9" ht="47.25">
      <c r="A733" s="5" t="s">
        <v>922</v>
      </c>
      <c r="B733" s="6" t="s">
        <v>81</v>
      </c>
      <c r="C733" s="6" t="s">
        <v>869</v>
      </c>
      <c r="D733" s="6" t="s">
        <v>659</v>
      </c>
      <c r="E733" s="6" t="s">
        <v>923</v>
      </c>
      <c r="F733" s="6"/>
      <c r="G733" s="46">
        <f aca="true" t="shared" si="60" ref="G733:H737">G734</f>
        <v>50000</v>
      </c>
      <c r="H733" s="46">
        <f t="shared" si="60"/>
        <v>49746</v>
      </c>
      <c r="I733" s="46">
        <f t="shared" si="58"/>
        <v>99.49</v>
      </c>
    </row>
    <row r="734" spans="1:9" ht="47.25">
      <c r="A734" s="90" t="s">
        <v>824</v>
      </c>
      <c r="B734" s="91" t="s">
        <v>81</v>
      </c>
      <c r="C734" s="91" t="s">
        <v>869</v>
      </c>
      <c r="D734" s="91" t="s">
        <v>659</v>
      </c>
      <c r="E734" s="91" t="s">
        <v>795</v>
      </c>
      <c r="F734" s="6"/>
      <c r="G734" s="46">
        <f t="shared" si="60"/>
        <v>50000</v>
      </c>
      <c r="H734" s="46">
        <f t="shared" si="60"/>
        <v>49746</v>
      </c>
      <c r="I734" s="46">
        <f t="shared" si="58"/>
        <v>99.49</v>
      </c>
    </row>
    <row r="735" spans="1:9" ht="110.25">
      <c r="A735" s="3" t="s">
        <v>909</v>
      </c>
      <c r="B735" s="6" t="s">
        <v>81</v>
      </c>
      <c r="C735" s="6" t="s">
        <v>869</v>
      </c>
      <c r="D735" s="6" t="s">
        <v>659</v>
      </c>
      <c r="E735" s="6" t="s">
        <v>733</v>
      </c>
      <c r="F735" s="6"/>
      <c r="G735" s="46">
        <f t="shared" si="60"/>
        <v>50000</v>
      </c>
      <c r="H735" s="46">
        <f t="shared" si="60"/>
        <v>49746</v>
      </c>
      <c r="I735" s="46">
        <f t="shared" si="58"/>
        <v>99.49</v>
      </c>
    </row>
    <row r="736" spans="1:9" ht="47.25">
      <c r="A736" s="3" t="s">
        <v>673</v>
      </c>
      <c r="B736" s="6" t="s">
        <v>81</v>
      </c>
      <c r="C736" s="6" t="s">
        <v>869</v>
      </c>
      <c r="D736" s="6" t="s">
        <v>659</v>
      </c>
      <c r="E736" s="6" t="s">
        <v>733</v>
      </c>
      <c r="F736" s="6" t="s">
        <v>674</v>
      </c>
      <c r="G736" s="46">
        <f t="shared" si="60"/>
        <v>50000</v>
      </c>
      <c r="H736" s="46">
        <f t="shared" si="60"/>
        <v>49746</v>
      </c>
      <c r="I736" s="46">
        <f t="shared" si="58"/>
        <v>99.49</v>
      </c>
    </row>
    <row r="737" spans="1:9" ht="47.25">
      <c r="A737" s="3" t="s">
        <v>675</v>
      </c>
      <c r="B737" s="6" t="s">
        <v>81</v>
      </c>
      <c r="C737" s="6" t="s">
        <v>869</v>
      </c>
      <c r="D737" s="6" t="s">
        <v>659</v>
      </c>
      <c r="E737" s="6" t="s">
        <v>733</v>
      </c>
      <c r="F737" s="6" t="s">
        <v>676</v>
      </c>
      <c r="G737" s="46">
        <f t="shared" si="60"/>
        <v>50000</v>
      </c>
      <c r="H737" s="46">
        <f t="shared" si="60"/>
        <v>49746</v>
      </c>
      <c r="I737" s="46">
        <f t="shared" si="58"/>
        <v>99.49</v>
      </c>
    </row>
    <row r="738" spans="1:9" ht="78.75">
      <c r="A738" s="15" t="s">
        <v>679</v>
      </c>
      <c r="B738" s="6" t="s">
        <v>81</v>
      </c>
      <c r="C738" s="6" t="s">
        <v>869</v>
      </c>
      <c r="D738" s="6" t="s">
        <v>659</v>
      </c>
      <c r="E738" s="6" t="s">
        <v>733</v>
      </c>
      <c r="F738" s="6" t="s">
        <v>680</v>
      </c>
      <c r="G738" s="46">
        <f>50000+90000-90000</f>
        <v>50000</v>
      </c>
      <c r="H738" s="46">
        <v>49746</v>
      </c>
      <c r="I738" s="46">
        <f t="shared" si="58"/>
        <v>99.49</v>
      </c>
    </row>
    <row r="739" spans="1:11" s="22" customFormat="1" ht="37.5">
      <c r="A739" s="16" t="s">
        <v>892</v>
      </c>
      <c r="B739" s="14" t="s">
        <v>81</v>
      </c>
      <c r="C739" s="14" t="s">
        <v>879</v>
      </c>
      <c r="D739" s="14"/>
      <c r="E739" s="14"/>
      <c r="F739" s="14"/>
      <c r="G739" s="45">
        <f aca="true" t="shared" si="61" ref="G739:H745">G740</f>
        <v>263800</v>
      </c>
      <c r="H739" s="45">
        <f t="shared" si="61"/>
        <v>263173.57</v>
      </c>
      <c r="I739" s="45">
        <f t="shared" si="58"/>
        <v>99.76</v>
      </c>
      <c r="J739" s="115"/>
      <c r="K739" s="188"/>
    </row>
    <row r="740" spans="1:11" s="22" customFormat="1" ht="18.75">
      <c r="A740" s="1" t="s">
        <v>634</v>
      </c>
      <c r="B740" s="2" t="s">
        <v>81</v>
      </c>
      <c r="C740" s="2" t="s">
        <v>879</v>
      </c>
      <c r="D740" s="2" t="s">
        <v>877</v>
      </c>
      <c r="E740" s="2"/>
      <c r="F740" s="2"/>
      <c r="G740" s="50">
        <f t="shared" si="61"/>
        <v>263800</v>
      </c>
      <c r="H740" s="50">
        <f t="shared" si="61"/>
        <v>263173.57</v>
      </c>
      <c r="I740" s="50">
        <f t="shared" si="58"/>
        <v>99.76</v>
      </c>
      <c r="J740" s="115"/>
      <c r="K740" s="188"/>
    </row>
    <row r="741" spans="1:9" ht="47.25">
      <c r="A741" s="5" t="s">
        <v>922</v>
      </c>
      <c r="B741" s="6" t="s">
        <v>81</v>
      </c>
      <c r="C741" s="6" t="s">
        <v>879</v>
      </c>
      <c r="D741" s="6" t="s">
        <v>877</v>
      </c>
      <c r="E741" s="6" t="s">
        <v>923</v>
      </c>
      <c r="F741" s="6"/>
      <c r="G741" s="46">
        <f t="shared" si="61"/>
        <v>263800</v>
      </c>
      <c r="H741" s="46">
        <f t="shared" si="61"/>
        <v>263173.57</v>
      </c>
      <c r="I741" s="46">
        <f t="shared" si="58"/>
        <v>99.76</v>
      </c>
    </row>
    <row r="742" spans="1:9" ht="47.25">
      <c r="A742" s="90" t="s">
        <v>824</v>
      </c>
      <c r="B742" s="91" t="s">
        <v>81</v>
      </c>
      <c r="C742" s="91" t="s">
        <v>879</v>
      </c>
      <c r="D742" s="91" t="s">
        <v>877</v>
      </c>
      <c r="E742" s="91" t="s">
        <v>795</v>
      </c>
      <c r="F742" s="6"/>
      <c r="G742" s="46">
        <f t="shared" si="61"/>
        <v>263800</v>
      </c>
      <c r="H742" s="46">
        <f t="shared" si="61"/>
        <v>263173.57</v>
      </c>
      <c r="I742" s="46">
        <f t="shared" si="58"/>
        <v>99.76</v>
      </c>
    </row>
    <row r="743" spans="1:9" ht="141.75">
      <c r="A743" s="3" t="s">
        <v>825</v>
      </c>
      <c r="B743" s="6" t="s">
        <v>81</v>
      </c>
      <c r="C743" s="6" t="s">
        <v>879</v>
      </c>
      <c r="D743" s="6" t="s">
        <v>877</v>
      </c>
      <c r="E743" s="6" t="s">
        <v>826</v>
      </c>
      <c r="F743" s="6"/>
      <c r="G743" s="46">
        <f t="shared" si="61"/>
        <v>263800</v>
      </c>
      <c r="H743" s="46">
        <f t="shared" si="61"/>
        <v>263173.57</v>
      </c>
      <c r="I743" s="46">
        <f t="shared" si="58"/>
        <v>99.76</v>
      </c>
    </row>
    <row r="744" spans="1:9" ht="47.25">
      <c r="A744" s="3" t="s">
        <v>673</v>
      </c>
      <c r="B744" s="6" t="s">
        <v>81</v>
      </c>
      <c r="C744" s="6" t="s">
        <v>879</v>
      </c>
      <c r="D744" s="6" t="s">
        <v>877</v>
      </c>
      <c r="E744" s="6" t="s">
        <v>826</v>
      </c>
      <c r="F744" s="6" t="s">
        <v>674</v>
      </c>
      <c r="G744" s="46">
        <f t="shared" si="61"/>
        <v>263800</v>
      </c>
      <c r="H744" s="46">
        <f t="shared" si="61"/>
        <v>263173.57</v>
      </c>
      <c r="I744" s="46">
        <f t="shared" si="58"/>
        <v>99.76</v>
      </c>
    </row>
    <row r="745" spans="1:9" ht="47.25">
      <c r="A745" s="3" t="s">
        <v>675</v>
      </c>
      <c r="B745" s="6" t="s">
        <v>81</v>
      </c>
      <c r="C745" s="6" t="s">
        <v>879</v>
      </c>
      <c r="D745" s="6" t="s">
        <v>877</v>
      </c>
      <c r="E745" s="6" t="s">
        <v>826</v>
      </c>
      <c r="F745" s="6" t="s">
        <v>676</v>
      </c>
      <c r="G745" s="46">
        <f t="shared" si="61"/>
        <v>263800</v>
      </c>
      <c r="H745" s="46">
        <f t="shared" si="61"/>
        <v>263173.57</v>
      </c>
      <c r="I745" s="46">
        <f t="shared" si="58"/>
        <v>99.76</v>
      </c>
    </row>
    <row r="746" spans="1:9" ht="78.75">
      <c r="A746" s="15" t="s">
        <v>679</v>
      </c>
      <c r="B746" s="9" t="s">
        <v>81</v>
      </c>
      <c r="C746" s="9" t="s">
        <v>879</v>
      </c>
      <c r="D746" s="9" t="s">
        <v>877</v>
      </c>
      <c r="E746" s="9" t="s">
        <v>826</v>
      </c>
      <c r="F746" s="9" t="s">
        <v>680</v>
      </c>
      <c r="G746" s="48">
        <f>439000-90000+90000-100000-75200</f>
        <v>263800</v>
      </c>
      <c r="H746" s="48">
        <v>263173.57</v>
      </c>
      <c r="I746" s="48">
        <f t="shared" si="58"/>
        <v>99.76</v>
      </c>
    </row>
    <row r="747" spans="1:11" s="22" customFormat="1" ht="47.25">
      <c r="A747" s="1" t="s">
        <v>458</v>
      </c>
      <c r="B747" s="2" t="s">
        <v>81</v>
      </c>
      <c r="C747" s="2" t="s">
        <v>659</v>
      </c>
      <c r="D747" s="2" t="s">
        <v>910</v>
      </c>
      <c r="E747" s="2"/>
      <c r="F747" s="2"/>
      <c r="G747" s="45">
        <f>G749</f>
        <v>1589736.44</v>
      </c>
      <c r="H747" s="45">
        <f>H749</f>
        <v>1589736.44</v>
      </c>
      <c r="I747" s="45">
        <f t="shared" si="58"/>
        <v>100</v>
      </c>
      <c r="J747" s="115"/>
      <c r="K747" s="188"/>
    </row>
    <row r="748" spans="1:11" s="22" customFormat="1" ht="63">
      <c r="A748" s="1" t="s">
        <v>604</v>
      </c>
      <c r="B748" s="2" t="s">
        <v>81</v>
      </c>
      <c r="C748" s="2" t="s">
        <v>659</v>
      </c>
      <c r="D748" s="2" t="s">
        <v>869</v>
      </c>
      <c r="E748" s="2"/>
      <c r="F748" s="2"/>
      <c r="G748" s="50">
        <f aca="true" t="shared" si="62" ref="G748:H751">G749</f>
        <v>1589736.44</v>
      </c>
      <c r="H748" s="50">
        <f t="shared" si="62"/>
        <v>1589736.44</v>
      </c>
      <c r="I748" s="50">
        <f t="shared" si="58"/>
        <v>100</v>
      </c>
      <c r="J748" s="115"/>
      <c r="K748" s="188"/>
    </row>
    <row r="749" spans="1:11" s="69" customFormat="1" ht="31.5">
      <c r="A749" s="5" t="s">
        <v>454</v>
      </c>
      <c r="B749" s="6" t="s">
        <v>81</v>
      </c>
      <c r="C749" s="6" t="s">
        <v>659</v>
      </c>
      <c r="D749" s="6" t="s">
        <v>869</v>
      </c>
      <c r="E749" s="6" t="s">
        <v>455</v>
      </c>
      <c r="F749" s="6"/>
      <c r="G749" s="46">
        <f t="shared" si="62"/>
        <v>1589736.44</v>
      </c>
      <c r="H749" s="46">
        <f t="shared" si="62"/>
        <v>1589736.44</v>
      </c>
      <c r="I749" s="46">
        <f t="shared" si="58"/>
        <v>100</v>
      </c>
      <c r="J749" s="117"/>
      <c r="K749" s="190"/>
    </row>
    <row r="750" spans="1:11" s="22" customFormat="1" ht="63">
      <c r="A750" s="3" t="s">
        <v>661</v>
      </c>
      <c r="B750" s="6" t="s">
        <v>81</v>
      </c>
      <c r="C750" s="6" t="s">
        <v>659</v>
      </c>
      <c r="D750" s="6" t="s">
        <v>869</v>
      </c>
      <c r="E750" s="6" t="s">
        <v>460</v>
      </c>
      <c r="F750" s="6"/>
      <c r="G750" s="46">
        <f t="shared" si="62"/>
        <v>1589736.44</v>
      </c>
      <c r="H750" s="46">
        <f t="shared" si="62"/>
        <v>1589736.44</v>
      </c>
      <c r="I750" s="46">
        <f t="shared" si="58"/>
        <v>100</v>
      </c>
      <c r="J750" s="115"/>
      <c r="K750" s="188"/>
    </row>
    <row r="751" spans="1:11" s="22" customFormat="1" ht="47.25">
      <c r="A751" s="122" t="s">
        <v>42</v>
      </c>
      <c r="B751" s="6" t="s">
        <v>81</v>
      </c>
      <c r="C751" s="6" t="s">
        <v>659</v>
      </c>
      <c r="D751" s="6" t="s">
        <v>869</v>
      </c>
      <c r="E751" s="6" t="s">
        <v>460</v>
      </c>
      <c r="F751" s="6" t="s">
        <v>682</v>
      </c>
      <c r="G751" s="46">
        <f t="shared" si="62"/>
        <v>1589736.44</v>
      </c>
      <c r="H751" s="46">
        <f t="shared" si="62"/>
        <v>1589736.44</v>
      </c>
      <c r="I751" s="46">
        <f t="shared" si="58"/>
        <v>100</v>
      </c>
      <c r="J751" s="115"/>
      <c r="K751" s="188"/>
    </row>
    <row r="752" spans="1:11" s="22" customFormat="1" ht="47.25">
      <c r="A752" s="122" t="s">
        <v>43</v>
      </c>
      <c r="B752" s="6" t="s">
        <v>81</v>
      </c>
      <c r="C752" s="6" t="s">
        <v>659</v>
      </c>
      <c r="D752" s="6" t="s">
        <v>869</v>
      </c>
      <c r="E752" s="6" t="s">
        <v>460</v>
      </c>
      <c r="F752" s="6" t="s">
        <v>44</v>
      </c>
      <c r="G752" s="46">
        <f>1650040+414100-474403.56</f>
        <v>1589736.44</v>
      </c>
      <c r="H752" s="46">
        <v>1589736.44</v>
      </c>
      <c r="I752" s="46">
        <f t="shared" si="58"/>
        <v>100</v>
      </c>
      <c r="J752" s="115"/>
      <c r="K752" s="188"/>
    </row>
    <row r="753" spans="1:9" ht="97.5">
      <c r="A753" s="37" t="s">
        <v>82</v>
      </c>
      <c r="B753" s="17" t="s">
        <v>83</v>
      </c>
      <c r="C753" s="17"/>
      <c r="D753" s="17"/>
      <c r="E753" s="17"/>
      <c r="F753" s="17"/>
      <c r="G753" s="52">
        <f>G754+G795+G808+G1020</f>
        <v>1251488528.07</v>
      </c>
      <c r="H753" s="52">
        <f>H754+H795+H808+H1020</f>
        <v>1242042411.92</v>
      </c>
      <c r="I753" s="52">
        <f t="shared" si="58"/>
        <v>99.25</v>
      </c>
    </row>
    <row r="754" spans="1:9" ht="31.5">
      <c r="A754" s="39" t="s">
        <v>890</v>
      </c>
      <c r="B754" s="10" t="s">
        <v>83</v>
      </c>
      <c r="C754" s="10" t="s">
        <v>869</v>
      </c>
      <c r="D754" s="18"/>
      <c r="E754" s="18"/>
      <c r="F754" s="18"/>
      <c r="G754" s="53">
        <f>G755+G774</f>
        <v>13301203.78</v>
      </c>
      <c r="H754" s="53">
        <f>H755+H774</f>
        <v>13230308.58</v>
      </c>
      <c r="I754" s="53">
        <f t="shared" si="58"/>
        <v>99.47</v>
      </c>
    </row>
    <row r="755" spans="1:11" s="22" customFormat="1" ht="126">
      <c r="A755" s="1" t="s">
        <v>640</v>
      </c>
      <c r="B755" s="10" t="s">
        <v>83</v>
      </c>
      <c r="C755" s="10" t="s">
        <v>869</v>
      </c>
      <c r="D755" s="10" t="s">
        <v>879</v>
      </c>
      <c r="E755" s="10"/>
      <c r="F755" s="10"/>
      <c r="G755" s="54">
        <f>G756</f>
        <v>13005203.78</v>
      </c>
      <c r="H755" s="54">
        <f>H756</f>
        <v>12985294.78</v>
      </c>
      <c r="I755" s="54">
        <f t="shared" si="58"/>
        <v>99.85</v>
      </c>
      <c r="J755" s="115"/>
      <c r="K755" s="188"/>
    </row>
    <row r="756" spans="1:11" s="24" customFormat="1" ht="110.25">
      <c r="A756" s="44" t="s">
        <v>636</v>
      </c>
      <c r="B756" s="6" t="s">
        <v>83</v>
      </c>
      <c r="C756" s="6" t="s">
        <v>869</v>
      </c>
      <c r="D756" s="6" t="s">
        <v>879</v>
      </c>
      <c r="E756" s="6" t="s">
        <v>637</v>
      </c>
      <c r="F756" s="6"/>
      <c r="G756" s="46">
        <f>G757</f>
        <v>13005203.78</v>
      </c>
      <c r="H756" s="46">
        <f>H757</f>
        <v>12985294.78</v>
      </c>
      <c r="I756" s="46">
        <f t="shared" si="58"/>
        <v>99.85</v>
      </c>
      <c r="J756" s="96"/>
      <c r="K756" s="187"/>
    </row>
    <row r="757" spans="1:9" ht="15.75">
      <c r="A757" s="44" t="s">
        <v>907</v>
      </c>
      <c r="B757" s="6" t="s">
        <v>83</v>
      </c>
      <c r="C757" s="6" t="s">
        <v>869</v>
      </c>
      <c r="D757" s="6" t="s">
        <v>879</v>
      </c>
      <c r="E757" s="6" t="s">
        <v>638</v>
      </c>
      <c r="F757" s="6"/>
      <c r="G757" s="46">
        <f>G758+G770</f>
        <v>13005203.78</v>
      </c>
      <c r="H757" s="46">
        <f>H758+H770</f>
        <v>12985294.78</v>
      </c>
      <c r="I757" s="46">
        <f t="shared" si="58"/>
        <v>99.85</v>
      </c>
    </row>
    <row r="758" spans="1:9" ht="47.25">
      <c r="A758" s="44" t="s">
        <v>642</v>
      </c>
      <c r="B758" s="6" t="s">
        <v>83</v>
      </c>
      <c r="C758" s="6" t="s">
        <v>869</v>
      </c>
      <c r="D758" s="6" t="s">
        <v>879</v>
      </c>
      <c r="E758" s="6" t="s">
        <v>639</v>
      </c>
      <c r="F758" s="6"/>
      <c r="G758" s="46">
        <f>G759+G763+G767</f>
        <v>12553033.62</v>
      </c>
      <c r="H758" s="46">
        <f>H759+H763+H767</f>
        <v>12533124.62</v>
      </c>
      <c r="I758" s="46">
        <f t="shared" si="58"/>
        <v>99.84</v>
      </c>
    </row>
    <row r="759" spans="1:9" ht="157.5">
      <c r="A759" s="44" t="s">
        <v>663</v>
      </c>
      <c r="B759" s="6" t="s">
        <v>83</v>
      </c>
      <c r="C759" s="6" t="s">
        <v>869</v>
      </c>
      <c r="D759" s="6" t="s">
        <v>879</v>
      </c>
      <c r="E759" s="6" t="s">
        <v>639</v>
      </c>
      <c r="F759" s="6" t="s">
        <v>664</v>
      </c>
      <c r="G759" s="46">
        <f>G760</f>
        <v>12343847.18</v>
      </c>
      <c r="H759" s="46">
        <f>H760</f>
        <v>12323938.18</v>
      </c>
      <c r="I759" s="46">
        <f t="shared" si="58"/>
        <v>99.84</v>
      </c>
    </row>
    <row r="760" spans="1:9" ht="47.25">
      <c r="A760" s="44" t="s">
        <v>667</v>
      </c>
      <c r="B760" s="6" t="s">
        <v>83</v>
      </c>
      <c r="C760" s="6" t="s">
        <v>869</v>
      </c>
      <c r="D760" s="6" t="s">
        <v>879</v>
      </c>
      <c r="E760" s="6" t="s">
        <v>639</v>
      </c>
      <c r="F760" s="6" t="s">
        <v>668</v>
      </c>
      <c r="G760" s="46">
        <f>G761+G762</f>
        <v>12343847.18</v>
      </c>
      <c r="H760" s="46">
        <f>H761+H762</f>
        <v>12323938.18</v>
      </c>
      <c r="I760" s="46">
        <f t="shared" si="58"/>
        <v>99.84</v>
      </c>
    </row>
    <row r="761" spans="1:9" ht="31.5">
      <c r="A761" s="44" t="s">
        <v>669</v>
      </c>
      <c r="B761" s="6" t="s">
        <v>83</v>
      </c>
      <c r="C761" s="6" t="s">
        <v>869</v>
      </c>
      <c r="D761" s="6" t="s">
        <v>879</v>
      </c>
      <c r="E761" s="6" t="s">
        <v>639</v>
      </c>
      <c r="F761" s="6" t="s">
        <v>670</v>
      </c>
      <c r="G761" s="46">
        <f>11240000+513702+271518-68372-452170.16+431355.78+129388.08</f>
        <v>12065421.7</v>
      </c>
      <c r="H761" s="46">
        <v>12065402.7</v>
      </c>
      <c r="I761" s="46">
        <f t="shared" si="58"/>
        <v>100</v>
      </c>
    </row>
    <row r="762" spans="1:9" ht="47.25">
      <c r="A762" s="44" t="s">
        <v>671</v>
      </c>
      <c r="B762" s="6" t="s">
        <v>83</v>
      </c>
      <c r="C762" s="6" t="s">
        <v>869</v>
      </c>
      <c r="D762" s="6" t="s">
        <v>879</v>
      </c>
      <c r="E762" s="6" t="s">
        <v>639</v>
      </c>
      <c r="F762" s="6" t="s">
        <v>672</v>
      </c>
      <c r="G762" s="46">
        <f>356000+25000-16680-4400-74476.46-508.06-6110-400</f>
        <v>278425.48</v>
      </c>
      <c r="H762" s="46">
        <v>258535.48</v>
      </c>
      <c r="I762" s="46">
        <f t="shared" si="58"/>
        <v>92.86</v>
      </c>
    </row>
    <row r="763" spans="1:9" ht="47.25">
      <c r="A763" s="44" t="s">
        <v>673</v>
      </c>
      <c r="B763" s="6" t="s">
        <v>83</v>
      </c>
      <c r="C763" s="6" t="s">
        <v>869</v>
      </c>
      <c r="D763" s="6" t="s">
        <v>879</v>
      </c>
      <c r="E763" s="6" t="s">
        <v>639</v>
      </c>
      <c r="F763" s="6" t="s">
        <v>674</v>
      </c>
      <c r="G763" s="46">
        <f>G764</f>
        <v>206786.44</v>
      </c>
      <c r="H763" s="46">
        <f>H764</f>
        <v>206786.44</v>
      </c>
      <c r="I763" s="46">
        <f t="shared" si="58"/>
        <v>100</v>
      </c>
    </row>
    <row r="764" spans="1:9" ht="47.25">
      <c r="A764" s="44" t="s">
        <v>675</v>
      </c>
      <c r="B764" s="6" t="s">
        <v>83</v>
      </c>
      <c r="C764" s="6" t="s">
        <v>869</v>
      </c>
      <c r="D764" s="6" t="s">
        <v>879</v>
      </c>
      <c r="E764" s="6" t="s">
        <v>639</v>
      </c>
      <c r="F764" s="6" t="s">
        <v>676</v>
      </c>
      <c r="G764" s="46">
        <f>G765+G766</f>
        <v>206786.44</v>
      </c>
      <c r="H764" s="46">
        <f>H765+H766</f>
        <v>206786.44</v>
      </c>
      <c r="I764" s="46">
        <f t="shared" si="58"/>
        <v>100</v>
      </c>
    </row>
    <row r="765" spans="1:9" ht="78.75">
      <c r="A765" s="3" t="s">
        <v>679</v>
      </c>
      <c r="B765" s="6" t="s">
        <v>83</v>
      </c>
      <c r="C765" s="6" t="s">
        <v>869</v>
      </c>
      <c r="D765" s="6" t="s">
        <v>879</v>
      </c>
      <c r="E765" s="6" t="s">
        <v>639</v>
      </c>
      <c r="F765" s="6" t="s">
        <v>680</v>
      </c>
      <c r="G765" s="46">
        <f>169000-14297.98-2198.18+441.82</f>
        <v>152945.66</v>
      </c>
      <c r="H765" s="46">
        <v>152945.66</v>
      </c>
      <c r="I765" s="46">
        <f t="shared" si="58"/>
        <v>100</v>
      </c>
    </row>
    <row r="766" spans="1:9" ht="47.25">
      <c r="A766" s="44" t="s">
        <v>677</v>
      </c>
      <c r="B766" s="6" t="s">
        <v>83</v>
      </c>
      <c r="C766" s="6" t="s">
        <v>869</v>
      </c>
      <c r="D766" s="6" t="s">
        <v>879</v>
      </c>
      <c r="E766" s="6" t="s">
        <v>639</v>
      </c>
      <c r="F766" s="6" t="s">
        <v>678</v>
      </c>
      <c r="G766" s="46">
        <f>92000-27400+16680-1627.22-25812</f>
        <v>53840.78</v>
      </c>
      <c r="H766" s="46">
        <v>53840.78</v>
      </c>
      <c r="I766" s="46">
        <f t="shared" si="58"/>
        <v>100</v>
      </c>
    </row>
    <row r="767" spans="1:9" ht="31.5">
      <c r="A767" s="90" t="s">
        <v>557</v>
      </c>
      <c r="B767" s="6" t="s">
        <v>83</v>
      </c>
      <c r="C767" s="6" t="s">
        <v>869</v>
      </c>
      <c r="D767" s="6" t="s">
        <v>879</v>
      </c>
      <c r="E767" s="6" t="s">
        <v>639</v>
      </c>
      <c r="F767" s="6" t="s">
        <v>683</v>
      </c>
      <c r="G767" s="46">
        <f>G768</f>
        <v>2400</v>
      </c>
      <c r="H767" s="46">
        <f>H768</f>
        <v>2400</v>
      </c>
      <c r="I767" s="46">
        <f t="shared" si="58"/>
        <v>100</v>
      </c>
    </row>
    <row r="768" spans="1:9" ht="78.75">
      <c r="A768" s="90" t="s">
        <v>729</v>
      </c>
      <c r="B768" s="6" t="s">
        <v>83</v>
      </c>
      <c r="C768" s="6" t="s">
        <v>869</v>
      </c>
      <c r="D768" s="6" t="s">
        <v>879</v>
      </c>
      <c r="E768" s="6" t="s">
        <v>639</v>
      </c>
      <c r="F768" s="6" t="s">
        <v>730</v>
      </c>
      <c r="G768" s="46">
        <f>G769</f>
        <v>2400</v>
      </c>
      <c r="H768" s="46">
        <f>H769</f>
        <v>2400</v>
      </c>
      <c r="I768" s="46">
        <f t="shared" si="58"/>
        <v>100</v>
      </c>
    </row>
    <row r="769" spans="1:9" ht="47.25">
      <c r="A769" s="90" t="s">
        <v>731</v>
      </c>
      <c r="B769" s="6" t="s">
        <v>83</v>
      </c>
      <c r="C769" s="6" t="s">
        <v>869</v>
      </c>
      <c r="D769" s="6" t="s">
        <v>879</v>
      </c>
      <c r="E769" s="6" t="s">
        <v>639</v>
      </c>
      <c r="F769" s="6" t="s">
        <v>732</v>
      </c>
      <c r="G769" s="46">
        <v>2400</v>
      </c>
      <c r="H769" s="46">
        <v>2400</v>
      </c>
      <c r="I769" s="46">
        <f t="shared" si="58"/>
        <v>100</v>
      </c>
    </row>
    <row r="770" spans="1:9" ht="195.75" customHeight="1">
      <c r="A770" s="44" t="s">
        <v>601</v>
      </c>
      <c r="B770" s="6" t="s">
        <v>83</v>
      </c>
      <c r="C770" s="6" t="s">
        <v>869</v>
      </c>
      <c r="D770" s="6" t="s">
        <v>879</v>
      </c>
      <c r="E770" s="6" t="s">
        <v>468</v>
      </c>
      <c r="F770" s="6"/>
      <c r="G770" s="46">
        <f aca="true" t="shared" si="63" ref="G770:H772">G771</f>
        <v>452170.16</v>
      </c>
      <c r="H770" s="46">
        <f t="shared" si="63"/>
        <v>452170.16</v>
      </c>
      <c r="I770" s="46">
        <f t="shared" si="58"/>
        <v>100</v>
      </c>
    </row>
    <row r="771" spans="1:9" ht="157.5">
      <c r="A771" s="44" t="s">
        <v>663</v>
      </c>
      <c r="B771" s="6" t="s">
        <v>83</v>
      </c>
      <c r="C771" s="6" t="s">
        <v>869</v>
      </c>
      <c r="D771" s="6" t="s">
        <v>879</v>
      </c>
      <c r="E771" s="6" t="s">
        <v>468</v>
      </c>
      <c r="F771" s="6" t="s">
        <v>664</v>
      </c>
      <c r="G771" s="46">
        <f t="shared" si="63"/>
        <v>452170.16</v>
      </c>
      <c r="H771" s="46">
        <f t="shared" si="63"/>
        <v>452170.16</v>
      </c>
      <c r="I771" s="46">
        <f t="shared" si="58"/>
        <v>100</v>
      </c>
    </row>
    <row r="772" spans="1:9" ht="47.25">
      <c r="A772" s="44" t="s">
        <v>667</v>
      </c>
      <c r="B772" s="6" t="s">
        <v>83</v>
      </c>
      <c r="C772" s="6" t="s">
        <v>869</v>
      </c>
      <c r="D772" s="6" t="s">
        <v>879</v>
      </c>
      <c r="E772" s="6" t="s">
        <v>468</v>
      </c>
      <c r="F772" s="6" t="s">
        <v>668</v>
      </c>
      <c r="G772" s="46">
        <f t="shared" si="63"/>
        <v>452170.16</v>
      </c>
      <c r="H772" s="46">
        <f t="shared" si="63"/>
        <v>452170.16</v>
      </c>
      <c r="I772" s="46">
        <f t="shared" si="58"/>
        <v>100</v>
      </c>
    </row>
    <row r="773" spans="1:9" ht="31.5">
      <c r="A773" s="3" t="s">
        <v>669</v>
      </c>
      <c r="B773" s="6" t="s">
        <v>83</v>
      </c>
      <c r="C773" s="6" t="s">
        <v>869</v>
      </c>
      <c r="D773" s="6" t="s">
        <v>879</v>
      </c>
      <c r="E773" s="6" t="s">
        <v>468</v>
      </c>
      <c r="F773" s="6" t="s">
        <v>670</v>
      </c>
      <c r="G773" s="46">
        <f>452170.16</f>
        <v>452170.16</v>
      </c>
      <c r="H773" s="46">
        <v>452170.16</v>
      </c>
      <c r="I773" s="46">
        <f t="shared" si="58"/>
        <v>100</v>
      </c>
    </row>
    <row r="774" spans="1:9" ht="47.25">
      <c r="A774" s="20" t="s">
        <v>906</v>
      </c>
      <c r="B774" s="7" t="s">
        <v>83</v>
      </c>
      <c r="C774" s="7" t="s">
        <v>869</v>
      </c>
      <c r="D774" s="7" t="s">
        <v>659</v>
      </c>
      <c r="E774" s="7"/>
      <c r="F774" s="7"/>
      <c r="G774" s="45">
        <f>G785+G775</f>
        <v>296000</v>
      </c>
      <c r="H774" s="45">
        <f>H785+H775</f>
        <v>245013.8</v>
      </c>
      <c r="I774" s="45">
        <f t="shared" si="58"/>
        <v>82.77</v>
      </c>
    </row>
    <row r="775" spans="1:9" ht="31.5">
      <c r="A775" s="1" t="s">
        <v>554</v>
      </c>
      <c r="B775" s="2" t="s">
        <v>83</v>
      </c>
      <c r="C775" s="2" t="s">
        <v>869</v>
      </c>
      <c r="D775" s="2" t="s">
        <v>659</v>
      </c>
      <c r="E775" s="2" t="s">
        <v>932</v>
      </c>
      <c r="F775" s="133"/>
      <c r="G775" s="46">
        <f>G776</f>
        <v>156000</v>
      </c>
      <c r="H775" s="46">
        <f>H776</f>
        <v>140163.8</v>
      </c>
      <c r="I775" s="46">
        <f t="shared" si="58"/>
        <v>89.85</v>
      </c>
    </row>
    <row r="776" spans="1:9" ht="141.75">
      <c r="A776" s="90" t="s">
        <v>846</v>
      </c>
      <c r="B776" s="6" t="s">
        <v>83</v>
      </c>
      <c r="C776" s="6" t="s">
        <v>869</v>
      </c>
      <c r="D776" s="6" t="s">
        <v>659</v>
      </c>
      <c r="E776" s="6" t="s">
        <v>847</v>
      </c>
      <c r="F776" s="91"/>
      <c r="G776" s="46">
        <f>G777</f>
        <v>156000</v>
      </c>
      <c r="H776" s="46">
        <f>H777</f>
        <v>140163.8</v>
      </c>
      <c r="I776" s="46">
        <f aca="true" t="shared" si="64" ref="I776:I839">ROUND(H776/G776*100,2)</f>
        <v>89.85</v>
      </c>
    </row>
    <row r="777" spans="1:9" ht="110.25">
      <c r="A777" s="90" t="s">
        <v>92</v>
      </c>
      <c r="B777" s="6" t="s">
        <v>83</v>
      </c>
      <c r="C777" s="6" t="s">
        <v>869</v>
      </c>
      <c r="D777" s="6" t="s">
        <v>659</v>
      </c>
      <c r="E777" s="6" t="s">
        <v>93</v>
      </c>
      <c r="F777" s="91"/>
      <c r="G777" s="46">
        <f>G781+G778</f>
        <v>156000</v>
      </c>
      <c r="H777" s="46">
        <f>H781+H778</f>
        <v>140163.8</v>
      </c>
      <c r="I777" s="46">
        <f t="shared" si="64"/>
        <v>89.85</v>
      </c>
    </row>
    <row r="778" spans="1:9" ht="157.5">
      <c r="A778" s="3" t="s">
        <v>663</v>
      </c>
      <c r="B778" s="6" t="s">
        <v>83</v>
      </c>
      <c r="C778" s="6" t="s">
        <v>869</v>
      </c>
      <c r="D778" s="6" t="s">
        <v>659</v>
      </c>
      <c r="E778" s="6" t="s">
        <v>93</v>
      </c>
      <c r="F778" s="91" t="s">
        <v>664</v>
      </c>
      <c r="G778" s="46">
        <f>G779</f>
        <v>94890</v>
      </c>
      <c r="H778" s="46">
        <f>H779</f>
        <v>79053.8</v>
      </c>
      <c r="I778" s="46">
        <f t="shared" si="64"/>
        <v>83.31</v>
      </c>
    </row>
    <row r="779" spans="1:9" ht="47.25">
      <c r="A779" s="3" t="s">
        <v>667</v>
      </c>
      <c r="B779" s="6" t="s">
        <v>83</v>
      </c>
      <c r="C779" s="6" t="s">
        <v>869</v>
      </c>
      <c r="D779" s="6" t="s">
        <v>659</v>
      </c>
      <c r="E779" s="6" t="s">
        <v>93</v>
      </c>
      <c r="F779" s="91" t="s">
        <v>668</v>
      </c>
      <c r="G779" s="46">
        <f>G780</f>
        <v>94890</v>
      </c>
      <c r="H779" s="46">
        <f>H780</f>
        <v>79053.8</v>
      </c>
      <c r="I779" s="46">
        <f t="shared" si="64"/>
        <v>83.31</v>
      </c>
    </row>
    <row r="780" spans="1:9" ht="47.25">
      <c r="A780" s="3" t="s">
        <v>671</v>
      </c>
      <c r="B780" s="6" t="s">
        <v>83</v>
      </c>
      <c r="C780" s="6" t="s">
        <v>869</v>
      </c>
      <c r="D780" s="6" t="s">
        <v>659</v>
      </c>
      <c r="E780" s="6" t="s">
        <v>93</v>
      </c>
      <c r="F780" s="91" t="s">
        <v>672</v>
      </c>
      <c r="G780" s="46">
        <f>79000+15890</f>
        <v>94890</v>
      </c>
      <c r="H780" s="46">
        <v>79053.8</v>
      </c>
      <c r="I780" s="46">
        <f t="shared" si="64"/>
        <v>83.31</v>
      </c>
    </row>
    <row r="781" spans="1:9" ht="47.25">
      <c r="A781" s="113" t="s">
        <v>673</v>
      </c>
      <c r="B781" s="6" t="s">
        <v>83</v>
      </c>
      <c r="C781" s="6" t="s">
        <v>869</v>
      </c>
      <c r="D781" s="6" t="s">
        <v>659</v>
      </c>
      <c r="E781" s="6" t="s">
        <v>93</v>
      </c>
      <c r="F781" s="91" t="s">
        <v>674</v>
      </c>
      <c r="G781" s="46">
        <f>G782</f>
        <v>61110</v>
      </c>
      <c r="H781" s="46">
        <f>H782</f>
        <v>61110</v>
      </c>
      <c r="I781" s="46">
        <f t="shared" si="64"/>
        <v>100</v>
      </c>
    </row>
    <row r="782" spans="1:9" ht="47.25">
      <c r="A782" s="113" t="s">
        <v>675</v>
      </c>
      <c r="B782" s="6" t="s">
        <v>83</v>
      </c>
      <c r="C782" s="6" t="s">
        <v>869</v>
      </c>
      <c r="D782" s="6" t="s">
        <v>659</v>
      </c>
      <c r="E782" s="6" t="s">
        <v>93</v>
      </c>
      <c r="F782" s="91" t="s">
        <v>676</v>
      </c>
      <c r="G782" s="46">
        <f>G783+G784</f>
        <v>61110</v>
      </c>
      <c r="H782" s="46">
        <f>H783+H784</f>
        <v>61110</v>
      </c>
      <c r="I782" s="46">
        <f t="shared" si="64"/>
        <v>100</v>
      </c>
    </row>
    <row r="783" spans="1:9" ht="78.75">
      <c r="A783" s="113" t="s">
        <v>679</v>
      </c>
      <c r="B783" s="6" t="s">
        <v>83</v>
      </c>
      <c r="C783" s="6" t="s">
        <v>869</v>
      </c>
      <c r="D783" s="6" t="s">
        <v>659</v>
      </c>
      <c r="E783" s="6" t="s">
        <v>93</v>
      </c>
      <c r="F783" s="91" t="s">
        <v>680</v>
      </c>
      <c r="G783" s="46">
        <v>17000</v>
      </c>
      <c r="H783" s="46">
        <v>17000</v>
      </c>
      <c r="I783" s="46">
        <f t="shared" si="64"/>
        <v>100</v>
      </c>
    </row>
    <row r="784" spans="1:9" ht="47.25">
      <c r="A784" s="5" t="s">
        <v>677</v>
      </c>
      <c r="B784" s="6" t="s">
        <v>83</v>
      </c>
      <c r="C784" s="6" t="s">
        <v>869</v>
      </c>
      <c r="D784" s="6" t="s">
        <v>659</v>
      </c>
      <c r="E784" s="6" t="s">
        <v>93</v>
      </c>
      <c r="F784" s="91" t="s">
        <v>678</v>
      </c>
      <c r="G784" s="46">
        <f>139000-79000-15890</f>
        <v>44110</v>
      </c>
      <c r="H784" s="46">
        <v>44110</v>
      </c>
      <c r="I784" s="46">
        <f t="shared" si="64"/>
        <v>100</v>
      </c>
    </row>
    <row r="785" spans="1:9" ht="47.25">
      <c r="A785" s="5" t="s">
        <v>922</v>
      </c>
      <c r="B785" s="6" t="s">
        <v>83</v>
      </c>
      <c r="C785" s="6" t="s">
        <v>869</v>
      </c>
      <c r="D785" s="6" t="s">
        <v>659</v>
      </c>
      <c r="E785" s="6" t="s">
        <v>923</v>
      </c>
      <c r="F785" s="6"/>
      <c r="G785" s="46">
        <f>G786</f>
        <v>140000</v>
      </c>
      <c r="H785" s="46">
        <f>H786</f>
        <v>104850</v>
      </c>
      <c r="I785" s="46">
        <f t="shared" si="64"/>
        <v>74.89</v>
      </c>
    </row>
    <row r="786" spans="1:9" ht="47.25">
      <c r="A786" s="90" t="s">
        <v>824</v>
      </c>
      <c r="B786" s="91" t="s">
        <v>83</v>
      </c>
      <c r="C786" s="91" t="s">
        <v>869</v>
      </c>
      <c r="D786" s="91" t="s">
        <v>659</v>
      </c>
      <c r="E786" s="91" t="s">
        <v>795</v>
      </c>
      <c r="F786" s="6"/>
      <c r="G786" s="46">
        <f>G787</f>
        <v>140000</v>
      </c>
      <c r="H786" s="46">
        <f>H787</f>
        <v>104850</v>
      </c>
      <c r="I786" s="46">
        <f t="shared" si="64"/>
        <v>74.89</v>
      </c>
    </row>
    <row r="787" spans="1:9" ht="110.25">
      <c r="A787" s="3" t="s">
        <v>909</v>
      </c>
      <c r="B787" s="6" t="s">
        <v>83</v>
      </c>
      <c r="C787" s="6" t="s">
        <v>869</v>
      </c>
      <c r="D787" s="6" t="s">
        <v>659</v>
      </c>
      <c r="E787" s="6" t="s">
        <v>733</v>
      </c>
      <c r="F787" s="6"/>
      <c r="G787" s="46">
        <f>G791+G788</f>
        <v>140000</v>
      </c>
      <c r="H787" s="46">
        <f>H791+H788</f>
        <v>104850</v>
      </c>
      <c r="I787" s="46">
        <f t="shared" si="64"/>
        <v>74.89</v>
      </c>
    </row>
    <row r="788" spans="1:9" ht="157.5">
      <c r="A788" s="3" t="s">
        <v>663</v>
      </c>
      <c r="B788" s="6" t="s">
        <v>83</v>
      </c>
      <c r="C788" s="6" t="s">
        <v>869</v>
      </c>
      <c r="D788" s="6" t="s">
        <v>659</v>
      </c>
      <c r="E788" s="6" t="s">
        <v>733</v>
      </c>
      <c r="F788" s="91" t="s">
        <v>664</v>
      </c>
      <c r="G788" s="46">
        <f>G789</f>
        <v>6000</v>
      </c>
      <c r="H788" s="46">
        <f>H789</f>
        <v>960</v>
      </c>
      <c r="I788" s="46">
        <f t="shared" si="64"/>
        <v>16</v>
      </c>
    </row>
    <row r="789" spans="1:9" ht="47.25">
      <c r="A789" s="3" t="s">
        <v>667</v>
      </c>
      <c r="B789" s="6" t="s">
        <v>83</v>
      </c>
      <c r="C789" s="6" t="s">
        <v>869</v>
      </c>
      <c r="D789" s="6" t="s">
        <v>659</v>
      </c>
      <c r="E789" s="6" t="s">
        <v>733</v>
      </c>
      <c r="F789" s="91" t="s">
        <v>668</v>
      </c>
      <c r="G789" s="46">
        <f>G790</f>
        <v>6000</v>
      </c>
      <c r="H789" s="46">
        <f>H790</f>
        <v>960</v>
      </c>
      <c r="I789" s="46">
        <f t="shared" si="64"/>
        <v>16</v>
      </c>
    </row>
    <row r="790" spans="1:9" ht="47.25">
      <c r="A790" s="3" t="s">
        <v>671</v>
      </c>
      <c r="B790" s="6" t="s">
        <v>83</v>
      </c>
      <c r="C790" s="6" t="s">
        <v>869</v>
      </c>
      <c r="D790" s="6" t="s">
        <v>659</v>
      </c>
      <c r="E790" s="6" t="s">
        <v>733</v>
      </c>
      <c r="F790" s="91" t="s">
        <v>672</v>
      </c>
      <c r="G790" s="46">
        <v>6000</v>
      </c>
      <c r="H790" s="46">
        <v>960</v>
      </c>
      <c r="I790" s="46">
        <f t="shared" si="64"/>
        <v>16</v>
      </c>
    </row>
    <row r="791" spans="1:9" ht="47.25">
      <c r="A791" s="3" t="s">
        <v>673</v>
      </c>
      <c r="B791" s="6" t="s">
        <v>83</v>
      </c>
      <c r="C791" s="6" t="s">
        <v>869</v>
      </c>
      <c r="D791" s="6" t="s">
        <v>659</v>
      </c>
      <c r="E791" s="6" t="s">
        <v>733</v>
      </c>
      <c r="F791" s="6" t="s">
        <v>674</v>
      </c>
      <c r="G791" s="46">
        <f>G792</f>
        <v>134000</v>
      </c>
      <c r="H791" s="46">
        <f>H792</f>
        <v>103890</v>
      </c>
      <c r="I791" s="46">
        <f t="shared" si="64"/>
        <v>77.53</v>
      </c>
    </row>
    <row r="792" spans="1:9" ht="47.25">
      <c r="A792" s="3" t="s">
        <v>675</v>
      </c>
      <c r="B792" s="6" t="s">
        <v>83</v>
      </c>
      <c r="C792" s="6" t="s">
        <v>869</v>
      </c>
      <c r="D792" s="6" t="s">
        <v>659</v>
      </c>
      <c r="E792" s="6" t="s">
        <v>733</v>
      </c>
      <c r="F792" s="6" t="s">
        <v>676</v>
      </c>
      <c r="G792" s="46">
        <f>G794+G793</f>
        <v>134000</v>
      </c>
      <c r="H792" s="46">
        <f>H794+H793</f>
        <v>103890</v>
      </c>
      <c r="I792" s="46">
        <f t="shared" si="64"/>
        <v>77.53</v>
      </c>
    </row>
    <row r="793" spans="1:9" ht="81.75" customHeight="1">
      <c r="A793" s="113" t="s">
        <v>679</v>
      </c>
      <c r="B793" s="6" t="s">
        <v>83</v>
      </c>
      <c r="C793" s="6" t="s">
        <v>869</v>
      </c>
      <c r="D793" s="6" t="s">
        <v>659</v>
      </c>
      <c r="E793" s="6" t="s">
        <v>733</v>
      </c>
      <c r="F793" s="6" t="s">
        <v>680</v>
      </c>
      <c r="G793" s="46">
        <v>90000</v>
      </c>
      <c r="H793" s="46">
        <v>90000</v>
      </c>
      <c r="I793" s="46">
        <f t="shared" si="64"/>
        <v>100</v>
      </c>
    </row>
    <row r="794" spans="1:9" ht="47.25">
      <c r="A794" s="44" t="s">
        <v>677</v>
      </c>
      <c r="B794" s="6" t="s">
        <v>83</v>
      </c>
      <c r="C794" s="6" t="s">
        <v>869</v>
      </c>
      <c r="D794" s="6" t="s">
        <v>659</v>
      </c>
      <c r="E794" s="6" t="s">
        <v>733</v>
      </c>
      <c r="F794" s="6" t="s">
        <v>678</v>
      </c>
      <c r="G794" s="46">
        <f>50000-6000</f>
        <v>44000</v>
      </c>
      <c r="H794" s="46">
        <v>13890</v>
      </c>
      <c r="I794" s="46">
        <f t="shared" si="64"/>
        <v>31.57</v>
      </c>
    </row>
    <row r="795" spans="1:9" ht="37.5">
      <c r="A795" s="131" t="s">
        <v>892</v>
      </c>
      <c r="B795" s="12" t="s">
        <v>83</v>
      </c>
      <c r="C795" s="12" t="s">
        <v>879</v>
      </c>
      <c r="D795" s="12"/>
      <c r="E795" s="12"/>
      <c r="F795" s="12"/>
      <c r="G795" s="50">
        <f aca="true" t="shared" si="65" ref="G795:H801">G796</f>
        <v>6650340</v>
      </c>
      <c r="H795" s="50">
        <f t="shared" si="65"/>
        <v>6635032.08</v>
      </c>
      <c r="I795" s="50">
        <f t="shared" si="64"/>
        <v>99.77</v>
      </c>
    </row>
    <row r="796" spans="1:9" ht="15.75">
      <c r="A796" s="1" t="s">
        <v>634</v>
      </c>
      <c r="B796" s="2" t="s">
        <v>83</v>
      </c>
      <c r="C796" s="2" t="s">
        <v>879</v>
      </c>
      <c r="D796" s="2" t="s">
        <v>877</v>
      </c>
      <c r="E796" s="2"/>
      <c r="F796" s="2"/>
      <c r="G796" s="50">
        <f t="shared" si="65"/>
        <v>6650340</v>
      </c>
      <c r="H796" s="50">
        <f t="shared" si="65"/>
        <v>6635032.08</v>
      </c>
      <c r="I796" s="50">
        <f t="shared" si="64"/>
        <v>99.77</v>
      </c>
    </row>
    <row r="797" spans="1:9" ht="47.25">
      <c r="A797" s="3" t="s">
        <v>922</v>
      </c>
      <c r="B797" s="6" t="s">
        <v>83</v>
      </c>
      <c r="C797" s="6" t="s">
        <v>879</v>
      </c>
      <c r="D797" s="6" t="s">
        <v>877</v>
      </c>
      <c r="E797" s="6" t="s">
        <v>923</v>
      </c>
      <c r="F797" s="6"/>
      <c r="G797" s="46">
        <f>G798</f>
        <v>6650340</v>
      </c>
      <c r="H797" s="46">
        <f>H798</f>
        <v>6635032.08</v>
      </c>
      <c r="I797" s="46">
        <f t="shared" si="64"/>
        <v>99.77</v>
      </c>
    </row>
    <row r="798" spans="1:9" ht="47.25">
      <c r="A798" s="90" t="s">
        <v>824</v>
      </c>
      <c r="B798" s="91" t="s">
        <v>83</v>
      </c>
      <c r="C798" s="91" t="s">
        <v>879</v>
      </c>
      <c r="D798" s="91" t="s">
        <v>877</v>
      </c>
      <c r="E798" s="91" t="s">
        <v>795</v>
      </c>
      <c r="F798" s="6"/>
      <c r="G798" s="46">
        <f t="shared" si="65"/>
        <v>6650340</v>
      </c>
      <c r="H798" s="46">
        <f t="shared" si="65"/>
        <v>6635032.08</v>
      </c>
      <c r="I798" s="46">
        <f t="shared" si="64"/>
        <v>99.77</v>
      </c>
    </row>
    <row r="799" spans="1:9" ht="141.75">
      <c r="A799" s="3" t="s">
        <v>825</v>
      </c>
      <c r="B799" s="6" t="s">
        <v>83</v>
      </c>
      <c r="C799" s="6" t="s">
        <v>879</v>
      </c>
      <c r="D799" s="6" t="s">
        <v>877</v>
      </c>
      <c r="E799" s="6" t="s">
        <v>826</v>
      </c>
      <c r="F799" s="6"/>
      <c r="G799" s="46">
        <f>G800+G803</f>
        <v>6650340</v>
      </c>
      <c r="H799" s="46">
        <f>H800+H803</f>
        <v>6635032.08</v>
      </c>
      <c r="I799" s="46">
        <f t="shared" si="64"/>
        <v>99.77</v>
      </c>
    </row>
    <row r="800" spans="1:9" ht="47.25">
      <c r="A800" s="3" t="s">
        <v>673</v>
      </c>
      <c r="B800" s="6" t="s">
        <v>83</v>
      </c>
      <c r="C800" s="6" t="s">
        <v>879</v>
      </c>
      <c r="D800" s="6" t="s">
        <v>877</v>
      </c>
      <c r="E800" s="6" t="s">
        <v>826</v>
      </c>
      <c r="F800" s="6" t="s">
        <v>674</v>
      </c>
      <c r="G800" s="46">
        <f t="shared" si="65"/>
        <v>573110</v>
      </c>
      <c r="H800" s="46">
        <f t="shared" si="65"/>
        <v>567692</v>
      </c>
      <c r="I800" s="46">
        <f t="shared" si="64"/>
        <v>99.05</v>
      </c>
    </row>
    <row r="801" spans="1:9" ht="47.25">
      <c r="A801" s="3" t="s">
        <v>675</v>
      </c>
      <c r="B801" s="6" t="s">
        <v>83</v>
      </c>
      <c r="C801" s="6" t="s">
        <v>879</v>
      </c>
      <c r="D801" s="6" t="s">
        <v>877</v>
      </c>
      <c r="E801" s="6" t="s">
        <v>826</v>
      </c>
      <c r="F801" s="6" t="s">
        <v>676</v>
      </c>
      <c r="G801" s="46">
        <f t="shared" si="65"/>
        <v>573110</v>
      </c>
      <c r="H801" s="46">
        <f t="shared" si="65"/>
        <v>567692</v>
      </c>
      <c r="I801" s="46">
        <f t="shared" si="64"/>
        <v>99.05</v>
      </c>
    </row>
    <row r="802" spans="1:9" ht="78.75">
      <c r="A802" s="3" t="s">
        <v>679</v>
      </c>
      <c r="B802" s="6" t="s">
        <v>83</v>
      </c>
      <c r="C802" s="6" t="s">
        <v>879</v>
      </c>
      <c r="D802" s="6" t="s">
        <v>877</v>
      </c>
      <c r="E802" s="6" t="s">
        <v>826</v>
      </c>
      <c r="F802" s="6" t="s">
        <v>680</v>
      </c>
      <c r="G802" s="46">
        <f>663110-90000</f>
        <v>573110</v>
      </c>
      <c r="H802" s="46">
        <v>567692</v>
      </c>
      <c r="I802" s="46">
        <f t="shared" si="64"/>
        <v>99.05</v>
      </c>
    </row>
    <row r="803" spans="1:9" ht="78.75">
      <c r="A803" s="122" t="s">
        <v>936</v>
      </c>
      <c r="B803" s="6" t="s">
        <v>83</v>
      </c>
      <c r="C803" s="6" t="s">
        <v>879</v>
      </c>
      <c r="D803" s="6" t="s">
        <v>877</v>
      </c>
      <c r="E803" s="6" t="s">
        <v>826</v>
      </c>
      <c r="F803" s="6" t="s">
        <v>685</v>
      </c>
      <c r="G803" s="46">
        <f>G804+G806</f>
        <v>6077230</v>
      </c>
      <c r="H803" s="46">
        <f>H804+H806</f>
        <v>6067340.08</v>
      </c>
      <c r="I803" s="46">
        <f t="shared" si="64"/>
        <v>99.84</v>
      </c>
    </row>
    <row r="804" spans="1:9" ht="31.5">
      <c r="A804" s="122" t="s">
        <v>45</v>
      </c>
      <c r="B804" s="6" t="s">
        <v>83</v>
      </c>
      <c r="C804" s="6" t="s">
        <v>879</v>
      </c>
      <c r="D804" s="6" t="s">
        <v>877</v>
      </c>
      <c r="E804" s="6" t="s">
        <v>826</v>
      </c>
      <c r="F804" s="6" t="s">
        <v>686</v>
      </c>
      <c r="G804" s="46">
        <f>G805</f>
        <v>4883689</v>
      </c>
      <c r="H804" s="46">
        <f>H805</f>
        <v>4883094</v>
      </c>
      <c r="I804" s="46">
        <f t="shared" si="64"/>
        <v>99.99</v>
      </c>
    </row>
    <row r="805" spans="1:9" ht="47.25">
      <c r="A805" s="122" t="s">
        <v>46</v>
      </c>
      <c r="B805" s="6" t="s">
        <v>83</v>
      </c>
      <c r="C805" s="6" t="s">
        <v>879</v>
      </c>
      <c r="D805" s="6" t="s">
        <v>877</v>
      </c>
      <c r="E805" s="6" t="s">
        <v>826</v>
      </c>
      <c r="F805" s="6" t="s">
        <v>57</v>
      </c>
      <c r="G805" s="46">
        <f>5811630-224043-109898-615000+21000</f>
        <v>4883689</v>
      </c>
      <c r="H805" s="46">
        <v>4883094</v>
      </c>
      <c r="I805" s="46">
        <f t="shared" si="64"/>
        <v>99.99</v>
      </c>
    </row>
    <row r="806" spans="1:9" ht="31.5">
      <c r="A806" s="122" t="s">
        <v>55</v>
      </c>
      <c r="B806" s="6" t="s">
        <v>83</v>
      </c>
      <c r="C806" s="6" t="s">
        <v>879</v>
      </c>
      <c r="D806" s="6" t="s">
        <v>877</v>
      </c>
      <c r="E806" s="6" t="s">
        <v>826</v>
      </c>
      <c r="F806" s="6" t="s">
        <v>58</v>
      </c>
      <c r="G806" s="46">
        <f>G807</f>
        <v>1193541</v>
      </c>
      <c r="H806" s="46">
        <f>H807</f>
        <v>1184246.08</v>
      </c>
      <c r="I806" s="46">
        <f t="shared" si="64"/>
        <v>99.22</v>
      </c>
    </row>
    <row r="807" spans="1:9" ht="47.25">
      <c r="A807" s="122" t="s">
        <v>56</v>
      </c>
      <c r="B807" s="6" t="s">
        <v>83</v>
      </c>
      <c r="C807" s="6" t="s">
        <v>879</v>
      </c>
      <c r="D807" s="6" t="s">
        <v>877</v>
      </c>
      <c r="E807" s="9" t="s">
        <v>826</v>
      </c>
      <c r="F807" s="6" t="s">
        <v>59</v>
      </c>
      <c r="G807" s="46">
        <f>985600+224043+109898-105000-21000</f>
        <v>1193541</v>
      </c>
      <c r="H807" s="46">
        <v>1184246.08</v>
      </c>
      <c r="I807" s="46">
        <f t="shared" si="64"/>
        <v>99.22</v>
      </c>
    </row>
    <row r="808" spans="1:9" ht="18.75">
      <c r="A808" s="13" t="s">
        <v>880</v>
      </c>
      <c r="B808" s="14" t="s">
        <v>83</v>
      </c>
      <c r="C808" s="14" t="s">
        <v>872</v>
      </c>
      <c r="D808" s="14"/>
      <c r="E808" s="14"/>
      <c r="F808" s="14"/>
      <c r="G808" s="56">
        <f>G809+G863+G938+G951</f>
        <v>1185755324.29</v>
      </c>
      <c r="H808" s="56">
        <f>H809+H863+H938+H951</f>
        <v>1181675605.71</v>
      </c>
      <c r="I808" s="56">
        <f t="shared" si="64"/>
        <v>99.66</v>
      </c>
    </row>
    <row r="809" spans="1:9" ht="36" customHeight="1">
      <c r="A809" s="1" t="s">
        <v>881</v>
      </c>
      <c r="B809" s="2" t="s">
        <v>83</v>
      </c>
      <c r="C809" s="2" t="s">
        <v>872</v>
      </c>
      <c r="D809" s="2" t="s">
        <v>869</v>
      </c>
      <c r="E809" s="2"/>
      <c r="F809" s="2"/>
      <c r="G809" s="50">
        <f>G815+G826+G848+G810+G820</f>
        <v>454447667.04</v>
      </c>
      <c r="H809" s="50">
        <f>H815+H826+H848+H810+H820</f>
        <v>453232461.3</v>
      </c>
      <c r="I809" s="50">
        <f t="shared" si="64"/>
        <v>99.73</v>
      </c>
    </row>
    <row r="810" spans="1:9" ht="36" customHeight="1">
      <c r="A810" s="98" t="s">
        <v>621</v>
      </c>
      <c r="B810" s="6" t="s">
        <v>83</v>
      </c>
      <c r="C810" s="6" t="s">
        <v>872</v>
      </c>
      <c r="D810" s="6" t="s">
        <v>869</v>
      </c>
      <c r="E810" s="6" t="s">
        <v>623</v>
      </c>
      <c r="F810" s="6"/>
      <c r="G810" s="46">
        <f aca="true" t="shared" si="66" ref="G810:H813">G811</f>
        <v>6000000</v>
      </c>
      <c r="H810" s="46">
        <f t="shared" si="66"/>
        <v>6000000</v>
      </c>
      <c r="I810" s="46">
        <f t="shared" si="64"/>
        <v>100</v>
      </c>
    </row>
    <row r="811" spans="1:9" ht="47.25" customHeight="1">
      <c r="A811" s="98" t="s">
        <v>888</v>
      </c>
      <c r="B811" s="6" t="s">
        <v>83</v>
      </c>
      <c r="C811" s="6" t="s">
        <v>872</v>
      </c>
      <c r="D811" s="6" t="s">
        <v>869</v>
      </c>
      <c r="E811" s="6" t="s">
        <v>889</v>
      </c>
      <c r="F811" s="6"/>
      <c r="G811" s="46">
        <f t="shared" si="66"/>
        <v>6000000</v>
      </c>
      <c r="H811" s="46">
        <f t="shared" si="66"/>
        <v>6000000</v>
      </c>
      <c r="I811" s="46">
        <f t="shared" si="64"/>
        <v>100</v>
      </c>
    </row>
    <row r="812" spans="1:9" ht="81" customHeight="1">
      <c r="A812" s="122" t="s">
        <v>936</v>
      </c>
      <c r="B812" s="6" t="s">
        <v>83</v>
      </c>
      <c r="C812" s="6" t="s">
        <v>872</v>
      </c>
      <c r="D812" s="6" t="s">
        <v>869</v>
      </c>
      <c r="E812" s="6" t="s">
        <v>889</v>
      </c>
      <c r="F812" s="6" t="s">
        <v>685</v>
      </c>
      <c r="G812" s="46">
        <f t="shared" si="66"/>
        <v>6000000</v>
      </c>
      <c r="H812" s="46">
        <f t="shared" si="66"/>
        <v>6000000</v>
      </c>
      <c r="I812" s="46">
        <f t="shared" si="64"/>
        <v>100</v>
      </c>
    </row>
    <row r="813" spans="1:9" ht="36" customHeight="1">
      <c r="A813" s="122" t="s">
        <v>45</v>
      </c>
      <c r="B813" s="6" t="s">
        <v>83</v>
      </c>
      <c r="C813" s="6" t="s">
        <v>872</v>
      </c>
      <c r="D813" s="6" t="s">
        <v>869</v>
      </c>
      <c r="E813" s="6" t="s">
        <v>889</v>
      </c>
      <c r="F813" s="6" t="s">
        <v>686</v>
      </c>
      <c r="G813" s="46">
        <f t="shared" si="66"/>
        <v>6000000</v>
      </c>
      <c r="H813" s="46">
        <f t="shared" si="66"/>
        <v>6000000</v>
      </c>
      <c r="I813" s="46">
        <f t="shared" si="64"/>
        <v>100</v>
      </c>
    </row>
    <row r="814" spans="1:9" ht="36" customHeight="1">
      <c r="A814" s="122" t="s">
        <v>46</v>
      </c>
      <c r="B814" s="6" t="s">
        <v>83</v>
      </c>
      <c r="C814" s="6" t="s">
        <v>872</v>
      </c>
      <c r="D814" s="6" t="s">
        <v>869</v>
      </c>
      <c r="E814" s="6" t="s">
        <v>889</v>
      </c>
      <c r="F814" s="6" t="s">
        <v>57</v>
      </c>
      <c r="G814" s="46">
        <f>9000000-3000000</f>
        <v>6000000</v>
      </c>
      <c r="H814" s="46">
        <v>6000000</v>
      </c>
      <c r="I814" s="46">
        <f t="shared" si="64"/>
        <v>100</v>
      </c>
    </row>
    <row r="815" spans="1:9" ht="47.25">
      <c r="A815" s="122" t="s">
        <v>914</v>
      </c>
      <c r="B815" s="6" t="s">
        <v>83</v>
      </c>
      <c r="C815" s="6" t="s">
        <v>872</v>
      </c>
      <c r="D815" s="6" t="s">
        <v>869</v>
      </c>
      <c r="E815" s="6" t="s">
        <v>937</v>
      </c>
      <c r="F815" s="6"/>
      <c r="G815" s="46">
        <f aca="true" t="shared" si="67" ref="G815:H818">G816</f>
        <v>803000</v>
      </c>
      <c r="H815" s="46">
        <f t="shared" si="67"/>
        <v>803000</v>
      </c>
      <c r="I815" s="46">
        <f t="shared" si="64"/>
        <v>100</v>
      </c>
    </row>
    <row r="816" spans="1:9" ht="173.25">
      <c r="A816" s="122" t="s">
        <v>66</v>
      </c>
      <c r="B816" s="6" t="s">
        <v>83</v>
      </c>
      <c r="C816" s="6" t="s">
        <v>872</v>
      </c>
      <c r="D816" s="6" t="s">
        <v>869</v>
      </c>
      <c r="E816" s="6" t="s">
        <v>67</v>
      </c>
      <c r="F816" s="6"/>
      <c r="G816" s="46">
        <f t="shared" si="67"/>
        <v>803000</v>
      </c>
      <c r="H816" s="46">
        <f t="shared" si="67"/>
        <v>803000</v>
      </c>
      <c r="I816" s="46">
        <f t="shared" si="64"/>
        <v>100</v>
      </c>
    </row>
    <row r="817" spans="1:9" ht="78.75">
      <c r="A817" s="5" t="s">
        <v>936</v>
      </c>
      <c r="B817" s="6" t="s">
        <v>83</v>
      </c>
      <c r="C817" s="6" t="s">
        <v>872</v>
      </c>
      <c r="D817" s="6" t="s">
        <v>869</v>
      </c>
      <c r="E817" s="6" t="s">
        <v>67</v>
      </c>
      <c r="F817" s="6" t="s">
        <v>685</v>
      </c>
      <c r="G817" s="46">
        <f t="shared" si="67"/>
        <v>803000</v>
      </c>
      <c r="H817" s="46">
        <f t="shared" si="67"/>
        <v>803000</v>
      </c>
      <c r="I817" s="46">
        <f t="shared" si="64"/>
        <v>100</v>
      </c>
    </row>
    <row r="818" spans="1:9" ht="31.5">
      <c r="A818" s="122" t="s">
        <v>45</v>
      </c>
      <c r="B818" s="6" t="s">
        <v>83</v>
      </c>
      <c r="C818" s="6" t="s">
        <v>872</v>
      </c>
      <c r="D818" s="6" t="s">
        <v>869</v>
      </c>
      <c r="E818" s="6" t="s">
        <v>67</v>
      </c>
      <c r="F818" s="6" t="s">
        <v>686</v>
      </c>
      <c r="G818" s="46">
        <f t="shared" si="67"/>
        <v>803000</v>
      </c>
      <c r="H818" s="46">
        <f t="shared" si="67"/>
        <v>803000</v>
      </c>
      <c r="I818" s="46">
        <f t="shared" si="64"/>
        <v>100</v>
      </c>
    </row>
    <row r="819" spans="1:9" ht="110.25">
      <c r="A819" s="5" t="s">
        <v>64</v>
      </c>
      <c r="B819" s="6" t="s">
        <v>83</v>
      </c>
      <c r="C819" s="6" t="s">
        <v>872</v>
      </c>
      <c r="D819" s="6" t="s">
        <v>869</v>
      </c>
      <c r="E819" s="6" t="s">
        <v>67</v>
      </c>
      <c r="F819" s="6" t="s">
        <v>65</v>
      </c>
      <c r="G819" s="46">
        <f>803000</f>
        <v>803000</v>
      </c>
      <c r="H819" s="46">
        <v>803000</v>
      </c>
      <c r="I819" s="46">
        <f t="shared" si="64"/>
        <v>100</v>
      </c>
    </row>
    <row r="820" spans="1:9" ht="31.5">
      <c r="A820" s="98" t="s">
        <v>554</v>
      </c>
      <c r="B820" s="6" t="s">
        <v>83</v>
      </c>
      <c r="C820" s="6" t="s">
        <v>872</v>
      </c>
      <c r="D820" s="6" t="s">
        <v>869</v>
      </c>
      <c r="E820" s="6" t="s">
        <v>932</v>
      </c>
      <c r="F820" s="6"/>
      <c r="G820" s="46">
        <f aca="true" t="shared" si="68" ref="G820:H824">G821</f>
        <v>1081700</v>
      </c>
      <c r="H820" s="46">
        <f t="shared" si="68"/>
        <v>1081700</v>
      </c>
      <c r="I820" s="46">
        <f t="shared" si="64"/>
        <v>100</v>
      </c>
    </row>
    <row r="821" spans="1:9" ht="67.5" customHeight="1">
      <c r="A821" s="98" t="s">
        <v>489</v>
      </c>
      <c r="B821" s="6" t="s">
        <v>83</v>
      </c>
      <c r="C821" s="6" t="s">
        <v>872</v>
      </c>
      <c r="D821" s="6" t="s">
        <v>869</v>
      </c>
      <c r="E821" s="6" t="s">
        <v>490</v>
      </c>
      <c r="F821" s="6"/>
      <c r="G821" s="46">
        <f t="shared" si="68"/>
        <v>1081700</v>
      </c>
      <c r="H821" s="46">
        <f t="shared" si="68"/>
        <v>1081700</v>
      </c>
      <c r="I821" s="46">
        <f t="shared" si="64"/>
        <v>100</v>
      </c>
    </row>
    <row r="822" spans="1:9" ht="94.5">
      <c r="A822" s="98" t="s">
        <v>491</v>
      </c>
      <c r="B822" s="6" t="s">
        <v>83</v>
      </c>
      <c r="C822" s="6" t="s">
        <v>872</v>
      </c>
      <c r="D822" s="6" t="s">
        <v>869</v>
      </c>
      <c r="E822" s="6" t="s">
        <v>492</v>
      </c>
      <c r="F822" s="6"/>
      <c r="G822" s="46">
        <f t="shared" si="68"/>
        <v>1081700</v>
      </c>
      <c r="H822" s="46">
        <f t="shared" si="68"/>
        <v>1081700</v>
      </c>
      <c r="I822" s="46">
        <f t="shared" si="64"/>
        <v>100</v>
      </c>
    </row>
    <row r="823" spans="1:9" ht="78.75">
      <c r="A823" s="98" t="s">
        <v>936</v>
      </c>
      <c r="B823" s="6" t="s">
        <v>83</v>
      </c>
      <c r="C823" s="6" t="s">
        <v>872</v>
      </c>
      <c r="D823" s="6" t="s">
        <v>869</v>
      </c>
      <c r="E823" s="6" t="s">
        <v>492</v>
      </c>
      <c r="F823" s="6" t="s">
        <v>685</v>
      </c>
      <c r="G823" s="46">
        <f t="shared" si="68"/>
        <v>1081700</v>
      </c>
      <c r="H823" s="46">
        <f t="shared" si="68"/>
        <v>1081700</v>
      </c>
      <c r="I823" s="46">
        <f t="shared" si="64"/>
        <v>100</v>
      </c>
    </row>
    <row r="824" spans="1:9" ht="31.5">
      <c r="A824" s="122" t="s">
        <v>45</v>
      </c>
      <c r="B824" s="6" t="s">
        <v>83</v>
      </c>
      <c r="C824" s="6" t="s">
        <v>872</v>
      </c>
      <c r="D824" s="6" t="s">
        <v>869</v>
      </c>
      <c r="E824" s="6" t="s">
        <v>492</v>
      </c>
      <c r="F824" s="6" t="s">
        <v>686</v>
      </c>
      <c r="G824" s="46">
        <f t="shared" si="68"/>
        <v>1081700</v>
      </c>
      <c r="H824" s="46">
        <f t="shared" si="68"/>
        <v>1081700</v>
      </c>
      <c r="I824" s="46">
        <f t="shared" si="64"/>
        <v>100</v>
      </c>
    </row>
    <row r="825" spans="1:9" ht="47.25">
      <c r="A825" s="122" t="s">
        <v>46</v>
      </c>
      <c r="B825" s="6" t="s">
        <v>83</v>
      </c>
      <c r="C825" s="6" t="s">
        <v>872</v>
      </c>
      <c r="D825" s="6" t="s">
        <v>869</v>
      </c>
      <c r="E825" s="6" t="s">
        <v>492</v>
      </c>
      <c r="F825" s="6" t="s">
        <v>57</v>
      </c>
      <c r="G825" s="46">
        <v>1081700</v>
      </c>
      <c r="H825" s="46">
        <v>1081700</v>
      </c>
      <c r="I825" s="46">
        <f t="shared" si="64"/>
        <v>100</v>
      </c>
    </row>
    <row r="826" spans="1:9" ht="31.5">
      <c r="A826" s="122" t="s">
        <v>463</v>
      </c>
      <c r="B826" s="6" t="s">
        <v>83</v>
      </c>
      <c r="C826" s="6" t="s">
        <v>872</v>
      </c>
      <c r="D826" s="6" t="s">
        <v>869</v>
      </c>
      <c r="E826" s="6" t="s">
        <v>462</v>
      </c>
      <c r="F826" s="6"/>
      <c r="G826" s="46">
        <f>G827</f>
        <v>18295430</v>
      </c>
      <c r="H826" s="46">
        <f>H827</f>
        <v>17238321.93</v>
      </c>
      <c r="I826" s="46">
        <f t="shared" si="64"/>
        <v>94.22</v>
      </c>
    </row>
    <row r="827" spans="1:9" ht="110.25">
      <c r="A827" s="5" t="s">
        <v>546</v>
      </c>
      <c r="B827" s="6" t="s">
        <v>83</v>
      </c>
      <c r="C827" s="6" t="s">
        <v>872</v>
      </c>
      <c r="D827" s="6" t="s">
        <v>869</v>
      </c>
      <c r="E827" s="6" t="s">
        <v>61</v>
      </c>
      <c r="F827" s="6"/>
      <c r="G827" s="46">
        <f>G828+G842</f>
        <v>18295430</v>
      </c>
      <c r="H827" s="46">
        <f>H828+H842</f>
        <v>17238321.93</v>
      </c>
      <c r="I827" s="46">
        <f t="shared" si="64"/>
        <v>94.22</v>
      </c>
    </row>
    <row r="828" spans="1:9" ht="157.5">
      <c r="A828" s="5" t="s">
        <v>62</v>
      </c>
      <c r="B828" s="6" t="s">
        <v>83</v>
      </c>
      <c r="C828" s="6" t="s">
        <v>872</v>
      </c>
      <c r="D828" s="6" t="s">
        <v>869</v>
      </c>
      <c r="E828" s="6" t="s">
        <v>63</v>
      </c>
      <c r="F828" s="6"/>
      <c r="G828" s="46">
        <f aca="true" t="shared" si="69" ref="G828:H830">G829</f>
        <v>2965030</v>
      </c>
      <c r="H828" s="46">
        <f t="shared" si="69"/>
        <v>1907921.93</v>
      </c>
      <c r="I828" s="46">
        <f t="shared" si="64"/>
        <v>64.35</v>
      </c>
    </row>
    <row r="829" spans="1:9" ht="78.75">
      <c r="A829" s="5" t="s">
        <v>936</v>
      </c>
      <c r="B829" s="6" t="s">
        <v>83</v>
      </c>
      <c r="C829" s="6" t="s">
        <v>872</v>
      </c>
      <c r="D829" s="6" t="s">
        <v>869</v>
      </c>
      <c r="E829" s="6" t="s">
        <v>63</v>
      </c>
      <c r="F829" s="6" t="s">
        <v>685</v>
      </c>
      <c r="G829" s="46">
        <f>G830+G840</f>
        <v>2965030</v>
      </c>
      <c r="H829" s="46">
        <f>H830+H840</f>
        <v>1907921.93</v>
      </c>
      <c r="I829" s="46">
        <f t="shared" si="64"/>
        <v>64.35</v>
      </c>
    </row>
    <row r="830" spans="1:9" ht="31.5">
      <c r="A830" s="122" t="s">
        <v>45</v>
      </c>
      <c r="B830" s="6" t="s">
        <v>83</v>
      </c>
      <c r="C830" s="6" t="s">
        <v>872</v>
      </c>
      <c r="D830" s="6" t="s">
        <v>869</v>
      </c>
      <c r="E830" s="6" t="s">
        <v>63</v>
      </c>
      <c r="F830" s="6" t="s">
        <v>686</v>
      </c>
      <c r="G830" s="46">
        <f t="shared" si="69"/>
        <v>2465079</v>
      </c>
      <c r="H830" s="46">
        <f t="shared" si="69"/>
        <v>1521235.93</v>
      </c>
      <c r="I830" s="46">
        <f t="shared" si="64"/>
        <v>61.71</v>
      </c>
    </row>
    <row r="831" spans="1:9" ht="110.25">
      <c r="A831" s="5" t="s">
        <v>64</v>
      </c>
      <c r="B831" s="6" t="s">
        <v>83</v>
      </c>
      <c r="C831" s="6" t="s">
        <v>872</v>
      </c>
      <c r="D831" s="6" t="s">
        <v>869</v>
      </c>
      <c r="E831" s="6" t="s">
        <v>63</v>
      </c>
      <c r="F831" s="6" t="s">
        <v>65</v>
      </c>
      <c r="G831" s="46">
        <f>4105030-499951-1140000</f>
        <v>2465079</v>
      </c>
      <c r="H831" s="46">
        <v>1521235.93</v>
      </c>
      <c r="I831" s="46">
        <f t="shared" si="64"/>
        <v>61.71</v>
      </c>
    </row>
    <row r="832" spans="1:9" ht="78.75" customHeight="1" hidden="1">
      <c r="A832" s="5" t="s">
        <v>788</v>
      </c>
      <c r="B832" s="6" t="s">
        <v>83</v>
      </c>
      <c r="C832" s="6" t="s">
        <v>872</v>
      </c>
      <c r="D832" s="6" t="s">
        <v>869</v>
      </c>
      <c r="E832" s="6" t="s">
        <v>789</v>
      </c>
      <c r="F832" s="6"/>
      <c r="G832" s="46"/>
      <c r="H832" s="46"/>
      <c r="I832" s="46" t="e">
        <f t="shared" si="64"/>
        <v>#DIV/0!</v>
      </c>
    </row>
    <row r="833" spans="1:9" ht="78.75" customHeight="1" hidden="1">
      <c r="A833" s="5" t="s">
        <v>936</v>
      </c>
      <c r="B833" s="6" t="s">
        <v>83</v>
      </c>
      <c r="C833" s="6" t="s">
        <v>872</v>
      </c>
      <c r="D833" s="6" t="s">
        <v>869</v>
      </c>
      <c r="E833" s="6" t="s">
        <v>789</v>
      </c>
      <c r="F833" s="6" t="s">
        <v>685</v>
      </c>
      <c r="G833" s="46"/>
      <c r="H833" s="46"/>
      <c r="I833" s="46" t="e">
        <f t="shared" si="64"/>
        <v>#DIV/0!</v>
      </c>
    </row>
    <row r="834" spans="1:9" ht="31.5" customHeight="1" hidden="1">
      <c r="A834" s="122" t="s">
        <v>45</v>
      </c>
      <c r="B834" s="6" t="s">
        <v>83</v>
      </c>
      <c r="C834" s="6" t="s">
        <v>872</v>
      </c>
      <c r="D834" s="6" t="s">
        <v>869</v>
      </c>
      <c r="E834" s="6" t="s">
        <v>789</v>
      </c>
      <c r="F834" s="6" t="s">
        <v>686</v>
      </c>
      <c r="G834" s="46"/>
      <c r="H834" s="46"/>
      <c r="I834" s="46" t="e">
        <f t="shared" si="64"/>
        <v>#DIV/0!</v>
      </c>
    </row>
    <row r="835" spans="1:9" ht="110.25" customHeight="1" hidden="1">
      <c r="A835" s="5" t="s">
        <v>64</v>
      </c>
      <c r="B835" s="6" t="s">
        <v>83</v>
      </c>
      <c r="C835" s="6" t="s">
        <v>872</v>
      </c>
      <c r="D835" s="6" t="s">
        <v>869</v>
      </c>
      <c r="E835" s="6" t="s">
        <v>789</v>
      </c>
      <c r="F835" s="6" t="s">
        <v>65</v>
      </c>
      <c r="G835" s="46"/>
      <c r="H835" s="46"/>
      <c r="I835" s="46" t="e">
        <f t="shared" si="64"/>
        <v>#DIV/0!</v>
      </c>
    </row>
    <row r="836" spans="1:9" ht="94.5" customHeight="1" hidden="1">
      <c r="A836" s="5" t="s">
        <v>786</v>
      </c>
      <c r="B836" s="6" t="s">
        <v>83</v>
      </c>
      <c r="C836" s="6" t="s">
        <v>872</v>
      </c>
      <c r="D836" s="6" t="s">
        <v>869</v>
      </c>
      <c r="E836" s="6" t="s">
        <v>787</v>
      </c>
      <c r="F836" s="6"/>
      <c r="G836" s="46"/>
      <c r="H836" s="46"/>
      <c r="I836" s="46" t="e">
        <f t="shared" si="64"/>
        <v>#DIV/0!</v>
      </c>
    </row>
    <row r="837" spans="1:9" ht="78.75" customHeight="1" hidden="1">
      <c r="A837" s="5" t="s">
        <v>936</v>
      </c>
      <c r="B837" s="6" t="s">
        <v>83</v>
      </c>
      <c r="C837" s="6" t="s">
        <v>872</v>
      </c>
      <c r="D837" s="6" t="s">
        <v>869</v>
      </c>
      <c r="E837" s="6" t="s">
        <v>787</v>
      </c>
      <c r="F837" s="6" t="s">
        <v>685</v>
      </c>
      <c r="G837" s="46"/>
      <c r="H837" s="46"/>
      <c r="I837" s="46" t="e">
        <f t="shared" si="64"/>
        <v>#DIV/0!</v>
      </c>
    </row>
    <row r="838" spans="1:9" ht="31.5" customHeight="1" hidden="1">
      <c r="A838" s="122" t="s">
        <v>45</v>
      </c>
      <c r="B838" s="6" t="s">
        <v>83</v>
      </c>
      <c r="C838" s="6" t="s">
        <v>872</v>
      </c>
      <c r="D838" s="6" t="s">
        <v>869</v>
      </c>
      <c r="E838" s="6" t="s">
        <v>787</v>
      </c>
      <c r="F838" s="6" t="s">
        <v>686</v>
      </c>
      <c r="G838" s="46"/>
      <c r="H838" s="46"/>
      <c r="I838" s="46" t="e">
        <f t="shared" si="64"/>
        <v>#DIV/0!</v>
      </c>
    </row>
    <row r="839" spans="1:9" ht="110.25" customHeight="1" hidden="1">
      <c r="A839" s="5" t="s">
        <v>64</v>
      </c>
      <c r="B839" s="6" t="s">
        <v>83</v>
      </c>
      <c r="C839" s="6" t="s">
        <v>872</v>
      </c>
      <c r="D839" s="6" t="s">
        <v>869</v>
      </c>
      <c r="E839" s="6" t="s">
        <v>787</v>
      </c>
      <c r="F839" s="6" t="s">
        <v>65</v>
      </c>
      <c r="G839" s="46"/>
      <c r="H839" s="46"/>
      <c r="I839" s="46" t="e">
        <f t="shared" si="64"/>
        <v>#DIV/0!</v>
      </c>
    </row>
    <row r="840" spans="1:9" ht="31.5">
      <c r="A840" s="98" t="s">
        <v>55</v>
      </c>
      <c r="B840" s="6" t="s">
        <v>83</v>
      </c>
      <c r="C840" s="6" t="s">
        <v>872</v>
      </c>
      <c r="D840" s="6" t="s">
        <v>869</v>
      </c>
      <c r="E840" s="6" t="s">
        <v>63</v>
      </c>
      <c r="F840" s="6" t="s">
        <v>58</v>
      </c>
      <c r="G840" s="46">
        <f>G841</f>
        <v>499951</v>
      </c>
      <c r="H840" s="46">
        <f>H841</f>
        <v>386686</v>
      </c>
      <c r="I840" s="46">
        <f aca="true" t="shared" si="70" ref="I840:I903">ROUND(H840/G840*100,2)</f>
        <v>77.34</v>
      </c>
    </row>
    <row r="841" spans="1:9" ht="110.25">
      <c r="A841" s="98" t="s">
        <v>590</v>
      </c>
      <c r="B841" s="6" t="s">
        <v>83</v>
      </c>
      <c r="C841" s="6" t="s">
        <v>872</v>
      </c>
      <c r="D841" s="6" t="s">
        <v>869</v>
      </c>
      <c r="E841" s="6" t="s">
        <v>63</v>
      </c>
      <c r="F841" s="6" t="s">
        <v>591</v>
      </c>
      <c r="G841" s="46">
        <f>499951</f>
        <v>499951</v>
      </c>
      <c r="H841" s="46">
        <v>386686</v>
      </c>
      <c r="I841" s="46">
        <f t="shared" si="70"/>
        <v>77.34</v>
      </c>
    </row>
    <row r="842" spans="1:9" ht="126">
      <c r="A842" s="98" t="s">
        <v>695</v>
      </c>
      <c r="B842" s="6" t="s">
        <v>83</v>
      </c>
      <c r="C842" s="6" t="s">
        <v>872</v>
      </c>
      <c r="D842" s="6" t="s">
        <v>869</v>
      </c>
      <c r="E842" s="6" t="s">
        <v>694</v>
      </c>
      <c r="F842" s="6"/>
      <c r="G842" s="46">
        <f>G843</f>
        <v>15330400</v>
      </c>
      <c r="H842" s="46">
        <f>H843</f>
        <v>15330400</v>
      </c>
      <c r="I842" s="46">
        <f t="shared" si="70"/>
        <v>100</v>
      </c>
    </row>
    <row r="843" spans="1:9" ht="78.75">
      <c r="A843" s="5" t="s">
        <v>936</v>
      </c>
      <c r="B843" s="6" t="s">
        <v>83</v>
      </c>
      <c r="C843" s="6" t="s">
        <v>872</v>
      </c>
      <c r="D843" s="6" t="s">
        <v>869</v>
      </c>
      <c r="E843" s="6" t="s">
        <v>694</v>
      </c>
      <c r="F843" s="6" t="s">
        <v>685</v>
      </c>
      <c r="G843" s="46">
        <f>G844+G846</f>
        <v>15330400</v>
      </c>
      <c r="H843" s="46">
        <f>H844+H846</f>
        <v>15330400</v>
      </c>
      <c r="I843" s="46">
        <f t="shared" si="70"/>
        <v>100</v>
      </c>
    </row>
    <row r="844" spans="1:9" ht="31.5">
      <c r="A844" s="122" t="s">
        <v>45</v>
      </c>
      <c r="B844" s="6" t="s">
        <v>83</v>
      </c>
      <c r="C844" s="6" t="s">
        <v>872</v>
      </c>
      <c r="D844" s="6" t="s">
        <v>869</v>
      </c>
      <c r="E844" s="6" t="s">
        <v>694</v>
      </c>
      <c r="F844" s="6" t="s">
        <v>686</v>
      </c>
      <c r="G844" s="46">
        <f>G845</f>
        <v>14239760</v>
      </c>
      <c r="H844" s="46">
        <f>H845</f>
        <v>14239760</v>
      </c>
      <c r="I844" s="46">
        <f t="shared" si="70"/>
        <v>100</v>
      </c>
    </row>
    <row r="845" spans="1:9" ht="110.25">
      <c r="A845" s="5" t="s">
        <v>64</v>
      </c>
      <c r="B845" s="6" t="s">
        <v>83</v>
      </c>
      <c r="C845" s="6" t="s">
        <v>872</v>
      </c>
      <c r="D845" s="6" t="s">
        <v>869</v>
      </c>
      <c r="E845" s="6" t="s">
        <v>694</v>
      </c>
      <c r="F845" s="6" t="s">
        <v>65</v>
      </c>
      <c r="G845" s="46">
        <f>12514120+1253840+471800</f>
        <v>14239760</v>
      </c>
      <c r="H845" s="46">
        <v>14239760</v>
      </c>
      <c r="I845" s="46">
        <f t="shared" si="70"/>
        <v>100</v>
      </c>
    </row>
    <row r="846" spans="1:9" ht="31.5">
      <c r="A846" s="98" t="s">
        <v>55</v>
      </c>
      <c r="B846" s="6" t="s">
        <v>83</v>
      </c>
      <c r="C846" s="6" t="s">
        <v>872</v>
      </c>
      <c r="D846" s="6" t="s">
        <v>869</v>
      </c>
      <c r="E846" s="6" t="s">
        <v>694</v>
      </c>
      <c r="F846" s="6" t="s">
        <v>58</v>
      </c>
      <c r="G846" s="46">
        <f>G847</f>
        <v>1090640</v>
      </c>
      <c r="H846" s="46">
        <f>H847</f>
        <v>1090640</v>
      </c>
      <c r="I846" s="46">
        <f t="shared" si="70"/>
        <v>100</v>
      </c>
    </row>
    <row r="847" spans="1:9" ht="110.25">
      <c r="A847" s="98" t="s">
        <v>590</v>
      </c>
      <c r="B847" s="6" t="s">
        <v>83</v>
      </c>
      <c r="C847" s="6" t="s">
        <v>872</v>
      </c>
      <c r="D847" s="6" t="s">
        <v>869</v>
      </c>
      <c r="E847" s="6" t="s">
        <v>694</v>
      </c>
      <c r="F847" s="6" t="s">
        <v>591</v>
      </c>
      <c r="G847" s="46">
        <f>987520+10+103110</f>
        <v>1090640</v>
      </c>
      <c r="H847" s="46">
        <v>1090640</v>
      </c>
      <c r="I847" s="46">
        <f t="shared" si="70"/>
        <v>100</v>
      </c>
    </row>
    <row r="848" spans="1:9" ht="47.25">
      <c r="A848" s="1" t="s">
        <v>922</v>
      </c>
      <c r="B848" s="2" t="s">
        <v>83</v>
      </c>
      <c r="C848" s="2" t="s">
        <v>872</v>
      </c>
      <c r="D848" s="2" t="s">
        <v>869</v>
      </c>
      <c r="E848" s="2" t="s">
        <v>923</v>
      </c>
      <c r="F848" s="6"/>
      <c r="G848" s="50">
        <f>G854+G849</f>
        <v>428267537.04</v>
      </c>
      <c r="H848" s="50">
        <f>H854+H849</f>
        <v>428109439.37</v>
      </c>
      <c r="I848" s="50">
        <f t="shared" si="70"/>
        <v>99.96</v>
      </c>
    </row>
    <row r="849" spans="1:9" ht="47.25">
      <c r="A849" s="90" t="s">
        <v>824</v>
      </c>
      <c r="B849" s="6" t="s">
        <v>83</v>
      </c>
      <c r="C849" s="6" t="s">
        <v>872</v>
      </c>
      <c r="D849" s="6" t="s">
        <v>869</v>
      </c>
      <c r="E849" s="91" t="s">
        <v>795</v>
      </c>
      <c r="F849" s="6"/>
      <c r="G849" s="46">
        <f aca="true" t="shared" si="71" ref="G849:H852">G850</f>
        <v>148300</v>
      </c>
      <c r="H849" s="46">
        <f t="shared" si="71"/>
        <v>148300</v>
      </c>
      <c r="I849" s="46">
        <f t="shared" si="70"/>
        <v>100</v>
      </c>
    </row>
    <row r="850" spans="1:9" ht="94.5">
      <c r="A850" s="90" t="s">
        <v>749</v>
      </c>
      <c r="B850" s="6" t="s">
        <v>83</v>
      </c>
      <c r="C850" s="6" t="s">
        <v>872</v>
      </c>
      <c r="D850" s="6" t="s">
        <v>869</v>
      </c>
      <c r="E850" s="6" t="s">
        <v>750</v>
      </c>
      <c r="F850" s="6"/>
      <c r="G850" s="46">
        <f t="shared" si="71"/>
        <v>148300</v>
      </c>
      <c r="H850" s="46">
        <f t="shared" si="71"/>
        <v>148300</v>
      </c>
      <c r="I850" s="46">
        <f t="shared" si="70"/>
        <v>100</v>
      </c>
    </row>
    <row r="851" spans="1:9" ht="78.75">
      <c r="A851" s="98" t="s">
        <v>936</v>
      </c>
      <c r="B851" s="6" t="s">
        <v>83</v>
      </c>
      <c r="C851" s="6" t="s">
        <v>872</v>
      </c>
      <c r="D851" s="6" t="s">
        <v>869</v>
      </c>
      <c r="E851" s="6" t="s">
        <v>750</v>
      </c>
      <c r="F851" s="6" t="s">
        <v>685</v>
      </c>
      <c r="G851" s="46">
        <f t="shared" si="71"/>
        <v>148300</v>
      </c>
      <c r="H851" s="46">
        <f t="shared" si="71"/>
        <v>148300</v>
      </c>
      <c r="I851" s="46">
        <f t="shared" si="70"/>
        <v>100</v>
      </c>
    </row>
    <row r="852" spans="1:9" ht="31.5">
      <c r="A852" s="122" t="s">
        <v>45</v>
      </c>
      <c r="B852" s="6" t="s">
        <v>83</v>
      </c>
      <c r="C852" s="6" t="s">
        <v>872</v>
      </c>
      <c r="D852" s="6" t="s">
        <v>869</v>
      </c>
      <c r="E852" s="6" t="s">
        <v>750</v>
      </c>
      <c r="F852" s="6" t="s">
        <v>686</v>
      </c>
      <c r="G852" s="46">
        <f t="shared" si="71"/>
        <v>148300</v>
      </c>
      <c r="H852" s="46">
        <f t="shared" si="71"/>
        <v>148300</v>
      </c>
      <c r="I852" s="46">
        <f t="shared" si="70"/>
        <v>100</v>
      </c>
    </row>
    <row r="853" spans="1:9" ht="47.25">
      <c r="A853" s="122" t="s">
        <v>46</v>
      </c>
      <c r="B853" s="6" t="s">
        <v>83</v>
      </c>
      <c r="C853" s="6" t="s">
        <v>872</v>
      </c>
      <c r="D853" s="6" t="s">
        <v>869</v>
      </c>
      <c r="E853" s="6" t="s">
        <v>750</v>
      </c>
      <c r="F853" s="6" t="s">
        <v>57</v>
      </c>
      <c r="G853" s="46">
        <v>148300</v>
      </c>
      <c r="H853" s="46">
        <v>148300</v>
      </c>
      <c r="I853" s="46">
        <f t="shared" si="70"/>
        <v>100</v>
      </c>
    </row>
    <row r="854" spans="1:9" ht="47.25">
      <c r="A854" s="90" t="s">
        <v>816</v>
      </c>
      <c r="B854" s="4" t="s">
        <v>83</v>
      </c>
      <c r="C854" s="6" t="s">
        <v>872</v>
      </c>
      <c r="D854" s="6" t="s">
        <v>869</v>
      </c>
      <c r="E854" s="91" t="s">
        <v>650</v>
      </c>
      <c r="F854" s="6"/>
      <c r="G854" s="46">
        <f>G855</f>
        <v>428119237.04</v>
      </c>
      <c r="H854" s="46">
        <f>H855</f>
        <v>427961139.37</v>
      </c>
      <c r="I854" s="46">
        <f t="shared" si="70"/>
        <v>99.96</v>
      </c>
    </row>
    <row r="855" spans="1:9" ht="94.5">
      <c r="A855" s="5" t="s">
        <v>734</v>
      </c>
      <c r="B855" s="6" t="s">
        <v>83</v>
      </c>
      <c r="C855" s="6" t="s">
        <v>872</v>
      </c>
      <c r="D855" s="6" t="s">
        <v>869</v>
      </c>
      <c r="E855" s="6" t="s">
        <v>735</v>
      </c>
      <c r="F855" s="6"/>
      <c r="G855" s="46">
        <f>G856</f>
        <v>428119237.04</v>
      </c>
      <c r="H855" s="46">
        <f>H856</f>
        <v>427961139.37</v>
      </c>
      <c r="I855" s="46">
        <f t="shared" si="70"/>
        <v>99.96</v>
      </c>
    </row>
    <row r="856" spans="1:9" ht="78.75">
      <c r="A856" s="5" t="s">
        <v>936</v>
      </c>
      <c r="B856" s="6" t="s">
        <v>83</v>
      </c>
      <c r="C856" s="6" t="s">
        <v>872</v>
      </c>
      <c r="D856" s="6" t="s">
        <v>869</v>
      </c>
      <c r="E856" s="6" t="s">
        <v>735</v>
      </c>
      <c r="F856" s="6" t="s">
        <v>685</v>
      </c>
      <c r="G856" s="46">
        <f>G857+G860</f>
        <v>428119237.04</v>
      </c>
      <c r="H856" s="46">
        <f>H857+H860</f>
        <v>427961139.37</v>
      </c>
      <c r="I856" s="46">
        <f t="shared" si="70"/>
        <v>99.96</v>
      </c>
    </row>
    <row r="857" spans="1:9" ht="31.5">
      <c r="A857" s="122" t="s">
        <v>45</v>
      </c>
      <c r="B857" s="6" t="s">
        <v>83</v>
      </c>
      <c r="C857" s="6" t="s">
        <v>872</v>
      </c>
      <c r="D857" s="6" t="s">
        <v>869</v>
      </c>
      <c r="E857" s="6" t="s">
        <v>735</v>
      </c>
      <c r="F857" s="6" t="s">
        <v>686</v>
      </c>
      <c r="G857" s="46">
        <f>G858+G859</f>
        <v>378442077.55</v>
      </c>
      <c r="H857" s="46">
        <f>H858+H859</f>
        <v>378414546.87</v>
      </c>
      <c r="I857" s="46">
        <f t="shared" si="70"/>
        <v>99.99</v>
      </c>
    </row>
    <row r="858" spans="1:9" ht="110.25">
      <c r="A858" s="5" t="s">
        <v>64</v>
      </c>
      <c r="B858" s="6" t="s">
        <v>83</v>
      </c>
      <c r="C858" s="6" t="s">
        <v>872</v>
      </c>
      <c r="D858" s="6" t="s">
        <v>869</v>
      </c>
      <c r="E858" s="6" t="s">
        <v>735</v>
      </c>
      <c r="F858" s="6" t="s">
        <v>65</v>
      </c>
      <c r="G858" s="46">
        <f>360530500-46111177.99+16819721.69+4687745.11+22496200+110+90900+9934230+840071.25+1362975</f>
        <v>370651275.06</v>
      </c>
      <c r="H858" s="46">
        <v>370651275.06</v>
      </c>
      <c r="I858" s="46">
        <f t="shared" si="70"/>
        <v>100</v>
      </c>
    </row>
    <row r="859" spans="1:9" ht="47.25">
      <c r="A859" s="122" t="s">
        <v>46</v>
      </c>
      <c r="B859" s="6" t="s">
        <v>83</v>
      </c>
      <c r="C859" s="6" t="s">
        <v>872</v>
      </c>
      <c r="D859" s="6" t="s">
        <v>869</v>
      </c>
      <c r="E859" s="6" t="s">
        <v>735</v>
      </c>
      <c r="F859" s="6" t="s">
        <v>57</v>
      </c>
      <c r="G859" s="46">
        <f>24945241-540611.5-16819721.69-858146.81+1008314.35-90900+282557.62-135930.48</f>
        <v>7790802.489999997</v>
      </c>
      <c r="H859" s="46">
        <v>7763271.81</v>
      </c>
      <c r="I859" s="46">
        <f t="shared" si="70"/>
        <v>99.65</v>
      </c>
    </row>
    <row r="860" spans="1:9" ht="31.5">
      <c r="A860" s="98" t="s">
        <v>55</v>
      </c>
      <c r="B860" s="6" t="s">
        <v>83</v>
      </c>
      <c r="C860" s="6" t="s">
        <v>872</v>
      </c>
      <c r="D860" s="6" t="s">
        <v>869</v>
      </c>
      <c r="E860" s="6" t="s">
        <v>735</v>
      </c>
      <c r="F860" s="6" t="s">
        <v>58</v>
      </c>
      <c r="G860" s="46">
        <f>G861+G862</f>
        <v>49677159.49</v>
      </c>
      <c r="H860" s="46">
        <f>H861+H862</f>
        <v>49546592.5</v>
      </c>
      <c r="I860" s="46">
        <f t="shared" si="70"/>
        <v>99.74</v>
      </c>
    </row>
    <row r="861" spans="1:9" ht="110.25">
      <c r="A861" s="98" t="s">
        <v>590</v>
      </c>
      <c r="B861" s="6" t="s">
        <v>83</v>
      </c>
      <c r="C861" s="6" t="s">
        <v>872</v>
      </c>
      <c r="D861" s="6" t="s">
        <v>869</v>
      </c>
      <c r="E861" s="6" t="s">
        <v>735</v>
      </c>
      <c r="F861" s="6" t="s">
        <v>591</v>
      </c>
      <c r="G861" s="46">
        <f>46111177.99+540611.5+1784810+22800+374730</f>
        <v>48834129.49</v>
      </c>
      <c r="H861" s="46">
        <v>48834129.49</v>
      </c>
      <c r="I861" s="46">
        <f t="shared" si="70"/>
        <v>100</v>
      </c>
    </row>
    <row r="862" spans="1:11" s="154" customFormat="1" ht="47.25">
      <c r="A862" s="98" t="s">
        <v>56</v>
      </c>
      <c r="B862" s="6" t="s">
        <v>83</v>
      </c>
      <c r="C862" s="6" t="s">
        <v>872</v>
      </c>
      <c r="D862" s="6" t="s">
        <v>869</v>
      </c>
      <c r="E862" s="6" t="s">
        <v>735</v>
      </c>
      <c r="F862" s="6" t="s">
        <v>59</v>
      </c>
      <c r="G862" s="46">
        <f>865830-22800</f>
        <v>843030</v>
      </c>
      <c r="H862" s="46">
        <v>712463.01</v>
      </c>
      <c r="I862" s="46">
        <f t="shared" si="70"/>
        <v>84.51</v>
      </c>
      <c r="J862" s="88"/>
      <c r="K862" s="191"/>
    </row>
    <row r="863" spans="1:9" ht="15.75">
      <c r="A863" s="20" t="s">
        <v>882</v>
      </c>
      <c r="B863" s="7" t="s">
        <v>83</v>
      </c>
      <c r="C863" s="7" t="s">
        <v>872</v>
      </c>
      <c r="D863" s="7" t="s">
        <v>874</v>
      </c>
      <c r="E863" s="7"/>
      <c r="F863" s="7"/>
      <c r="G863" s="45">
        <f>G875+G889+G923+G870+G884+G864</f>
        <v>577120489.8199999</v>
      </c>
      <c r="H863" s="45">
        <f>H875+H889+H923+H870+H884+H864</f>
        <v>574285883.64</v>
      </c>
      <c r="I863" s="45">
        <f t="shared" si="70"/>
        <v>99.51</v>
      </c>
    </row>
    <row r="864" spans="1:9" ht="37.5" customHeight="1">
      <c r="A864" s="177" t="s">
        <v>493</v>
      </c>
      <c r="B864" s="6" t="s">
        <v>83</v>
      </c>
      <c r="C864" s="6" t="s">
        <v>872</v>
      </c>
      <c r="D864" s="178" t="s">
        <v>874</v>
      </c>
      <c r="E864" s="6" t="s">
        <v>494</v>
      </c>
      <c r="F864" s="6"/>
      <c r="G864" s="46">
        <f aca="true" t="shared" si="72" ref="G864:H868">G865</f>
        <v>905514.29</v>
      </c>
      <c r="H864" s="46">
        <f t="shared" si="72"/>
        <v>905514.29</v>
      </c>
      <c r="I864" s="46">
        <f t="shared" si="70"/>
        <v>100</v>
      </c>
    </row>
    <row r="865" spans="1:9" ht="63">
      <c r="A865" s="177" t="s">
        <v>495</v>
      </c>
      <c r="B865" s="6" t="s">
        <v>83</v>
      </c>
      <c r="C865" s="6" t="s">
        <v>872</v>
      </c>
      <c r="D865" s="178" t="s">
        <v>874</v>
      </c>
      <c r="E865" s="6" t="s">
        <v>496</v>
      </c>
      <c r="F865" s="6"/>
      <c r="G865" s="46">
        <f t="shared" si="72"/>
        <v>905514.29</v>
      </c>
      <c r="H865" s="46">
        <f t="shared" si="72"/>
        <v>905514.29</v>
      </c>
      <c r="I865" s="46">
        <f t="shared" si="70"/>
        <v>100</v>
      </c>
    </row>
    <row r="866" spans="1:9" ht="78.75">
      <c r="A866" s="177" t="s">
        <v>497</v>
      </c>
      <c r="B866" s="6" t="s">
        <v>83</v>
      </c>
      <c r="C866" s="6" t="s">
        <v>872</v>
      </c>
      <c r="D866" s="178" t="s">
        <v>874</v>
      </c>
      <c r="E866" s="6" t="s">
        <v>498</v>
      </c>
      <c r="F866" s="6"/>
      <c r="G866" s="46">
        <f t="shared" si="72"/>
        <v>905514.29</v>
      </c>
      <c r="H866" s="46">
        <f t="shared" si="72"/>
        <v>905514.29</v>
      </c>
      <c r="I866" s="46">
        <f t="shared" si="70"/>
        <v>100</v>
      </c>
    </row>
    <row r="867" spans="1:9" ht="78.75">
      <c r="A867" s="5" t="s">
        <v>936</v>
      </c>
      <c r="B867" s="6" t="s">
        <v>83</v>
      </c>
      <c r="C867" s="6" t="s">
        <v>872</v>
      </c>
      <c r="D867" s="6" t="s">
        <v>874</v>
      </c>
      <c r="E867" s="6" t="s">
        <v>498</v>
      </c>
      <c r="F867" s="6" t="s">
        <v>685</v>
      </c>
      <c r="G867" s="46">
        <f t="shared" si="72"/>
        <v>905514.29</v>
      </c>
      <c r="H867" s="46">
        <f t="shared" si="72"/>
        <v>905514.29</v>
      </c>
      <c r="I867" s="46">
        <f t="shared" si="70"/>
        <v>100</v>
      </c>
    </row>
    <row r="868" spans="1:9" ht="31.5">
      <c r="A868" s="122" t="s">
        <v>45</v>
      </c>
      <c r="B868" s="6" t="s">
        <v>83</v>
      </c>
      <c r="C868" s="6" t="s">
        <v>872</v>
      </c>
      <c r="D868" s="6" t="s">
        <v>874</v>
      </c>
      <c r="E868" s="6" t="s">
        <v>498</v>
      </c>
      <c r="F868" s="6" t="s">
        <v>686</v>
      </c>
      <c r="G868" s="46">
        <f t="shared" si="72"/>
        <v>905514.29</v>
      </c>
      <c r="H868" s="46">
        <f t="shared" si="72"/>
        <v>905514.29</v>
      </c>
      <c r="I868" s="46">
        <f t="shared" si="70"/>
        <v>100</v>
      </c>
    </row>
    <row r="869" spans="1:9" ht="36.75" customHeight="1">
      <c r="A869" s="122" t="s">
        <v>46</v>
      </c>
      <c r="B869" s="6" t="s">
        <v>83</v>
      </c>
      <c r="C869" s="6" t="s">
        <v>872</v>
      </c>
      <c r="D869" s="6" t="s">
        <v>874</v>
      </c>
      <c r="E869" s="6" t="s">
        <v>498</v>
      </c>
      <c r="F869" s="6" t="s">
        <v>57</v>
      </c>
      <c r="G869" s="46">
        <v>905514.29</v>
      </c>
      <c r="H869" s="46">
        <v>905514.29</v>
      </c>
      <c r="I869" s="46">
        <f t="shared" si="70"/>
        <v>100</v>
      </c>
    </row>
    <row r="870" spans="1:9" ht="31.5">
      <c r="A870" s="175" t="s">
        <v>621</v>
      </c>
      <c r="B870" s="2" t="s">
        <v>83</v>
      </c>
      <c r="C870" s="2" t="s">
        <v>872</v>
      </c>
      <c r="D870" s="176" t="s">
        <v>874</v>
      </c>
      <c r="E870" s="2" t="s">
        <v>623</v>
      </c>
      <c r="F870" s="6"/>
      <c r="G870" s="50">
        <f aca="true" t="shared" si="73" ref="G870:H873">G871</f>
        <v>7220000</v>
      </c>
      <c r="H870" s="50">
        <f t="shared" si="73"/>
        <v>7220000</v>
      </c>
      <c r="I870" s="50">
        <f t="shared" si="70"/>
        <v>100</v>
      </c>
    </row>
    <row r="871" spans="1:9" ht="47.25">
      <c r="A871" s="177" t="s">
        <v>624</v>
      </c>
      <c r="B871" s="6" t="s">
        <v>83</v>
      </c>
      <c r="C871" s="6" t="s">
        <v>872</v>
      </c>
      <c r="D871" s="178" t="s">
        <v>874</v>
      </c>
      <c r="E871" s="6" t="s">
        <v>625</v>
      </c>
      <c r="F871" s="6"/>
      <c r="G871" s="46">
        <f t="shared" si="73"/>
        <v>7220000</v>
      </c>
      <c r="H871" s="46">
        <f t="shared" si="73"/>
        <v>7220000</v>
      </c>
      <c r="I871" s="46">
        <f t="shared" si="70"/>
        <v>100</v>
      </c>
    </row>
    <row r="872" spans="1:9" ht="78.75">
      <c r="A872" s="5" t="s">
        <v>936</v>
      </c>
      <c r="B872" s="6" t="s">
        <v>83</v>
      </c>
      <c r="C872" s="6" t="s">
        <v>872</v>
      </c>
      <c r="D872" s="6" t="s">
        <v>874</v>
      </c>
      <c r="E872" s="6" t="s">
        <v>625</v>
      </c>
      <c r="F872" s="6" t="s">
        <v>685</v>
      </c>
      <c r="G872" s="46">
        <f t="shared" si="73"/>
        <v>7220000</v>
      </c>
      <c r="H872" s="46">
        <f t="shared" si="73"/>
        <v>7220000</v>
      </c>
      <c r="I872" s="46">
        <f t="shared" si="70"/>
        <v>100</v>
      </c>
    </row>
    <row r="873" spans="1:9" ht="31.5">
      <c r="A873" s="122" t="s">
        <v>45</v>
      </c>
      <c r="B873" s="6" t="s">
        <v>83</v>
      </c>
      <c r="C873" s="6" t="s">
        <v>872</v>
      </c>
      <c r="D873" s="6" t="s">
        <v>874</v>
      </c>
      <c r="E873" s="6" t="s">
        <v>625</v>
      </c>
      <c r="F873" s="6" t="s">
        <v>686</v>
      </c>
      <c r="G873" s="46">
        <f t="shared" si="73"/>
        <v>7220000</v>
      </c>
      <c r="H873" s="46">
        <f t="shared" si="73"/>
        <v>7220000</v>
      </c>
      <c r="I873" s="46">
        <f t="shared" si="70"/>
        <v>100</v>
      </c>
    </row>
    <row r="874" spans="1:9" ht="47.25">
      <c r="A874" s="122" t="s">
        <v>46</v>
      </c>
      <c r="B874" s="6" t="s">
        <v>83</v>
      </c>
      <c r="C874" s="6" t="s">
        <v>872</v>
      </c>
      <c r="D874" s="6" t="s">
        <v>874</v>
      </c>
      <c r="E874" s="6" t="s">
        <v>625</v>
      </c>
      <c r="F874" s="6" t="s">
        <v>57</v>
      </c>
      <c r="G874" s="46">
        <v>7220000</v>
      </c>
      <c r="H874" s="46">
        <v>7220000</v>
      </c>
      <c r="I874" s="46">
        <f t="shared" si="70"/>
        <v>100</v>
      </c>
    </row>
    <row r="875" spans="1:9" ht="47.25">
      <c r="A875" s="127" t="s">
        <v>914</v>
      </c>
      <c r="B875" s="2" t="s">
        <v>83</v>
      </c>
      <c r="C875" s="2" t="s">
        <v>872</v>
      </c>
      <c r="D875" s="2" t="s">
        <v>874</v>
      </c>
      <c r="E875" s="2" t="s">
        <v>937</v>
      </c>
      <c r="F875" s="2"/>
      <c r="G875" s="50">
        <f>G876+G880</f>
        <v>6247306</v>
      </c>
      <c r="H875" s="50">
        <f>H876+H880</f>
        <v>6244393.53</v>
      </c>
      <c r="I875" s="50">
        <f t="shared" si="70"/>
        <v>99.95</v>
      </c>
    </row>
    <row r="876" spans="1:9" ht="173.25">
      <c r="A876" s="122" t="s">
        <v>66</v>
      </c>
      <c r="B876" s="6" t="s">
        <v>83</v>
      </c>
      <c r="C876" s="6" t="s">
        <v>872</v>
      </c>
      <c r="D876" s="6" t="s">
        <v>874</v>
      </c>
      <c r="E876" s="6" t="s">
        <v>67</v>
      </c>
      <c r="F876" s="6"/>
      <c r="G876" s="46">
        <f aca="true" t="shared" si="74" ref="G876:H878">G877</f>
        <v>215206</v>
      </c>
      <c r="H876" s="46">
        <f t="shared" si="74"/>
        <v>215206</v>
      </c>
      <c r="I876" s="46">
        <f t="shared" si="70"/>
        <v>100</v>
      </c>
    </row>
    <row r="877" spans="1:9" ht="78.75">
      <c r="A877" s="5" t="s">
        <v>936</v>
      </c>
      <c r="B877" s="6" t="s">
        <v>83</v>
      </c>
      <c r="C877" s="6" t="s">
        <v>872</v>
      </c>
      <c r="D877" s="6" t="s">
        <v>874</v>
      </c>
      <c r="E877" s="6" t="s">
        <v>67</v>
      </c>
      <c r="F877" s="6" t="s">
        <v>685</v>
      </c>
      <c r="G877" s="46">
        <f t="shared" si="74"/>
        <v>215206</v>
      </c>
      <c r="H877" s="46">
        <f t="shared" si="74"/>
        <v>215206</v>
      </c>
      <c r="I877" s="46">
        <f t="shared" si="70"/>
        <v>100</v>
      </c>
    </row>
    <row r="878" spans="1:9" ht="31.5">
      <c r="A878" s="122" t="s">
        <v>45</v>
      </c>
      <c r="B878" s="6" t="s">
        <v>83</v>
      </c>
      <c r="C878" s="6" t="s">
        <v>872</v>
      </c>
      <c r="D878" s="6" t="s">
        <v>874</v>
      </c>
      <c r="E878" s="6" t="s">
        <v>67</v>
      </c>
      <c r="F878" s="6" t="s">
        <v>686</v>
      </c>
      <c r="G878" s="46">
        <f t="shared" si="74"/>
        <v>215206</v>
      </c>
      <c r="H878" s="46">
        <f t="shared" si="74"/>
        <v>215206</v>
      </c>
      <c r="I878" s="46">
        <f t="shared" si="70"/>
        <v>100</v>
      </c>
    </row>
    <row r="879" spans="1:9" ht="110.25">
      <c r="A879" s="5" t="s">
        <v>64</v>
      </c>
      <c r="B879" s="6" t="s">
        <v>83</v>
      </c>
      <c r="C879" s="6" t="s">
        <v>872</v>
      </c>
      <c r="D879" s="6" t="s">
        <v>874</v>
      </c>
      <c r="E879" s="6" t="s">
        <v>67</v>
      </c>
      <c r="F879" s="6" t="s">
        <v>65</v>
      </c>
      <c r="G879" s="46">
        <f>215206</f>
        <v>215206</v>
      </c>
      <c r="H879" s="46">
        <v>215206</v>
      </c>
      <c r="I879" s="46">
        <f t="shared" si="70"/>
        <v>100</v>
      </c>
    </row>
    <row r="880" spans="1:9" ht="78.75">
      <c r="A880" s="122" t="s">
        <v>701</v>
      </c>
      <c r="B880" s="6" t="s">
        <v>83</v>
      </c>
      <c r="C880" s="6" t="s">
        <v>872</v>
      </c>
      <c r="D880" s="6" t="s">
        <v>874</v>
      </c>
      <c r="E880" s="6" t="s">
        <v>702</v>
      </c>
      <c r="F880" s="2"/>
      <c r="G880" s="46">
        <f aca="true" t="shared" si="75" ref="G880:H882">G881</f>
        <v>6032100</v>
      </c>
      <c r="H880" s="46">
        <f t="shared" si="75"/>
        <v>6029187.53</v>
      </c>
      <c r="I880" s="46">
        <f t="shared" si="70"/>
        <v>99.95</v>
      </c>
    </row>
    <row r="881" spans="1:9" ht="78.75">
      <c r="A881" s="5" t="s">
        <v>936</v>
      </c>
      <c r="B881" s="6" t="s">
        <v>83</v>
      </c>
      <c r="C881" s="6" t="s">
        <v>872</v>
      </c>
      <c r="D881" s="6" t="s">
        <v>874</v>
      </c>
      <c r="E881" s="6" t="s">
        <v>702</v>
      </c>
      <c r="F881" s="6" t="s">
        <v>685</v>
      </c>
      <c r="G881" s="46">
        <f t="shared" si="75"/>
        <v>6032100</v>
      </c>
      <c r="H881" s="46">
        <f t="shared" si="75"/>
        <v>6029187.53</v>
      </c>
      <c r="I881" s="46">
        <f t="shared" si="70"/>
        <v>99.95</v>
      </c>
    </row>
    <row r="882" spans="1:9" ht="31.5">
      <c r="A882" s="122" t="s">
        <v>45</v>
      </c>
      <c r="B882" s="6" t="s">
        <v>83</v>
      </c>
      <c r="C882" s="6" t="s">
        <v>872</v>
      </c>
      <c r="D882" s="6" t="s">
        <v>874</v>
      </c>
      <c r="E882" s="6" t="s">
        <v>702</v>
      </c>
      <c r="F882" s="6" t="s">
        <v>686</v>
      </c>
      <c r="G882" s="46">
        <f t="shared" si="75"/>
        <v>6032100</v>
      </c>
      <c r="H882" s="46">
        <f t="shared" si="75"/>
        <v>6029187.53</v>
      </c>
      <c r="I882" s="46">
        <f t="shared" si="70"/>
        <v>99.95</v>
      </c>
    </row>
    <row r="883" spans="1:9" ht="47.25">
      <c r="A883" s="122" t="s">
        <v>46</v>
      </c>
      <c r="B883" s="6" t="s">
        <v>83</v>
      </c>
      <c r="C883" s="6" t="s">
        <v>872</v>
      </c>
      <c r="D883" s="6" t="s">
        <v>874</v>
      </c>
      <c r="E883" s="6" t="s">
        <v>702</v>
      </c>
      <c r="F883" s="6" t="s">
        <v>57</v>
      </c>
      <c r="G883" s="46">
        <f>6669000-636900</f>
        <v>6032100</v>
      </c>
      <c r="H883" s="46">
        <v>6029187.53</v>
      </c>
      <c r="I883" s="46">
        <f t="shared" si="70"/>
        <v>99.95</v>
      </c>
    </row>
    <row r="884" spans="1:9" ht="31.5">
      <c r="A884" s="1" t="s">
        <v>554</v>
      </c>
      <c r="B884" s="2" t="s">
        <v>83</v>
      </c>
      <c r="C884" s="2" t="s">
        <v>872</v>
      </c>
      <c r="D884" s="2" t="s">
        <v>874</v>
      </c>
      <c r="E884" s="2" t="s">
        <v>932</v>
      </c>
      <c r="F884" s="2"/>
      <c r="G884" s="50">
        <f aca="true" t="shared" si="76" ref="G884:H887">G885</f>
        <v>1250000</v>
      </c>
      <c r="H884" s="50">
        <f t="shared" si="76"/>
        <v>1250000</v>
      </c>
      <c r="I884" s="50">
        <f t="shared" si="70"/>
        <v>100</v>
      </c>
    </row>
    <row r="885" spans="1:9" ht="128.25" customHeight="1">
      <c r="A885" s="98" t="s">
        <v>699</v>
      </c>
      <c r="B885" s="6" t="s">
        <v>83</v>
      </c>
      <c r="C885" s="6" t="s">
        <v>872</v>
      </c>
      <c r="D885" s="6" t="s">
        <v>874</v>
      </c>
      <c r="E885" s="6" t="s">
        <v>700</v>
      </c>
      <c r="F885" s="6"/>
      <c r="G885" s="46">
        <f t="shared" si="76"/>
        <v>1250000</v>
      </c>
      <c r="H885" s="46">
        <f t="shared" si="76"/>
        <v>1250000</v>
      </c>
      <c r="I885" s="46">
        <f t="shared" si="70"/>
        <v>100</v>
      </c>
    </row>
    <row r="886" spans="1:9" ht="110.25">
      <c r="A886" s="152" t="s">
        <v>928</v>
      </c>
      <c r="B886" s="6" t="s">
        <v>83</v>
      </c>
      <c r="C886" s="6" t="s">
        <v>872</v>
      </c>
      <c r="D886" s="6" t="s">
        <v>874</v>
      </c>
      <c r="E886" s="6" t="s">
        <v>700</v>
      </c>
      <c r="F886" s="6" t="s">
        <v>685</v>
      </c>
      <c r="G886" s="46">
        <f t="shared" si="76"/>
        <v>1250000</v>
      </c>
      <c r="H886" s="46">
        <f t="shared" si="76"/>
        <v>1250000</v>
      </c>
      <c r="I886" s="46">
        <f t="shared" si="70"/>
        <v>100</v>
      </c>
    </row>
    <row r="887" spans="1:9" ht="31.5">
      <c r="A887" s="98" t="s">
        <v>55</v>
      </c>
      <c r="B887" s="6" t="s">
        <v>83</v>
      </c>
      <c r="C887" s="6" t="s">
        <v>872</v>
      </c>
      <c r="D887" s="6" t="s">
        <v>874</v>
      </c>
      <c r="E887" s="6" t="s">
        <v>700</v>
      </c>
      <c r="F887" s="6" t="s">
        <v>58</v>
      </c>
      <c r="G887" s="46">
        <f t="shared" si="76"/>
        <v>1250000</v>
      </c>
      <c r="H887" s="46">
        <f t="shared" si="76"/>
        <v>1250000</v>
      </c>
      <c r="I887" s="46">
        <f t="shared" si="70"/>
        <v>100</v>
      </c>
    </row>
    <row r="888" spans="1:9" ht="47.25">
      <c r="A888" s="98" t="s">
        <v>56</v>
      </c>
      <c r="B888" s="6" t="s">
        <v>83</v>
      </c>
      <c r="C888" s="6" t="s">
        <v>872</v>
      </c>
      <c r="D888" s="6" t="s">
        <v>874</v>
      </c>
      <c r="E888" s="6" t="s">
        <v>700</v>
      </c>
      <c r="F888" s="6" t="s">
        <v>59</v>
      </c>
      <c r="G888" s="46">
        <v>1250000</v>
      </c>
      <c r="H888" s="46">
        <v>1250000</v>
      </c>
      <c r="I888" s="46">
        <f t="shared" si="70"/>
        <v>100</v>
      </c>
    </row>
    <row r="889" spans="1:9" ht="31.5">
      <c r="A889" s="127" t="s">
        <v>463</v>
      </c>
      <c r="B889" s="2" t="s">
        <v>83</v>
      </c>
      <c r="C889" s="2" t="s">
        <v>872</v>
      </c>
      <c r="D889" s="2" t="s">
        <v>874</v>
      </c>
      <c r="E889" s="2" t="s">
        <v>462</v>
      </c>
      <c r="F889" s="2"/>
      <c r="G889" s="50">
        <f>G894+G890</f>
        <v>290714870</v>
      </c>
      <c r="H889" s="50">
        <f>H894+H890</f>
        <v>287896795.09000003</v>
      </c>
      <c r="I889" s="50">
        <f t="shared" si="70"/>
        <v>99.03</v>
      </c>
    </row>
    <row r="890" spans="1:9" ht="78.75">
      <c r="A890" s="122" t="s">
        <v>926</v>
      </c>
      <c r="B890" s="6" t="s">
        <v>83</v>
      </c>
      <c r="C890" s="6" t="s">
        <v>872</v>
      </c>
      <c r="D890" s="6" t="s">
        <v>874</v>
      </c>
      <c r="E890" s="6" t="s">
        <v>927</v>
      </c>
      <c r="F890" s="6"/>
      <c r="G890" s="46">
        <f aca="true" t="shared" si="77" ref="G890:H892">G891</f>
        <v>300000</v>
      </c>
      <c r="H890" s="46">
        <f t="shared" si="77"/>
        <v>300000</v>
      </c>
      <c r="I890" s="46">
        <f t="shared" si="70"/>
        <v>100</v>
      </c>
    </row>
    <row r="891" spans="1:9" ht="110.25">
      <c r="A891" s="152" t="s">
        <v>928</v>
      </c>
      <c r="B891" s="6" t="s">
        <v>83</v>
      </c>
      <c r="C891" s="6" t="s">
        <v>872</v>
      </c>
      <c r="D891" s="6" t="s">
        <v>874</v>
      </c>
      <c r="E891" s="6" t="s">
        <v>927</v>
      </c>
      <c r="F891" s="6" t="s">
        <v>685</v>
      </c>
      <c r="G891" s="46">
        <f t="shared" si="77"/>
        <v>300000</v>
      </c>
      <c r="H891" s="46">
        <f t="shared" si="77"/>
        <v>300000</v>
      </c>
      <c r="I891" s="46">
        <f t="shared" si="70"/>
        <v>100</v>
      </c>
    </row>
    <row r="892" spans="1:9" ht="31.5">
      <c r="A892" s="152" t="s">
        <v>45</v>
      </c>
      <c r="B892" s="6" t="s">
        <v>83</v>
      </c>
      <c r="C892" s="6" t="s">
        <v>872</v>
      </c>
      <c r="D892" s="6" t="s">
        <v>874</v>
      </c>
      <c r="E892" s="6" t="s">
        <v>927</v>
      </c>
      <c r="F892" s="6" t="s">
        <v>686</v>
      </c>
      <c r="G892" s="46">
        <f t="shared" si="77"/>
        <v>300000</v>
      </c>
      <c r="H892" s="46">
        <f t="shared" si="77"/>
        <v>300000</v>
      </c>
      <c r="I892" s="46">
        <f t="shared" si="70"/>
        <v>100</v>
      </c>
    </row>
    <row r="893" spans="1:9" ht="47.25">
      <c r="A893" s="152" t="s">
        <v>46</v>
      </c>
      <c r="B893" s="6" t="s">
        <v>83</v>
      </c>
      <c r="C893" s="6" t="s">
        <v>872</v>
      </c>
      <c r="D893" s="6" t="s">
        <v>874</v>
      </c>
      <c r="E893" s="6" t="s">
        <v>927</v>
      </c>
      <c r="F893" s="6" t="s">
        <v>57</v>
      </c>
      <c r="G893" s="46">
        <v>300000</v>
      </c>
      <c r="H893" s="46">
        <v>300000</v>
      </c>
      <c r="I893" s="46">
        <f t="shared" si="70"/>
        <v>100</v>
      </c>
    </row>
    <row r="894" spans="1:9" ht="110.25">
      <c r="A894" s="5" t="s">
        <v>546</v>
      </c>
      <c r="B894" s="6" t="s">
        <v>83</v>
      </c>
      <c r="C894" s="6" t="s">
        <v>872</v>
      </c>
      <c r="D894" s="6" t="s">
        <v>874</v>
      </c>
      <c r="E894" s="6" t="s">
        <v>61</v>
      </c>
      <c r="F894" s="6"/>
      <c r="G894" s="46">
        <f>G895+G899+G909+G903</f>
        <v>290414870</v>
      </c>
      <c r="H894" s="46">
        <f>H895+H899+H909+H903</f>
        <v>287596795.09000003</v>
      </c>
      <c r="I894" s="46">
        <f t="shared" si="70"/>
        <v>99.03</v>
      </c>
    </row>
    <row r="895" spans="1:9" ht="63">
      <c r="A895" s="5" t="s">
        <v>619</v>
      </c>
      <c r="B895" s="6" t="s">
        <v>83</v>
      </c>
      <c r="C895" s="6" t="s">
        <v>872</v>
      </c>
      <c r="D895" s="6" t="s">
        <v>874</v>
      </c>
      <c r="E895" s="6" t="s">
        <v>620</v>
      </c>
      <c r="F895" s="6"/>
      <c r="G895" s="46">
        <f aca="true" t="shared" si="78" ref="G895:H897">G896</f>
        <v>971600</v>
      </c>
      <c r="H895" s="46">
        <f t="shared" si="78"/>
        <v>718202.18</v>
      </c>
      <c r="I895" s="46">
        <f t="shared" si="70"/>
        <v>73.92</v>
      </c>
    </row>
    <row r="896" spans="1:9" ht="78.75">
      <c r="A896" s="5" t="s">
        <v>936</v>
      </c>
      <c r="B896" s="6" t="s">
        <v>83</v>
      </c>
      <c r="C896" s="6" t="s">
        <v>872</v>
      </c>
      <c r="D896" s="6" t="s">
        <v>874</v>
      </c>
      <c r="E896" s="6" t="s">
        <v>620</v>
      </c>
      <c r="F896" s="6" t="s">
        <v>685</v>
      </c>
      <c r="G896" s="46">
        <f t="shared" si="78"/>
        <v>971600</v>
      </c>
      <c r="H896" s="46">
        <f t="shared" si="78"/>
        <v>718202.18</v>
      </c>
      <c r="I896" s="46">
        <f t="shared" si="70"/>
        <v>73.92</v>
      </c>
    </row>
    <row r="897" spans="1:9" ht="31.5">
      <c r="A897" s="122" t="s">
        <v>45</v>
      </c>
      <c r="B897" s="6" t="s">
        <v>83</v>
      </c>
      <c r="C897" s="6" t="s">
        <v>872</v>
      </c>
      <c r="D897" s="6" t="s">
        <v>874</v>
      </c>
      <c r="E897" s="6" t="s">
        <v>620</v>
      </c>
      <c r="F897" s="6" t="s">
        <v>686</v>
      </c>
      <c r="G897" s="46">
        <f t="shared" si="78"/>
        <v>971600</v>
      </c>
      <c r="H897" s="46">
        <f t="shared" si="78"/>
        <v>718202.18</v>
      </c>
      <c r="I897" s="46">
        <f t="shared" si="70"/>
        <v>73.92</v>
      </c>
    </row>
    <row r="898" spans="1:9" ht="47.25">
      <c r="A898" s="122" t="s">
        <v>46</v>
      </c>
      <c r="B898" s="6" t="s">
        <v>83</v>
      </c>
      <c r="C898" s="6" t="s">
        <v>872</v>
      </c>
      <c r="D898" s="6" t="s">
        <v>874</v>
      </c>
      <c r="E898" s="6" t="s">
        <v>620</v>
      </c>
      <c r="F898" s="6" t="s">
        <v>57</v>
      </c>
      <c r="G898" s="46">
        <f>3807100-3472400+636900</f>
        <v>971600</v>
      </c>
      <c r="H898" s="46">
        <v>718202.18</v>
      </c>
      <c r="I898" s="46">
        <f t="shared" si="70"/>
        <v>73.92</v>
      </c>
    </row>
    <row r="899" spans="1:9" ht="157.5">
      <c r="A899" s="5" t="s">
        <v>62</v>
      </c>
      <c r="B899" s="6" t="s">
        <v>83</v>
      </c>
      <c r="C899" s="6" t="s">
        <v>872</v>
      </c>
      <c r="D899" s="6" t="s">
        <v>874</v>
      </c>
      <c r="E899" s="6" t="s">
        <v>63</v>
      </c>
      <c r="F899" s="6"/>
      <c r="G899" s="46">
        <f aca="true" t="shared" si="79" ref="G899:H901">G900</f>
        <v>8400970</v>
      </c>
      <c r="H899" s="46">
        <f t="shared" si="79"/>
        <v>8306616.29</v>
      </c>
      <c r="I899" s="46">
        <f t="shared" si="70"/>
        <v>98.88</v>
      </c>
    </row>
    <row r="900" spans="1:9" ht="78.75">
      <c r="A900" s="5" t="s">
        <v>936</v>
      </c>
      <c r="B900" s="6" t="s">
        <v>83</v>
      </c>
      <c r="C900" s="6" t="s">
        <v>872</v>
      </c>
      <c r="D900" s="6" t="s">
        <v>874</v>
      </c>
      <c r="E900" s="6" t="s">
        <v>63</v>
      </c>
      <c r="F900" s="6" t="s">
        <v>685</v>
      </c>
      <c r="G900" s="46">
        <f t="shared" si="79"/>
        <v>8400970</v>
      </c>
      <c r="H900" s="46">
        <f t="shared" si="79"/>
        <v>8306616.29</v>
      </c>
      <c r="I900" s="46">
        <f t="shared" si="70"/>
        <v>98.88</v>
      </c>
    </row>
    <row r="901" spans="1:9" ht="31.5">
      <c r="A901" s="122" t="s">
        <v>45</v>
      </c>
      <c r="B901" s="6" t="s">
        <v>83</v>
      </c>
      <c r="C901" s="6" t="s">
        <v>872</v>
      </c>
      <c r="D901" s="6" t="s">
        <v>874</v>
      </c>
      <c r="E901" s="6" t="s">
        <v>63</v>
      </c>
      <c r="F901" s="6" t="s">
        <v>686</v>
      </c>
      <c r="G901" s="46">
        <f t="shared" si="79"/>
        <v>8400970</v>
      </c>
      <c r="H901" s="46">
        <f t="shared" si="79"/>
        <v>8306616.29</v>
      </c>
      <c r="I901" s="46">
        <f t="shared" si="70"/>
        <v>98.88</v>
      </c>
    </row>
    <row r="902" spans="1:9" ht="110.25">
      <c r="A902" s="5" t="s">
        <v>64</v>
      </c>
      <c r="B902" s="6" t="s">
        <v>83</v>
      </c>
      <c r="C902" s="6" t="s">
        <v>872</v>
      </c>
      <c r="D902" s="6" t="s">
        <v>874</v>
      </c>
      <c r="E902" s="6" t="s">
        <v>63</v>
      </c>
      <c r="F902" s="6" t="s">
        <v>65</v>
      </c>
      <c r="G902" s="46">
        <f>9404970-1004000</f>
        <v>8400970</v>
      </c>
      <c r="H902" s="46">
        <v>8306616.29</v>
      </c>
      <c r="I902" s="46">
        <f t="shared" si="70"/>
        <v>98.88</v>
      </c>
    </row>
    <row r="903" spans="1:9" ht="126">
      <c r="A903" s="98" t="s">
        <v>695</v>
      </c>
      <c r="B903" s="6" t="s">
        <v>83</v>
      </c>
      <c r="C903" s="6" t="s">
        <v>872</v>
      </c>
      <c r="D903" s="6" t="s">
        <v>874</v>
      </c>
      <c r="E903" s="6" t="s">
        <v>694</v>
      </c>
      <c r="F903" s="6"/>
      <c r="G903" s="46">
        <f>G904</f>
        <v>1169700</v>
      </c>
      <c r="H903" s="46">
        <f>H904</f>
        <v>1169700</v>
      </c>
      <c r="I903" s="46">
        <f t="shared" si="70"/>
        <v>100</v>
      </c>
    </row>
    <row r="904" spans="1:9" ht="78.75">
      <c r="A904" s="5" t="s">
        <v>936</v>
      </c>
      <c r="B904" s="6" t="s">
        <v>83</v>
      </c>
      <c r="C904" s="6" t="s">
        <v>872</v>
      </c>
      <c r="D904" s="6" t="s">
        <v>874</v>
      </c>
      <c r="E904" s="6" t="s">
        <v>694</v>
      </c>
      <c r="F904" s="6" t="s">
        <v>685</v>
      </c>
      <c r="G904" s="46">
        <f>G905+G907</f>
        <v>1169700</v>
      </c>
      <c r="H904" s="46">
        <f>H905+H907</f>
        <v>1169700</v>
      </c>
      <c r="I904" s="46">
        <f aca="true" t="shared" si="80" ref="I904:I967">ROUND(H904/G904*100,2)</f>
        <v>100</v>
      </c>
    </row>
    <row r="905" spans="1:9" ht="31.5">
      <c r="A905" s="122" t="s">
        <v>45</v>
      </c>
      <c r="B905" s="6" t="s">
        <v>83</v>
      </c>
      <c r="C905" s="6" t="s">
        <v>872</v>
      </c>
      <c r="D905" s="6" t="s">
        <v>874</v>
      </c>
      <c r="E905" s="6" t="s">
        <v>694</v>
      </c>
      <c r="F905" s="6" t="s">
        <v>686</v>
      </c>
      <c r="G905" s="46">
        <f>G906</f>
        <v>512960</v>
      </c>
      <c r="H905" s="46">
        <f>H906</f>
        <v>512960</v>
      </c>
      <c r="I905" s="46">
        <f t="shared" si="80"/>
        <v>100</v>
      </c>
    </row>
    <row r="906" spans="1:9" ht="110.25">
      <c r="A906" s="5" t="s">
        <v>64</v>
      </c>
      <c r="B906" s="6" t="s">
        <v>83</v>
      </c>
      <c r="C906" s="6" t="s">
        <v>872</v>
      </c>
      <c r="D906" s="6" t="s">
        <v>874</v>
      </c>
      <c r="E906" s="6" t="s">
        <v>694</v>
      </c>
      <c r="F906" s="6" t="s">
        <v>65</v>
      </c>
      <c r="G906" s="46">
        <f>224300+288660</f>
        <v>512960</v>
      </c>
      <c r="H906" s="46">
        <v>512960</v>
      </c>
      <c r="I906" s="46">
        <f t="shared" si="80"/>
        <v>100</v>
      </c>
    </row>
    <row r="907" spans="1:9" ht="31.5">
      <c r="A907" s="98" t="s">
        <v>55</v>
      </c>
      <c r="B907" s="6" t="s">
        <v>83</v>
      </c>
      <c r="C907" s="6" t="s">
        <v>872</v>
      </c>
      <c r="D907" s="6" t="s">
        <v>874</v>
      </c>
      <c r="E907" s="6" t="s">
        <v>694</v>
      </c>
      <c r="F907" s="6" t="s">
        <v>58</v>
      </c>
      <c r="G907" s="46">
        <f>G908</f>
        <v>656740</v>
      </c>
      <c r="H907" s="46">
        <f>H908</f>
        <v>656740</v>
      </c>
      <c r="I907" s="46">
        <f t="shared" si="80"/>
        <v>100</v>
      </c>
    </row>
    <row r="908" spans="1:9" ht="110.25">
      <c r="A908" s="98" t="s">
        <v>590</v>
      </c>
      <c r="B908" s="6" t="s">
        <v>83</v>
      </c>
      <c r="C908" s="6" t="s">
        <v>872</v>
      </c>
      <c r="D908" s="6" t="s">
        <v>874</v>
      </c>
      <c r="E908" s="6" t="s">
        <v>694</v>
      </c>
      <c r="F908" s="6" t="s">
        <v>591</v>
      </c>
      <c r="G908" s="46">
        <f>576100+80640</f>
        <v>656740</v>
      </c>
      <c r="H908" s="46">
        <v>656740</v>
      </c>
      <c r="I908" s="46">
        <f t="shared" si="80"/>
        <v>100</v>
      </c>
    </row>
    <row r="909" spans="1:9" ht="94.5">
      <c r="A909" s="5" t="s">
        <v>946</v>
      </c>
      <c r="B909" s="6" t="s">
        <v>83</v>
      </c>
      <c r="C909" s="6" t="s">
        <v>872</v>
      </c>
      <c r="D909" s="6" t="s">
        <v>874</v>
      </c>
      <c r="E909" s="6" t="s">
        <v>790</v>
      </c>
      <c r="F909" s="6"/>
      <c r="G909" s="46">
        <f aca="true" t="shared" si="81" ref="G909:H911">G910</f>
        <v>279872600</v>
      </c>
      <c r="H909" s="46">
        <f t="shared" si="81"/>
        <v>277402276.62</v>
      </c>
      <c r="I909" s="46">
        <f t="shared" si="80"/>
        <v>99.12</v>
      </c>
    </row>
    <row r="910" spans="1:9" ht="78.75">
      <c r="A910" s="5" t="s">
        <v>936</v>
      </c>
      <c r="B910" s="6" t="s">
        <v>83</v>
      </c>
      <c r="C910" s="6" t="s">
        <v>872</v>
      </c>
      <c r="D910" s="6" t="s">
        <v>874</v>
      </c>
      <c r="E910" s="6" t="s">
        <v>790</v>
      </c>
      <c r="F910" s="6" t="s">
        <v>685</v>
      </c>
      <c r="G910" s="46">
        <f t="shared" si="81"/>
        <v>279872600</v>
      </c>
      <c r="H910" s="46">
        <f t="shared" si="81"/>
        <v>277402276.62</v>
      </c>
      <c r="I910" s="46">
        <f t="shared" si="80"/>
        <v>99.12</v>
      </c>
    </row>
    <row r="911" spans="1:9" ht="31.5">
      <c r="A911" s="122" t="s">
        <v>45</v>
      </c>
      <c r="B911" s="6" t="s">
        <v>83</v>
      </c>
      <c r="C911" s="6" t="s">
        <v>872</v>
      </c>
      <c r="D911" s="6" t="s">
        <v>874</v>
      </c>
      <c r="E911" s="6" t="s">
        <v>790</v>
      </c>
      <c r="F911" s="6" t="s">
        <v>686</v>
      </c>
      <c r="G911" s="46">
        <f t="shared" si="81"/>
        <v>279872600</v>
      </c>
      <c r="H911" s="46">
        <f t="shared" si="81"/>
        <v>277402276.62</v>
      </c>
      <c r="I911" s="46">
        <f t="shared" si="80"/>
        <v>99.12</v>
      </c>
    </row>
    <row r="912" spans="1:9" ht="110.25">
      <c r="A912" s="5" t="s">
        <v>64</v>
      </c>
      <c r="B912" s="6" t="s">
        <v>83</v>
      </c>
      <c r="C912" s="6" t="s">
        <v>872</v>
      </c>
      <c r="D912" s="6" t="s">
        <v>874</v>
      </c>
      <c r="E912" s="6" t="s">
        <v>790</v>
      </c>
      <c r="F912" s="6" t="s">
        <v>65</v>
      </c>
      <c r="G912" s="46">
        <f>287709000-11372000+3535600</f>
        <v>279872600</v>
      </c>
      <c r="H912" s="46">
        <v>277402276.62</v>
      </c>
      <c r="I912" s="46">
        <f t="shared" si="80"/>
        <v>99.12</v>
      </c>
    </row>
    <row r="913" spans="1:9" ht="94.5" customHeight="1" hidden="1">
      <c r="A913" s="5" t="s">
        <v>786</v>
      </c>
      <c r="B913" s="6" t="s">
        <v>83</v>
      </c>
      <c r="C913" s="6" t="s">
        <v>872</v>
      </c>
      <c r="D913" s="6" t="s">
        <v>874</v>
      </c>
      <c r="E913" s="6" t="s">
        <v>587</v>
      </c>
      <c r="F913" s="6"/>
      <c r="G913" s="46"/>
      <c r="H913" s="46"/>
      <c r="I913" s="46" t="e">
        <f t="shared" si="80"/>
        <v>#DIV/0!</v>
      </c>
    </row>
    <row r="914" spans="1:9" ht="78.75" customHeight="1" hidden="1">
      <c r="A914" s="5" t="s">
        <v>936</v>
      </c>
      <c r="B914" s="6" t="s">
        <v>83</v>
      </c>
      <c r="C914" s="6" t="s">
        <v>872</v>
      </c>
      <c r="D914" s="6" t="s">
        <v>874</v>
      </c>
      <c r="E914" s="6" t="s">
        <v>587</v>
      </c>
      <c r="F914" s="6" t="s">
        <v>685</v>
      </c>
      <c r="G914" s="46"/>
      <c r="H914" s="46"/>
      <c r="I914" s="46" t="e">
        <f t="shared" si="80"/>
        <v>#DIV/0!</v>
      </c>
    </row>
    <row r="915" spans="1:9" ht="31.5" customHeight="1" hidden="1">
      <c r="A915" s="122" t="s">
        <v>45</v>
      </c>
      <c r="B915" s="6" t="s">
        <v>83</v>
      </c>
      <c r="C915" s="6" t="s">
        <v>872</v>
      </c>
      <c r="D915" s="6" t="s">
        <v>874</v>
      </c>
      <c r="E915" s="6" t="s">
        <v>587</v>
      </c>
      <c r="F915" s="6" t="s">
        <v>686</v>
      </c>
      <c r="G915" s="46"/>
      <c r="H915" s="46"/>
      <c r="I915" s="46" t="e">
        <f t="shared" si="80"/>
        <v>#DIV/0!</v>
      </c>
    </row>
    <row r="916" spans="1:9" ht="110.25" customHeight="1" hidden="1">
      <c r="A916" s="5" t="s">
        <v>64</v>
      </c>
      <c r="B916" s="6" t="s">
        <v>83</v>
      </c>
      <c r="C916" s="6" t="s">
        <v>872</v>
      </c>
      <c r="D916" s="6" t="s">
        <v>874</v>
      </c>
      <c r="E916" s="6" t="s">
        <v>587</v>
      </c>
      <c r="F916" s="6" t="s">
        <v>65</v>
      </c>
      <c r="G916" s="46"/>
      <c r="H916" s="46"/>
      <c r="I916" s="46" t="e">
        <f t="shared" si="80"/>
        <v>#DIV/0!</v>
      </c>
    </row>
    <row r="917" spans="1:9" ht="94.5" customHeight="1" hidden="1">
      <c r="A917" s="5" t="s">
        <v>786</v>
      </c>
      <c r="B917" s="6" t="s">
        <v>83</v>
      </c>
      <c r="C917" s="6" t="s">
        <v>872</v>
      </c>
      <c r="D917" s="6" t="s">
        <v>874</v>
      </c>
      <c r="E917" s="6" t="s">
        <v>588</v>
      </c>
      <c r="F917" s="6"/>
      <c r="G917" s="46"/>
      <c r="H917" s="46"/>
      <c r="I917" s="46" t="e">
        <f t="shared" si="80"/>
        <v>#DIV/0!</v>
      </c>
    </row>
    <row r="918" spans="1:9" ht="78.75" customHeight="1" hidden="1">
      <c r="A918" s="5" t="s">
        <v>936</v>
      </c>
      <c r="B918" s="6" t="s">
        <v>83</v>
      </c>
      <c r="C918" s="6" t="s">
        <v>872</v>
      </c>
      <c r="D918" s="6" t="s">
        <v>874</v>
      </c>
      <c r="E918" s="6" t="s">
        <v>588</v>
      </c>
      <c r="F918" s="6" t="s">
        <v>685</v>
      </c>
      <c r="G918" s="46"/>
      <c r="H918" s="46"/>
      <c r="I918" s="46" t="e">
        <f t="shared" si="80"/>
        <v>#DIV/0!</v>
      </c>
    </row>
    <row r="919" spans="1:9" ht="31.5" customHeight="1" hidden="1">
      <c r="A919" s="122" t="s">
        <v>45</v>
      </c>
      <c r="B919" s="6" t="s">
        <v>83</v>
      </c>
      <c r="C919" s="6" t="s">
        <v>872</v>
      </c>
      <c r="D919" s="6" t="s">
        <v>874</v>
      </c>
      <c r="E919" s="6" t="s">
        <v>588</v>
      </c>
      <c r="F919" s="6" t="s">
        <v>686</v>
      </c>
      <c r="G919" s="46"/>
      <c r="H919" s="46"/>
      <c r="I919" s="46" t="e">
        <f t="shared" si="80"/>
        <v>#DIV/0!</v>
      </c>
    </row>
    <row r="920" spans="1:9" ht="110.25" customHeight="1" hidden="1">
      <c r="A920" s="5" t="s">
        <v>64</v>
      </c>
      <c r="B920" s="6" t="s">
        <v>83</v>
      </c>
      <c r="C920" s="6" t="s">
        <v>872</v>
      </c>
      <c r="D920" s="6" t="s">
        <v>874</v>
      </c>
      <c r="E920" s="6" t="s">
        <v>588</v>
      </c>
      <c r="F920" s="6" t="s">
        <v>65</v>
      </c>
      <c r="G920" s="46"/>
      <c r="H920" s="46"/>
      <c r="I920" s="46" t="e">
        <f t="shared" si="80"/>
        <v>#DIV/0!</v>
      </c>
    </row>
    <row r="921" spans="1:9" ht="31.5" customHeight="1" hidden="1">
      <c r="A921" s="98" t="s">
        <v>55</v>
      </c>
      <c r="B921" s="6" t="s">
        <v>83</v>
      </c>
      <c r="C921" s="6" t="s">
        <v>872</v>
      </c>
      <c r="D921" s="6" t="s">
        <v>874</v>
      </c>
      <c r="E921" s="6" t="s">
        <v>588</v>
      </c>
      <c r="F921" s="6" t="s">
        <v>58</v>
      </c>
      <c r="G921" s="46"/>
      <c r="H921" s="46"/>
      <c r="I921" s="46" t="e">
        <f t="shared" si="80"/>
        <v>#DIV/0!</v>
      </c>
    </row>
    <row r="922" spans="1:9" ht="110.25" customHeight="1" hidden="1">
      <c r="A922" s="98" t="s">
        <v>590</v>
      </c>
      <c r="B922" s="6" t="s">
        <v>83</v>
      </c>
      <c r="C922" s="6" t="s">
        <v>872</v>
      </c>
      <c r="D922" s="6" t="s">
        <v>874</v>
      </c>
      <c r="E922" s="6" t="s">
        <v>588</v>
      </c>
      <c r="F922" s="6" t="s">
        <v>591</v>
      </c>
      <c r="G922" s="46"/>
      <c r="H922" s="46"/>
      <c r="I922" s="46" t="e">
        <f t="shared" si="80"/>
        <v>#DIV/0!</v>
      </c>
    </row>
    <row r="923" spans="1:9" ht="47.25">
      <c r="A923" s="1" t="s">
        <v>922</v>
      </c>
      <c r="B923" s="2" t="s">
        <v>83</v>
      </c>
      <c r="C923" s="2" t="s">
        <v>872</v>
      </c>
      <c r="D923" s="2" t="s">
        <v>874</v>
      </c>
      <c r="E923" s="2" t="s">
        <v>923</v>
      </c>
      <c r="F923" s="2"/>
      <c r="G923" s="50">
        <f>G929+G924</f>
        <v>270782799.53</v>
      </c>
      <c r="H923" s="50">
        <f>H929+H924</f>
        <v>270769180.73</v>
      </c>
      <c r="I923" s="50">
        <f t="shared" si="80"/>
        <v>99.99</v>
      </c>
    </row>
    <row r="924" spans="1:9" ht="47.25" customHeight="1" hidden="1">
      <c r="A924" s="90" t="s">
        <v>824</v>
      </c>
      <c r="B924" s="6" t="s">
        <v>83</v>
      </c>
      <c r="C924" s="6" t="s">
        <v>872</v>
      </c>
      <c r="D924" s="6" t="s">
        <v>874</v>
      </c>
      <c r="E924" s="6" t="s">
        <v>795</v>
      </c>
      <c r="F924" s="6"/>
      <c r="G924" s="46">
        <f aca="true" t="shared" si="82" ref="G924:H927">G925</f>
        <v>0</v>
      </c>
      <c r="H924" s="46">
        <f t="shared" si="82"/>
        <v>0</v>
      </c>
      <c r="I924" s="46" t="e">
        <f t="shared" si="80"/>
        <v>#DIV/0!</v>
      </c>
    </row>
    <row r="925" spans="1:9" ht="110.25" customHeight="1" hidden="1">
      <c r="A925" s="90" t="s">
        <v>773</v>
      </c>
      <c r="B925" s="6" t="s">
        <v>83</v>
      </c>
      <c r="C925" s="6" t="s">
        <v>872</v>
      </c>
      <c r="D925" s="6" t="s">
        <v>874</v>
      </c>
      <c r="E925" s="137" t="s">
        <v>774</v>
      </c>
      <c r="F925" s="6"/>
      <c r="G925" s="46">
        <f t="shared" si="82"/>
        <v>0</v>
      </c>
      <c r="H925" s="46">
        <f t="shared" si="82"/>
        <v>0</v>
      </c>
      <c r="I925" s="46" t="e">
        <f t="shared" si="80"/>
        <v>#DIV/0!</v>
      </c>
    </row>
    <row r="926" spans="1:9" ht="78.75" customHeight="1" hidden="1">
      <c r="A926" s="5" t="s">
        <v>936</v>
      </c>
      <c r="B926" s="6" t="s">
        <v>83</v>
      </c>
      <c r="C926" s="6" t="s">
        <v>872</v>
      </c>
      <c r="D926" s="6" t="s">
        <v>874</v>
      </c>
      <c r="E926" s="137" t="s">
        <v>774</v>
      </c>
      <c r="F926" s="6" t="s">
        <v>685</v>
      </c>
      <c r="G926" s="46">
        <f t="shared" si="82"/>
        <v>0</v>
      </c>
      <c r="H926" s="46">
        <f t="shared" si="82"/>
        <v>0</v>
      </c>
      <c r="I926" s="46" t="e">
        <f t="shared" si="80"/>
        <v>#DIV/0!</v>
      </c>
    </row>
    <row r="927" spans="1:9" ht="31.5" customHeight="1" hidden="1">
      <c r="A927" s="122" t="s">
        <v>45</v>
      </c>
      <c r="B927" s="6" t="s">
        <v>83</v>
      </c>
      <c r="C927" s="6" t="s">
        <v>872</v>
      </c>
      <c r="D927" s="6" t="s">
        <v>874</v>
      </c>
      <c r="E927" s="137" t="s">
        <v>774</v>
      </c>
      <c r="F927" s="6" t="s">
        <v>686</v>
      </c>
      <c r="G927" s="46">
        <f t="shared" si="82"/>
        <v>0</v>
      </c>
      <c r="H927" s="46">
        <f t="shared" si="82"/>
        <v>0</v>
      </c>
      <c r="I927" s="46" t="e">
        <f t="shared" si="80"/>
        <v>#DIV/0!</v>
      </c>
    </row>
    <row r="928" spans="1:9" ht="47.25" customHeight="1" hidden="1">
      <c r="A928" s="122" t="s">
        <v>46</v>
      </c>
      <c r="B928" s="6" t="s">
        <v>83</v>
      </c>
      <c r="C928" s="6" t="s">
        <v>872</v>
      </c>
      <c r="D928" s="6" t="s">
        <v>874</v>
      </c>
      <c r="E928" s="137" t="s">
        <v>774</v>
      </c>
      <c r="F928" s="6" t="s">
        <v>57</v>
      </c>
      <c r="G928" s="46"/>
      <c r="H928" s="46"/>
      <c r="I928" s="46" t="e">
        <f t="shared" si="80"/>
        <v>#DIV/0!</v>
      </c>
    </row>
    <row r="929" spans="1:9" ht="47.25">
      <c r="A929" s="90" t="s">
        <v>816</v>
      </c>
      <c r="B929" s="4" t="s">
        <v>83</v>
      </c>
      <c r="C929" s="6" t="s">
        <v>872</v>
      </c>
      <c r="D929" s="6" t="s">
        <v>874</v>
      </c>
      <c r="E929" s="91" t="s">
        <v>650</v>
      </c>
      <c r="F929" s="6"/>
      <c r="G929" s="46">
        <f>G930</f>
        <v>270782799.53</v>
      </c>
      <c r="H929" s="46">
        <f>H930</f>
        <v>270769180.73</v>
      </c>
      <c r="I929" s="46">
        <f t="shared" si="80"/>
        <v>99.99</v>
      </c>
    </row>
    <row r="930" spans="1:9" ht="141.75">
      <c r="A930" s="5" t="s">
        <v>736</v>
      </c>
      <c r="B930" s="6" t="s">
        <v>83</v>
      </c>
      <c r="C930" s="6" t="s">
        <v>872</v>
      </c>
      <c r="D930" s="6" t="s">
        <v>874</v>
      </c>
      <c r="E930" s="6" t="s">
        <v>737</v>
      </c>
      <c r="F930" s="6"/>
      <c r="G930" s="46">
        <f>G931</f>
        <v>270782799.53</v>
      </c>
      <c r="H930" s="46">
        <f>H931</f>
        <v>270769180.73</v>
      </c>
      <c r="I930" s="46">
        <f t="shared" si="80"/>
        <v>99.99</v>
      </c>
    </row>
    <row r="931" spans="1:9" ht="78.75">
      <c r="A931" s="5" t="s">
        <v>936</v>
      </c>
      <c r="B931" s="6" t="s">
        <v>83</v>
      </c>
      <c r="C931" s="6" t="s">
        <v>872</v>
      </c>
      <c r="D931" s="6" t="s">
        <v>874</v>
      </c>
      <c r="E931" s="6" t="s">
        <v>737</v>
      </c>
      <c r="F931" s="6" t="s">
        <v>685</v>
      </c>
      <c r="G931" s="46">
        <f>G932+G935</f>
        <v>270782799.53</v>
      </c>
      <c r="H931" s="46">
        <f>H932+H935</f>
        <v>270769180.73</v>
      </c>
      <c r="I931" s="46">
        <f t="shared" si="80"/>
        <v>99.99</v>
      </c>
    </row>
    <row r="932" spans="1:9" ht="31.5">
      <c r="A932" s="122" t="s">
        <v>45</v>
      </c>
      <c r="B932" s="6" t="s">
        <v>83</v>
      </c>
      <c r="C932" s="6" t="s">
        <v>872</v>
      </c>
      <c r="D932" s="6" t="s">
        <v>874</v>
      </c>
      <c r="E932" s="6" t="s">
        <v>737</v>
      </c>
      <c r="F932" s="6" t="s">
        <v>686</v>
      </c>
      <c r="G932" s="46">
        <f>G933+G934</f>
        <v>199174919.56999996</v>
      </c>
      <c r="H932" s="46">
        <f>H933+H934</f>
        <v>199161300.77</v>
      </c>
      <c r="I932" s="46">
        <f t="shared" si="80"/>
        <v>99.99</v>
      </c>
    </row>
    <row r="933" spans="1:9" ht="110.25">
      <c r="A933" s="5" t="s">
        <v>64</v>
      </c>
      <c r="B933" s="6" t="s">
        <v>83</v>
      </c>
      <c r="C933" s="6" t="s">
        <v>872</v>
      </c>
      <c r="D933" s="6" t="s">
        <v>874</v>
      </c>
      <c r="E933" s="6" t="s">
        <v>737</v>
      </c>
      <c r="F933" s="6" t="s">
        <v>65</v>
      </c>
      <c r="G933" s="46">
        <f>247119955-7782509-63373109-1074976+25536409.63-7009567.02+1011360-1048910.24-464031.61+38000-60810</f>
        <v>192891811.75999996</v>
      </c>
      <c r="H933" s="46">
        <v>192891811.75</v>
      </c>
      <c r="I933" s="46">
        <f t="shared" si="80"/>
        <v>100</v>
      </c>
    </row>
    <row r="934" spans="1:9" ht="47.25">
      <c r="A934" s="122" t="s">
        <v>46</v>
      </c>
      <c r="B934" s="6" t="s">
        <v>83</v>
      </c>
      <c r="C934" s="6" t="s">
        <v>872</v>
      </c>
      <c r="D934" s="6" t="s">
        <v>874</v>
      </c>
      <c r="E934" s="6" t="s">
        <v>737</v>
      </c>
      <c r="F934" s="6" t="s">
        <v>57</v>
      </c>
      <c r="G934" s="46">
        <f>36512951-660736-43769-25536409.63-2409464.37-266049.71-38000-317420.62-353600-604393.86</f>
        <v>6283107.8100000005</v>
      </c>
      <c r="H934" s="46">
        <v>6269489.02</v>
      </c>
      <c r="I934" s="46">
        <f t="shared" si="80"/>
        <v>99.78</v>
      </c>
    </row>
    <row r="935" spans="1:9" ht="31.5">
      <c r="A935" s="98" t="s">
        <v>55</v>
      </c>
      <c r="B935" s="6" t="s">
        <v>83</v>
      </c>
      <c r="C935" s="6" t="s">
        <v>872</v>
      </c>
      <c r="D935" s="6" t="s">
        <v>874</v>
      </c>
      <c r="E935" s="6" t="s">
        <v>737</v>
      </c>
      <c r="F935" s="6" t="s">
        <v>58</v>
      </c>
      <c r="G935" s="46">
        <f>G936+G937</f>
        <v>71607879.96</v>
      </c>
      <c r="H935" s="46">
        <f>H936+H937</f>
        <v>71607879.96</v>
      </c>
      <c r="I935" s="46">
        <f t="shared" si="80"/>
        <v>100</v>
      </c>
    </row>
    <row r="936" spans="1:9" ht="110.25">
      <c r="A936" s="98" t="s">
        <v>590</v>
      </c>
      <c r="B936" s="6" t="s">
        <v>83</v>
      </c>
      <c r="C936" s="6" t="s">
        <v>872</v>
      </c>
      <c r="D936" s="6" t="s">
        <v>874</v>
      </c>
      <c r="E936" s="6" t="s">
        <v>737</v>
      </c>
      <c r="F936" s="6" t="s">
        <v>591</v>
      </c>
      <c r="G936" s="46">
        <f>63373109-2579748.3+7009567.02+1087640+1048910.24+464031.61+23600</f>
        <v>70427109.57</v>
      </c>
      <c r="H936" s="46">
        <v>70427109.57</v>
      </c>
      <c r="I936" s="46">
        <f t="shared" si="80"/>
        <v>100</v>
      </c>
    </row>
    <row r="937" spans="1:9" ht="47.25">
      <c r="A937" s="98" t="s">
        <v>56</v>
      </c>
      <c r="B937" s="6" t="s">
        <v>83</v>
      </c>
      <c r="C937" s="6" t="s">
        <v>872</v>
      </c>
      <c r="D937" s="6" t="s">
        <v>874</v>
      </c>
      <c r="E937" s="6" t="s">
        <v>737</v>
      </c>
      <c r="F937" s="6" t="s">
        <v>59</v>
      </c>
      <c r="G937" s="46">
        <f>660736+427884.68+266049.71-23600-150300</f>
        <v>1180770.39</v>
      </c>
      <c r="H937" s="46">
        <v>1180770.39</v>
      </c>
      <c r="I937" s="46">
        <f t="shared" si="80"/>
        <v>100</v>
      </c>
    </row>
    <row r="938" spans="1:9" ht="31.5">
      <c r="A938" s="20" t="s">
        <v>69</v>
      </c>
      <c r="B938" s="7" t="s">
        <v>83</v>
      </c>
      <c r="C938" s="7" t="s">
        <v>872</v>
      </c>
      <c r="D938" s="7" t="s">
        <v>872</v>
      </c>
      <c r="E938" s="7"/>
      <c r="F938" s="7"/>
      <c r="G938" s="45">
        <f>G939+G945</f>
        <v>10931550</v>
      </c>
      <c r="H938" s="45">
        <f>H939+H945</f>
        <v>10931550</v>
      </c>
      <c r="I938" s="45">
        <f t="shared" si="80"/>
        <v>100</v>
      </c>
    </row>
    <row r="939" spans="1:9" ht="31.5">
      <c r="A939" s="128" t="s">
        <v>463</v>
      </c>
      <c r="B939" s="2" t="s">
        <v>83</v>
      </c>
      <c r="C939" s="2" t="s">
        <v>872</v>
      </c>
      <c r="D939" s="2" t="s">
        <v>872</v>
      </c>
      <c r="E939" s="2" t="s">
        <v>462</v>
      </c>
      <c r="F939" s="2"/>
      <c r="G939" s="50">
        <f aca="true" t="shared" si="83" ref="G939:H943">G940</f>
        <v>3217000</v>
      </c>
      <c r="H939" s="50">
        <f t="shared" si="83"/>
        <v>3217000</v>
      </c>
      <c r="I939" s="50">
        <f t="shared" si="80"/>
        <v>100</v>
      </c>
    </row>
    <row r="940" spans="1:9" ht="63">
      <c r="A940" s="5" t="s">
        <v>856</v>
      </c>
      <c r="B940" s="6" t="s">
        <v>83</v>
      </c>
      <c r="C940" s="6" t="s">
        <v>872</v>
      </c>
      <c r="D940" s="6" t="s">
        <v>872</v>
      </c>
      <c r="E940" s="6" t="s">
        <v>564</v>
      </c>
      <c r="F940" s="6"/>
      <c r="G940" s="46">
        <f t="shared" si="83"/>
        <v>3217000</v>
      </c>
      <c r="H940" s="46">
        <f t="shared" si="83"/>
        <v>3217000</v>
      </c>
      <c r="I940" s="46">
        <f t="shared" si="80"/>
        <v>100</v>
      </c>
    </row>
    <row r="941" spans="1:9" ht="126">
      <c r="A941" s="5" t="s">
        <v>565</v>
      </c>
      <c r="B941" s="6" t="s">
        <v>83</v>
      </c>
      <c r="C941" s="6" t="s">
        <v>872</v>
      </c>
      <c r="D941" s="6" t="s">
        <v>872</v>
      </c>
      <c r="E941" s="6" t="s">
        <v>566</v>
      </c>
      <c r="F941" s="6"/>
      <c r="G941" s="46">
        <f t="shared" si="83"/>
        <v>3217000</v>
      </c>
      <c r="H941" s="46">
        <f t="shared" si="83"/>
        <v>3217000</v>
      </c>
      <c r="I941" s="46">
        <f t="shared" si="80"/>
        <v>100</v>
      </c>
    </row>
    <row r="942" spans="1:9" ht="78.75">
      <c r="A942" s="98" t="s">
        <v>936</v>
      </c>
      <c r="B942" s="6" t="s">
        <v>83</v>
      </c>
      <c r="C942" s="6" t="s">
        <v>872</v>
      </c>
      <c r="D942" s="6" t="s">
        <v>872</v>
      </c>
      <c r="E942" s="6" t="s">
        <v>566</v>
      </c>
      <c r="F942" s="6" t="s">
        <v>685</v>
      </c>
      <c r="G942" s="46">
        <f t="shared" si="83"/>
        <v>3217000</v>
      </c>
      <c r="H942" s="46">
        <f t="shared" si="83"/>
        <v>3217000</v>
      </c>
      <c r="I942" s="46">
        <f t="shared" si="80"/>
        <v>100</v>
      </c>
    </row>
    <row r="943" spans="1:9" ht="31.5">
      <c r="A943" s="98" t="s">
        <v>55</v>
      </c>
      <c r="B943" s="6" t="s">
        <v>83</v>
      </c>
      <c r="C943" s="6" t="s">
        <v>872</v>
      </c>
      <c r="D943" s="6" t="s">
        <v>872</v>
      </c>
      <c r="E943" s="6" t="s">
        <v>566</v>
      </c>
      <c r="F943" s="6" t="s">
        <v>58</v>
      </c>
      <c r="G943" s="46">
        <f t="shared" si="83"/>
        <v>3217000</v>
      </c>
      <c r="H943" s="46">
        <f t="shared" si="83"/>
        <v>3217000</v>
      </c>
      <c r="I943" s="46">
        <f t="shared" si="80"/>
        <v>100</v>
      </c>
    </row>
    <row r="944" spans="1:9" ht="110.25">
      <c r="A944" s="98" t="s">
        <v>590</v>
      </c>
      <c r="B944" s="6" t="s">
        <v>83</v>
      </c>
      <c r="C944" s="6" t="s">
        <v>872</v>
      </c>
      <c r="D944" s="6" t="s">
        <v>872</v>
      </c>
      <c r="E944" s="6" t="s">
        <v>566</v>
      </c>
      <c r="F944" s="6" t="s">
        <v>591</v>
      </c>
      <c r="G944" s="46">
        <f>3217000</f>
        <v>3217000</v>
      </c>
      <c r="H944" s="46">
        <v>3217000</v>
      </c>
      <c r="I944" s="46">
        <f t="shared" si="80"/>
        <v>100</v>
      </c>
    </row>
    <row r="945" spans="1:9" ht="47.25">
      <c r="A945" s="1" t="s">
        <v>922</v>
      </c>
      <c r="B945" s="2" t="s">
        <v>83</v>
      </c>
      <c r="C945" s="2" t="s">
        <v>872</v>
      </c>
      <c r="D945" s="2" t="s">
        <v>872</v>
      </c>
      <c r="E945" s="2" t="s">
        <v>923</v>
      </c>
      <c r="F945" s="2"/>
      <c r="G945" s="50">
        <f aca="true" t="shared" si="84" ref="G945:H949">G946</f>
        <v>7714550</v>
      </c>
      <c r="H945" s="50">
        <f t="shared" si="84"/>
        <v>7714550</v>
      </c>
      <c r="I945" s="50">
        <f t="shared" si="80"/>
        <v>100</v>
      </c>
    </row>
    <row r="946" spans="1:9" ht="47.25">
      <c r="A946" s="90" t="s">
        <v>816</v>
      </c>
      <c r="B946" s="4" t="s">
        <v>83</v>
      </c>
      <c r="C946" s="6" t="s">
        <v>872</v>
      </c>
      <c r="D946" s="6" t="s">
        <v>872</v>
      </c>
      <c r="E946" s="91" t="s">
        <v>650</v>
      </c>
      <c r="F946" s="6"/>
      <c r="G946" s="46">
        <f t="shared" si="84"/>
        <v>7714550</v>
      </c>
      <c r="H946" s="46">
        <f t="shared" si="84"/>
        <v>7714550</v>
      </c>
      <c r="I946" s="46">
        <f t="shared" si="80"/>
        <v>100</v>
      </c>
    </row>
    <row r="947" spans="1:9" ht="126">
      <c r="A947" s="5" t="s">
        <v>738</v>
      </c>
      <c r="B947" s="6" t="s">
        <v>83</v>
      </c>
      <c r="C947" s="6" t="s">
        <v>872</v>
      </c>
      <c r="D947" s="6" t="s">
        <v>872</v>
      </c>
      <c r="E947" s="6" t="s">
        <v>739</v>
      </c>
      <c r="F947" s="6"/>
      <c r="G947" s="46">
        <f t="shared" si="84"/>
        <v>7714550</v>
      </c>
      <c r="H947" s="46">
        <f t="shared" si="84"/>
        <v>7714550</v>
      </c>
      <c r="I947" s="46">
        <f t="shared" si="80"/>
        <v>100</v>
      </c>
    </row>
    <row r="948" spans="1:9" ht="78.75">
      <c r="A948" s="5" t="s">
        <v>936</v>
      </c>
      <c r="B948" s="6" t="s">
        <v>83</v>
      </c>
      <c r="C948" s="6" t="s">
        <v>872</v>
      </c>
      <c r="D948" s="6" t="s">
        <v>872</v>
      </c>
      <c r="E948" s="6" t="s">
        <v>739</v>
      </c>
      <c r="F948" s="6" t="s">
        <v>685</v>
      </c>
      <c r="G948" s="46">
        <f t="shared" si="84"/>
        <v>7714550</v>
      </c>
      <c r="H948" s="46">
        <f t="shared" si="84"/>
        <v>7714550</v>
      </c>
      <c r="I948" s="46">
        <f t="shared" si="80"/>
        <v>100</v>
      </c>
    </row>
    <row r="949" spans="1:9" ht="31.5">
      <c r="A949" s="122" t="s">
        <v>45</v>
      </c>
      <c r="B949" s="6" t="s">
        <v>83</v>
      </c>
      <c r="C949" s="6" t="s">
        <v>872</v>
      </c>
      <c r="D949" s="6" t="s">
        <v>872</v>
      </c>
      <c r="E949" s="6" t="s">
        <v>739</v>
      </c>
      <c r="F949" s="6" t="s">
        <v>686</v>
      </c>
      <c r="G949" s="46">
        <f t="shared" si="84"/>
        <v>7714550</v>
      </c>
      <c r="H949" s="46">
        <f t="shared" si="84"/>
        <v>7714550</v>
      </c>
      <c r="I949" s="46">
        <f t="shared" si="80"/>
        <v>100</v>
      </c>
    </row>
    <row r="950" spans="1:9" ht="110.25">
      <c r="A950" s="5" t="s">
        <v>64</v>
      </c>
      <c r="B950" s="6" t="s">
        <v>83</v>
      </c>
      <c r="C950" s="6" t="s">
        <v>872</v>
      </c>
      <c r="D950" s="6" t="s">
        <v>872</v>
      </c>
      <c r="E950" s="6" t="s">
        <v>739</v>
      </c>
      <c r="F950" s="6" t="s">
        <v>65</v>
      </c>
      <c r="G950" s="46">
        <f>7714550</f>
        <v>7714550</v>
      </c>
      <c r="H950" s="46">
        <v>7714550</v>
      </c>
      <c r="I950" s="46">
        <f t="shared" si="80"/>
        <v>100</v>
      </c>
    </row>
    <row r="951" spans="1:9" ht="31.5">
      <c r="A951" s="20" t="s">
        <v>895</v>
      </c>
      <c r="B951" s="7" t="s">
        <v>83</v>
      </c>
      <c r="C951" s="7" t="s">
        <v>872</v>
      </c>
      <c r="D951" s="7" t="s">
        <v>875</v>
      </c>
      <c r="E951" s="7"/>
      <c r="F951" s="7"/>
      <c r="G951" s="45">
        <f>G952+G968</f>
        <v>143255617.43</v>
      </c>
      <c r="H951" s="45">
        <f>H952+H968</f>
        <v>143225710.77</v>
      </c>
      <c r="I951" s="45">
        <f t="shared" si="80"/>
        <v>99.98</v>
      </c>
    </row>
    <row r="952" spans="1:9" ht="31.5">
      <c r="A952" s="122" t="s">
        <v>463</v>
      </c>
      <c r="B952" s="6" t="s">
        <v>83</v>
      </c>
      <c r="C952" s="6" t="s">
        <v>872</v>
      </c>
      <c r="D952" s="6" t="s">
        <v>875</v>
      </c>
      <c r="E952" s="6" t="s">
        <v>462</v>
      </c>
      <c r="F952" s="6"/>
      <c r="G952" s="46">
        <f aca="true" t="shared" si="85" ref="G952:H956">G953</f>
        <v>16371100</v>
      </c>
      <c r="H952" s="46">
        <f t="shared" si="85"/>
        <v>16371100</v>
      </c>
      <c r="I952" s="46">
        <f t="shared" si="80"/>
        <v>100</v>
      </c>
    </row>
    <row r="953" spans="1:9" ht="110.25">
      <c r="A953" s="5" t="s">
        <v>546</v>
      </c>
      <c r="B953" s="6" t="s">
        <v>83</v>
      </c>
      <c r="C953" s="6" t="s">
        <v>872</v>
      </c>
      <c r="D953" s="6" t="s">
        <v>875</v>
      </c>
      <c r="E953" s="6" t="s">
        <v>61</v>
      </c>
      <c r="F953" s="6"/>
      <c r="G953" s="46">
        <f>G954+G958</f>
        <v>16371100</v>
      </c>
      <c r="H953" s="46">
        <f>H954+H958</f>
        <v>16371100</v>
      </c>
      <c r="I953" s="46">
        <f t="shared" si="80"/>
        <v>100</v>
      </c>
    </row>
    <row r="954" spans="1:9" ht="173.25">
      <c r="A954" s="5" t="s">
        <v>464</v>
      </c>
      <c r="B954" s="6" t="s">
        <v>83</v>
      </c>
      <c r="C954" s="6" t="s">
        <v>872</v>
      </c>
      <c r="D954" s="6" t="s">
        <v>875</v>
      </c>
      <c r="E954" s="6" t="s">
        <v>592</v>
      </c>
      <c r="F954" s="6"/>
      <c r="G954" s="46">
        <f t="shared" si="85"/>
        <v>885700</v>
      </c>
      <c r="H954" s="46">
        <f t="shared" si="85"/>
        <v>885700</v>
      </c>
      <c r="I954" s="46">
        <f t="shared" si="80"/>
        <v>100</v>
      </c>
    </row>
    <row r="955" spans="1:9" ht="78.75">
      <c r="A955" s="5" t="s">
        <v>936</v>
      </c>
      <c r="B955" s="6" t="s">
        <v>83</v>
      </c>
      <c r="C955" s="6" t="s">
        <v>872</v>
      </c>
      <c r="D955" s="6" t="s">
        <v>875</v>
      </c>
      <c r="E955" s="6" t="s">
        <v>592</v>
      </c>
      <c r="F955" s="6" t="s">
        <v>685</v>
      </c>
      <c r="G955" s="46">
        <f t="shared" si="85"/>
        <v>885700</v>
      </c>
      <c r="H955" s="46">
        <f t="shared" si="85"/>
        <v>885700</v>
      </c>
      <c r="I955" s="46">
        <f t="shared" si="80"/>
        <v>100</v>
      </c>
    </row>
    <row r="956" spans="1:9" ht="31.5">
      <c r="A956" s="5" t="s">
        <v>55</v>
      </c>
      <c r="B956" s="6" t="s">
        <v>83</v>
      </c>
      <c r="C956" s="6" t="s">
        <v>872</v>
      </c>
      <c r="D956" s="6" t="s">
        <v>875</v>
      </c>
      <c r="E956" s="6" t="s">
        <v>592</v>
      </c>
      <c r="F956" s="6" t="s">
        <v>58</v>
      </c>
      <c r="G956" s="46">
        <f t="shared" si="85"/>
        <v>885700</v>
      </c>
      <c r="H956" s="46">
        <f t="shared" si="85"/>
        <v>885700</v>
      </c>
      <c r="I956" s="46">
        <f t="shared" si="80"/>
        <v>100</v>
      </c>
    </row>
    <row r="957" spans="1:9" ht="110.25">
      <c r="A957" s="5" t="s">
        <v>590</v>
      </c>
      <c r="B957" s="6" t="s">
        <v>83</v>
      </c>
      <c r="C957" s="6" t="s">
        <v>872</v>
      </c>
      <c r="D957" s="6" t="s">
        <v>875</v>
      </c>
      <c r="E957" s="6" t="s">
        <v>592</v>
      </c>
      <c r="F957" s="6" t="s">
        <v>591</v>
      </c>
      <c r="G957" s="46">
        <f>885700</f>
        <v>885700</v>
      </c>
      <c r="H957" s="46">
        <v>885700</v>
      </c>
      <c r="I957" s="46">
        <f t="shared" si="80"/>
        <v>100</v>
      </c>
    </row>
    <row r="958" spans="1:9" ht="47.25">
      <c r="A958" s="5" t="s">
        <v>947</v>
      </c>
      <c r="B958" s="6" t="s">
        <v>83</v>
      </c>
      <c r="C958" s="6" t="s">
        <v>872</v>
      </c>
      <c r="D958" s="6" t="s">
        <v>875</v>
      </c>
      <c r="E958" s="6" t="s">
        <v>589</v>
      </c>
      <c r="F958" s="6"/>
      <c r="G958" s="46">
        <f aca="true" t="shared" si="86" ref="G958:H960">G959</f>
        <v>15485400</v>
      </c>
      <c r="H958" s="46">
        <f t="shared" si="86"/>
        <v>15485400</v>
      </c>
      <c r="I958" s="46">
        <f t="shared" si="80"/>
        <v>100</v>
      </c>
    </row>
    <row r="959" spans="1:9" ht="78.75">
      <c r="A959" s="5" t="s">
        <v>936</v>
      </c>
      <c r="B959" s="6" t="s">
        <v>83</v>
      </c>
      <c r="C959" s="6" t="s">
        <v>872</v>
      </c>
      <c r="D959" s="6" t="s">
        <v>875</v>
      </c>
      <c r="E959" s="6" t="s">
        <v>589</v>
      </c>
      <c r="F959" s="6" t="s">
        <v>685</v>
      </c>
      <c r="G959" s="46">
        <f t="shared" si="86"/>
        <v>15485400</v>
      </c>
      <c r="H959" s="46">
        <f t="shared" si="86"/>
        <v>15485400</v>
      </c>
      <c r="I959" s="46">
        <f t="shared" si="80"/>
        <v>100</v>
      </c>
    </row>
    <row r="960" spans="1:9" ht="31.5">
      <c r="A960" s="5" t="s">
        <v>55</v>
      </c>
      <c r="B960" s="6" t="s">
        <v>83</v>
      </c>
      <c r="C960" s="6" t="s">
        <v>872</v>
      </c>
      <c r="D960" s="6" t="s">
        <v>875</v>
      </c>
      <c r="E960" s="6" t="s">
        <v>589</v>
      </c>
      <c r="F960" s="6" t="s">
        <v>58</v>
      </c>
      <c r="G960" s="46">
        <f t="shared" si="86"/>
        <v>15485400</v>
      </c>
      <c r="H960" s="46">
        <f t="shared" si="86"/>
        <v>15485400</v>
      </c>
      <c r="I960" s="46">
        <f t="shared" si="80"/>
        <v>100</v>
      </c>
    </row>
    <row r="961" spans="1:9" ht="110.25">
      <c r="A961" s="5" t="s">
        <v>590</v>
      </c>
      <c r="B961" s="6" t="s">
        <v>83</v>
      </c>
      <c r="C961" s="6" t="s">
        <v>872</v>
      </c>
      <c r="D961" s="6" t="s">
        <v>875</v>
      </c>
      <c r="E961" s="6" t="s">
        <v>589</v>
      </c>
      <c r="F961" s="6" t="s">
        <v>591</v>
      </c>
      <c r="G961" s="46">
        <f>16495000-1009600</f>
        <v>15485400</v>
      </c>
      <c r="H961" s="46">
        <v>15485400</v>
      </c>
      <c r="I961" s="46">
        <f t="shared" si="80"/>
        <v>100</v>
      </c>
    </row>
    <row r="962" spans="1:9" ht="94.5" customHeight="1" hidden="1">
      <c r="A962" s="5" t="s">
        <v>786</v>
      </c>
      <c r="B962" s="6" t="s">
        <v>83</v>
      </c>
      <c r="C962" s="6" t="s">
        <v>872</v>
      </c>
      <c r="D962" s="6" t="s">
        <v>875</v>
      </c>
      <c r="E962" s="6" t="s">
        <v>593</v>
      </c>
      <c r="F962" s="6"/>
      <c r="G962" s="46"/>
      <c r="H962" s="46"/>
      <c r="I962" s="46" t="e">
        <f t="shared" si="80"/>
        <v>#DIV/0!</v>
      </c>
    </row>
    <row r="963" spans="1:9" ht="78.75" customHeight="1" hidden="1">
      <c r="A963" s="5" t="s">
        <v>936</v>
      </c>
      <c r="B963" s="6" t="s">
        <v>83</v>
      </c>
      <c r="C963" s="6" t="s">
        <v>872</v>
      </c>
      <c r="D963" s="6" t="s">
        <v>875</v>
      </c>
      <c r="E963" s="6" t="s">
        <v>593</v>
      </c>
      <c r="F963" s="6" t="s">
        <v>685</v>
      </c>
      <c r="G963" s="46"/>
      <c r="H963" s="46"/>
      <c r="I963" s="46" t="e">
        <f t="shared" si="80"/>
        <v>#DIV/0!</v>
      </c>
    </row>
    <row r="964" spans="1:9" ht="31.5" customHeight="1" hidden="1">
      <c r="A964" s="122" t="s">
        <v>45</v>
      </c>
      <c r="B964" s="6" t="s">
        <v>83</v>
      </c>
      <c r="C964" s="6" t="s">
        <v>872</v>
      </c>
      <c r="D964" s="6" t="s">
        <v>875</v>
      </c>
      <c r="E964" s="6" t="s">
        <v>593</v>
      </c>
      <c r="F964" s="6" t="s">
        <v>686</v>
      </c>
      <c r="G964" s="46"/>
      <c r="H964" s="46"/>
      <c r="I964" s="46" t="e">
        <f t="shared" si="80"/>
        <v>#DIV/0!</v>
      </c>
    </row>
    <row r="965" spans="1:9" ht="110.25" customHeight="1" hidden="1">
      <c r="A965" s="5" t="s">
        <v>64</v>
      </c>
      <c r="B965" s="6" t="s">
        <v>83</v>
      </c>
      <c r="C965" s="6" t="s">
        <v>872</v>
      </c>
      <c r="D965" s="6" t="s">
        <v>875</v>
      </c>
      <c r="E965" s="6" t="s">
        <v>593</v>
      </c>
      <c r="F965" s="6" t="s">
        <v>65</v>
      </c>
      <c r="G965" s="46"/>
      <c r="H965" s="46"/>
      <c r="I965" s="46" t="e">
        <f t="shared" si="80"/>
        <v>#DIV/0!</v>
      </c>
    </row>
    <row r="966" spans="1:9" ht="31.5" customHeight="1" hidden="1">
      <c r="A966" s="5" t="s">
        <v>55</v>
      </c>
      <c r="B966" s="6" t="s">
        <v>83</v>
      </c>
      <c r="C966" s="6" t="s">
        <v>872</v>
      </c>
      <c r="D966" s="6" t="s">
        <v>875</v>
      </c>
      <c r="E966" s="6" t="s">
        <v>593</v>
      </c>
      <c r="F966" s="6" t="s">
        <v>58</v>
      </c>
      <c r="G966" s="46"/>
      <c r="H966" s="46"/>
      <c r="I966" s="46" t="e">
        <f t="shared" si="80"/>
        <v>#DIV/0!</v>
      </c>
    </row>
    <row r="967" spans="1:9" ht="110.25" customHeight="1" hidden="1">
      <c r="A967" s="5" t="s">
        <v>590</v>
      </c>
      <c r="B967" s="6" t="s">
        <v>83</v>
      </c>
      <c r="C967" s="6" t="s">
        <v>872</v>
      </c>
      <c r="D967" s="6" t="s">
        <v>875</v>
      </c>
      <c r="E967" s="6" t="s">
        <v>593</v>
      </c>
      <c r="F967" s="6" t="s">
        <v>591</v>
      </c>
      <c r="G967" s="46"/>
      <c r="H967" s="46"/>
      <c r="I967" s="46" t="e">
        <f t="shared" si="80"/>
        <v>#DIV/0!</v>
      </c>
    </row>
    <row r="968" spans="1:9" ht="47.25">
      <c r="A968" s="1" t="s">
        <v>922</v>
      </c>
      <c r="B968" s="2" t="s">
        <v>83</v>
      </c>
      <c r="C968" s="2" t="s">
        <v>872</v>
      </c>
      <c r="D968" s="2" t="s">
        <v>875</v>
      </c>
      <c r="E968" s="2" t="s">
        <v>923</v>
      </c>
      <c r="F968" s="6"/>
      <c r="G968" s="50">
        <f>G999+G969</f>
        <v>126884517.43</v>
      </c>
      <c r="H968" s="50">
        <f>H999+H969</f>
        <v>126854610.77000001</v>
      </c>
      <c r="I968" s="50">
        <f aca="true" t="shared" si="87" ref="I968:I1031">ROUND(H968/G968*100,2)</f>
        <v>99.98</v>
      </c>
    </row>
    <row r="969" spans="1:9" ht="47.25">
      <c r="A969" s="90" t="s">
        <v>824</v>
      </c>
      <c r="B969" s="6" t="s">
        <v>83</v>
      </c>
      <c r="C969" s="6" t="s">
        <v>872</v>
      </c>
      <c r="D969" s="6" t="s">
        <v>875</v>
      </c>
      <c r="E969" s="91" t="s">
        <v>795</v>
      </c>
      <c r="F969" s="6"/>
      <c r="G969" s="46">
        <f>G983+G989+G993+G970+G976</f>
        <v>60415864</v>
      </c>
      <c r="H969" s="46">
        <f>H983+H989+H993+H970+H976</f>
        <v>60388361.68</v>
      </c>
      <c r="I969" s="46">
        <f t="shared" si="87"/>
        <v>99.95</v>
      </c>
    </row>
    <row r="970" spans="1:9" ht="94.5">
      <c r="A970" s="90" t="s">
        <v>751</v>
      </c>
      <c r="B970" s="6" t="s">
        <v>83</v>
      </c>
      <c r="C970" s="6" t="s">
        <v>872</v>
      </c>
      <c r="D970" s="6" t="s">
        <v>875</v>
      </c>
      <c r="E970" s="6" t="s">
        <v>752</v>
      </c>
      <c r="F970" s="6"/>
      <c r="G970" s="46">
        <f>G971</f>
        <v>51413700</v>
      </c>
      <c r="H970" s="46">
        <f>H971</f>
        <v>51391901.14</v>
      </c>
      <c r="I970" s="46">
        <f t="shared" si="87"/>
        <v>99.96</v>
      </c>
    </row>
    <row r="971" spans="1:9" ht="78.75">
      <c r="A971" s="98" t="s">
        <v>936</v>
      </c>
      <c r="B971" s="6" t="s">
        <v>83</v>
      </c>
      <c r="C971" s="6" t="s">
        <v>872</v>
      </c>
      <c r="D971" s="6" t="s">
        <v>875</v>
      </c>
      <c r="E971" s="6" t="s">
        <v>750</v>
      </c>
      <c r="F971" s="6" t="s">
        <v>685</v>
      </c>
      <c r="G971" s="46">
        <f>G974+G972</f>
        <v>51413700</v>
      </c>
      <c r="H971" s="46">
        <f>H974+H972</f>
        <v>51391901.14</v>
      </c>
      <c r="I971" s="46">
        <f t="shared" si="87"/>
        <v>99.96</v>
      </c>
    </row>
    <row r="972" spans="1:9" ht="31.5">
      <c r="A972" s="122" t="s">
        <v>45</v>
      </c>
      <c r="B972" s="6" t="s">
        <v>83</v>
      </c>
      <c r="C972" s="6" t="s">
        <v>872</v>
      </c>
      <c r="D972" s="6" t="s">
        <v>875</v>
      </c>
      <c r="E972" s="6" t="s">
        <v>750</v>
      </c>
      <c r="F972" s="6" t="s">
        <v>686</v>
      </c>
      <c r="G972" s="46">
        <f>G973</f>
        <v>20459535.61</v>
      </c>
      <c r="H972" s="46">
        <f>H973</f>
        <v>20438784.24</v>
      </c>
      <c r="I972" s="46">
        <f t="shared" si="87"/>
        <v>99.9</v>
      </c>
    </row>
    <row r="973" spans="1:9" ht="47.25">
      <c r="A973" s="122" t="s">
        <v>46</v>
      </c>
      <c r="B973" s="6" t="s">
        <v>83</v>
      </c>
      <c r="C973" s="6" t="s">
        <v>872</v>
      </c>
      <c r="D973" s="6" t="s">
        <v>875</v>
      </c>
      <c r="E973" s="6" t="s">
        <v>750</v>
      </c>
      <c r="F973" s="6" t="s">
        <v>57</v>
      </c>
      <c r="G973" s="46">
        <f>6383000+800000+13290000+250000-470000-45164.39-148300+400000</f>
        <v>20459535.61</v>
      </c>
      <c r="H973" s="46">
        <v>20438784.24</v>
      </c>
      <c r="I973" s="46">
        <f t="shared" si="87"/>
        <v>99.9</v>
      </c>
    </row>
    <row r="974" spans="1:9" ht="31.5">
      <c r="A974" s="98" t="s">
        <v>55</v>
      </c>
      <c r="B974" s="6" t="s">
        <v>83</v>
      </c>
      <c r="C974" s="6" t="s">
        <v>872</v>
      </c>
      <c r="D974" s="6" t="s">
        <v>875</v>
      </c>
      <c r="E974" s="6" t="s">
        <v>750</v>
      </c>
      <c r="F974" s="6" t="s">
        <v>58</v>
      </c>
      <c r="G974" s="46">
        <f>G975</f>
        <v>30954164.39</v>
      </c>
      <c r="H974" s="46">
        <f>H975</f>
        <v>30953116.9</v>
      </c>
      <c r="I974" s="46">
        <f t="shared" si="87"/>
        <v>100</v>
      </c>
    </row>
    <row r="975" spans="1:9" ht="47.25">
      <c r="A975" s="98" t="s">
        <v>56</v>
      </c>
      <c r="B975" s="6" t="s">
        <v>83</v>
      </c>
      <c r="C975" s="6" t="s">
        <v>872</v>
      </c>
      <c r="D975" s="6" t="s">
        <v>875</v>
      </c>
      <c r="E975" s="6" t="s">
        <v>750</v>
      </c>
      <c r="F975" s="6" t="s">
        <v>59</v>
      </c>
      <c r="G975" s="46">
        <f>7943000-6183000+40169000-13290000+470000+45164.39+1393900+606100-400000+200000</f>
        <v>30954164.39</v>
      </c>
      <c r="H975" s="46">
        <v>30953116.9</v>
      </c>
      <c r="I975" s="46">
        <f t="shared" si="87"/>
        <v>100</v>
      </c>
    </row>
    <row r="976" spans="1:9" ht="110.25">
      <c r="A976" s="90" t="s">
        <v>773</v>
      </c>
      <c r="B976" s="6" t="s">
        <v>83</v>
      </c>
      <c r="C976" s="6" t="s">
        <v>872</v>
      </c>
      <c r="D976" s="6" t="s">
        <v>875</v>
      </c>
      <c r="E976" s="137" t="s">
        <v>774</v>
      </c>
      <c r="F976" s="6"/>
      <c r="G976" s="46">
        <f>G980+G977</f>
        <v>1611964</v>
      </c>
      <c r="H976" s="46">
        <f>H980+H977</f>
        <v>1606300.54</v>
      </c>
      <c r="I976" s="46">
        <f t="shared" si="87"/>
        <v>99.65</v>
      </c>
    </row>
    <row r="977" spans="1:9" ht="47.25">
      <c r="A977" s="122" t="s">
        <v>673</v>
      </c>
      <c r="B977" s="6" t="s">
        <v>83</v>
      </c>
      <c r="C977" s="6" t="s">
        <v>872</v>
      </c>
      <c r="D977" s="6" t="s">
        <v>875</v>
      </c>
      <c r="E977" s="137" t="s">
        <v>774</v>
      </c>
      <c r="F977" s="6" t="s">
        <v>674</v>
      </c>
      <c r="G977" s="46">
        <f>G978</f>
        <v>111964</v>
      </c>
      <c r="H977" s="46">
        <f>H978</f>
        <v>106300.54</v>
      </c>
      <c r="I977" s="46">
        <f t="shared" si="87"/>
        <v>94.94</v>
      </c>
    </row>
    <row r="978" spans="1:9" ht="47.25">
      <c r="A978" s="122" t="s">
        <v>675</v>
      </c>
      <c r="B978" s="6" t="s">
        <v>83</v>
      </c>
      <c r="C978" s="6" t="s">
        <v>872</v>
      </c>
      <c r="D978" s="6" t="s">
        <v>875</v>
      </c>
      <c r="E978" s="137" t="s">
        <v>774</v>
      </c>
      <c r="F978" s="6" t="s">
        <v>676</v>
      </c>
      <c r="G978" s="46">
        <f>G979</f>
        <v>111964</v>
      </c>
      <c r="H978" s="46">
        <f>H979</f>
        <v>106300.54</v>
      </c>
      <c r="I978" s="46">
        <f t="shared" si="87"/>
        <v>94.94</v>
      </c>
    </row>
    <row r="979" spans="1:9" ht="47.25">
      <c r="A979" s="122" t="s">
        <v>677</v>
      </c>
      <c r="B979" s="6" t="s">
        <v>83</v>
      </c>
      <c r="C979" s="6" t="s">
        <v>872</v>
      </c>
      <c r="D979" s="6" t="s">
        <v>875</v>
      </c>
      <c r="E979" s="137" t="s">
        <v>774</v>
      </c>
      <c r="F979" s="6" t="s">
        <v>678</v>
      </c>
      <c r="G979" s="46">
        <v>111964</v>
      </c>
      <c r="H979" s="46">
        <v>106300.54</v>
      </c>
      <c r="I979" s="46">
        <f t="shared" si="87"/>
        <v>94.94</v>
      </c>
    </row>
    <row r="980" spans="1:9" ht="78.75">
      <c r="A980" s="5" t="s">
        <v>936</v>
      </c>
      <c r="B980" s="6" t="s">
        <v>83</v>
      </c>
      <c r="C980" s="6" t="s">
        <v>872</v>
      </c>
      <c r="D980" s="6" t="s">
        <v>875</v>
      </c>
      <c r="E980" s="137" t="s">
        <v>774</v>
      </c>
      <c r="F980" s="6" t="s">
        <v>685</v>
      </c>
      <c r="G980" s="46">
        <f>G981</f>
        <v>1500000</v>
      </c>
      <c r="H980" s="46">
        <f>H981</f>
        <v>1500000</v>
      </c>
      <c r="I980" s="46">
        <f t="shared" si="87"/>
        <v>100</v>
      </c>
    </row>
    <row r="981" spans="1:9" ht="31.5">
      <c r="A981" s="122" t="s">
        <v>45</v>
      </c>
      <c r="B981" s="6" t="s">
        <v>83</v>
      </c>
      <c r="C981" s="6" t="s">
        <v>872</v>
      </c>
      <c r="D981" s="6" t="s">
        <v>875</v>
      </c>
      <c r="E981" s="137" t="s">
        <v>774</v>
      </c>
      <c r="F981" s="6" t="s">
        <v>686</v>
      </c>
      <c r="G981" s="46">
        <f>G982</f>
        <v>1500000</v>
      </c>
      <c r="H981" s="46">
        <f>H982</f>
        <v>1500000</v>
      </c>
      <c r="I981" s="46">
        <f t="shared" si="87"/>
        <v>100</v>
      </c>
    </row>
    <row r="982" spans="1:9" ht="47.25">
      <c r="A982" s="122" t="s">
        <v>46</v>
      </c>
      <c r="B982" s="6" t="s">
        <v>83</v>
      </c>
      <c r="C982" s="6" t="s">
        <v>872</v>
      </c>
      <c r="D982" s="6" t="s">
        <v>875</v>
      </c>
      <c r="E982" s="137" t="s">
        <v>774</v>
      </c>
      <c r="F982" s="6" t="s">
        <v>57</v>
      </c>
      <c r="G982" s="46">
        <f>1500000</f>
        <v>1500000</v>
      </c>
      <c r="H982" s="46">
        <v>1500000</v>
      </c>
      <c r="I982" s="46">
        <f t="shared" si="87"/>
        <v>100</v>
      </c>
    </row>
    <row r="983" spans="1:9" ht="141.75">
      <c r="A983" s="90" t="s">
        <v>757</v>
      </c>
      <c r="B983" s="6" t="s">
        <v>83</v>
      </c>
      <c r="C983" s="6" t="s">
        <v>872</v>
      </c>
      <c r="D983" s="6" t="s">
        <v>875</v>
      </c>
      <c r="E983" s="91" t="s">
        <v>758</v>
      </c>
      <c r="F983" s="6"/>
      <c r="G983" s="46">
        <f>G984</f>
        <v>298800</v>
      </c>
      <c r="H983" s="46">
        <f>H984</f>
        <v>298800</v>
      </c>
      <c r="I983" s="46">
        <f t="shared" si="87"/>
        <v>100</v>
      </c>
    </row>
    <row r="984" spans="1:9" ht="78.75">
      <c r="A984" s="98" t="s">
        <v>936</v>
      </c>
      <c r="B984" s="6" t="s">
        <v>83</v>
      </c>
      <c r="C984" s="6" t="s">
        <v>872</v>
      </c>
      <c r="D984" s="6" t="s">
        <v>875</v>
      </c>
      <c r="E984" s="91" t="s">
        <v>758</v>
      </c>
      <c r="F984" s="6" t="s">
        <v>685</v>
      </c>
      <c r="G984" s="46">
        <f>G985+G987</f>
        <v>298800</v>
      </c>
      <c r="H984" s="46">
        <f>H985+H987</f>
        <v>298800</v>
      </c>
      <c r="I984" s="46">
        <f t="shared" si="87"/>
        <v>100</v>
      </c>
    </row>
    <row r="985" spans="1:9" ht="31.5">
      <c r="A985" s="98" t="s">
        <v>45</v>
      </c>
      <c r="B985" s="6" t="s">
        <v>83</v>
      </c>
      <c r="C985" s="6" t="s">
        <v>872</v>
      </c>
      <c r="D985" s="6" t="s">
        <v>875</v>
      </c>
      <c r="E985" s="91" t="s">
        <v>758</v>
      </c>
      <c r="F985" s="6" t="s">
        <v>686</v>
      </c>
      <c r="G985" s="46">
        <f>G986</f>
        <v>263800</v>
      </c>
      <c r="H985" s="46">
        <f>H986</f>
        <v>263800</v>
      </c>
      <c r="I985" s="46">
        <f t="shared" si="87"/>
        <v>100</v>
      </c>
    </row>
    <row r="986" spans="1:9" ht="47.25">
      <c r="A986" s="98" t="s">
        <v>46</v>
      </c>
      <c r="B986" s="6" t="s">
        <v>83</v>
      </c>
      <c r="C986" s="6" t="s">
        <v>872</v>
      </c>
      <c r="D986" s="6" t="s">
        <v>875</v>
      </c>
      <c r="E986" s="91" t="s">
        <v>758</v>
      </c>
      <c r="F986" s="6" t="s">
        <v>57</v>
      </c>
      <c r="G986" s="46">
        <f>298800-35000</f>
        <v>263800</v>
      </c>
      <c r="H986" s="46">
        <v>263800</v>
      </c>
      <c r="I986" s="46">
        <f t="shared" si="87"/>
        <v>100</v>
      </c>
    </row>
    <row r="987" spans="1:9" ht="31.5">
      <c r="A987" s="98" t="s">
        <v>55</v>
      </c>
      <c r="B987" s="6" t="s">
        <v>83</v>
      </c>
      <c r="C987" s="6" t="s">
        <v>872</v>
      </c>
      <c r="D987" s="6" t="s">
        <v>875</v>
      </c>
      <c r="E987" s="91" t="s">
        <v>758</v>
      </c>
      <c r="F987" s="6" t="s">
        <v>58</v>
      </c>
      <c r="G987" s="46">
        <f>G988</f>
        <v>35000</v>
      </c>
      <c r="H987" s="46">
        <f>H988</f>
        <v>35000</v>
      </c>
      <c r="I987" s="46">
        <f t="shared" si="87"/>
        <v>100</v>
      </c>
    </row>
    <row r="988" spans="1:9" ht="47.25">
      <c r="A988" s="98" t="s">
        <v>56</v>
      </c>
      <c r="B988" s="6" t="s">
        <v>83</v>
      </c>
      <c r="C988" s="6" t="s">
        <v>872</v>
      </c>
      <c r="D988" s="6" t="s">
        <v>875</v>
      </c>
      <c r="E988" s="91" t="s">
        <v>758</v>
      </c>
      <c r="F988" s="6" t="s">
        <v>59</v>
      </c>
      <c r="G988" s="46">
        <v>35000</v>
      </c>
      <c r="H988" s="46">
        <v>35000</v>
      </c>
      <c r="I988" s="46">
        <f t="shared" si="87"/>
        <v>100</v>
      </c>
    </row>
    <row r="989" spans="1:9" ht="63">
      <c r="A989" s="3" t="s">
        <v>763</v>
      </c>
      <c r="B989" s="6" t="s">
        <v>83</v>
      </c>
      <c r="C989" s="6" t="s">
        <v>872</v>
      </c>
      <c r="D989" s="6" t="s">
        <v>875</v>
      </c>
      <c r="E989" s="91" t="s">
        <v>764</v>
      </c>
      <c r="F989" s="6"/>
      <c r="G989" s="46">
        <f aca="true" t="shared" si="88" ref="G989:H991">G990</f>
        <v>65000</v>
      </c>
      <c r="H989" s="46">
        <f t="shared" si="88"/>
        <v>64960</v>
      </c>
      <c r="I989" s="46">
        <f t="shared" si="87"/>
        <v>99.94</v>
      </c>
    </row>
    <row r="990" spans="1:9" ht="78.75">
      <c r="A990" s="98" t="s">
        <v>936</v>
      </c>
      <c r="B990" s="6" t="s">
        <v>83</v>
      </c>
      <c r="C990" s="6" t="s">
        <v>872</v>
      </c>
      <c r="D990" s="6" t="s">
        <v>875</v>
      </c>
      <c r="E990" s="91" t="s">
        <v>764</v>
      </c>
      <c r="F990" s="6" t="s">
        <v>685</v>
      </c>
      <c r="G990" s="46">
        <f t="shared" si="88"/>
        <v>65000</v>
      </c>
      <c r="H990" s="46">
        <f t="shared" si="88"/>
        <v>64960</v>
      </c>
      <c r="I990" s="46">
        <f t="shared" si="87"/>
        <v>99.94</v>
      </c>
    </row>
    <row r="991" spans="1:9" ht="31.5">
      <c r="A991" s="98" t="s">
        <v>45</v>
      </c>
      <c r="B991" s="6" t="s">
        <v>83</v>
      </c>
      <c r="C991" s="6" t="s">
        <v>872</v>
      </c>
      <c r="D991" s="6" t="s">
        <v>875</v>
      </c>
      <c r="E991" s="91" t="s">
        <v>764</v>
      </c>
      <c r="F991" s="6" t="s">
        <v>686</v>
      </c>
      <c r="G991" s="46">
        <f t="shared" si="88"/>
        <v>65000</v>
      </c>
      <c r="H991" s="46">
        <f t="shared" si="88"/>
        <v>64960</v>
      </c>
      <c r="I991" s="46">
        <f t="shared" si="87"/>
        <v>99.94</v>
      </c>
    </row>
    <row r="992" spans="1:9" ht="47.25">
      <c r="A992" s="98" t="s">
        <v>46</v>
      </c>
      <c r="B992" s="6" t="s">
        <v>83</v>
      </c>
      <c r="C992" s="6" t="s">
        <v>872</v>
      </c>
      <c r="D992" s="6" t="s">
        <v>875</v>
      </c>
      <c r="E992" s="91" t="s">
        <v>764</v>
      </c>
      <c r="F992" s="6" t="s">
        <v>57</v>
      </c>
      <c r="G992" s="46">
        <f>65000</f>
        <v>65000</v>
      </c>
      <c r="H992" s="46">
        <v>64960</v>
      </c>
      <c r="I992" s="46">
        <f t="shared" si="87"/>
        <v>99.94</v>
      </c>
    </row>
    <row r="993" spans="1:9" ht="173.25">
      <c r="A993" s="98" t="s">
        <v>777</v>
      </c>
      <c r="B993" s="6" t="s">
        <v>83</v>
      </c>
      <c r="C993" s="6" t="s">
        <v>872</v>
      </c>
      <c r="D993" s="6" t="s">
        <v>875</v>
      </c>
      <c r="E993" s="91" t="s">
        <v>778</v>
      </c>
      <c r="F993" s="6"/>
      <c r="G993" s="46">
        <f>G994</f>
        <v>7026400</v>
      </c>
      <c r="H993" s="46">
        <f>H994</f>
        <v>7026400</v>
      </c>
      <c r="I993" s="46">
        <f t="shared" si="87"/>
        <v>100</v>
      </c>
    </row>
    <row r="994" spans="1:9" ht="78.75">
      <c r="A994" s="98" t="s">
        <v>936</v>
      </c>
      <c r="B994" s="6" t="s">
        <v>83</v>
      </c>
      <c r="C994" s="6" t="s">
        <v>872</v>
      </c>
      <c r="D994" s="6" t="s">
        <v>875</v>
      </c>
      <c r="E994" s="91" t="s">
        <v>778</v>
      </c>
      <c r="F994" s="6" t="s">
        <v>685</v>
      </c>
      <c r="G994" s="46">
        <f>G995+G997</f>
        <v>7026400</v>
      </c>
      <c r="H994" s="46">
        <f>H995+H997</f>
        <v>7026400</v>
      </c>
      <c r="I994" s="46">
        <f t="shared" si="87"/>
        <v>100</v>
      </c>
    </row>
    <row r="995" spans="1:9" ht="31.5">
      <c r="A995" s="98" t="s">
        <v>45</v>
      </c>
      <c r="B995" s="6" t="s">
        <v>83</v>
      </c>
      <c r="C995" s="6" t="s">
        <v>872</v>
      </c>
      <c r="D995" s="6" t="s">
        <v>875</v>
      </c>
      <c r="E995" s="91" t="s">
        <v>778</v>
      </c>
      <c r="F995" s="6" t="s">
        <v>686</v>
      </c>
      <c r="G995" s="46">
        <f>G996</f>
        <v>6204000</v>
      </c>
      <c r="H995" s="46">
        <f>H996</f>
        <v>6204000</v>
      </c>
      <c r="I995" s="46">
        <f t="shared" si="87"/>
        <v>100</v>
      </c>
    </row>
    <row r="996" spans="1:9" ht="47.25">
      <c r="A996" s="98" t="s">
        <v>46</v>
      </c>
      <c r="B996" s="6" t="s">
        <v>83</v>
      </c>
      <c r="C996" s="6" t="s">
        <v>872</v>
      </c>
      <c r="D996" s="6" t="s">
        <v>875</v>
      </c>
      <c r="E996" s="91" t="s">
        <v>778</v>
      </c>
      <c r="F996" s="6" t="s">
        <v>57</v>
      </c>
      <c r="G996" s="46">
        <f>6394000-170000-20000</f>
        <v>6204000</v>
      </c>
      <c r="H996" s="46">
        <v>6204000</v>
      </c>
      <c r="I996" s="46">
        <f t="shared" si="87"/>
        <v>100</v>
      </c>
    </row>
    <row r="997" spans="1:9" ht="31.5">
      <c r="A997" s="98" t="s">
        <v>55</v>
      </c>
      <c r="B997" s="6" t="s">
        <v>83</v>
      </c>
      <c r="C997" s="6" t="s">
        <v>872</v>
      </c>
      <c r="D997" s="6" t="s">
        <v>875</v>
      </c>
      <c r="E997" s="91" t="s">
        <v>778</v>
      </c>
      <c r="F997" s="6" t="s">
        <v>58</v>
      </c>
      <c r="G997" s="46">
        <f>G998</f>
        <v>822400</v>
      </c>
      <c r="H997" s="46">
        <f>H998</f>
        <v>822400</v>
      </c>
      <c r="I997" s="46">
        <f t="shared" si="87"/>
        <v>100</v>
      </c>
    </row>
    <row r="998" spans="1:9" ht="47.25">
      <c r="A998" s="98" t="s">
        <v>56</v>
      </c>
      <c r="B998" s="6" t="s">
        <v>83</v>
      </c>
      <c r="C998" s="6" t="s">
        <v>872</v>
      </c>
      <c r="D998" s="6" t="s">
        <v>875</v>
      </c>
      <c r="E998" s="91" t="s">
        <v>778</v>
      </c>
      <c r="F998" s="6" t="s">
        <v>59</v>
      </c>
      <c r="G998" s="46">
        <f>503400+319000</f>
        <v>822400</v>
      </c>
      <c r="H998" s="46">
        <v>822400</v>
      </c>
      <c r="I998" s="46">
        <f t="shared" si="87"/>
        <v>100</v>
      </c>
    </row>
    <row r="999" spans="1:9" ht="47.25">
      <c r="A999" s="90" t="s">
        <v>816</v>
      </c>
      <c r="B999" s="4" t="s">
        <v>83</v>
      </c>
      <c r="C999" s="6" t="s">
        <v>872</v>
      </c>
      <c r="D999" s="6" t="s">
        <v>875</v>
      </c>
      <c r="E999" s="91" t="s">
        <v>650</v>
      </c>
      <c r="F999" s="6"/>
      <c r="G999" s="46">
        <f>G1000+G1005+G1010+G1015</f>
        <v>66468653.43</v>
      </c>
      <c r="H999" s="46">
        <f>H1000+H1005+H1010+H1015</f>
        <v>66466249.09</v>
      </c>
      <c r="I999" s="46">
        <f t="shared" si="87"/>
        <v>100</v>
      </c>
    </row>
    <row r="1000" spans="1:9" ht="141.75">
      <c r="A1000" s="5" t="s">
        <v>736</v>
      </c>
      <c r="B1000" s="6" t="s">
        <v>83</v>
      </c>
      <c r="C1000" s="6" t="s">
        <v>872</v>
      </c>
      <c r="D1000" s="6" t="s">
        <v>875</v>
      </c>
      <c r="E1000" s="6" t="s">
        <v>737</v>
      </c>
      <c r="F1000" s="6"/>
      <c r="G1000" s="46">
        <f>G1001</f>
        <v>7758839.34</v>
      </c>
      <c r="H1000" s="46">
        <f>H1001</f>
        <v>7756435</v>
      </c>
      <c r="I1000" s="46">
        <f t="shared" si="87"/>
        <v>99.97</v>
      </c>
    </row>
    <row r="1001" spans="1:9" ht="78.75">
      <c r="A1001" s="98" t="s">
        <v>936</v>
      </c>
      <c r="B1001" s="6" t="s">
        <v>83</v>
      </c>
      <c r="C1001" s="6" t="s">
        <v>872</v>
      </c>
      <c r="D1001" s="6" t="s">
        <v>875</v>
      </c>
      <c r="E1001" s="6" t="s">
        <v>737</v>
      </c>
      <c r="F1001" s="6" t="s">
        <v>685</v>
      </c>
      <c r="G1001" s="46">
        <f>G1002</f>
        <v>7758839.34</v>
      </c>
      <c r="H1001" s="46">
        <f>H1002</f>
        <v>7756435</v>
      </c>
      <c r="I1001" s="46">
        <f t="shared" si="87"/>
        <v>99.97</v>
      </c>
    </row>
    <row r="1002" spans="1:9" ht="31.5">
      <c r="A1002" s="98" t="s">
        <v>55</v>
      </c>
      <c r="B1002" s="6" t="s">
        <v>83</v>
      </c>
      <c r="C1002" s="6" t="s">
        <v>872</v>
      </c>
      <c r="D1002" s="6" t="s">
        <v>875</v>
      </c>
      <c r="E1002" s="6" t="s">
        <v>737</v>
      </c>
      <c r="F1002" s="6" t="s">
        <v>58</v>
      </c>
      <c r="G1002" s="46">
        <f>G1003+G1004</f>
        <v>7758839.34</v>
      </c>
      <c r="H1002" s="46">
        <f>H1003+H1004</f>
        <v>7756435</v>
      </c>
      <c r="I1002" s="46">
        <f t="shared" si="87"/>
        <v>99.97</v>
      </c>
    </row>
    <row r="1003" spans="1:9" ht="110.25">
      <c r="A1003" s="98" t="s">
        <v>590</v>
      </c>
      <c r="B1003" s="6" t="s">
        <v>83</v>
      </c>
      <c r="C1003" s="6" t="s">
        <v>872</v>
      </c>
      <c r="D1003" s="6" t="s">
        <v>875</v>
      </c>
      <c r="E1003" s="6" t="s">
        <v>737</v>
      </c>
      <c r="F1003" s="6" t="s">
        <v>591</v>
      </c>
      <c r="G1003" s="46">
        <f>7782509-174874+3600</f>
        <v>7611235</v>
      </c>
      <c r="H1003" s="46">
        <v>7611235</v>
      </c>
      <c r="I1003" s="46">
        <f t="shared" si="87"/>
        <v>100</v>
      </c>
    </row>
    <row r="1004" spans="1:9" ht="47.25">
      <c r="A1004" s="98" t="s">
        <v>56</v>
      </c>
      <c r="B1004" s="6" t="s">
        <v>83</v>
      </c>
      <c r="C1004" s="6" t="s">
        <v>872</v>
      </c>
      <c r="D1004" s="6" t="s">
        <v>875</v>
      </c>
      <c r="E1004" s="6" t="s">
        <v>737</v>
      </c>
      <c r="F1004" s="6" t="s">
        <v>59</v>
      </c>
      <c r="G1004" s="46">
        <f>43769+107435.34-3600</f>
        <v>147604.34</v>
      </c>
      <c r="H1004" s="46">
        <v>145200</v>
      </c>
      <c r="I1004" s="46">
        <f t="shared" si="87"/>
        <v>98.37</v>
      </c>
    </row>
    <row r="1005" spans="1:9" ht="141.75">
      <c r="A1005" s="5" t="s">
        <v>740</v>
      </c>
      <c r="B1005" s="6" t="s">
        <v>83</v>
      </c>
      <c r="C1005" s="6" t="s">
        <v>872</v>
      </c>
      <c r="D1005" s="6" t="s">
        <v>875</v>
      </c>
      <c r="E1005" s="6" t="s">
        <v>741</v>
      </c>
      <c r="F1005" s="6"/>
      <c r="G1005" s="46">
        <f>G1006</f>
        <v>23130985.09</v>
      </c>
      <c r="H1005" s="46">
        <f>H1006</f>
        <v>23130985.09</v>
      </c>
      <c r="I1005" s="46">
        <f t="shared" si="87"/>
        <v>100</v>
      </c>
    </row>
    <row r="1006" spans="1:9" ht="78.75">
      <c r="A1006" s="98" t="s">
        <v>936</v>
      </c>
      <c r="B1006" s="6" t="s">
        <v>83</v>
      </c>
      <c r="C1006" s="6" t="s">
        <v>872</v>
      </c>
      <c r="D1006" s="6" t="s">
        <v>875</v>
      </c>
      <c r="E1006" s="6" t="s">
        <v>741</v>
      </c>
      <c r="F1006" s="6" t="s">
        <v>685</v>
      </c>
      <c r="G1006" s="46">
        <f>G1007</f>
        <v>23130985.09</v>
      </c>
      <c r="H1006" s="46">
        <f>H1007</f>
        <v>23130985.09</v>
      </c>
      <c r="I1006" s="46">
        <f t="shared" si="87"/>
        <v>100</v>
      </c>
    </row>
    <row r="1007" spans="1:9" ht="31.5">
      <c r="A1007" s="98" t="s">
        <v>45</v>
      </c>
      <c r="B1007" s="6" t="s">
        <v>83</v>
      </c>
      <c r="C1007" s="6" t="s">
        <v>872</v>
      </c>
      <c r="D1007" s="6" t="s">
        <v>875</v>
      </c>
      <c r="E1007" s="6" t="s">
        <v>741</v>
      </c>
      <c r="F1007" s="6" t="s">
        <v>686</v>
      </c>
      <c r="G1007" s="46">
        <f>G1008+G1009</f>
        <v>23130985.09</v>
      </c>
      <c r="H1007" s="46">
        <f>H1008+H1009</f>
        <v>23130985.09</v>
      </c>
      <c r="I1007" s="46">
        <f t="shared" si="87"/>
        <v>100</v>
      </c>
    </row>
    <row r="1008" spans="1:9" ht="110.25">
      <c r="A1008" s="98" t="s">
        <v>64</v>
      </c>
      <c r="B1008" s="6" t="s">
        <v>83</v>
      </c>
      <c r="C1008" s="6" t="s">
        <v>872</v>
      </c>
      <c r="D1008" s="6" t="s">
        <v>875</v>
      </c>
      <c r="E1008" s="6" t="s">
        <v>741</v>
      </c>
      <c r="F1008" s="6" t="s">
        <v>65</v>
      </c>
      <c r="G1008" s="46">
        <v>22679416</v>
      </c>
      <c r="H1008" s="46">
        <v>22679416</v>
      </c>
      <c r="I1008" s="46">
        <f t="shared" si="87"/>
        <v>100</v>
      </c>
    </row>
    <row r="1009" spans="1:9" ht="47.25">
      <c r="A1009" s="98" t="s">
        <v>46</v>
      </c>
      <c r="B1009" s="6" t="s">
        <v>83</v>
      </c>
      <c r="C1009" s="6" t="s">
        <v>872</v>
      </c>
      <c r="D1009" s="6" t="s">
        <v>875</v>
      </c>
      <c r="E1009" s="6" t="s">
        <v>741</v>
      </c>
      <c r="F1009" s="6" t="s">
        <v>57</v>
      </c>
      <c r="G1009" s="46">
        <f>224998+210645+34863-18936.91</f>
        <v>451569.09</v>
      </c>
      <c r="H1009" s="46">
        <v>451569.09</v>
      </c>
      <c r="I1009" s="46">
        <f t="shared" si="87"/>
        <v>100</v>
      </c>
    </row>
    <row r="1010" spans="1:9" ht="126">
      <c r="A1010" s="5" t="s">
        <v>742</v>
      </c>
      <c r="B1010" s="6" t="s">
        <v>83</v>
      </c>
      <c r="C1010" s="6" t="s">
        <v>872</v>
      </c>
      <c r="D1010" s="6" t="s">
        <v>875</v>
      </c>
      <c r="E1010" s="6" t="s">
        <v>743</v>
      </c>
      <c r="F1010" s="6"/>
      <c r="G1010" s="46">
        <f>G1011</f>
        <v>27127907</v>
      </c>
      <c r="H1010" s="46">
        <f>H1011</f>
        <v>27127907</v>
      </c>
      <c r="I1010" s="46">
        <f t="shared" si="87"/>
        <v>100</v>
      </c>
    </row>
    <row r="1011" spans="1:9" ht="78.75">
      <c r="A1011" s="98" t="s">
        <v>936</v>
      </c>
      <c r="B1011" s="6" t="s">
        <v>83</v>
      </c>
      <c r="C1011" s="6" t="s">
        <v>872</v>
      </c>
      <c r="D1011" s="6" t="s">
        <v>875</v>
      </c>
      <c r="E1011" s="6" t="s">
        <v>743</v>
      </c>
      <c r="F1011" s="6" t="s">
        <v>685</v>
      </c>
      <c r="G1011" s="46">
        <f>G1012</f>
        <v>27127907</v>
      </c>
      <c r="H1011" s="46">
        <f>H1012</f>
        <v>27127907</v>
      </c>
      <c r="I1011" s="46">
        <f t="shared" si="87"/>
        <v>100</v>
      </c>
    </row>
    <row r="1012" spans="1:9" ht="31.5">
      <c r="A1012" s="98" t="s">
        <v>55</v>
      </c>
      <c r="B1012" s="6" t="s">
        <v>83</v>
      </c>
      <c r="C1012" s="6" t="s">
        <v>872</v>
      </c>
      <c r="D1012" s="6" t="s">
        <v>875</v>
      </c>
      <c r="E1012" s="6" t="s">
        <v>743</v>
      </c>
      <c r="F1012" s="6" t="s">
        <v>58</v>
      </c>
      <c r="G1012" s="46">
        <f>G1013+G1014</f>
        <v>27127907</v>
      </c>
      <c r="H1012" s="46">
        <f>H1013+H1014</f>
        <v>27127907</v>
      </c>
      <c r="I1012" s="46">
        <f t="shared" si="87"/>
        <v>100</v>
      </c>
    </row>
    <row r="1013" spans="1:9" ht="110.25">
      <c r="A1013" s="98" t="s">
        <v>590</v>
      </c>
      <c r="B1013" s="6" t="s">
        <v>83</v>
      </c>
      <c r="C1013" s="6" t="s">
        <v>872</v>
      </c>
      <c r="D1013" s="6" t="s">
        <v>875</v>
      </c>
      <c r="E1013" s="6" t="s">
        <v>743</v>
      </c>
      <c r="F1013" s="6" t="s">
        <v>591</v>
      </c>
      <c r="G1013" s="46">
        <v>26738934</v>
      </c>
      <c r="H1013" s="46">
        <v>26738934</v>
      </c>
      <c r="I1013" s="46">
        <f t="shared" si="87"/>
        <v>100</v>
      </c>
    </row>
    <row r="1014" spans="1:9" ht="47.25">
      <c r="A1014" s="98" t="s">
        <v>56</v>
      </c>
      <c r="B1014" s="6" t="s">
        <v>83</v>
      </c>
      <c r="C1014" s="6" t="s">
        <v>872</v>
      </c>
      <c r="D1014" s="6" t="s">
        <v>875</v>
      </c>
      <c r="E1014" s="6" t="s">
        <v>743</v>
      </c>
      <c r="F1014" s="6" t="s">
        <v>59</v>
      </c>
      <c r="G1014" s="46">
        <f>118973+270000</f>
        <v>388973</v>
      </c>
      <c r="H1014" s="46">
        <v>388973</v>
      </c>
      <c r="I1014" s="46">
        <f t="shared" si="87"/>
        <v>100</v>
      </c>
    </row>
    <row r="1015" spans="1:9" ht="78.75">
      <c r="A1015" s="5" t="s">
        <v>744</v>
      </c>
      <c r="B1015" s="6" t="s">
        <v>83</v>
      </c>
      <c r="C1015" s="6" t="s">
        <v>872</v>
      </c>
      <c r="D1015" s="6" t="s">
        <v>875</v>
      </c>
      <c r="E1015" s="6" t="s">
        <v>745</v>
      </c>
      <c r="F1015" s="6"/>
      <c r="G1015" s="46">
        <f>G1016</f>
        <v>8450922</v>
      </c>
      <c r="H1015" s="46">
        <f>H1016</f>
        <v>8450922</v>
      </c>
      <c r="I1015" s="46">
        <f t="shared" si="87"/>
        <v>100</v>
      </c>
    </row>
    <row r="1016" spans="1:9" ht="78.75">
      <c r="A1016" s="98" t="s">
        <v>936</v>
      </c>
      <c r="B1016" s="6" t="s">
        <v>83</v>
      </c>
      <c r="C1016" s="6" t="s">
        <v>872</v>
      </c>
      <c r="D1016" s="6" t="s">
        <v>875</v>
      </c>
      <c r="E1016" s="6" t="s">
        <v>745</v>
      </c>
      <c r="F1016" s="6" t="s">
        <v>685</v>
      </c>
      <c r="G1016" s="46">
        <f>G1017</f>
        <v>8450922</v>
      </c>
      <c r="H1016" s="46">
        <f>H1017</f>
        <v>8450922</v>
      </c>
      <c r="I1016" s="46">
        <f t="shared" si="87"/>
        <v>100</v>
      </c>
    </row>
    <row r="1017" spans="1:9" ht="31.5">
      <c r="A1017" s="98" t="s">
        <v>55</v>
      </c>
      <c r="B1017" s="6" t="s">
        <v>83</v>
      </c>
      <c r="C1017" s="6" t="s">
        <v>872</v>
      </c>
      <c r="D1017" s="6" t="s">
        <v>875</v>
      </c>
      <c r="E1017" s="6" t="s">
        <v>745</v>
      </c>
      <c r="F1017" s="6" t="s">
        <v>58</v>
      </c>
      <c r="G1017" s="46">
        <f>G1018+G1019</f>
        <v>8450922</v>
      </c>
      <c r="H1017" s="46">
        <f>H1018+H1019</f>
        <v>8450922</v>
      </c>
      <c r="I1017" s="46">
        <f t="shared" si="87"/>
        <v>100</v>
      </c>
    </row>
    <row r="1018" spans="1:9" ht="110.25">
      <c r="A1018" s="98" t="s">
        <v>590</v>
      </c>
      <c r="B1018" s="6" t="s">
        <v>83</v>
      </c>
      <c r="C1018" s="6" t="s">
        <v>872</v>
      </c>
      <c r="D1018" s="6" t="s">
        <v>875</v>
      </c>
      <c r="E1018" s="6" t="s">
        <v>745</v>
      </c>
      <c r="F1018" s="6" t="s">
        <v>591</v>
      </c>
      <c r="G1018" s="46">
        <f>7763532+510000</f>
        <v>8273532</v>
      </c>
      <c r="H1018" s="46">
        <v>8273532</v>
      </c>
      <c r="I1018" s="46">
        <f t="shared" si="87"/>
        <v>100</v>
      </c>
    </row>
    <row r="1019" spans="1:9" ht="47.25">
      <c r="A1019" s="98" t="s">
        <v>56</v>
      </c>
      <c r="B1019" s="6" t="s">
        <v>83</v>
      </c>
      <c r="C1019" s="6" t="s">
        <v>872</v>
      </c>
      <c r="D1019" s="6" t="s">
        <v>875</v>
      </c>
      <c r="E1019" s="6" t="s">
        <v>745</v>
      </c>
      <c r="F1019" s="6" t="s">
        <v>59</v>
      </c>
      <c r="G1019" s="46">
        <f>34520+142870</f>
        <v>177390</v>
      </c>
      <c r="H1019" s="46">
        <v>177390</v>
      </c>
      <c r="I1019" s="46">
        <f t="shared" si="87"/>
        <v>100</v>
      </c>
    </row>
    <row r="1020" spans="1:9" ht="37.5">
      <c r="A1020" s="13" t="s">
        <v>883</v>
      </c>
      <c r="B1020" s="14" t="s">
        <v>83</v>
      </c>
      <c r="C1020" s="14" t="s">
        <v>877</v>
      </c>
      <c r="D1020" s="14"/>
      <c r="E1020" s="14"/>
      <c r="F1020" s="14"/>
      <c r="G1020" s="56">
        <f>G1021+G1057</f>
        <v>45781660</v>
      </c>
      <c r="H1020" s="56">
        <f>H1021+H1057</f>
        <v>40501465.55</v>
      </c>
      <c r="I1020" s="56">
        <f t="shared" si="87"/>
        <v>88.47</v>
      </c>
    </row>
    <row r="1021" spans="1:9" ht="31.5">
      <c r="A1021" s="1" t="s">
        <v>897</v>
      </c>
      <c r="B1021" s="2" t="s">
        <v>83</v>
      </c>
      <c r="C1021" s="2" t="s">
        <v>877</v>
      </c>
      <c r="D1021" s="2" t="s">
        <v>876</v>
      </c>
      <c r="E1021" s="2"/>
      <c r="F1021" s="2"/>
      <c r="G1021" s="50">
        <f>G1022+G1037+G1043</f>
        <v>3966460</v>
      </c>
      <c r="H1021" s="50">
        <f>H1022+H1037+H1043</f>
        <v>2871105</v>
      </c>
      <c r="I1021" s="50">
        <f t="shared" si="87"/>
        <v>72.38</v>
      </c>
    </row>
    <row r="1022" spans="1:11" s="24" customFormat="1" ht="110.25">
      <c r="A1022" s="44" t="s">
        <v>636</v>
      </c>
      <c r="B1022" s="6" t="s">
        <v>83</v>
      </c>
      <c r="C1022" s="6" t="s">
        <v>877</v>
      </c>
      <c r="D1022" s="6" t="s">
        <v>876</v>
      </c>
      <c r="E1022" s="6" t="s">
        <v>637</v>
      </c>
      <c r="F1022" s="6"/>
      <c r="G1022" s="46">
        <f>G1023+G1033</f>
        <v>29360</v>
      </c>
      <c r="H1022" s="46">
        <f>H1023+H1033</f>
        <v>29027.86</v>
      </c>
      <c r="I1022" s="46">
        <f t="shared" si="87"/>
        <v>98.87</v>
      </c>
      <c r="J1022" s="96"/>
      <c r="K1022" s="187"/>
    </row>
    <row r="1023" spans="1:9" ht="15.75">
      <c r="A1023" s="44" t="s">
        <v>907</v>
      </c>
      <c r="B1023" s="6" t="s">
        <v>83</v>
      </c>
      <c r="C1023" s="6" t="s">
        <v>877</v>
      </c>
      <c r="D1023" s="6" t="s">
        <v>876</v>
      </c>
      <c r="E1023" s="6" t="s">
        <v>638</v>
      </c>
      <c r="F1023" s="6"/>
      <c r="G1023" s="46">
        <f>G1024</f>
        <v>22500</v>
      </c>
      <c r="H1023" s="46">
        <f>H1024</f>
        <v>22167.86</v>
      </c>
      <c r="I1023" s="46">
        <f t="shared" si="87"/>
        <v>98.52</v>
      </c>
    </row>
    <row r="1024" spans="1:9" ht="63">
      <c r="A1024" s="3" t="s">
        <v>666</v>
      </c>
      <c r="B1024" s="6" t="s">
        <v>83</v>
      </c>
      <c r="C1024" s="6" t="s">
        <v>877</v>
      </c>
      <c r="D1024" s="6" t="s">
        <v>876</v>
      </c>
      <c r="E1024" s="6" t="s">
        <v>474</v>
      </c>
      <c r="F1024" s="6"/>
      <c r="G1024" s="46">
        <f>G1025+G1028</f>
        <v>22500</v>
      </c>
      <c r="H1024" s="46">
        <f>H1025+H1028</f>
        <v>22167.86</v>
      </c>
      <c r="I1024" s="46">
        <f t="shared" si="87"/>
        <v>98.52</v>
      </c>
    </row>
    <row r="1025" spans="1:9" ht="157.5">
      <c r="A1025" s="3" t="s">
        <v>663</v>
      </c>
      <c r="B1025" s="6" t="s">
        <v>83</v>
      </c>
      <c r="C1025" s="6" t="s">
        <v>877</v>
      </c>
      <c r="D1025" s="6" t="s">
        <v>876</v>
      </c>
      <c r="E1025" s="6" t="s">
        <v>474</v>
      </c>
      <c r="F1025" s="6" t="s">
        <v>664</v>
      </c>
      <c r="G1025" s="46">
        <f>G1026</f>
        <v>6498.4</v>
      </c>
      <c r="H1025" s="46">
        <f>H1026</f>
        <v>6166.26</v>
      </c>
      <c r="I1025" s="46">
        <f t="shared" si="87"/>
        <v>94.89</v>
      </c>
    </row>
    <row r="1026" spans="1:9" ht="47.25">
      <c r="A1026" s="3" t="s">
        <v>667</v>
      </c>
      <c r="B1026" s="6" t="s">
        <v>83</v>
      </c>
      <c r="C1026" s="6" t="s">
        <v>877</v>
      </c>
      <c r="D1026" s="6" t="s">
        <v>876</v>
      </c>
      <c r="E1026" s="6" t="s">
        <v>474</v>
      </c>
      <c r="F1026" s="6" t="s">
        <v>668</v>
      </c>
      <c r="G1026" s="46">
        <f>G1027</f>
        <v>6498.4</v>
      </c>
      <c r="H1026" s="46">
        <f>H1027</f>
        <v>6166.26</v>
      </c>
      <c r="I1026" s="46">
        <f t="shared" si="87"/>
        <v>94.89</v>
      </c>
    </row>
    <row r="1027" spans="1:9" ht="31.5">
      <c r="A1027" s="3" t="s">
        <v>669</v>
      </c>
      <c r="B1027" s="6" t="s">
        <v>83</v>
      </c>
      <c r="C1027" s="6" t="s">
        <v>877</v>
      </c>
      <c r="D1027" s="6" t="s">
        <v>876</v>
      </c>
      <c r="E1027" s="6" t="s">
        <v>474</v>
      </c>
      <c r="F1027" s="6" t="s">
        <v>670</v>
      </c>
      <c r="G1027" s="46">
        <f>23600-1100-16001.6</f>
        <v>6498.4</v>
      </c>
      <c r="H1027" s="46">
        <v>6166.26</v>
      </c>
      <c r="I1027" s="46">
        <f t="shared" si="87"/>
        <v>94.89</v>
      </c>
    </row>
    <row r="1028" spans="1:9" ht="47.25">
      <c r="A1028" s="44" t="s">
        <v>673</v>
      </c>
      <c r="B1028" s="6" t="s">
        <v>83</v>
      </c>
      <c r="C1028" s="6" t="s">
        <v>877</v>
      </c>
      <c r="D1028" s="6" t="s">
        <v>876</v>
      </c>
      <c r="E1028" s="6" t="s">
        <v>474</v>
      </c>
      <c r="F1028" s="6" t="s">
        <v>674</v>
      </c>
      <c r="G1028" s="46">
        <f>G1029</f>
        <v>16001.6</v>
      </c>
      <c r="H1028" s="46">
        <f>H1029</f>
        <v>16001.6</v>
      </c>
      <c r="I1028" s="46">
        <f t="shared" si="87"/>
        <v>100</v>
      </c>
    </row>
    <row r="1029" spans="1:9" ht="47.25">
      <c r="A1029" s="30" t="s">
        <v>675</v>
      </c>
      <c r="B1029" s="6" t="s">
        <v>83</v>
      </c>
      <c r="C1029" s="6" t="s">
        <v>877</v>
      </c>
      <c r="D1029" s="6" t="s">
        <v>876</v>
      </c>
      <c r="E1029" s="6" t="s">
        <v>474</v>
      </c>
      <c r="F1029" s="6" t="s">
        <v>676</v>
      </c>
      <c r="G1029" s="46">
        <f>G1030+G1031</f>
        <v>16001.6</v>
      </c>
      <c r="H1029" s="46">
        <f>H1030+H1031</f>
        <v>16001.6</v>
      </c>
      <c r="I1029" s="46">
        <f t="shared" si="87"/>
        <v>100</v>
      </c>
    </row>
    <row r="1030" spans="1:9" ht="78.75">
      <c r="A1030" s="3" t="s">
        <v>679</v>
      </c>
      <c r="B1030" s="6" t="s">
        <v>83</v>
      </c>
      <c r="C1030" s="6" t="s">
        <v>877</v>
      </c>
      <c r="D1030" s="6" t="s">
        <v>876</v>
      </c>
      <c r="E1030" s="6" t="s">
        <v>474</v>
      </c>
      <c r="F1030" s="6" t="s">
        <v>680</v>
      </c>
      <c r="G1030" s="46">
        <v>12930</v>
      </c>
      <c r="H1030" s="46">
        <v>12930</v>
      </c>
      <c r="I1030" s="46">
        <f t="shared" si="87"/>
        <v>100</v>
      </c>
    </row>
    <row r="1031" spans="1:9" ht="47.25">
      <c r="A1031" s="3" t="s">
        <v>677</v>
      </c>
      <c r="B1031" s="6" t="s">
        <v>83</v>
      </c>
      <c r="C1031" s="6" t="s">
        <v>877</v>
      </c>
      <c r="D1031" s="6" t="s">
        <v>876</v>
      </c>
      <c r="E1031" s="6" t="s">
        <v>474</v>
      </c>
      <c r="F1031" s="6" t="s">
        <v>678</v>
      </c>
      <c r="G1031" s="46">
        <v>3071.6</v>
      </c>
      <c r="H1031" s="46">
        <v>3071.6</v>
      </c>
      <c r="I1031" s="46">
        <f t="shared" si="87"/>
        <v>100</v>
      </c>
    </row>
    <row r="1032" spans="1:9" ht="47.25">
      <c r="A1032" s="5" t="s">
        <v>853</v>
      </c>
      <c r="B1032" s="6" t="s">
        <v>83</v>
      </c>
      <c r="C1032" s="6" t="s">
        <v>877</v>
      </c>
      <c r="D1032" s="6" t="s">
        <v>876</v>
      </c>
      <c r="E1032" s="6" t="s">
        <v>854</v>
      </c>
      <c r="F1032" s="6"/>
      <c r="G1032" s="46">
        <f>G1033</f>
        <v>6860</v>
      </c>
      <c r="H1032" s="46">
        <f>H1033</f>
        <v>6860</v>
      </c>
      <c r="I1032" s="46">
        <f aca="true" t="shared" si="89" ref="I1032:I1095">ROUND(H1032/G1032*100,2)</f>
        <v>100</v>
      </c>
    </row>
    <row r="1033" spans="1:9" ht="204.75">
      <c r="A1033" s="3" t="s">
        <v>560</v>
      </c>
      <c r="B1033" s="6" t="s">
        <v>83</v>
      </c>
      <c r="C1033" s="6" t="s">
        <v>877</v>
      </c>
      <c r="D1033" s="6" t="s">
        <v>876</v>
      </c>
      <c r="E1033" s="6" t="s">
        <v>855</v>
      </c>
      <c r="F1033" s="6"/>
      <c r="G1033" s="46">
        <f aca="true" t="shared" si="90" ref="G1033:H1035">G1034</f>
        <v>6860</v>
      </c>
      <c r="H1033" s="46">
        <f t="shared" si="90"/>
        <v>6860</v>
      </c>
      <c r="I1033" s="46">
        <f t="shared" si="89"/>
        <v>100</v>
      </c>
    </row>
    <row r="1034" spans="1:9" ht="78.75">
      <c r="A1034" s="5" t="s">
        <v>936</v>
      </c>
      <c r="B1034" s="6" t="s">
        <v>83</v>
      </c>
      <c r="C1034" s="6" t="s">
        <v>877</v>
      </c>
      <c r="D1034" s="6" t="s">
        <v>876</v>
      </c>
      <c r="E1034" s="6" t="s">
        <v>855</v>
      </c>
      <c r="F1034" s="6" t="s">
        <v>685</v>
      </c>
      <c r="G1034" s="46">
        <f t="shared" si="90"/>
        <v>6860</v>
      </c>
      <c r="H1034" s="46">
        <f t="shared" si="90"/>
        <v>6860</v>
      </c>
      <c r="I1034" s="46">
        <f t="shared" si="89"/>
        <v>100</v>
      </c>
    </row>
    <row r="1035" spans="1:9" ht="31.5">
      <c r="A1035" s="122" t="s">
        <v>45</v>
      </c>
      <c r="B1035" s="6" t="s">
        <v>83</v>
      </c>
      <c r="C1035" s="6" t="s">
        <v>877</v>
      </c>
      <c r="D1035" s="6" t="s">
        <v>876</v>
      </c>
      <c r="E1035" s="6" t="s">
        <v>855</v>
      </c>
      <c r="F1035" s="6" t="s">
        <v>686</v>
      </c>
      <c r="G1035" s="46">
        <f t="shared" si="90"/>
        <v>6860</v>
      </c>
      <c r="H1035" s="46">
        <f t="shared" si="90"/>
        <v>6860</v>
      </c>
      <c r="I1035" s="46">
        <f t="shared" si="89"/>
        <v>100</v>
      </c>
    </row>
    <row r="1036" spans="1:9" ht="47.25">
      <c r="A1036" s="5" t="s">
        <v>46</v>
      </c>
      <c r="B1036" s="6" t="s">
        <v>83</v>
      </c>
      <c r="C1036" s="6" t="s">
        <v>877</v>
      </c>
      <c r="D1036" s="6" t="s">
        <v>876</v>
      </c>
      <c r="E1036" s="6" t="s">
        <v>855</v>
      </c>
      <c r="F1036" s="6" t="s">
        <v>57</v>
      </c>
      <c r="G1036" s="46">
        <f>6860</f>
        <v>6860</v>
      </c>
      <c r="H1036" s="46">
        <v>6860</v>
      </c>
      <c r="I1036" s="46">
        <f t="shared" si="89"/>
        <v>100</v>
      </c>
    </row>
    <row r="1037" spans="1:11" s="24" customFormat="1" ht="276.75" customHeight="1">
      <c r="A1037" s="97" t="s">
        <v>14</v>
      </c>
      <c r="B1037" s="2" t="s">
        <v>83</v>
      </c>
      <c r="C1037" s="2" t="s">
        <v>877</v>
      </c>
      <c r="D1037" s="2" t="s">
        <v>876</v>
      </c>
      <c r="E1037" s="2" t="s">
        <v>15</v>
      </c>
      <c r="F1037" s="2"/>
      <c r="G1037" s="50">
        <f aca="true" t="shared" si="91" ref="G1037:H1041">G1038</f>
        <v>1745300</v>
      </c>
      <c r="H1037" s="50">
        <f t="shared" si="91"/>
        <v>1072718.37</v>
      </c>
      <c r="I1037" s="50">
        <f t="shared" si="89"/>
        <v>61.46</v>
      </c>
      <c r="J1037" s="96"/>
      <c r="K1037" s="187"/>
    </row>
    <row r="1038" spans="1:9" ht="220.5">
      <c r="A1038" s="5" t="s">
        <v>475</v>
      </c>
      <c r="B1038" s="6" t="s">
        <v>83</v>
      </c>
      <c r="C1038" s="6" t="s">
        <v>877</v>
      </c>
      <c r="D1038" s="6" t="s">
        <v>876</v>
      </c>
      <c r="E1038" s="6" t="s">
        <v>16</v>
      </c>
      <c r="F1038" s="6"/>
      <c r="G1038" s="46">
        <f t="shared" si="91"/>
        <v>1745300</v>
      </c>
      <c r="H1038" s="46">
        <f t="shared" si="91"/>
        <v>1072718.37</v>
      </c>
      <c r="I1038" s="46">
        <f t="shared" si="89"/>
        <v>61.46</v>
      </c>
    </row>
    <row r="1039" spans="1:9" ht="31.5">
      <c r="A1039" s="5" t="s">
        <v>17</v>
      </c>
      <c r="B1039" s="6" t="s">
        <v>83</v>
      </c>
      <c r="C1039" s="6" t="s">
        <v>877</v>
      </c>
      <c r="D1039" s="6" t="s">
        <v>876</v>
      </c>
      <c r="E1039" s="6" t="s">
        <v>18</v>
      </c>
      <c r="F1039" s="6"/>
      <c r="G1039" s="46">
        <f t="shared" si="91"/>
        <v>1745300</v>
      </c>
      <c r="H1039" s="46">
        <f t="shared" si="91"/>
        <v>1072718.37</v>
      </c>
      <c r="I1039" s="46">
        <f t="shared" si="89"/>
        <v>61.46</v>
      </c>
    </row>
    <row r="1040" spans="1:9" ht="78.75">
      <c r="A1040" s="5" t="s">
        <v>936</v>
      </c>
      <c r="B1040" s="6" t="s">
        <v>83</v>
      </c>
      <c r="C1040" s="6" t="s">
        <v>877</v>
      </c>
      <c r="D1040" s="6" t="s">
        <v>876</v>
      </c>
      <c r="E1040" s="6" t="s">
        <v>18</v>
      </c>
      <c r="F1040" s="6" t="s">
        <v>685</v>
      </c>
      <c r="G1040" s="46">
        <f t="shared" si="91"/>
        <v>1745300</v>
      </c>
      <c r="H1040" s="46">
        <f t="shared" si="91"/>
        <v>1072718.37</v>
      </c>
      <c r="I1040" s="46">
        <f t="shared" si="89"/>
        <v>61.46</v>
      </c>
    </row>
    <row r="1041" spans="1:9" ht="31.5">
      <c r="A1041" s="122" t="s">
        <v>45</v>
      </c>
      <c r="B1041" s="6" t="s">
        <v>83</v>
      </c>
      <c r="C1041" s="6" t="s">
        <v>877</v>
      </c>
      <c r="D1041" s="6" t="s">
        <v>876</v>
      </c>
      <c r="E1041" s="6" t="s">
        <v>18</v>
      </c>
      <c r="F1041" s="6" t="s">
        <v>686</v>
      </c>
      <c r="G1041" s="46">
        <f t="shared" si="91"/>
        <v>1745300</v>
      </c>
      <c r="H1041" s="46">
        <f t="shared" si="91"/>
        <v>1072718.37</v>
      </c>
      <c r="I1041" s="46">
        <f t="shared" si="89"/>
        <v>61.46</v>
      </c>
    </row>
    <row r="1042" spans="1:9" ht="47.25">
      <c r="A1042" s="5" t="s">
        <v>46</v>
      </c>
      <c r="B1042" s="6" t="s">
        <v>83</v>
      </c>
      <c r="C1042" s="6" t="s">
        <v>877</v>
      </c>
      <c r="D1042" s="6" t="s">
        <v>876</v>
      </c>
      <c r="E1042" s="6" t="s">
        <v>18</v>
      </c>
      <c r="F1042" s="6" t="s">
        <v>57</v>
      </c>
      <c r="G1042" s="46">
        <f>2527000-781700</f>
        <v>1745300</v>
      </c>
      <c r="H1042" s="46">
        <v>1072718.37</v>
      </c>
      <c r="I1042" s="46">
        <f t="shared" si="89"/>
        <v>61.46</v>
      </c>
    </row>
    <row r="1043" spans="1:9" ht="31.5">
      <c r="A1043" s="1" t="s">
        <v>463</v>
      </c>
      <c r="B1043" s="2" t="s">
        <v>83</v>
      </c>
      <c r="C1043" s="2" t="s">
        <v>877</v>
      </c>
      <c r="D1043" s="2" t="s">
        <v>876</v>
      </c>
      <c r="E1043" s="2" t="s">
        <v>462</v>
      </c>
      <c r="F1043" s="2"/>
      <c r="G1043" s="50">
        <f>G1044</f>
        <v>2191800</v>
      </c>
      <c r="H1043" s="50">
        <f>H1044</f>
        <v>1769358.77</v>
      </c>
      <c r="I1043" s="50">
        <f t="shared" si="89"/>
        <v>80.73</v>
      </c>
    </row>
    <row r="1044" spans="1:9" ht="125.25" customHeight="1">
      <c r="A1044" s="5" t="s">
        <v>547</v>
      </c>
      <c r="B1044" s="6" t="s">
        <v>83</v>
      </c>
      <c r="C1044" s="6" t="s">
        <v>877</v>
      </c>
      <c r="D1044" s="6" t="s">
        <v>876</v>
      </c>
      <c r="E1044" s="6" t="s">
        <v>19</v>
      </c>
      <c r="F1044" s="6"/>
      <c r="G1044" s="46">
        <f>G1045+G1049+G1053</f>
        <v>2191800</v>
      </c>
      <c r="H1044" s="46">
        <f>H1045+H1049+H1053</f>
        <v>1769358.77</v>
      </c>
      <c r="I1044" s="46">
        <f t="shared" si="89"/>
        <v>80.73</v>
      </c>
    </row>
    <row r="1045" spans="1:9" ht="330.75">
      <c r="A1045" s="40" t="s">
        <v>20</v>
      </c>
      <c r="B1045" s="6" t="s">
        <v>83</v>
      </c>
      <c r="C1045" s="6" t="s">
        <v>877</v>
      </c>
      <c r="D1045" s="6" t="s">
        <v>876</v>
      </c>
      <c r="E1045" s="6" t="s">
        <v>21</v>
      </c>
      <c r="F1045" s="6"/>
      <c r="G1045" s="46">
        <f aca="true" t="shared" si="92" ref="G1045:H1047">G1046</f>
        <v>63300</v>
      </c>
      <c r="H1045" s="46">
        <f t="shared" si="92"/>
        <v>0</v>
      </c>
      <c r="I1045" s="46">
        <f t="shared" si="89"/>
        <v>0</v>
      </c>
    </row>
    <row r="1046" spans="1:9" ht="31.5">
      <c r="A1046" s="5" t="s">
        <v>595</v>
      </c>
      <c r="B1046" s="6" t="s">
        <v>83</v>
      </c>
      <c r="C1046" s="6" t="s">
        <v>877</v>
      </c>
      <c r="D1046" s="6" t="s">
        <v>876</v>
      </c>
      <c r="E1046" s="6" t="s">
        <v>21</v>
      </c>
      <c r="F1046" s="6" t="s">
        <v>596</v>
      </c>
      <c r="G1046" s="46">
        <f t="shared" si="92"/>
        <v>63300</v>
      </c>
      <c r="H1046" s="46">
        <f t="shared" si="92"/>
        <v>0</v>
      </c>
      <c r="I1046" s="46">
        <f t="shared" si="89"/>
        <v>0</v>
      </c>
    </row>
    <row r="1047" spans="1:9" ht="63">
      <c r="A1047" s="5" t="s">
        <v>22</v>
      </c>
      <c r="B1047" s="6" t="s">
        <v>83</v>
      </c>
      <c r="C1047" s="6" t="s">
        <v>877</v>
      </c>
      <c r="D1047" s="6" t="s">
        <v>876</v>
      </c>
      <c r="E1047" s="6" t="s">
        <v>21</v>
      </c>
      <c r="F1047" s="6" t="s">
        <v>23</v>
      </c>
      <c r="G1047" s="46">
        <f t="shared" si="92"/>
        <v>63300</v>
      </c>
      <c r="H1047" s="46">
        <f t="shared" si="92"/>
        <v>0</v>
      </c>
      <c r="I1047" s="46">
        <f t="shared" si="89"/>
        <v>0</v>
      </c>
    </row>
    <row r="1048" spans="1:9" ht="78.75">
      <c r="A1048" s="5" t="s">
        <v>691</v>
      </c>
      <c r="B1048" s="6" t="s">
        <v>83</v>
      </c>
      <c r="C1048" s="6" t="s">
        <v>877</v>
      </c>
      <c r="D1048" s="6" t="s">
        <v>876</v>
      </c>
      <c r="E1048" s="6" t="s">
        <v>21</v>
      </c>
      <c r="F1048" s="6" t="s">
        <v>690</v>
      </c>
      <c r="G1048" s="46">
        <f>63300</f>
        <v>63300</v>
      </c>
      <c r="H1048" s="46">
        <v>0</v>
      </c>
      <c r="I1048" s="46">
        <f t="shared" si="89"/>
        <v>0</v>
      </c>
    </row>
    <row r="1049" spans="1:9" ht="47.25">
      <c r="A1049" s="5" t="s">
        <v>665</v>
      </c>
      <c r="B1049" s="6" t="s">
        <v>83</v>
      </c>
      <c r="C1049" s="6" t="s">
        <v>877</v>
      </c>
      <c r="D1049" s="6" t="s">
        <v>876</v>
      </c>
      <c r="E1049" s="6" t="s">
        <v>792</v>
      </c>
      <c r="F1049" s="6"/>
      <c r="G1049" s="46">
        <f aca="true" t="shared" si="93" ref="G1049:H1051">G1050</f>
        <v>1709800</v>
      </c>
      <c r="H1049" s="46">
        <f t="shared" si="93"/>
        <v>1350658.77</v>
      </c>
      <c r="I1049" s="46">
        <f t="shared" si="89"/>
        <v>79</v>
      </c>
    </row>
    <row r="1050" spans="1:9" ht="31.5">
      <c r="A1050" s="5" t="s">
        <v>595</v>
      </c>
      <c r="B1050" s="6" t="s">
        <v>83</v>
      </c>
      <c r="C1050" s="6" t="s">
        <v>877</v>
      </c>
      <c r="D1050" s="6" t="s">
        <v>876</v>
      </c>
      <c r="E1050" s="6" t="s">
        <v>792</v>
      </c>
      <c r="F1050" s="6" t="s">
        <v>596</v>
      </c>
      <c r="G1050" s="46">
        <f t="shared" si="93"/>
        <v>1709800</v>
      </c>
      <c r="H1050" s="46">
        <f t="shared" si="93"/>
        <v>1350658.77</v>
      </c>
      <c r="I1050" s="46">
        <f t="shared" si="89"/>
        <v>79</v>
      </c>
    </row>
    <row r="1051" spans="1:9" ht="63">
      <c r="A1051" s="5" t="s">
        <v>22</v>
      </c>
      <c r="B1051" s="6" t="s">
        <v>83</v>
      </c>
      <c r="C1051" s="6" t="s">
        <v>877</v>
      </c>
      <c r="D1051" s="6" t="s">
        <v>876</v>
      </c>
      <c r="E1051" s="6" t="s">
        <v>792</v>
      </c>
      <c r="F1051" s="6" t="s">
        <v>23</v>
      </c>
      <c r="G1051" s="46">
        <f t="shared" si="93"/>
        <v>1709800</v>
      </c>
      <c r="H1051" s="46">
        <f t="shared" si="93"/>
        <v>1350658.77</v>
      </c>
      <c r="I1051" s="46">
        <f t="shared" si="89"/>
        <v>79</v>
      </c>
    </row>
    <row r="1052" spans="1:9" ht="78.75">
      <c r="A1052" s="5" t="s">
        <v>691</v>
      </c>
      <c r="B1052" s="6" t="s">
        <v>83</v>
      </c>
      <c r="C1052" s="6" t="s">
        <v>877</v>
      </c>
      <c r="D1052" s="6" t="s">
        <v>876</v>
      </c>
      <c r="E1052" s="6" t="s">
        <v>792</v>
      </c>
      <c r="F1052" s="6" t="s">
        <v>690</v>
      </c>
      <c r="G1052" s="46">
        <f>1758700-48900</f>
        <v>1709800</v>
      </c>
      <c r="H1052" s="46">
        <v>1350658.77</v>
      </c>
      <c r="I1052" s="46">
        <f t="shared" si="89"/>
        <v>79</v>
      </c>
    </row>
    <row r="1053" spans="1:9" ht="220.5">
      <c r="A1053" s="40" t="s">
        <v>930</v>
      </c>
      <c r="B1053" s="6" t="s">
        <v>83</v>
      </c>
      <c r="C1053" s="6" t="s">
        <v>877</v>
      </c>
      <c r="D1053" s="6" t="s">
        <v>876</v>
      </c>
      <c r="E1053" s="6" t="s">
        <v>586</v>
      </c>
      <c r="F1053" s="6"/>
      <c r="G1053" s="46">
        <f aca="true" t="shared" si="94" ref="G1053:H1055">G1054</f>
        <v>418700</v>
      </c>
      <c r="H1053" s="46">
        <f t="shared" si="94"/>
        <v>418700</v>
      </c>
      <c r="I1053" s="46">
        <f t="shared" si="89"/>
        <v>100</v>
      </c>
    </row>
    <row r="1054" spans="1:9" ht="31.5">
      <c r="A1054" s="5" t="s">
        <v>595</v>
      </c>
      <c r="B1054" s="6" t="s">
        <v>83</v>
      </c>
      <c r="C1054" s="6" t="s">
        <v>877</v>
      </c>
      <c r="D1054" s="6" t="s">
        <v>876</v>
      </c>
      <c r="E1054" s="6" t="s">
        <v>586</v>
      </c>
      <c r="F1054" s="6" t="s">
        <v>596</v>
      </c>
      <c r="G1054" s="46">
        <f t="shared" si="94"/>
        <v>418700</v>
      </c>
      <c r="H1054" s="46">
        <f t="shared" si="94"/>
        <v>418700</v>
      </c>
      <c r="I1054" s="46">
        <f t="shared" si="89"/>
        <v>100</v>
      </c>
    </row>
    <row r="1055" spans="1:9" ht="63">
      <c r="A1055" s="5" t="s">
        <v>22</v>
      </c>
      <c r="B1055" s="6" t="s">
        <v>83</v>
      </c>
      <c r="C1055" s="6" t="s">
        <v>877</v>
      </c>
      <c r="D1055" s="6" t="s">
        <v>876</v>
      </c>
      <c r="E1055" s="6" t="s">
        <v>586</v>
      </c>
      <c r="F1055" s="6" t="s">
        <v>23</v>
      </c>
      <c r="G1055" s="46">
        <f t="shared" si="94"/>
        <v>418700</v>
      </c>
      <c r="H1055" s="46">
        <f t="shared" si="94"/>
        <v>418700</v>
      </c>
      <c r="I1055" s="46">
        <f t="shared" si="89"/>
        <v>100</v>
      </c>
    </row>
    <row r="1056" spans="1:9" ht="47.25">
      <c r="A1056" s="125" t="s">
        <v>567</v>
      </c>
      <c r="B1056" s="6" t="s">
        <v>83</v>
      </c>
      <c r="C1056" s="6" t="s">
        <v>877</v>
      </c>
      <c r="D1056" s="6" t="s">
        <v>876</v>
      </c>
      <c r="E1056" s="6" t="s">
        <v>586</v>
      </c>
      <c r="F1056" s="6" t="s">
        <v>568</v>
      </c>
      <c r="G1056" s="46">
        <f>418700</f>
        <v>418700</v>
      </c>
      <c r="H1056" s="46">
        <v>418700</v>
      </c>
      <c r="I1056" s="46">
        <f t="shared" si="89"/>
        <v>100</v>
      </c>
    </row>
    <row r="1057" spans="1:11" s="22" customFormat="1" ht="18.75">
      <c r="A1057" s="20" t="s">
        <v>948</v>
      </c>
      <c r="B1057" s="7" t="s">
        <v>83</v>
      </c>
      <c r="C1057" s="7" t="s">
        <v>877</v>
      </c>
      <c r="D1057" s="7" t="s">
        <v>879</v>
      </c>
      <c r="E1057" s="7"/>
      <c r="F1057" s="7"/>
      <c r="G1057" s="45">
        <f>G1058+G1076</f>
        <v>41815200</v>
      </c>
      <c r="H1057" s="45">
        <f>H1058+H1076</f>
        <v>37630360.55</v>
      </c>
      <c r="I1057" s="45">
        <f t="shared" si="89"/>
        <v>89.99</v>
      </c>
      <c r="J1057" s="115"/>
      <c r="K1057" s="188"/>
    </row>
    <row r="1058" spans="1:11" s="24" customFormat="1" ht="110.25">
      <c r="A1058" s="44" t="s">
        <v>636</v>
      </c>
      <c r="B1058" s="6" t="s">
        <v>83</v>
      </c>
      <c r="C1058" s="6" t="s">
        <v>877</v>
      </c>
      <c r="D1058" s="6" t="s">
        <v>879</v>
      </c>
      <c r="E1058" s="6" t="s">
        <v>637</v>
      </c>
      <c r="F1058" s="2"/>
      <c r="G1058" s="46">
        <f>G1059+G1070</f>
        <v>4277728.5</v>
      </c>
      <c r="H1058" s="46">
        <f>H1059+H1070</f>
        <v>4223939.9</v>
      </c>
      <c r="I1058" s="46">
        <f t="shared" si="89"/>
        <v>98.74</v>
      </c>
      <c r="J1058" s="96"/>
      <c r="K1058" s="187"/>
    </row>
    <row r="1059" spans="1:9" ht="15.75">
      <c r="A1059" s="44" t="s">
        <v>907</v>
      </c>
      <c r="B1059" s="6" t="s">
        <v>83</v>
      </c>
      <c r="C1059" s="6" t="s">
        <v>877</v>
      </c>
      <c r="D1059" s="6" t="s">
        <v>879</v>
      </c>
      <c r="E1059" s="6" t="s">
        <v>638</v>
      </c>
      <c r="F1059" s="6"/>
      <c r="G1059" s="46">
        <f>G1060</f>
        <v>4070000</v>
      </c>
      <c r="H1059" s="46">
        <f>H1060</f>
        <v>4070000</v>
      </c>
      <c r="I1059" s="46">
        <f t="shared" si="89"/>
        <v>100</v>
      </c>
    </row>
    <row r="1060" spans="1:9" ht="220.5">
      <c r="A1060" s="3" t="s">
        <v>550</v>
      </c>
      <c r="B1060" s="6" t="s">
        <v>83</v>
      </c>
      <c r="C1060" s="6" t="s">
        <v>877</v>
      </c>
      <c r="D1060" s="6" t="s">
        <v>879</v>
      </c>
      <c r="E1060" s="6" t="s">
        <v>945</v>
      </c>
      <c r="F1060" s="6"/>
      <c r="G1060" s="46">
        <f>G1061+G1065</f>
        <v>4070000</v>
      </c>
      <c r="H1060" s="46">
        <f>H1061+H1065</f>
        <v>4070000</v>
      </c>
      <c r="I1060" s="46">
        <f t="shared" si="89"/>
        <v>100</v>
      </c>
    </row>
    <row r="1061" spans="1:9" ht="157.5">
      <c r="A1061" s="44" t="s">
        <v>663</v>
      </c>
      <c r="B1061" s="6" t="s">
        <v>83</v>
      </c>
      <c r="C1061" s="6" t="s">
        <v>877</v>
      </c>
      <c r="D1061" s="6" t="s">
        <v>879</v>
      </c>
      <c r="E1061" s="6" t="s">
        <v>945</v>
      </c>
      <c r="F1061" s="6" t="s">
        <v>664</v>
      </c>
      <c r="G1061" s="46">
        <f>G1062</f>
        <v>3211203.05</v>
      </c>
      <c r="H1061" s="46">
        <f>H1062</f>
        <v>3211203.0500000003</v>
      </c>
      <c r="I1061" s="46">
        <f t="shared" si="89"/>
        <v>100</v>
      </c>
    </row>
    <row r="1062" spans="1:9" ht="47.25">
      <c r="A1062" s="44" t="s">
        <v>667</v>
      </c>
      <c r="B1062" s="6" t="s">
        <v>83</v>
      </c>
      <c r="C1062" s="6" t="s">
        <v>877</v>
      </c>
      <c r="D1062" s="6" t="s">
        <v>879</v>
      </c>
      <c r="E1062" s="6" t="s">
        <v>945</v>
      </c>
      <c r="F1062" s="6" t="s">
        <v>668</v>
      </c>
      <c r="G1062" s="46">
        <f>G1063+G1064</f>
        <v>3211203.05</v>
      </c>
      <c r="H1062" s="46">
        <f>H1063+H1064</f>
        <v>3211203.0500000003</v>
      </c>
      <c r="I1062" s="46">
        <f t="shared" si="89"/>
        <v>100</v>
      </c>
    </row>
    <row r="1063" spans="1:9" ht="31.5">
      <c r="A1063" s="44" t="s">
        <v>669</v>
      </c>
      <c r="B1063" s="6" t="s">
        <v>83</v>
      </c>
      <c r="C1063" s="6" t="s">
        <v>877</v>
      </c>
      <c r="D1063" s="6" t="s">
        <v>879</v>
      </c>
      <c r="E1063" s="6" t="s">
        <v>945</v>
      </c>
      <c r="F1063" s="6" t="s">
        <v>670</v>
      </c>
      <c r="G1063" s="46">
        <f>3453000-79154.95-61653.75-137453.95</f>
        <v>3174737.3499999996</v>
      </c>
      <c r="H1063" s="46">
        <v>3174737.35</v>
      </c>
      <c r="I1063" s="46">
        <f t="shared" si="89"/>
        <v>100</v>
      </c>
    </row>
    <row r="1064" spans="1:9" ht="47.25">
      <c r="A1064" s="44" t="s">
        <v>671</v>
      </c>
      <c r="B1064" s="6" t="s">
        <v>83</v>
      </c>
      <c r="C1064" s="6" t="s">
        <v>877</v>
      </c>
      <c r="D1064" s="6" t="s">
        <v>879</v>
      </c>
      <c r="E1064" s="6" t="s">
        <v>945</v>
      </c>
      <c r="F1064" s="6" t="s">
        <v>672</v>
      </c>
      <c r="G1064" s="46">
        <f>88500-12000-39134.3-900</f>
        <v>36465.7</v>
      </c>
      <c r="H1064" s="46">
        <v>36465.7</v>
      </c>
      <c r="I1064" s="46">
        <f t="shared" si="89"/>
        <v>100</v>
      </c>
    </row>
    <row r="1065" spans="1:9" ht="47.25">
      <c r="A1065" s="44" t="s">
        <v>673</v>
      </c>
      <c r="B1065" s="6" t="s">
        <v>83</v>
      </c>
      <c r="C1065" s="6" t="s">
        <v>877</v>
      </c>
      <c r="D1065" s="6" t="s">
        <v>879</v>
      </c>
      <c r="E1065" s="6" t="s">
        <v>945</v>
      </c>
      <c r="F1065" s="6" t="s">
        <v>674</v>
      </c>
      <c r="G1065" s="46">
        <f>G1066</f>
        <v>858796.95</v>
      </c>
      <c r="H1065" s="46">
        <f>H1066</f>
        <v>858796.95</v>
      </c>
      <c r="I1065" s="46">
        <f t="shared" si="89"/>
        <v>100</v>
      </c>
    </row>
    <row r="1066" spans="1:9" ht="47.25">
      <c r="A1066" s="44" t="s">
        <v>675</v>
      </c>
      <c r="B1066" s="6" t="s">
        <v>83</v>
      </c>
      <c r="C1066" s="6" t="s">
        <v>877</v>
      </c>
      <c r="D1066" s="6" t="s">
        <v>879</v>
      </c>
      <c r="E1066" s="6" t="s">
        <v>945</v>
      </c>
      <c r="F1066" s="6" t="s">
        <v>676</v>
      </c>
      <c r="G1066" s="46">
        <f>G1067+G1068</f>
        <v>858796.95</v>
      </c>
      <c r="H1066" s="46">
        <f>H1067+H1068</f>
        <v>858796.95</v>
      </c>
      <c r="I1066" s="46">
        <f t="shared" si="89"/>
        <v>100</v>
      </c>
    </row>
    <row r="1067" spans="1:9" ht="78.75">
      <c r="A1067" s="3" t="s">
        <v>679</v>
      </c>
      <c r="B1067" s="6" t="s">
        <v>83</v>
      </c>
      <c r="C1067" s="6" t="s">
        <v>877</v>
      </c>
      <c r="D1067" s="6" t="s">
        <v>879</v>
      </c>
      <c r="E1067" s="6" t="s">
        <v>945</v>
      </c>
      <c r="F1067" s="6" t="s">
        <v>680</v>
      </c>
      <c r="G1067" s="46">
        <f>239280-2100+25000+27100+25000+39680+115645.33</f>
        <v>469605.33</v>
      </c>
      <c r="H1067" s="46">
        <v>469605.33</v>
      </c>
      <c r="I1067" s="46">
        <f t="shared" si="89"/>
        <v>100</v>
      </c>
    </row>
    <row r="1068" spans="1:9" ht="47.25">
      <c r="A1068" s="44" t="s">
        <v>677</v>
      </c>
      <c r="B1068" s="6" t="s">
        <v>83</v>
      </c>
      <c r="C1068" s="6" t="s">
        <v>877</v>
      </c>
      <c r="D1068" s="6" t="s">
        <v>879</v>
      </c>
      <c r="E1068" s="6" t="s">
        <v>945</v>
      </c>
      <c r="F1068" s="6" t="s">
        <v>678</v>
      </c>
      <c r="G1068" s="46">
        <f>289220+14100+21048+29115+13000+22708.62</f>
        <v>389191.62</v>
      </c>
      <c r="H1068" s="46">
        <v>389191.62</v>
      </c>
      <c r="I1068" s="46">
        <f t="shared" si="89"/>
        <v>100</v>
      </c>
    </row>
    <row r="1069" spans="1:9" ht="47.25">
      <c r="A1069" s="5" t="s">
        <v>853</v>
      </c>
      <c r="B1069" s="6" t="s">
        <v>83</v>
      </c>
      <c r="C1069" s="6" t="s">
        <v>877</v>
      </c>
      <c r="D1069" s="6" t="s">
        <v>879</v>
      </c>
      <c r="E1069" s="6" t="s">
        <v>854</v>
      </c>
      <c r="F1069" s="6"/>
      <c r="G1069" s="46">
        <f>G1070</f>
        <v>207728.5</v>
      </c>
      <c r="H1069" s="46">
        <f>H1070</f>
        <v>153939.9</v>
      </c>
      <c r="I1069" s="46">
        <f t="shared" si="89"/>
        <v>74.11</v>
      </c>
    </row>
    <row r="1070" spans="1:9" ht="236.25">
      <c r="A1070" s="44" t="s">
        <v>501</v>
      </c>
      <c r="B1070" s="6" t="s">
        <v>83</v>
      </c>
      <c r="C1070" s="6" t="s">
        <v>877</v>
      </c>
      <c r="D1070" s="6" t="s">
        <v>879</v>
      </c>
      <c r="E1070" s="6" t="s">
        <v>618</v>
      </c>
      <c r="F1070" s="6"/>
      <c r="G1070" s="46">
        <f aca="true" t="shared" si="95" ref="G1070:H1072">G1071</f>
        <v>207728.5</v>
      </c>
      <c r="H1070" s="46">
        <f t="shared" si="95"/>
        <v>153939.9</v>
      </c>
      <c r="I1070" s="46">
        <f t="shared" si="89"/>
        <v>74.11</v>
      </c>
    </row>
    <row r="1071" spans="1:9" ht="78.75">
      <c r="A1071" s="5" t="s">
        <v>936</v>
      </c>
      <c r="B1071" s="6" t="s">
        <v>83</v>
      </c>
      <c r="C1071" s="6" t="s">
        <v>877</v>
      </c>
      <c r="D1071" s="6" t="s">
        <v>879</v>
      </c>
      <c r="E1071" s="6" t="s">
        <v>618</v>
      </c>
      <c r="F1071" s="6" t="s">
        <v>685</v>
      </c>
      <c r="G1071" s="46">
        <f>G1072+G1074</f>
        <v>207728.5</v>
      </c>
      <c r="H1071" s="46">
        <f>H1072+H1074</f>
        <v>153939.9</v>
      </c>
      <c r="I1071" s="46">
        <f t="shared" si="89"/>
        <v>74.11</v>
      </c>
    </row>
    <row r="1072" spans="1:9" ht="31.5">
      <c r="A1072" s="122" t="s">
        <v>45</v>
      </c>
      <c r="B1072" s="6" t="s">
        <v>83</v>
      </c>
      <c r="C1072" s="6" t="s">
        <v>877</v>
      </c>
      <c r="D1072" s="6" t="s">
        <v>879</v>
      </c>
      <c r="E1072" s="6" t="s">
        <v>618</v>
      </c>
      <c r="F1072" s="6" t="s">
        <v>686</v>
      </c>
      <c r="G1072" s="46">
        <f t="shared" si="95"/>
        <v>187464.5</v>
      </c>
      <c r="H1072" s="46">
        <f t="shared" si="95"/>
        <v>133675.9</v>
      </c>
      <c r="I1072" s="46">
        <f t="shared" si="89"/>
        <v>71.31</v>
      </c>
    </row>
    <row r="1073" spans="1:9" ht="47.25">
      <c r="A1073" s="5" t="s">
        <v>46</v>
      </c>
      <c r="B1073" s="6" t="s">
        <v>83</v>
      </c>
      <c r="C1073" s="6" t="s">
        <v>877</v>
      </c>
      <c r="D1073" s="6" t="s">
        <v>879</v>
      </c>
      <c r="E1073" s="6" t="s">
        <v>618</v>
      </c>
      <c r="F1073" s="6" t="s">
        <v>57</v>
      </c>
      <c r="G1073" s="46">
        <f>212700-20264-4971.5</f>
        <v>187464.5</v>
      </c>
      <c r="H1073" s="46">
        <v>133675.9</v>
      </c>
      <c r="I1073" s="46">
        <f t="shared" si="89"/>
        <v>71.31</v>
      </c>
    </row>
    <row r="1074" spans="1:9" ht="31.5">
      <c r="A1074" s="98" t="s">
        <v>55</v>
      </c>
      <c r="B1074" s="6" t="s">
        <v>83</v>
      </c>
      <c r="C1074" s="6" t="s">
        <v>877</v>
      </c>
      <c r="D1074" s="6" t="s">
        <v>879</v>
      </c>
      <c r="E1074" s="6" t="s">
        <v>618</v>
      </c>
      <c r="F1074" s="6" t="s">
        <v>58</v>
      </c>
      <c r="G1074" s="46">
        <f>G1075</f>
        <v>20264</v>
      </c>
      <c r="H1074" s="46">
        <f>H1075</f>
        <v>20264</v>
      </c>
      <c r="I1074" s="46">
        <f t="shared" si="89"/>
        <v>100</v>
      </c>
    </row>
    <row r="1075" spans="1:9" ht="47.25">
      <c r="A1075" s="98" t="s">
        <v>56</v>
      </c>
      <c r="B1075" s="6" t="s">
        <v>83</v>
      </c>
      <c r="C1075" s="6" t="s">
        <v>877</v>
      </c>
      <c r="D1075" s="6" t="s">
        <v>879</v>
      </c>
      <c r="E1075" s="6" t="s">
        <v>618</v>
      </c>
      <c r="F1075" s="6" t="s">
        <v>59</v>
      </c>
      <c r="G1075" s="46">
        <v>20264</v>
      </c>
      <c r="H1075" s="46">
        <v>20264</v>
      </c>
      <c r="I1075" s="46">
        <f t="shared" si="89"/>
        <v>100</v>
      </c>
    </row>
    <row r="1076" spans="1:11" s="22" customFormat="1" ht="31.5">
      <c r="A1076" s="126" t="s">
        <v>463</v>
      </c>
      <c r="B1076" s="7" t="s">
        <v>83</v>
      </c>
      <c r="C1076" s="7" t="s">
        <v>877</v>
      </c>
      <c r="D1076" s="7" t="s">
        <v>879</v>
      </c>
      <c r="E1076" s="7" t="s">
        <v>462</v>
      </c>
      <c r="F1076" s="7"/>
      <c r="G1076" s="45">
        <f>G1077+G1094</f>
        <v>37537471.5</v>
      </c>
      <c r="H1076" s="45">
        <f>H1077+H1094</f>
        <v>33406420.65</v>
      </c>
      <c r="I1076" s="45">
        <f t="shared" si="89"/>
        <v>88.99</v>
      </c>
      <c r="J1076" s="115"/>
      <c r="K1076" s="188"/>
    </row>
    <row r="1077" spans="1:11" s="22" customFormat="1" ht="110.25">
      <c r="A1077" s="125" t="s">
        <v>547</v>
      </c>
      <c r="B1077" s="6" t="s">
        <v>83</v>
      </c>
      <c r="C1077" s="6" t="s">
        <v>877</v>
      </c>
      <c r="D1077" s="6" t="s">
        <v>879</v>
      </c>
      <c r="E1077" s="6" t="s">
        <v>19</v>
      </c>
      <c r="F1077" s="6"/>
      <c r="G1077" s="46">
        <f>G1078+G1082+G1086+G1090</f>
        <v>23548300</v>
      </c>
      <c r="H1077" s="46">
        <f>H1078+H1082+H1086+H1090</f>
        <v>22883525.619999997</v>
      </c>
      <c r="I1077" s="46">
        <f t="shared" si="89"/>
        <v>97.18</v>
      </c>
      <c r="J1077" s="115"/>
      <c r="K1077" s="188"/>
    </row>
    <row r="1078" spans="1:11" s="22" customFormat="1" ht="173.25">
      <c r="A1078" s="125" t="s">
        <v>453</v>
      </c>
      <c r="B1078" s="6" t="s">
        <v>83</v>
      </c>
      <c r="C1078" s="6" t="s">
        <v>877</v>
      </c>
      <c r="D1078" s="6" t="s">
        <v>879</v>
      </c>
      <c r="E1078" s="6" t="s">
        <v>717</v>
      </c>
      <c r="F1078" s="6"/>
      <c r="G1078" s="46">
        <f aca="true" t="shared" si="96" ref="G1078:H1080">G1079</f>
        <v>356100</v>
      </c>
      <c r="H1078" s="46">
        <f t="shared" si="96"/>
        <v>298531.88</v>
      </c>
      <c r="I1078" s="46">
        <f t="shared" si="89"/>
        <v>83.83</v>
      </c>
      <c r="J1078" s="115"/>
      <c r="K1078" s="188"/>
    </row>
    <row r="1079" spans="1:11" s="22" customFormat="1" ht="47.25">
      <c r="A1079" s="125" t="s">
        <v>673</v>
      </c>
      <c r="B1079" s="6" t="s">
        <v>83</v>
      </c>
      <c r="C1079" s="6" t="s">
        <v>877</v>
      </c>
      <c r="D1079" s="6" t="s">
        <v>879</v>
      </c>
      <c r="E1079" s="6" t="s">
        <v>717</v>
      </c>
      <c r="F1079" s="6" t="s">
        <v>674</v>
      </c>
      <c r="G1079" s="46">
        <f t="shared" si="96"/>
        <v>356100</v>
      </c>
      <c r="H1079" s="46">
        <f t="shared" si="96"/>
        <v>298531.88</v>
      </c>
      <c r="I1079" s="46">
        <f t="shared" si="89"/>
        <v>83.83</v>
      </c>
      <c r="J1079" s="115"/>
      <c r="K1079" s="188"/>
    </row>
    <row r="1080" spans="1:11" s="22" customFormat="1" ht="47.25">
      <c r="A1080" s="125" t="s">
        <v>675</v>
      </c>
      <c r="B1080" s="6" t="s">
        <v>83</v>
      </c>
      <c r="C1080" s="6" t="s">
        <v>877</v>
      </c>
      <c r="D1080" s="6" t="s">
        <v>879</v>
      </c>
      <c r="E1080" s="6" t="s">
        <v>717</v>
      </c>
      <c r="F1080" s="6" t="s">
        <v>676</v>
      </c>
      <c r="G1080" s="46">
        <f t="shared" si="96"/>
        <v>356100</v>
      </c>
      <c r="H1080" s="46">
        <f t="shared" si="96"/>
        <v>298531.88</v>
      </c>
      <c r="I1080" s="46">
        <f t="shared" si="89"/>
        <v>83.83</v>
      </c>
      <c r="J1080" s="115"/>
      <c r="K1080" s="188"/>
    </row>
    <row r="1081" spans="1:11" s="22" customFormat="1" ht="47.25">
      <c r="A1081" s="125" t="s">
        <v>677</v>
      </c>
      <c r="B1081" s="6" t="s">
        <v>83</v>
      </c>
      <c r="C1081" s="6" t="s">
        <v>877</v>
      </c>
      <c r="D1081" s="6" t="s">
        <v>879</v>
      </c>
      <c r="E1081" s="6" t="s">
        <v>717</v>
      </c>
      <c r="F1081" s="6" t="s">
        <v>678</v>
      </c>
      <c r="G1081" s="46">
        <f>926000-569900</f>
        <v>356100</v>
      </c>
      <c r="H1081" s="46">
        <v>298531.88</v>
      </c>
      <c r="I1081" s="46">
        <f t="shared" si="89"/>
        <v>83.83</v>
      </c>
      <c r="J1081" s="115"/>
      <c r="K1081" s="188"/>
    </row>
    <row r="1082" spans="1:11" s="22" customFormat="1" ht="78.75">
      <c r="A1082" s="5" t="s">
        <v>903</v>
      </c>
      <c r="B1082" s="6" t="s">
        <v>83</v>
      </c>
      <c r="C1082" s="6" t="s">
        <v>877</v>
      </c>
      <c r="D1082" s="6" t="s">
        <v>879</v>
      </c>
      <c r="E1082" s="6" t="s">
        <v>712</v>
      </c>
      <c r="F1082" s="6"/>
      <c r="G1082" s="46">
        <f aca="true" t="shared" si="97" ref="G1082:H1084">G1083</f>
        <v>4847000</v>
      </c>
      <c r="H1082" s="46">
        <f t="shared" si="97"/>
        <v>4751513.92</v>
      </c>
      <c r="I1082" s="46">
        <f t="shared" si="89"/>
        <v>98.03</v>
      </c>
      <c r="J1082" s="115"/>
      <c r="K1082" s="188"/>
    </row>
    <row r="1083" spans="1:11" s="22" customFormat="1" ht="31.5">
      <c r="A1083" s="125" t="s">
        <v>595</v>
      </c>
      <c r="B1083" s="6" t="s">
        <v>83</v>
      </c>
      <c r="C1083" s="6" t="s">
        <v>877</v>
      </c>
      <c r="D1083" s="6" t="s">
        <v>879</v>
      </c>
      <c r="E1083" s="6" t="s">
        <v>712</v>
      </c>
      <c r="F1083" s="6" t="s">
        <v>596</v>
      </c>
      <c r="G1083" s="46">
        <f t="shared" si="97"/>
        <v>4847000</v>
      </c>
      <c r="H1083" s="46">
        <f t="shared" si="97"/>
        <v>4751513.92</v>
      </c>
      <c r="I1083" s="46">
        <f t="shared" si="89"/>
        <v>98.03</v>
      </c>
      <c r="J1083" s="115"/>
      <c r="K1083" s="188"/>
    </row>
    <row r="1084" spans="1:11" s="22" customFormat="1" ht="47.25">
      <c r="A1084" s="125" t="s">
        <v>609</v>
      </c>
      <c r="B1084" s="6" t="s">
        <v>83</v>
      </c>
      <c r="C1084" s="6" t="s">
        <v>877</v>
      </c>
      <c r="D1084" s="6" t="s">
        <v>879</v>
      </c>
      <c r="E1084" s="6" t="s">
        <v>712</v>
      </c>
      <c r="F1084" s="6" t="s">
        <v>610</v>
      </c>
      <c r="G1084" s="46">
        <f t="shared" si="97"/>
        <v>4847000</v>
      </c>
      <c r="H1084" s="46">
        <f t="shared" si="97"/>
        <v>4751513.92</v>
      </c>
      <c r="I1084" s="46">
        <f t="shared" si="89"/>
        <v>98.03</v>
      </c>
      <c r="J1084" s="115"/>
      <c r="K1084" s="188"/>
    </row>
    <row r="1085" spans="1:11" s="22" customFormat="1" ht="63">
      <c r="A1085" s="125" t="s">
        <v>713</v>
      </c>
      <c r="B1085" s="6" t="s">
        <v>83</v>
      </c>
      <c r="C1085" s="6" t="s">
        <v>877</v>
      </c>
      <c r="D1085" s="6" t="s">
        <v>879</v>
      </c>
      <c r="E1085" s="6" t="s">
        <v>712</v>
      </c>
      <c r="F1085" s="6" t="s">
        <v>714</v>
      </c>
      <c r="G1085" s="46">
        <f>4367000+480000</f>
        <v>4847000</v>
      </c>
      <c r="H1085" s="46">
        <v>4751513.92</v>
      </c>
      <c r="I1085" s="46">
        <f t="shared" si="89"/>
        <v>98.03</v>
      </c>
      <c r="J1085" s="115"/>
      <c r="K1085" s="188"/>
    </row>
    <row r="1086" spans="1:11" s="22" customFormat="1" ht="157.5">
      <c r="A1086" s="125" t="s">
        <v>91</v>
      </c>
      <c r="B1086" s="6" t="s">
        <v>83</v>
      </c>
      <c r="C1086" s="6" t="s">
        <v>877</v>
      </c>
      <c r="D1086" s="6" t="s">
        <v>879</v>
      </c>
      <c r="E1086" s="6" t="s">
        <v>715</v>
      </c>
      <c r="F1086" s="6"/>
      <c r="G1086" s="46">
        <f aca="true" t="shared" si="98" ref="G1086:H1088">G1087</f>
        <v>8380000</v>
      </c>
      <c r="H1086" s="46">
        <f t="shared" si="98"/>
        <v>8168393.62</v>
      </c>
      <c r="I1086" s="46">
        <f t="shared" si="89"/>
        <v>97.47</v>
      </c>
      <c r="J1086" s="115"/>
      <c r="K1086" s="188"/>
    </row>
    <row r="1087" spans="1:11" s="22" customFormat="1" ht="47.25">
      <c r="A1087" s="125" t="s">
        <v>673</v>
      </c>
      <c r="B1087" s="6" t="s">
        <v>83</v>
      </c>
      <c r="C1087" s="6" t="s">
        <v>877</v>
      </c>
      <c r="D1087" s="6" t="s">
        <v>879</v>
      </c>
      <c r="E1087" s="6" t="s">
        <v>715</v>
      </c>
      <c r="F1087" s="6" t="s">
        <v>674</v>
      </c>
      <c r="G1087" s="46">
        <f t="shared" si="98"/>
        <v>8380000</v>
      </c>
      <c r="H1087" s="46">
        <f t="shared" si="98"/>
        <v>8168393.62</v>
      </c>
      <c r="I1087" s="46">
        <f t="shared" si="89"/>
        <v>97.47</v>
      </c>
      <c r="J1087" s="115"/>
      <c r="K1087" s="188"/>
    </row>
    <row r="1088" spans="1:11" s="22" customFormat="1" ht="47.25">
      <c r="A1088" s="125" t="s">
        <v>675</v>
      </c>
      <c r="B1088" s="6" t="s">
        <v>83</v>
      </c>
      <c r="C1088" s="6" t="s">
        <v>877</v>
      </c>
      <c r="D1088" s="6" t="s">
        <v>879</v>
      </c>
      <c r="E1088" s="6" t="s">
        <v>715</v>
      </c>
      <c r="F1088" s="6" t="s">
        <v>676</v>
      </c>
      <c r="G1088" s="46">
        <f t="shared" si="98"/>
        <v>8380000</v>
      </c>
      <c r="H1088" s="46">
        <f t="shared" si="98"/>
        <v>8168393.62</v>
      </c>
      <c r="I1088" s="46">
        <f t="shared" si="89"/>
        <v>97.47</v>
      </c>
      <c r="J1088" s="115"/>
      <c r="K1088" s="188"/>
    </row>
    <row r="1089" spans="1:11" s="22" customFormat="1" ht="47.25">
      <c r="A1089" s="125" t="s">
        <v>677</v>
      </c>
      <c r="B1089" s="6" t="s">
        <v>83</v>
      </c>
      <c r="C1089" s="6" t="s">
        <v>877</v>
      </c>
      <c r="D1089" s="6" t="s">
        <v>879</v>
      </c>
      <c r="E1089" s="6" t="s">
        <v>715</v>
      </c>
      <c r="F1089" s="6" t="s">
        <v>678</v>
      </c>
      <c r="G1089" s="46">
        <f>7280000+1100000</f>
        <v>8380000</v>
      </c>
      <c r="H1089" s="46">
        <v>8168393.62</v>
      </c>
      <c r="I1089" s="46">
        <f t="shared" si="89"/>
        <v>97.47</v>
      </c>
      <c r="J1089" s="115"/>
      <c r="K1089" s="188"/>
    </row>
    <row r="1090" spans="1:11" s="22" customFormat="1" ht="78.75">
      <c r="A1090" s="125" t="s">
        <v>902</v>
      </c>
      <c r="B1090" s="6" t="s">
        <v>83</v>
      </c>
      <c r="C1090" s="6" t="s">
        <v>877</v>
      </c>
      <c r="D1090" s="6" t="s">
        <v>879</v>
      </c>
      <c r="E1090" s="6" t="s">
        <v>716</v>
      </c>
      <c r="F1090" s="6"/>
      <c r="G1090" s="46">
        <f aca="true" t="shared" si="99" ref="G1090:H1092">G1091</f>
        <v>9965200</v>
      </c>
      <c r="H1090" s="46">
        <f t="shared" si="99"/>
        <v>9665086.2</v>
      </c>
      <c r="I1090" s="46">
        <f t="shared" si="89"/>
        <v>96.99</v>
      </c>
      <c r="J1090" s="115"/>
      <c r="K1090" s="188"/>
    </row>
    <row r="1091" spans="1:11" s="22" customFormat="1" ht="31.5">
      <c r="A1091" s="125" t="s">
        <v>595</v>
      </c>
      <c r="B1091" s="6" t="s">
        <v>83</v>
      </c>
      <c r="C1091" s="6" t="s">
        <v>877</v>
      </c>
      <c r="D1091" s="6" t="s">
        <v>879</v>
      </c>
      <c r="E1091" s="6" t="s">
        <v>716</v>
      </c>
      <c r="F1091" s="6" t="s">
        <v>596</v>
      </c>
      <c r="G1091" s="46">
        <f t="shared" si="99"/>
        <v>9965200</v>
      </c>
      <c r="H1091" s="46">
        <f t="shared" si="99"/>
        <v>9665086.2</v>
      </c>
      <c r="I1091" s="46">
        <f t="shared" si="89"/>
        <v>96.99</v>
      </c>
      <c r="J1091" s="115"/>
      <c r="K1091" s="188"/>
    </row>
    <row r="1092" spans="1:11" s="22" customFormat="1" ht="47.25">
      <c r="A1092" s="125" t="s">
        <v>609</v>
      </c>
      <c r="B1092" s="6" t="s">
        <v>83</v>
      </c>
      <c r="C1092" s="6" t="s">
        <v>877</v>
      </c>
      <c r="D1092" s="6" t="s">
        <v>879</v>
      </c>
      <c r="E1092" s="6" t="s">
        <v>716</v>
      </c>
      <c r="F1092" s="6" t="s">
        <v>610</v>
      </c>
      <c r="G1092" s="46">
        <f t="shared" si="99"/>
        <v>9965200</v>
      </c>
      <c r="H1092" s="46">
        <f t="shared" si="99"/>
        <v>9665086.2</v>
      </c>
      <c r="I1092" s="46">
        <f t="shared" si="89"/>
        <v>96.99</v>
      </c>
      <c r="J1092" s="115"/>
      <c r="K1092" s="188"/>
    </row>
    <row r="1093" spans="1:11" s="22" customFormat="1" ht="63">
      <c r="A1093" s="125" t="s">
        <v>713</v>
      </c>
      <c r="B1093" s="6" t="s">
        <v>83</v>
      </c>
      <c r="C1093" s="6" t="s">
        <v>877</v>
      </c>
      <c r="D1093" s="6" t="s">
        <v>879</v>
      </c>
      <c r="E1093" s="6" t="s">
        <v>716</v>
      </c>
      <c r="F1093" s="6" t="s">
        <v>714</v>
      </c>
      <c r="G1093" s="46">
        <f>12185000-639800-1580000</f>
        <v>9965200</v>
      </c>
      <c r="H1093" s="46">
        <v>9665086.2</v>
      </c>
      <c r="I1093" s="46">
        <f t="shared" si="89"/>
        <v>96.99</v>
      </c>
      <c r="J1093" s="115"/>
      <c r="K1093" s="188"/>
    </row>
    <row r="1094" spans="1:11" s="22" customFormat="1" ht="110.25">
      <c r="A1094" s="34" t="s">
        <v>546</v>
      </c>
      <c r="B1094" s="33" t="s">
        <v>83</v>
      </c>
      <c r="C1094" s="33" t="s">
        <v>877</v>
      </c>
      <c r="D1094" s="33" t="s">
        <v>879</v>
      </c>
      <c r="E1094" s="33" t="s">
        <v>61</v>
      </c>
      <c r="F1094" s="33"/>
      <c r="G1094" s="55">
        <f>G1095+G1099</f>
        <v>13989171.5</v>
      </c>
      <c r="H1094" s="55">
        <f>H1095+H1099</f>
        <v>10522895.03</v>
      </c>
      <c r="I1094" s="55">
        <f t="shared" si="89"/>
        <v>75.22</v>
      </c>
      <c r="J1094" s="115"/>
      <c r="K1094" s="188"/>
    </row>
    <row r="1095" spans="1:11" s="22" customFormat="1" ht="173.25">
      <c r="A1095" s="40" t="s">
        <v>710</v>
      </c>
      <c r="B1095" s="6" t="s">
        <v>83</v>
      </c>
      <c r="C1095" s="6" t="s">
        <v>877</v>
      </c>
      <c r="D1095" s="6" t="s">
        <v>879</v>
      </c>
      <c r="E1095" s="6" t="s">
        <v>692</v>
      </c>
      <c r="F1095" s="6"/>
      <c r="G1095" s="46">
        <f aca="true" t="shared" si="100" ref="G1095:H1097">G1096</f>
        <v>139071.5</v>
      </c>
      <c r="H1095" s="46">
        <f t="shared" si="100"/>
        <v>59987.01</v>
      </c>
      <c r="I1095" s="46">
        <f t="shared" si="89"/>
        <v>43.13</v>
      </c>
      <c r="J1095" s="115"/>
      <c r="K1095" s="188"/>
    </row>
    <row r="1096" spans="1:11" s="22" customFormat="1" ht="31.5">
      <c r="A1096" s="5" t="s">
        <v>595</v>
      </c>
      <c r="B1096" s="6" t="s">
        <v>83</v>
      </c>
      <c r="C1096" s="6" t="s">
        <v>877</v>
      </c>
      <c r="D1096" s="6" t="s">
        <v>879</v>
      </c>
      <c r="E1096" s="6" t="s">
        <v>692</v>
      </c>
      <c r="F1096" s="6" t="s">
        <v>596</v>
      </c>
      <c r="G1096" s="46">
        <f t="shared" si="100"/>
        <v>139071.5</v>
      </c>
      <c r="H1096" s="46">
        <f t="shared" si="100"/>
        <v>59987.01</v>
      </c>
      <c r="I1096" s="46">
        <f aca="true" t="shared" si="101" ref="I1096:I1159">ROUND(H1096/G1096*100,2)</f>
        <v>43.13</v>
      </c>
      <c r="J1096" s="115"/>
      <c r="K1096" s="188"/>
    </row>
    <row r="1097" spans="1:11" s="22" customFormat="1" ht="63">
      <c r="A1097" s="5" t="s">
        <v>22</v>
      </c>
      <c r="B1097" s="6" t="s">
        <v>83</v>
      </c>
      <c r="C1097" s="6" t="s">
        <v>877</v>
      </c>
      <c r="D1097" s="6" t="s">
        <v>879</v>
      </c>
      <c r="E1097" s="6" t="s">
        <v>692</v>
      </c>
      <c r="F1097" s="6" t="s">
        <v>23</v>
      </c>
      <c r="G1097" s="46">
        <f t="shared" si="100"/>
        <v>139071.5</v>
      </c>
      <c r="H1097" s="46">
        <f t="shared" si="100"/>
        <v>59987.01</v>
      </c>
      <c r="I1097" s="46">
        <f t="shared" si="101"/>
        <v>43.13</v>
      </c>
      <c r="J1097" s="115"/>
      <c r="K1097" s="188"/>
    </row>
    <row r="1098" spans="1:11" s="22" customFormat="1" ht="78.75">
      <c r="A1098" s="5" t="s">
        <v>691</v>
      </c>
      <c r="B1098" s="6" t="s">
        <v>83</v>
      </c>
      <c r="C1098" s="6" t="s">
        <v>877</v>
      </c>
      <c r="D1098" s="6" t="s">
        <v>879</v>
      </c>
      <c r="E1098" s="6" t="s">
        <v>692</v>
      </c>
      <c r="F1098" s="6" t="s">
        <v>690</v>
      </c>
      <c r="G1098" s="46">
        <f>141800-2728.5</f>
        <v>139071.5</v>
      </c>
      <c r="H1098" s="46">
        <v>59987.01</v>
      </c>
      <c r="I1098" s="46">
        <f t="shared" si="101"/>
        <v>43.13</v>
      </c>
      <c r="J1098" s="115"/>
      <c r="K1098" s="188"/>
    </row>
    <row r="1099" spans="1:11" s="22" customFormat="1" ht="173.25">
      <c r="A1099" s="5" t="s">
        <v>693</v>
      </c>
      <c r="B1099" s="6" t="s">
        <v>83</v>
      </c>
      <c r="C1099" s="6" t="s">
        <v>877</v>
      </c>
      <c r="D1099" s="6" t="s">
        <v>879</v>
      </c>
      <c r="E1099" s="6" t="s">
        <v>711</v>
      </c>
      <c r="F1099" s="6"/>
      <c r="G1099" s="46">
        <f aca="true" t="shared" si="102" ref="G1099:H1101">G1100</f>
        <v>13850100</v>
      </c>
      <c r="H1099" s="46">
        <f t="shared" si="102"/>
        <v>10462908.02</v>
      </c>
      <c r="I1099" s="46">
        <f t="shared" si="101"/>
        <v>75.54</v>
      </c>
      <c r="J1099" s="115"/>
      <c r="K1099" s="188"/>
    </row>
    <row r="1100" spans="1:11" s="22" customFormat="1" ht="31.5">
      <c r="A1100" s="5" t="s">
        <v>595</v>
      </c>
      <c r="B1100" s="6" t="s">
        <v>83</v>
      </c>
      <c r="C1100" s="6" t="s">
        <v>877</v>
      </c>
      <c r="D1100" s="6" t="s">
        <v>879</v>
      </c>
      <c r="E1100" s="6" t="s">
        <v>711</v>
      </c>
      <c r="F1100" s="6" t="s">
        <v>596</v>
      </c>
      <c r="G1100" s="46">
        <f t="shared" si="102"/>
        <v>13850100</v>
      </c>
      <c r="H1100" s="46">
        <f t="shared" si="102"/>
        <v>10462908.02</v>
      </c>
      <c r="I1100" s="46">
        <f t="shared" si="101"/>
        <v>75.54</v>
      </c>
      <c r="J1100" s="115"/>
      <c r="K1100" s="188"/>
    </row>
    <row r="1101" spans="1:11" s="22" customFormat="1" ht="63">
      <c r="A1101" s="5" t="s">
        <v>22</v>
      </c>
      <c r="B1101" s="6" t="s">
        <v>83</v>
      </c>
      <c r="C1101" s="6" t="s">
        <v>877</v>
      </c>
      <c r="D1101" s="6" t="s">
        <v>879</v>
      </c>
      <c r="E1101" s="6" t="s">
        <v>711</v>
      </c>
      <c r="F1101" s="6" t="s">
        <v>23</v>
      </c>
      <c r="G1101" s="46">
        <f t="shared" si="102"/>
        <v>13850100</v>
      </c>
      <c r="H1101" s="46">
        <f t="shared" si="102"/>
        <v>10462908.02</v>
      </c>
      <c r="I1101" s="46">
        <f t="shared" si="101"/>
        <v>75.54</v>
      </c>
      <c r="J1101" s="115"/>
      <c r="K1101" s="188"/>
    </row>
    <row r="1102" spans="1:11" s="22" customFormat="1" ht="78.75">
      <c r="A1102" s="5" t="s">
        <v>691</v>
      </c>
      <c r="B1102" s="6" t="s">
        <v>83</v>
      </c>
      <c r="C1102" s="6" t="s">
        <v>877</v>
      </c>
      <c r="D1102" s="6" t="s">
        <v>879</v>
      </c>
      <c r="E1102" s="6" t="s">
        <v>711</v>
      </c>
      <c r="F1102" s="6" t="s">
        <v>690</v>
      </c>
      <c r="G1102" s="46">
        <f>14181600-331500</f>
        <v>13850100</v>
      </c>
      <c r="H1102" s="46">
        <v>10462908.02</v>
      </c>
      <c r="I1102" s="46">
        <f t="shared" si="101"/>
        <v>75.54</v>
      </c>
      <c r="J1102" s="115"/>
      <c r="K1102" s="188"/>
    </row>
    <row r="1103" spans="1:11" s="41" customFormat="1" ht="136.5">
      <c r="A1103" s="51" t="s">
        <v>942</v>
      </c>
      <c r="B1103" s="36" t="s">
        <v>80</v>
      </c>
      <c r="C1103" s="36"/>
      <c r="D1103" s="36"/>
      <c r="E1103" s="36"/>
      <c r="F1103" s="36"/>
      <c r="G1103" s="57">
        <f>G1104+G1144+G1154+G1227+G1310+G1324</f>
        <v>239103535.17000002</v>
      </c>
      <c r="H1103" s="57">
        <f>H1104+H1144+H1154+H1227+H1310+H1324</f>
        <v>238521310.4</v>
      </c>
      <c r="I1103" s="57">
        <f t="shared" si="101"/>
        <v>99.76</v>
      </c>
      <c r="J1103" s="118"/>
      <c r="K1103" s="192"/>
    </row>
    <row r="1104" spans="1:11" s="22" customFormat="1" ht="31.5">
      <c r="A1104" s="39" t="s">
        <v>890</v>
      </c>
      <c r="B1104" s="10" t="s">
        <v>80</v>
      </c>
      <c r="C1104" s="10" t="s">
        <v>869</v>
      </c>
      <c r="D1104" s="10"/>
      <c r="E1104" s="10"/>
      <c r="F1104" s="10"/>
      <c r="G1104" s="54">
        <f>G1105+G1120</f>
        <v>7581522</v>
      </c>
      <c r="H1104" s="54">
        <f>H1105+H1120</f>
        <v>7517454.14</v>
      </c>
      <c r="I1104" s="54">
        <f t="shared" si="101"/>
        <v>99.15</v>
      </c>
      <c r="J1104" s="115"/>
      <c r="K1104" s="188"/>
    </row>
    <row r="1105" spans="1:11" s="22" customFormat="1" ht="126">
      <c r="A1105" s="1" t="s">
        <v>640</v>
      </c>
      <c r="B1105" s="10" t="s">
        <v>80</v>
      </c>
      <c r="C1105" s="10" t="s">
        <v>869</v>
      </c>
      <c r="D1105" s="10" t="s">
        <v>879</v>
      </c>
      <c r="E1105" s="10"/>
      <c r="F1105" s="10"/>
      <c r="G1105" s="54">
        <f aca="true" t="shared" si="103" ref="G1105:H1107">G1106</f>
        <v>7361522</v>
      </c>
      <c r="H1105" s="54">
        <f t="shared" si="103"/>
        <v>7352668.14</v>
      </c>
      <c r="I1105" s="54">
        <f t="shared" si="101"/>
        <v>99.88</v>
      </c>
      <c r="J1105" s="115"/>
      <c r="K1105" s="188"/>
    </row>
    <row r="1106" spans="1:11" s="22" customFormat="1" ht="110.25">
      <c r="A1106" s="44" t="s">
        <v>636</v>
      </c>
      <c r="B1106" s="6" t="s">
        <v>80</v>
      </c>
      <c r="C1106" s="6" t="s">
        <v>869</v>
      </c>
      <c r="D1106" s="6" t="s">
        <v>879</v>
      </c>
      <c r="E1106" s="6" t="s">
        <v>637</v>
      </c>
      <c r="F1106" s="6"/>
      <c r="G1106" s="46">
        <f t="shared" si="103"/>
        <v>7361522</v>
      </c>
      <c r="H1106" s="46">
        <f t="shared" si="103"/>
        <v>7352668.14</v>
      </c>
      <c r="I1106" s="46">
        <f t="shared" si="101"/>
        <v>99.88</v>
      </c>
      <c r="J1106" s="115"/>
      <c r="K1106" s="188"/>
    </row>
    <row r="1107" spans="1:11" s="22" customFormat="1" ht="18.75">
      <c r="A1107" s="44" t="s">
        <v>907</v>
      </c>
      <c r="B1107" s="6" t="s">
        <v>80</v>
      </c>
      <c r="C1107" s="6" t="s">
        <v>869</v>
      </c>
      <c r="D1107" s="6" t="s">
        <v>879</v>
      </c>
      <c r="E1107" s="6" t="s">
        <v>638</v>
      </c>
      <c r="F1107" s="6"/>
      <c r="G1107" s="46">
        <f t="shared" si="103"/>
        <v>7361522</v>
      </c>
      <c r="H1107" s="46">
        <f t="shared" si="103"/>
        <v>7352668.14</v>
      </c>
      <c r="I1107" s="46">
        <f t="shared" si="101"/>
        <v>99.88</v>
      </c>
      <c r="J1107" s="115"/>
      <c r="K1107" s="188"/>
    </row>
    <row r="1108" spans="1:11" s="22" customFormat="1" ht="47.25">
      <c r="A1108" s="44" t="s">
        <v>642</v>
      </c>
      <c r="B1108" s="6" t="s">
        <v>80</v>
      </c>
      <c r="C1108" s="6" t="s">
        <v>869</v>
      </c>
      <c r="D1108" s="6" t="s">
        <v>879</v>
      </c>
      <c r="E1108" s="6" t="s">
        <v>639</v>
      </c>
      <c r="F1108" s="6"/>
      <c r="G1108" s="46">
        <f>G1109+G1113+G1117</f>
        <v>7361522</v>
      </c>
      <c r="H1108" s="46">
        <f>H1109+H1113+H1117</f>
        <v>7352668.14</v>
      </c>
      <c r="I1108" s="46">
        <f t="shared" si="101"/>
        <v>99.88</v>
      </c>
      <c r="J1108" s="115"/>
      <c r="K1108" s="188"/>
    </row>
    <row r="1109" spans="1:11" s="22" customFormat="1" ht="157.5">
      <c r="A1109" s="44" t="s">
        <v>663</v>
      </c>
      <c r="B1109" s="6" t="s">
        <v>80</v>
      </c>
      <c r="C1109" s="6" t="s">
        <v>869</v>
      </c>
      <c r="D1109" s="6" t="s">
        <v>879</v>
      </c>
      <c r="E1109" s="6" t="s">
        <v>639</v>
      </c>
      <c r="F1109" s="6" t="s">
        <v>664</v>
      </c>
      <c r="G1109" s="46">
        <f>G1110</f>
        <v>7140658</v>
      </c>
      <c r="H1109" s="46">
        <f>H1110</f>
        <v>7134086.33</v>
      </c>
      <c r="I1109" s="46">
        <f t="shared" si="101"/>
        <v>99.91</v>
      </c>
      <c r="J1109" s="115"/>
      <c r="K1109" s="188"/>
    </row>
    <row r="1110" spans="1:11" s="22" customFormat="1" ht="47.25">
      <c r="A1110" s="44" t="s">
        <v>667</v>
      </c>
      <c r="B1110" s="6" t="s">
        <v>80</v>
      </c>
      <c r="C1110" s="6" t="s">
        <v>869</v>
      </c>
      <c r="D1110" s="6" t="s">
        <v>879</v>
      </c>
      <c r="E1110" s="6" t="s">
        <v>639</v>
      </c>
      <c r="F1110" s="6" t="s">
        <v>668</v>
      </c>
      <c r="G1110" s="46">
        <f>G1111+G1112</f>
        <v>7140658</v>
      </c>
      <c r="H1110" s="46">
        <f>H1111+H1112</f>
        <v>7134086.33</v>
      </c>
      <c r="I1110" s="46">
        <f t="shared" si="101"/>
        <v>99.91</v>
      </c>
      <c r="J1110" s="115"/>
      <c r="K1110" s="188"/>
    </row>
    <row r="1111" spans="1:11" s="22" customFormat="1" ht="31.5">
      <c r="A1111" s="44" t="s">
        <v>669</v>
      </c>
      <c r="B1111" s="6" t="s">
        <v>80</v>
      </c>
      <c r="C1111" s="6" t="s">
        <v>869</v>
      </c>
      <c r="D1111" s="6" t="s">
        <v>879</v>
      </c>
      <c r="E1111" s="6" t="s">
        <v>639</v>
      </c>
      <c r="F1111" s="6" t="s">
        <v>670</v>
      </c>
      <c r="G1111" s="46">
        <f>6622810+295808+177559-158294+15046.79-14843-4023-39485-7173+100000</f>
        <v>6987405.79</v>
      </c>
      <c r="H1111" s="46">
        <v>6982093.48</v>
      </c>
      <c r="I1111" s="46">
        <f t="shared" si="101"/>
        <v>99.92</v>
      </c>
      <c r="J1111" s="115"/>
      <c r="K1111" s="188"/>
    </row>
    <row r="1112" spans="1:11" s="22" customFormat="1" ht="47.25">
      <c r="A1112" s="44" t="s">
        <v>671</v>
      </c>
      <c r="B1112" s="6" t="s">
        <v>80</v>
      </c>
      <c r="C1112" s="6" t="s">
        <v>869</v>
      </c>
      <c r="D1112" s="6" t="s">
        <v>879</v>
      </c>
      <c r="E1112" s="6" t="s">
        <v>639</v>
      </c>
      <c r="F1112" s="6" t="s">
        <v>672</v>
      </c>
      <c r="G1112" s="46">
        <f>109242+12000+88294-15046.79-40637-600</f>
        <v>153252.21</v>
      </c>
      <c r="H1112" s="46">
        <v>151992.85</v>
      </c>
      <c r="I1112" s="46">
        <f t="shared" si="101"/>
        <v>99.18</v>
      </c>
      <c r="J1112" s="115"/>
      <c r="K1112" s="188"/>
    </row>
    <row r="1113" spans="1:11" s="22" customFormat="1" ht="47.25">
      <c r="A1113" s="44" t="s">
        <v>673</v>
      </c>
      <c r="B1113" s="6" t="s">
        <v>80</v>
      </c>
      <c r="C1113" s="6" t="s">
        <v>869</v>
      </c>
      <c r="D1113" s="6" t="s">
        <v>879</v>
      </c>
      <c r="E1113" s="6" t="s">
        <v>639</v>
      </c>
      <c r="F1113" s="6" t="s">
        <v>674</v>
      </c>
      <c r="G1113" s="46">
        <f>G1114</f>
        <v>220864</v>
      </c>
      <c r="H1113" s="46">
        <f>H1114</f>
        <v>218581.81</v>
      </c>
      <c r="I1113" s="46">
        <f t="shared" si="101"/>
        <v>98.97</v>
      </c>
      <c r="J1113" s="115"/>
      <c r="K1113" s="188"/>
    </row>
    <row r="1114" spans="1:11" s="22" customFormat="1" ht="47.25">
      <c r="A1114" s="44" t="s">
        <v>675</v>
      </c>
      <c r="B1114" s="6" t="s">
        <v>80</v>
      </c>
      <c r="C1114" s="6" t="s">
        <v>869</v>
      </c>
      <c r="D1114" s="6" t="s">
        <v>879</v>
      </c>
      <c r="E1114" s="6" t="s">
        <v>639</v>
      </c>
      <c r="F1114" s="6" t="s">
        <v>676</v>
      </c>
      <c r="G1114" s="46">
        <f>G1115+G1116</f>
        <v>220864</v>
      </c>
      <c r="H1114" s="46">
        <f>H1115+H1116</f>
        <v>218581.81</v>
      </c>
      <c r="I1114" s="46">
        <f t="shared" si="101"/>
        <v>98.97</v>
      </c>
      <c r="J1114" s="115"/>
      <c r="K1114" s="188"/>
    </row>
    <row r="1115" spans="1:11" s="22" customFormat="1" ht="78.75">
      <c r="A1115" s="3" t="s">
        <v>679</v>
      </c>
      <c r="B1115" s="6" t="s">
        <v>80</v>
      </c>
      <c r="C1115" s="6" t="s">
        <v>869</v>
      </c>
      <c r="D1115" s="6" t="s">
        <v>879</v>
      </c>
      <c r="E1115" s="6" t="s">
        <v>639</v>
      </c>
      <c r="F1115" s="6" t="s">
        <v>680</v>
      </c>
      <c r="G1115" s="46">
        <f>80000-1400+3988</f>
        <v>82588</v>
      </c>
      <c r="H1115" s="46">
        <v>81415.81</v>
      </c>
      <c r="I1115" s="46">
        <f t="shared" si="101"/>
        <v>98.58</v>
      </c>
      <c r="J1115" s="115"/>
      <c r="K1115" s="188"/>
    </row>
    <row r="1116" spans="1:11" s="22" customFormat="1" ht="47.25">
      <c r="A1116" s="44" t="s">
        <v>677</v>
      </c>
      <c r="B1116" s="6" t="s">
        <v>80</v>
      </c>
      <c r="C1116" s="6" t="s">
        <v>869</v>
      </c>
      <c r="D1116" s="6" t="s">
        <v>879</v>
      </c>
      <c r="E1116" s="6" t="s">
        <v>639</v>
      </c>
      <c r="F1116" s="6" t="s">
        <v>678</v>
      </c>
      <c r="G1116" s="46">
        <f>15588+1400-12000+70000+18866+40637+3785</f>
        <v>138276</v>
      </c>
      <c r="H1116" s="46">
        <v>137166</v>
      </c>
      <c r="I1116" s="46">
        <f t="shared" si="101"/>
        <v>99.2</v>
      </c>
      <c r="J1116" s="115"/>
      <c r="K1116" s="188"/>
    </row>
    <row r="1117" spans="1:11" s="22" customFormat="1" ht="31.5" customHeight="1" hidden="1">
      <c r="A1117" s="122" t="s">
        <v>557</v>
      </c>
      <c r="B1117" s="6" t="s">
        <v>80</v>
      </c>
      <c r="C1117" s="6" t="s">
        <v>869</v>
      </c>
      <c r="D1117" s="6" t="s">
        <v>879</v>
      </c>
      <c r="E1117" s="6" t="s">
        <v>639</v>
      </c>
      <c r="F1117" s="6" t="s">
        <v>683</v>
      </c>
      <c r="G1117" s="46">
        <f>G1118</f>
        <v>0</v>
      </c>
      <c r="H1117" s="46">
        <f>H1118</f>
        <v>0</v>
      </c>
      <c r="I1117" s="46" t="e">
        <f t="shared" si="101"/>
        <v>#DIV/0!</v>
      </c>
      <c r="J1117" s="115"/>
      <c r="K1117" s="188"/>
    </row>
    <row r="1118" spans="1:11" s="22" customFormat="1" ht="78.75" customHeight="1" hidden="1">
      <c r="A1118" s="90" t="s">
        <v>729</v>
      </c>
      <c r="B1118" s="6" t="s">
        <v>80</v>
      </c>
      <c r="C1118" s="6" t="s">
        <v>869</v>
      </c>
      <c r="D1118" s="6" t="s">
        <v>879</v>
      </c>
      <c r="E1118" s="6" t="s">
        <v>639</v>
      </c>
      <c r="F1118" s="6" t="s">
        <v>730</v>
      </c>
      <c r="G1118" s="46">
        <f>G1119</f>
        <v>0</v>
      </c>
      <c r="H1118" s="46">
        <f>H1119</f>
        <v>0</v>
      </c>
      <c r="I1118" s="46" t="e">
        <f t="shared" si="101"/>
        <v>#DIV/0!</v>
      </c>
      <c r="J1118" s="115"/>
      <c r="K1118" s="188"/>
    </row>
    <row r="1119" spans="1:11" s="22" customFormat="1" ht="47.25" customHeight="1" hidden="1">
      <c r="A1119" s="90" t="s">
        <v>731</v>
      </c>
      <c r="B1119" s="6" t="s">
        <v>80</v>
      </c>
      <c r="C1119" s="6" t="s">
        <v>869</v>
      </c>
      <c r="D1119" s="6" t="s">
        <v>879</v>
      </c>
      <c r="E1119" s="6" t="s">
        <v>639</v>
      </c>
      <c r="F1119" s="6" t="s">
        <v>732</v>
      </c>
      <c r="G1119" s="46"/>
      <c r="H1119" s="46"/>
      <c r="I1119" s="46" t="e">
        <f t="shared" si="101"/>
        <v>#DIV/0!</v>
      </c>
      <c r="J1119" s="115"/>
      <c r="K1119" s="188"/>
    </row>
    <row r="1120" spans="1:9" ht="47.25">
      <c r="A1120" s="20" t="s">
        <v>906</v>
      </c>
      <c r="B1120" s="7" t="s">
        <v>80</v>
      </c>
      <c r="C1120" s="7" t="s">
        <v>869</v>
      </c>
      <c r="D1120" s="7" t="s">
        <v>659</v>
      </c>
      <c r="E1120" s="7"/>
      <c r="F1120" s="7"/>
      <c r="G1120" s="45">
        <f>G1130+G1121</f>
        <v>220000</v>
      </c>
      <c r="H1120" s="45">
        <f>H1130+H1121</f>
        <v>164786</v>
      </c>
      <c r="I1120" s="45">
        <f t="shared" si="101"/>
        <v>74.9</v>
      </c>
    </row>
    <row r="1121" spans="1:9" ht="31.5">
      <c r="A1121" s="1" t="s">
        <v>554</v>
      </c>
      <c r="B1121" s="2" t="s">
        <v>80</v>
      </c>
      <c r="C1121" s="2" t="s">
        <v>869</v>
      </c>
      <c r="D1121" s="2" t="s">
        <v>659</v>
      </c>
      <c r="E1121" s="2" t="s">
        <v>932</v>
      </c>
      <c r="F1121" s="133"/>
      <c r="G1121" s="46">
        <f>G1122</f>
        <v>60000</v>
      </c>
      <c r="H1121" s="46">
        <f>H1122</f>
        <v>36042</v>
      </c>
      <c r="I1121" s="46">
        <f t="shared" si="101"/>
        <v>60.07</v>
      </c>
    </row>
    <row r="1122" spans="1:9" ht="141.75">
      <c r="A1122" s="90" t="s">
        <v>846</v>
      </c>
      <c r="B1122" s="6" t="s">
        <v>80</v>
      </c>
      <c r="C1122" s="6" t="s">
        <v>869</v>
      </c>
      <c r="D1122" s="6" t="s">
        <v>659</v>
      </c>
      <c r="E1122" s="6" t="s">
        <v>847</v>
      </c>
      <c r="F1122" s="91"/>
      <c r="G1122" s="46">
        <f>G1123</f>
        <v>60000</v>
      </c>
      <c r="H1122" s="46">
        <f>H1123</f>
        <v>36042</v>
      </c>
      <c r="I1122" s="46">
        <f t="shared" si="101"/>
        <v>60.07</v>
      </c>
    </row>
    <row r="1123" spans="1:9" ht="110.25">
      <c r="A1123" s="90" t="s">
        <v>92</v>
      </c>
      <c r="B1123" s="6" t="s">
        <v>80</v>
      </c>
      <c r="C1123" s="6" t="s">
        <v>869</v>
      </c>
      <c r="D1123" s="6" t="s">
        <v>659</v>
      </c>
      <c r="E1123" s="6" t="s">
        <v>93</v>
      </c>
      <c r="F1123" s="91"/>
      <c r="G1123" s="46">
        <f>G1127+G1124</f>
        <v>60000</v>
      </c>
      <c r="H1123" s="46">
        <f>H1127+H1124</f>
        <v>36042</v>
      </c>
      <c r="I1123" s="46">
        <f t="shared" si="101"/>
        <v>60.07</v>
      </c>
    </row>
    <row r="1124" spans="1:9" ht="157.5">
      <c r="A1124" s="3" t="s">
        <v>663</v>
      </c>
      <c r="B1124" s="6" t="s">
        <v>80</v>
      </c>
      <c r="C1124" s="6" t="s">
        <v>869</v>
      </c>
      <c r="D1124" s="6" t="s">
        <v>659</v>
      </c>
      <c r="E1124" s="6" t="s">
        <v>93</v>
      </c>
      <c r="F1124" s="91" t="s">
        <v>664</v>
      </c>
      <c r="G1124" s="46">
        <f>G1125</f>
        <v>13578</v>
      </c>
      <c r="H1124" s="46">
        <f>H1125</f>
        <v>3042</v>
      </c>
      <c r="I1124" s="46">
        <f t="shared" si="101"/>
        <v>22.4</v>
      </c>
    </row>
    <row r="1125" spans="1:9" ht="47.25">
      <c r="A1125" s="3" t="s">
        <v>667</v>
      </c>
      <c r="B1125" s="6" t="s">
        <v>80</v>
      </c>
      <c r="C1125" s="6" t="s">
        <v>869</v>
      </c>
      <c r="D1125" s="6" t="s">
        <v>659</v>
      </c>
      <c r="E1125" s="6" t="s">
        <v>93</v>
      </c>
      <c r="F1125" s="91" t="s">
        <v>668</v>
      </c>
      <c r="G1125" s="46">
        <f>G1126</f>
        <v>13578</v>
      </c>
      <c r="H1125" s="46">
        <f>H1126</f>
        <v>3042</v>
      </c>
      <c r="I1125" s="46">
        <f t="shared" si="101"/>
        <v>22.4</v>
      </c>
    </row>
    <row r="1126" spans="1:9" ht="47.25">
      <c r="A1126" s="3" t="s">
        <v>671</v>
      </c>
      <c r="B1126" s="6" t="s">
        <v>80</v>
      </c>
      <c r="C1126" s="6" t="s">
        <v>869</v>
      </c>
      <c r="D1126" s="6" t="s">
        <v>659</v>
      </c>
      <c r="E1126" s="6" t="s">
        <v>93</v>
      </c>
      <c r="F1126" s="91" t="s">
        <v>672</v>
      </c>
      <c r="G1126" s="46">
        <f>1700+11878</f>
        <v>13578</v>
      </c>
      <c r="H1126" s="46">
        <v>3042</v>
      </c>
      <c r="I1126" s="46">
        <f t="shared" si="101"/>
        <v>22.4</v>
      </c>
    </row>
    <row r="1127" spans="1:9" ht="47.25">
      <c r="A1127" s="113" t="s">
        <v>673</v>
      </c>
      <c r="B1127" s="6" t="s">
        <v>80</v>
      </c>
      <c r="C1127" s="6" t="s">
        <v>869</v>
      </c>
      <c r="D1127" s="6" t="s">
        <v>659</v>
      </c>
      <c r="E1127" s="6" t="s">
        <v>93</v>
      </c>
      <c r="F1127" s="91" t="s">
        <v>674</v>
      </c>
      <c r="G1127" s="46">
        <f>G1128</f>
        <v>46422</v>
      </c>
      <c r="H1127" s="46">
        <f>H1128</f>
        <v>33000</v>
      </c>
      <c r="I1127" s="46">
        <f t="shared" si="101"/>
        <v>71.09</v>
      </c>
    </row>
    <row r="1128" spans="1:9" ht="47.25">
      <c r="A1128" s="113" t="s">
        <v>675</v>
      </c>
      <c r="B1128" s="6" t="s">
        <v>80</v>
      </c>
      <c r="C1128" s="6" t="s">
        <v>869</v>
      </c>
      <c r="D1128" s="6" t="s">
        <v>659</v>
      </c>
      <c r="E1128" s="6" t="s">
        <v>93</v>
      </c>
      <c r="F1128" s="91" t="s">
        <v>676</v>
      </c>
      <c r="G1128" s="46">
        <f>G1129</f>
        <v>46422</v>
      </c>
      <c r="H1128" s="46">
        <f>H1129</f>
        <v>33000</v>
      </c>
      <c r="I1128" s="46">
        <f t="shared" si="101"/>
        <v>71.09</v>
      </c>
    </row>
    <row r="1129" spans="1:9" ht="47.25">
      <c r="A1129" s="5" t="s">
        <v>677</v>
      </c>
      <c r="B1129" s="6" t="s">
        <v>80</v>
      </c>
      <c r="C1129" s="6" t="s">
        <v>869</v>
      </c>
      <c r="D1129" s="6" t="s">
        <v>659</v>
      </c>
      <c r="E1129" s="6" t="s">
        <v>93</v>
      </c>
      <c r="F1129" s="91" t="s">
        <v>678</v>
      </c>
      <c r="G1129" s="46">
        <f>60000-13578</f>
        <v>46422</v>
      </c>
      <c r="H1129" s="46">
        <v>33000</v>
      </c>
      <c r="I1129" s="46">
        <f t="shared" si="101"/>
        <v>71.09</v>
      </c>
    </row>
    <row r="1130" spans="1:9" ht="47.25">
      <c r="A1130" s="5" t="s">
        <v>922</v>
      </c>
      <c r="B1130" s="6" t="s">
        <v>80</v>
      </c>
      <c r="C1130" s="6" t="s">
        <v>869</v>
      </c>
      <c r="D1130" s="6" t="s">
        <v>659</v>
      </c>
      <c r="E1130" s="6" t="s">
        <v>923</v>
      </c>
      <c r="F1130" s="6"/>
      <c r="G1130" s="46">
        <f>G1131</f>
        <v>160000</v>
      </c>
      <c r="H1130" s="46">
        <f>H1131</f>
        <v>128744</v>
      </c>
      <c r="I1130" s="46">
        <f t="shared" si="101"/>
        <v>80.47</v>
      </c>
    </row>
    <row r="1131" spans="1:9" ht="47.25">
      <c r="A1131" s="90" t="s">
        <v>824</v>
      </c>
      <c r="B1131" s="91" t="s">
        <v>80</v>
      </c>
      <c r="C1131" s="91" t="s">
        <v>869</v>
      </c>
      <c r="D1131" s="91" t="s">
        <v>659</v>
      </c>
      <c r="E1131" s="91" t="s">
        <v>795</v>
      </c>
      <c r="F1131" s="6"/>
      <c r="G1131" s="46">
        <f>G1139+G1132</f>
        <v>160000</v>
      </c>
      <c r="H1131" s="46">
        <f>H1139+H1132</f>
        <v>128744</v>
      </c>
      <c r="I1131" s="46">
        <f t="shared" si="101"/>
        <v>80.47</v>
      </c>
    </row>
    <row r="1132" spans="1:9" ht="110.25">
      <c r="A1132" s="90" t="s">
        <v>767</v>
      </c>
      <c r="B1132" s="91" t="s">
        <v>80</v>
      </c>
      <c r="C1132" s="91" t="s">
        <v>869</v>
      </c>
      <c r="D1132" s="91" t="s">
        <v>659</v>
      </c>
      <c r="E1132" s="91" t="s">
        <v>769</v>
      </c>
      <c r="F1132" s="6"/>
      <c r="G1132" s="46">
        <f>G1133+G1136</f>
        <v>30000</v>
      </c>
      <c r="H1132" s="46">
        <f>H1133+H1136</f>
        <v>0</v>
      </c>
      <c r="I1132" s="46">
        <f t="shared" si="101"/>
        <v>0</v>
      </c>
    </row>
    <row r="1133" spans="1:9" ht="47.25" customHeight="1" hidden="1">
      <c r="A1133" s="3" t="s">
        <v>673</v>
      </c>
      <c r="B1133" s="91" t="s">
        <v>80</v>
      </c>
      <c r="C1133" s="91" t="s">
        <v>869</v>
      </c>
      <c r="D1133" s="91" t="s">
        <v>659</v>
      </c>
      <c r="E1133" s="91" t="s">
        <v>769</v>
      </c>
      <c r="F1133" s="6" t="s">
        <v>674</v>
      </c>
      <c r="G1133" s="46">
        <f>G1134</f>
        <v>0</v>
      </c>
      <c r="H1133" s="46">
        <f>H1134</f>
        <v>0</v>
      </c>
      <c r="I1133" s="46" t="e">
        <f t="shared" si="101"/>
        <v>#DIV/0!</v>
      </c>
    </row>
    <row r="1134" spans="1:9" ht="47.25" customHeight="1" hidden="1">
      <c r="A1134" s="3" t="s">
        <v>675</v>
      </c>
      <c r="B1134" s="91" t="s">
        <v>80</v>
      </c>
      <c r="C1134" s="91" t="s">
        <v>869</v>
      </c>
      <c r="D1134" s="91" t="s">
        <v>659</v>
      </c>
      <c r="E1134" s="91" t="s">
        <v>769</v>
      </c>
      <c r="F1134" s="6" t="s">
        <v>676</v>
      </c>
      <c r="G1134" s="46">
        <f>G1135</f>
        <v>0</v>
      </c>
      <c r="H1134" s="46">
        <f>H1135</f>
        <v>0</v>
      </c>
      <c r="I1134" s="46" t="e">
        <f t="shared" si="101"/>
        <v>#DIV/0!</v>
      </c>
    </row>
    <row r="1135" spans="1:9" ht="47.25" customHeight="1" hidden="1">
      <c r="A1135" s="3" t="s">
        <v>677</v>
      </c>
      <c r="B1135" s="91" t="s">
        <v>80</v>
      </c>
      <c r="C1135" s="91" t="s">
        <v>869</v>
      </c>
      <c r="D1135" s="91" t="s">
        <v>659</v>
      </c>
      <c r="E1135" s="91" t="s">
        <v>769</v>
      </c>
      <c r="F1135" s="6" t="s">
        <v>678</v>
      </c>
      <c r="G1135" s="46">
        <f>30000-30000</f>
        <v>0</v>
      </c>
      <c r="H1135" s="46"/>
      <c r="I1135" s="46" t="e">
        <f t="shared" si="101"/>
        <v>#DIV/0!</v>
      </c>
    </row>
    <row r="1136" spans="1:9" ht="78.75">
      <c r="A1136" s="5" t="s">
        <v>936</v>
      </c>
      <c r="B1136" s="91" t="s">
        <v>80</v>
      </c>
      <c r="C1136" s="91" t="s">
        <v>869</v>
      </c>
      <c r="D1136" s="91" t="s">
        <v>659</v>
      </c>
      <c r="E1136" s="91" t="s">
        <v>769</v>
      </c>
      <c r="F1136" s="6" t="s">
        <v>685</v>
      </c>
      <c r="G1136" s="46">
        <f>G1137</f>
        <v>30000</v>
      </c>
      <c r="H1136" s="46">
        <f>H1137</f>
        <v>0</v>
      </c>
      <c r="I1136" s="46">
        <f t="shared" si="101"/>
        <v>0</v>
      </c>
    </row>
    <row r="1137" spans="1:9" ht="31.5">
      <c r="A1137" s="122" t="s">
        <v>45</v>
      </c>
      <c r="B1137" s="91" t="s">
        <v>80</v>
      </c>
      <c r="C1137" s="91" t="s">
        <v>869</v>
      </c>
      <c r="D1137" s="91" t="s">
        <v>659</v>
      </c>
      <c r="E1137" s="91" t="s">
        <v>769</v>
      </c>
      <c r="F1137" s="6" t="s">
        <v>686</v>
      </c>
      <c r="G1137" s="46">
        <f>G1138</f>
        <v>30000</v>
      </c>
      <c r="H1137" s="46">
        <f>H1138</f>
        <v>0</v>
      </c>
      <c r="I1137" s="46">
        <f t="shared" si="101"/>
        <v>0</v>
      </c>
    </row>
    <row r="1138" spans="1:9" ht="47.25">
      <c r="A1138" s="122" t="s">
        <v>46</v>
      </c>
      <c r="B1138" s="91" t="s">
        <v>80</v>
      </c>
      <c r="C1138" s="91" t="s">
        <v>869</v>
      </c>
      <c r="D1138" s="91" t="s">
        <v>659</v>
      </c>
      <c r="E1138" s="91" t="s">
        <v>769</v>
      </c>
      <c r="F1138" s="6" t="s">
        <v>57</v>
      </c>
      <c r="G1138" s="46">
        <v>30000</v>
      </c>
      <c r="H1138" s="46">
        <v>0</v>
      </c>
      <c r="I1138" s="46">
        <f t="shared" si="101"/>
        <v>0</v>
      </c>
    </row>
    <row r="1139" spans="1:9" ht="110.25">
      <c r="A1139" s="3" t="s">
        <v>909</v>
      </c>
      <c r="B1139" s="6" t="s">
        <v>80</v>
      </c>
      <c r="C1139" s="6" t="s">
        <v>869</v>
      </c>
      <c r="D1139" s="6" t="s">
        <v>659</v>
      </c>
      <c r="E1139" s="6" t="s">
        <v>733</v>
      </c>
      <c r="F1139" s="6"/>
      <c r="G1139" s="46">
        <f>G1140</f>
        <v>130000</v>
      </c>
      <c r="H1139" s="46">
        <f>H1140</f>
        <v>128744</v>
      </c>
      <c r="I1139" s="46">
        <f t="shared" si="101"/>
        <v>99.03</v>
      </c>
    </row>
    <row r="1140" spans="1:9" ht="47.25">
      <c r="A1140" s="3" t="s">
        <v>673</v>
      </c>
      <c r="B1140" s="6" t="s">
        <v>80</v>
      </c>
      <c r="C1140" s="6" t="s">
        <v>869</v>
      </c>
      <c r="D1140" s="6" t="s">
        <v>659</v>
      </c>
      <c r="E1140" s="6" t="s">
        <v>733</v>
      </c>
      <c r="F1140" s="6" t="s">
        <v>674</v>
      </c>
      <c r="G1140" s="46">
        <f>G1141</f>
        <v>130000</v>
      </c>
      <c r="H1140" s="46">
        <f>H1141</f>
        <v>128744</v>
      </c>
      <c r="I1140" s="46">
        <f t="shared" si="101"/>
        <v>99.03</v>
      </c>
    </row>
    <row r="1141" spans="1:9" ht="47.25">
      <c r="A1141" s="3" t="s">
        <v>675</v>
      </c>
      <c r="B1141" s="6" t="s">
        <v>80</v>
      </c>
      <c r="C1141" s="6" t="s">
        <v>869</v>
      </c>
      <c r="D1141" s="6" t="s">
        <v>659</v>
      </c>
      <c r="E1141" s="6" t="s">
        <v>733</v>
      </c>
      <c r="F1141" s="6" t="s">
        <v>676</v>
      </c>
      <c r="G1141" s="46">
        <f>G1143+G1142</f>
        <v>130000</v>
      </c>
      <c r="H1141" s="46">
        <f>H1143+H1142</f>
        <v>128744</v>
      </c>
      <c r="I1141" s="46">
        <f t="shared" si="101"/>
        <v>99.03</v>
      </c>
    </row>
    <row r="1142" spans="1:9" ht="78.75">
      <c r="A1142" s="3" t="s">
        <v>679</v>
      </c>
      <c r="B1142" s="6" t="s">
        <v>80</v>
      </c>
      <c r="C1142" s="6" t="s">
        <v>869</v>
      </c>
      <c r="D1142" s="6" t="s">
        <v>659</v>
      </c>
      <c r="E1142" s="6" t="s">
        <v>733</v>
      </c>
      <c r="F1142" s="6" t="s">
        <v>680</v>
      </c>
      <c r="G1142" s="46">
        <f>45000-20000-2200+80000</f>
        <v>102800</v>
      </c>
      <c r="H1142" s="46">
        <v>101544</v>
      </c>
      <c r="I1142" s="46">
        <f t="shared" si="101"/>
        <v>98.78</v>
      </c>
    </row>
    <row r="1143" spans="1:9" ht="47.25">
      <c r="A1143" s="3" t="s">
        <v>677</v>
      </c>
      <c r="B1143" s="6" t="s">
        <v>80</v>
      </c>
      <c r="C1143" s="6" t="s">
        <v>869</v>
      </c>
      <c r="D1143" s="6" t="s">
        <v>659</v>
      </c>
      <c r="E1143" s="6" t="s">
        <v>733</v>
      </c>
      <c r="F1143" s="6" t="s">
        <v>678</v>
      </c>
      <c r="G1143" s="48">
        <f>5000+20000+2200</f>
        <v>27200</v>
      </c>
      <c r="H1143" s="48">
        <v>27200</v>
      </c>
      <c r="I1143" s="48">
        <f t="shared" si="101"/>
        <v>100</v>
      </c>
    </row>
    <row r="1144" spans="1:11" s="22" customFormat="1" ht="37.5">
      <c r="A1144" s="16" t="s">
        <v>892</v>
      </c>
      <c r="B1144" s="14" t="s">
        <v>80</v>
      </c>
      <c r="C1144" s="14" t="s">
        <v>879</v>
      </c>
      <c r="D1144" s="14"/>
      <c r="E1144" s="14"/>
      <c r="F1144" s="14"/>
      <c r="G1144" s="45">
        <f aca="true" t="shared" si="104" ref="G1144:H1146">G1145</f>
        <v>2113448.37</v>
      </c>
      <c r="H1144" s="45">
        <f t="shared" si="104"/>
        <v>2052385.67</v>
      </c>
      <c r="I1144" s="45">
        <f t="shared" si="101"/>
        <v>97.11</v>
      </c>
      <c r="J1144" s="115"/>
      <c r="K1144" s="188"/>
    </row>
    <row r="1145" spans="1:11" s="22" customFormat="1" ht="18.75">
      <c r="A1145" s="1" t="s">
        <v>634</v>
      </c>
      <c r="B1145" s="2" t="s">
        <v>80</v>
      </c>
      <c r="C1145" s="2" t="s">
        <v>879</v>
      </c>
      <c r="D1145" s="2" t="s">
        <v>877</v>
      </c>
      <c r="E1145" s="2"/>
      <c r="F1145" s="2"/>
      <c r="G1145" s="46">
        <f t="shared" si="104"/>
        <v>2113448.37</v>
      </c>
      <c r="H1145" s="46">
        <f t="shared" si="104"/>
        <v>2052385.67</v>
      </c>
      <c r="I1145" s="46">
        <f t="shared" si="101"/>
        <v>97.11</v>
      </c>
      <c r="J1145" s="115"/>
      <c r="K1145" s="188"/>
    </row>
    <row r="1146" spans="1:11" s="22" customFormat="1" ht="47.25">
      <c r="A1146" s="90" t="s">
        <v>824</v>
      </c>
      <c r="B1146" s="91" t="s">
        <v>80</v>
      </c>
      <c r="C1146" s="91" t="s">
        <v>879</v>
      </c>
      <c r="D1146" s="91" t="s">
        <v>877</v>
      </c>
      <c r="E1146" s="91" t="s">
        <v>795</v>
      </c>
      <c r="F1146" s="6"/>
      <c r="G1146" s="46">
        <f t="shared" si="104"/>
        <v>2113448.37</v>
      </c>
      <c r="H1146" s="46">
        <f t="shared" si="104"/>
        <v>2052385.67</v>
      </c>
      <c r="I1146" s="46">
        <f t="shared" si="101"/>
        <v>97.11</v>
      </c>
      <c r="J1146" s="115"/>
      <c r="K1146" s="188"/>
    </row>
    <row r="1147" spans="1:11" s="22" customFormat="1" ht="141.75">
      <c r="A1147" s="3" t="s">
        <v>825</v>
      </c>
      <c r="B1147" s="6" t="s">
        <v>80</v>
      </c>
      <c r="C1147" s="6" t="s">
        <v>879</v>
      </c>
      <c r="D1147" s="6" t="s">
        <v>877</v>
      </c>
      <c r="E1147" s="6" t="s">
        <v>826</v>
      </c>
      <c r="F1147" s="6"/>
      <c r="G1147" s="46">
        <f>G1148+G1151</f>
        <v>2113448.37</v>
      </c>
      <c r="H1147" s="46">
        <f>H1148+H1151</f>
        <v>2052385.67</v>
      </c>
      <c r="I1147" s="46">
        <f t="shared" si="101"/>
        <v>97.11</v>
      </c>
      <c r="J1147" s="115"/>
      <c r="K1147" s="188"/>
    </row>
    <row r="1148" spans="1:11" s="22" customFormat="1" ht="47.25">
      <c r="A1148" s="3" t="s">
        <v>673</v>
      </c>
      <c r="B1148" s="6" t="s">
        <v>80</v>
      </c>
      <c r="C1148" s="6" t="s">
        <v>879</v>
      </c>
      <c r="D1148" s="6" t="s">
        <v>877</v>
      </c>
      <c r="E1148" s="6" t="s">
        <v>826</v>
      </c>
      <c r="F1148" s="6" t="s">
        <v>674</v>
      </c>
      <c r="G1148" s="46">
        <f>G1149</f>
        <v>250000</v>
      </c>
      <c r="H1148" s="46">
        <f>H1149</f>
        <v>211204.29</v>
      </c>
      <c r="I1148" s="46">
        <f t="shared" si="101"/>
        <v>84.48</v>
      </c>
      <c r="J1148" s="115"/>
      <c r="K1148" s="188"/>
    </row>
    <row r="1149" spans="1:11" s="22" customFormat="1" ht="47.25">
      <c r="A1149" s="3" t="s">
        <v>675</v>
      </c>
      <c r="B1149" s="6" t="s">
        <v>80</v>
      </c>
      <c r="C1149" s="6" t="s">
        <v>879</v>
      </c>
      <c r="D1149" s="6" t="s">
        <v>877</v>
      </c>
      <c r="E1149" s="6" t="s">
        <v>826</v>
      </c>
      <c r="F1149" s="6" t="s">
        <v>676</v>
      </c>
      <c r="G1149" s="46">
        <f>G1150</f>
        <v>250000</v>
      </c>
      <c r="H1149" s="46">
        <f>H1150</f>
        <v>211204.29</v>
      </c>
      <c r="I1149" s="46">
        <f t="shared" si="101"/>
        <v>84.48</v>
      </c>
      <c r="J1149" s="115"/>
      <c r="K1149" s="188"/>
    </row>
    <row r="1150" spans="1:11" s="22" customFormat="1" ht="78.75">
      <c r="A1150" s="3" t="s">
        <v>679</v>
      </c>
      <c r="B1150" s="6" t="s">
        <v>80</v>
      </c>
      <c r="C1150" s="6" t="s">
        <v>879</v>
      </c>
      <c r="D1150" s="6" t="s">
        <v>877</v>
      </c>
      <c r="E1150" s="6" t="s">
        <v>826</v>
      </c>
      <c r="F1150" s="6" t="s">
        <v>680</v>
      </c>
      <c r="G1150" s="46">
        <f>330000-80000</f>
        <v>250000</v>
      </c>
      <c r="H1150" s="46">
        <v>211204.29</v>
      </c>
      <c r="I1150" s="46">
        <f t="shared" si="101"/>
        <v>84.48</v>
      </c>
      <c r="J1150" s="115"/>
      <c r="K1150" s="188"/>
    </row>
    <row r="1151" spans="1:11" s="22" customFormat="1" ht="78.75">
      <c r="A1151" s="122" t="s">
        <v>936</v>
      </c>
      <c r="B1151" s="6" t="s">
        <v>80</v>
      </c>
      <c r="C1151" s="6" t="s">
        <v>879</v>
      </c>
      <c r="D1151" s="6" t="s">
        <v>877</v>
      </c>
      <c r="E1151" s="6" t="s">
        <v>826</v>
      </c>
      <c r="F1151" s="6" t="s">
        <v>685</v>
      </c>
      <c r="G1151" s="46">
        <f>G1152</f>
        <v>1863448.37</v>
      </c>
      <c r="H1151" s="46">
        <f>H1152</f>
        <v>1841181.38</v>
      </c>
      <c r="I1151" s="46">
        <f t="shared" si="101"/>
        <v>98.81</v>
      </c>
      <c r="J1151" s="115"/>
      <c r="K1151" s="188"/>
    </row>
    <row r="1152" spans="1:11" s="22" customFormat="1" ht="31.5">
      <c r="A1152" s="122" t="s">
        <v>45</v>
      </c>
      <c r="B1152" s="6" t="s">
        <v>80</v>
      </c>
      <c r="C1152" s="6" t="s">
        <v>879</v>
      </c>
      <c r="D1152" s="6" t="s">
        <v>877</v>
      </c>
      <c r="E1152" s="6" t="s">
        <v>826</v>
      </c>
      <c r="F1152" s="6" t="s">
        <v>686</v>
      </c>
      <c r="G1152" s="46">
        <f>G1153</f>
        <v>1863448.37</v>
      </c>
      <c r="H1152" s="46">
        <f>H1153</f>
        <v>1841181.38</v>
      </c>
      <c r="I1152" s="46">
        <f t="shared" si="101"/>
        <v>98.81</v>
      </c>
      <c r="J1152" s="115"/>
      <c r="K1152" s="188"/>
    </row>
    <row r="1153" spans="1:11" s="22" customFormat="1" ht="47.25">
      <c r="A1153" s="122" t="s">
        <v>46</v>
      </c>
      <c r="B1153" s="6" t="s">
        <v>80</v>
      </c>
      <c r="C1153" s="6" t="s">
        <v>879</v>
      </c>
      <c r="D1153" s="6" t="s">
        <v>877</v>
      </c>
      <c r="E1153" s="6" t="s">
        <v>826</v>
      </c>
      <c r="F1153" s="6" t="s">
        <v>57</v>
      </c>
      <c r="G1153" s="46">
        <f>1772020+72989.85+18438.52</f>
        <v>1863448.37</v>
      </c>
      <c r="H1153" s="46">
        <v>1841181.38</v>
      </c>
      <c r="I1153" s="46">
        <f t="shared" si="101"/>
        <v>98.81</v>
      </c>
      <c r="J1153" s="115"/>
      <c r="K1153" s="188"/>
    </row>
    <row r="1154" spans="1:11" s="22" customFormat="1" ht="18.75">
      <c r="A1154" s="20" t="s">
        <v>880</v>
      </c>
      <c r="B1154" s="7" t="s">
        <v>80</v>
      </c>
      <c r="C1154" s="7" t="s">
        <v>872</v>
      </c>
      <c r="D1154" s="7"/>
      <c r="E1154" s="7"/>
      <c r="F1154" s="7"/>
      <c r="G1154" s="45">
        <f>G1155+G1188</f>
        <v>80274729.86</v>
      </c>
      <c r="H1154" s="45">
        <f>H1155+H1188</f>
        <v>80221126.68</v>
      </c>
      <c r="I1154" s="45">
        <f t="shared" si="101"/>
        <v>99.93</v>
      </c>
      <c r="J1154" s="115"/>
      <c r="K1154" s="188"/>
    </row>
    <row r="1155" spans="1:11" s="22" customFormat="1" ht="18.75">
      <c r="A1155" s="1" t="s">
        <v>882</v>
      </c>
      <c r="B1155" s="2" t="s">
        <v>80</v>
      </c>
      <c r="C1155" s="2" t="s">
        <v>872</v>
      </c>
      <c r="D1155" s="2" t="s">
        <v>874</v>
      </c>
      <c r="E1155" s="2"/>
      <c r="F1155" s="2"/>
      <c r="G1155" s="50">
        <f>G1162+G1156</f>
        <v>63615215.86</v>
      </c>
      <c r="H1155" s="50">
        <f>H1162+H1156</f>
        <v>63570983.86</v>
      </c>
      <c r="I1155" s="50">
        <f t="shared" si="101"/>
        <v>99.93</v>
      </c>
      <c r="J1155" s="115"/>
      <c r="K1155" s="188"/>
    </row>
    <row r="1156" spans="1:11" s="22" customFormat="1" ht="31.5">
      <c r="A1156" s="122" t="s">
        <v>463</v>
      </c>
      <c r="B1156" s="6" t="s">
        <v>80</v>
      </c>
      <c r="C1156" s="6" t="s">
        <v>872</v>
      </c>
      <c r="D1156" s="6" t="s">
        <v>874</v>
      </c>
      <c r="E1156" s="6" t="s">
        <v>462</v>
      </c>
      <c r="F1156" s="2"/>
      <c r="G1156" s="46">
        <f aca="true" t="shared" si="105" ref="G1156:H1160">G1157</f>
        <v>2591824</v>
      </c>
      <c r="H1156" s="46">
        <f t="shared" si="105"/>
        <v>2591824</v>
      </c>
      <c r="I1156" s="46">
        <f t="shared" si="101"/>
        <v>100</v>
      </c>
      <c r="J1156" s="115"/>
      <c r="K1156" s="188"/>
    </row>
    <row r="1157" spans="1:11" s="22" customFormat="1" ht="63">
      <c r="A1157" s="5" t="s">
        <v>698</v>
      </c>
      <c r="B1157" s="6" t="s">
        <v>80</v>
      </c>
      <c r="C1157" s="6" t="s">
        <v>872</v>
      </c>
      <c r="D1157" s="6" t="s">
        <v>874</v>
      </c>
      <c r="E1157" s="6" t="s">
        <v>719</v>
      </c>
      <c r="F1157" s="6"/>
      <c r="G1157" s="46">
        <f t="shared" si="105"/>
        <v>2591824</v>
      </c>
      <c r="H1157" s="46">
        <f t="shared" si="105"/>
        <v>2591824</v>
      </c>
      <c r="I1157" s="46">
        <f t="shared" si="101"/>
        <v>100</v>
      </c>
      <c r="J1157" s="115"/>
      <c r="K1157" s="188"/>
    </row>
    <row r="1158" spans="1:11" s="22" customFormat="1" ht="126">
      <c r="A1158" s="98" t="s">
        <v>695</v>
      </c>
      <c r="B1158" s="6" t="s">
        <v>80</v>
      </c>
      <c r="C1158" s="6" t="s">
        <v>872</v>
      </c>
      <c r="D1158" s="6" t="s">
        <v>874</v>
      </c>
      <c r="E1158" s="6" t="s">
        <v>697</v>
      </c>
      <c r="F1158" s="6"/>
      <c r="G1158" s="46">
        <f t="shared" si="105"/>
        <v>2591824</v>
      </c>
      <c r="H1158" s="46">
        <f t="shared" si="105"/>
        <v>2591824</v>
      </c>
      <c r="I1158" s="46">
        <f t="shared" si="101"/>
        <v>100</v>
      </c>
      <c r="J1158" s="115"/>
      <c r="K1158" s="188"/>
    </row>
    <row r="1159" spans="1:11" s="22" customFormat="1" ht="78.75">
      <c r="A1159" s="5" t="s">
        <v>936</v>
      </c>
      <c r="B1159" s="6" t="s">
        <v>80</v>
      </c>
      <c r="C1159" s="6" t="s">
        <v>872</v>
      </c>
      <c r="D1159" s="6" t="s">
        <v>874</v>
      </c>
      <c r="E1159" s="6" t="s">
        <v>697</v>
      </c>
      <c r="F1159" s="6" t="s">
        <v>685</v>
      </c>
      <c r="G1159" s="46">
        <f t="shared" si="105"/>
        <v>2591824</v>
      </c>
      <c r="H1159" s="46">
        <f t="shared" si="105"/>
        <v>2591824</v>
      </c>
      <c r="I1159" s="46">
        <f t="shared" si="101"/>
        <v>100</v>
      </c>
      <c r="J1159" s="115"/>
      <c r="K1159" s="188"/>
    </row>
    <row r="1160" spans="1:11" s="22" customFormat="1" ht="31.5">
      <c r="A1160" s="122" t="s">
        <v>45</v>
      </c>
      <c r="B1160" s="6" t="s">
        <v>80</v>
      </c>
      <c r="C1160" s="6" t="s">
        <v>872</v>
      </c>
      <c r="D1160" s="6" t="s">
        <v>874</v>
      </c>
      <c r="E1160" s="6" t="s">
        <v>697</v>
      </c>
      <c r="F1160" s="6" t="s">
        <v>686</v>
      </c>
      <c r="G1160" s="46">
        <f t="shared" si="105"/>
        <v>2591824</v>
      </c>
      <c r="H1160" s="46">
        <f t="shared" si="105"/>
        <v>2591824</v>
      </c>
      <c r="I1160" s="46">
        <f aca="true" t="shared" si="106" ref="I1160:I1223">ROUND(H1160/G1160*100,2)</f>
        <v>100</v>
      </c>
      <c r="J1160" s="115"/>
      <c r="K1160" s="188"/>
    </row>
    <row r="1161" spans="1:11" s="22" customFormat="1" ht="110.25">
      <c r="A1161" s="5" t="s">
        <v>64</v>
      </c>
      <c r="B1161" s="6" t="s">
        <v>80</v>
      </c>
      <c r="C1161" s="6" t="s">
        <v>872</v>
      </c>
      <c r="D1161" s="6" t="s">
        <v>874</v>
      </c>
      <c r="E1161" s="6" t="s">
        <v>697</v>
      </c>
      <c r="F1161" s="6" t="s">
        <v>65</v>
      </c>
      <c r="G1161" s="46">
        <f>1726250-347150+1212724</f>
        <v>2591824</v>
      </c>
      <c r="H1161" s="46">
        <v>2591824</v>
      </c>
      <c r="I1161" s="46">
        <f t="shared" si="106"/>
        <v>100</v>
      </c>
      <c r="J1161" s="115"/>
      <c r="K1161" s="188"/>
    </row>
    <row r="1162" spans="1:9" ht="47.25">
      <c r="A1162" s="1" t="s">
        <v>922</v>
      </c>
      <c r="B1162" s="2" t="s">
        <v>80</v>
      </c>
      <c r="C1162" s="2" t="s">
        <v>872</v>
      </c>
      <c r="D1162" s="2" t="s">
        <v>874</v>
      </c>
      <c r="E1162" s="2" t="s">
        <v>923</v>
      </c>
      <c r="F1162" s="2"/>
      <c r="G1162" s="50">
        <f>G1176+G1163</f>
        <v>61023391.86</v>
      </c>
      <c r="H1162" s="50">
        <f>H1176+H1163</f>
        <v>60979159.86</v>
      </c>
      <c r="I1162" s="50">
        <f t="shared" si="106"/>
        <v>99.93</v>
      </c>
    </row>
    <row r="1163" spans="1:9" ht="47.25">
      <c r="A1163" s="90" t="s">
        <v>824</v>
      </c>
      <c r="B1163" s="6" t="s">
        <v>80</v>
      </c>
      <c r="C1163" s="6" t="s">
        <v>872</v>
      </c>
      <c r="D1163" s="6" t="s">
        <v>874</v>
      </c>
      <c r="E1163" s="6" t="s">
        <v>795</v>
      </c>
      <c r="F1163" s="6"/>
      <c r="G1163" s="46">
        <f>G1172+G1164+G1168</f>
        <v>1857900</v>
      </c>
      <c r="H1163" s="46">
        <f>H1172+H1164+H1168</f>
        <v>1857900</v>
      </c>
      <c r="I1163" s="46">
        <f t="shared" si="106"/>
        <v>100</v>
      </c>
    </row>
    <row r="1164" spans="1:9" ht="141.75">
      <c r="A1164" s="90" t="s">
        <v>477</v>
      </c>
      <c r="B1164" s="6" t="s">
        <v>80</v>
      </c>
      <c r="C1164" s="6" t="s">
        <v>872</v>
      </c>
      <c r="D1164" s="6" t="s">
        <v>874</v>
      </c>
      <c r="E1164" s="6" t="s">
        <v>478</v>
      </c>
      <c r="F1164" s="6"/>
      <c r="G1164" s="46">
        <f aca="true" t="shared" si="107" ref="G1164:H1166">G1165</f>
        <v>800603</v>
      </c>
      <c r="H1164" s="46">
        <f t="shared" si="107"/>
        <v>800603</v>
      </c>
      <c r="I1164" s="46">
        <f t="shared" si="106"/>
        <v>100</v>
      </c>
    </row>
    <row r="1165" spans="1:9" ht="78.75">
      <c r="A1165" s="122" t="s">
        <v>936</v>
      </c>
      <c r="B1165" s="6" t="s">
        <v>80</v>
      </c>
      <c r="C1165" s="6" t="s">
        <v>872</v>
      </c>
      <c r="D1165" s="6" t="s">
        <v>874</v>
      </c>
      <c r="E1165" s="6" t="s">
        <v>478</v>
      </c>
      <c r="F1165" s="6" t="s">
        <v>685</v>
      </c>
      <c r="G1165" s="46">
        <f t="shared" si="107"/>
        <v>800603</v>
      </c>
      <c r="H1165" s="46">
        <f t="shared" si="107"/>
        <v>800603</v>
      </c>
      <c r="I1165" s="46">
        <f t="shared" si="106"/>
        <v>100</v>
      </c>
    </row>
    <row r="1166" spans="1:9" ht="31.5">
      <c r="A1166" s="122" t="s">
        <v>45</v>
      </c>
      <c r="B1166" s="6" t="s">
        <v>80</v>
      </c>
      <c r="C1166" s="6" t="s">
        <v>872</v>
      </c>
      <c r="D1166" s="6" t="s">
        <v>874</v>
      </c>
      <c r="E1166" s="6" t="s">
        <v>478</v>
      </c>
      <c r="F1166" s="6" t="s">
        <v>686</v>
      </c>
      <c r="G1166" s="46">
        <f t="shared" si="107"/>
        <v>800603</v>
      </c>
      <c r="H1166" s="46">
        <f t="shared" si="107"/>
        <v>800603</v>
      </c>
      <c r="I1166" s="46">
        <f t="shared" si="106"/>
        <v>100</v>
      </c>
    </row>
    <row r="1167" spans="1:9" ht="47.25">
      <c r="A1167" s="122" t="s">
        <v>46</v>
      </c>
      <c r="B1167" s="6" t="s">
        <v>80</v>
      </c>
      <c r="C1167" s="6" t="s">
        <v>872</v>
      </c>
      <c r="D1167" s="6" t="s">
        <v>874</v>
      </c>
      <c r="E1167" s="6" t="s">
        <v>478</v>
      </c>
      <c r="F1167" s="6" t="s">
        <v>57</v>
      </c>
      <c r="G1167" s="46">
        <f>252900+665000-26000+17600-17600-91297</f>
        <v>800603</v>
      </c>
      <c r="H1167" s="46">
        <v>800603</v>
      </c>
      <c r="I1167" s="46">
        <f t="shared" si="106"/>
        <v>100</v>
      </c>
    </row>
    <row r="1168" spans="1:9" ht="110.25">
      <c r="A1168" s="90" t="s">
        <v>773</v>
      </c>
      <c r="B1168" s="6" t="s">
        <v>80</v>
      </c>
      <c r="C1168" s="6" t="s">
        <v>872</v>
      </c>
      <c r="D1168" s="6" t="s">
        <v>874</v>
      </c>
      <c r="E1168" s="137" t="s">
        <v>774</v>
      </c>
      <c r="F1168" s="6"/>
      <c r="G1168" s="46">
        <f aca="true" t="shared" si="108" ref="G1168:H1170">G1169</f>
        <v>55097</v>
      </c>
      <c r="H1168" s="46">
        <f t="shared" si="108"/>
        <v>55097</v>
      </c>
      <c r="I1168" s="46">
        <f t="shared" si="106"/>
        <v>100</v>
      </c>
    </row>
    <row r="1169" spans="1:9" ht="78.75">
      <c r="A1169" s="5" t="s">
        <v>936</v>
      </c>
      <c r="B1169" s="6" t="s">
        <v>80</v>
      </c>
      <c r="C1169" s="6" t="s">
        <v>872</v>
      </c>
      <c r="D1169" s="6" t="s">
        <v>874</v>
      </c>
      <c r="E1169" s="137" t="s">
        <v>774</v>
      </c>
      <c r="F1169" s="6" t="s">
        <v>685</v>
      </c>
      <c r="G1169" s="46">
        <f t="shared" si="108"/>
        <v>55097</v>
      </c>
      <c r="H1169" s="46">
        <f t="shared" si="108"/>
        <v>55097</v>
      </c>
      <c r="I1169" s="46">
        <f t="shared" si="106"/>
        <v>100</v>
      </c>
    </row>
    <row r="1170" spans="1:9" ht="31.5">
      <c r="A1170" s="122" t="s">
        <v>45</v>
      </c>
      <c r="B1170" s="6" t="s">
        <v>80</v>
      </c>
      <c r="C1170" s="6" t="s">
        <v>872</v>
      </c>
      <c r="D1170" s="6" t="s">
        <v>874</v>
      </c>
      <c r="E1170" s="137" t="s">
        <v>774</v>
      </c>
      <c r="F1170" s="6" t="s">
        <v>686</v>
      </c>
      <c r="G1170" s="46">
        <f t="shared" si="108"/>
        <v>55097</v>
      </c>
      <c r="H1170" s="46">
        <f t="shared" si="108"/>
        <v>55097</v>
      </c>
      <c r="I1170" s="46">
        <f t="shared" si="106"/>
        <v>100</v>
      </c>
    </row>
    <row r="1171" spans="1:9" ht="47.25">
      <c r="A1171" s="122" t="s">
        <v>46</v>
      </c>
      <c r="B1171" s="6" t="s">
        <v>80</v>
      </c>
      <c r="C1171" s="6" t="s">
        <v>872</v>
      </c>
      <c r="D1171" s="6" t="s">
        <v>874</v>
      </c>
      <c r="E1171" s="137" t="s">
        <v>774</v>
      </c>
      <c r="F1171" s="6" t="s">
        <v>57</v>
      </c>
      <c r="G1171" s="46">
        <f>60000-4903</f>
        <v>55097</v>
      </c>
      <c r="H1171" s="46">
        <v>55097</v>
      </c>
      <c r="I1171" s="46">
        <f t="shared" si="106"/>
        <v>100</v>
      </c>
    </row>
    <row r="1172" spans="1:9" ht="173.25">
      <c r="A1172" s="5" t="s">
        <v>777</v>
      </c>
      <c r="B1172" s="6" t="s">
        <v>80</v>
      </c>
      <c r="C1172" s="6" t="s">
        <v>872</v>
      </c>
      <c r="D1172" s="6" t="s">
        <v>874</v>
      </c>
      <c r="E1172" s="6" t="s">
        <v>778</v>
      </c>
      <c r="F1172" s="6"/>
      <c r="G1172" s="46">
        <f aca="true" t="shared" si="109" ref="G1172:H1174">G1173</f>
        <v>1002200</v>
      </c>
      <c r="H1172" s="46">
        <f t="shared" si="109"/>
        <v>1002200</v>
      </c>
      <c r="I1172" s="46">
        <f t="shared" si="106"/>
        <v>100</v>
      </c>
    </row>
    <row r="1173" spans="1:9" ht="78.75">
      <c r="A1173" s="122" t="s">
        <v>936</v>
      </c>
      <c r="B1173" s="6" t="s">
        <v>80</v>
      </c>
      <c r="C1173" s="6" t="s">
        <v>872</v>
      </c>
      <c r="D1173" s="6" t="s">
        <v>874</v>
      </c>
      <c r="E1173" s="6" t="s">
        <v>778</v>
      </c>
      <c r="F1173" s="6" t="s">
        <v>685</v>
      </c>
      <c r="G1173" s="46">
        <f t="shared" si="109"/>
        <v>1002200</v>
      </c>
      <c r="H1173" s="46">
        <f t="shared" si="109"/>
        <v>1002200</v>
      </c>
      <c r="I1173" s="46">
        <f t="shared" si="106"/>
        <v>100</v>
      </c>
    </row>
    <row r="1174" spans="1:9" ht="31.5">
      <c r="A1174" s="122" t="s">
        <v>45</v>
      </c>
      <c r="B1174" s="6" t="s">
        <v>80</v>
      </c>
      <c r="C1174" s="6" t="s">
        <v>872</v>
      </c>
      <c r="D1174" s="6" t="s">
        <v>874</v>
      </c>
      <c r="E1174" s="6" t="s">
        <v>778</v>
      </c>
      <c r="F1174" s="6" t="s">
        <v>686</v>
      </c>
      <c r="G1174" s="46">
        <f t="shared" si="109"/>
        <v>1002200</v>
      </c>
      <c r="H1174" s="46">
        <f t="shared" si="109"/>
        <v>1002200</v>
      </c>
      <c r="I1174" s="46">
        <f t="shared" si="106"/>
        <v>100</v>
      </c>
    </row>
    <row r="1175" spans="1:9" ht="47.25">
      <c r="A1175" s="122" t="s">
        <v>46</v>
      </c>
      <c r="B1175" s="6" t="s">
        <v>80</v>
      </c>
      <c r="C1175" s="6" t="s">
        <v>872</v>
      </c>
      <c r="D1175" s="6" t="s">
        <v>874</v>
      </c>
      <c r="E1175" s="6" t="s">
        <v>778</v>
      </c>
      <c r="F1175" s="6" t="s">
        <v>57</v>
      </c>
      <c r="G1175" s="46">
        <f>667000+213000+26000+96200</f>
        <v>1002200</v>
      </c>
      <c r="H1175" s="46">
        <v>1002200</v>
      </c>
      <c r="I1175" s="46">
        <f t="shared" si="106"/>
        <v>100</v>
      </c>
    </row>
    <row r="1176" spans="1:9" ht="47.25">
      <c r="A1176" s="90" t="s">
        <v>816</v>
      </c>
      <c r="B1176" s="4" t="s">
        <v>80</v>
      </c>
      <c r="C1176" s="6" t="s">
        <v>872</v>
      </c>
      <c r="D1176" s="6" t="s">
        <v>874</v>
      </c>
      <c r="E1176" s="91" t="s">
        <v>650</v>
      </c>
      <c r="F1176" s="6"/>
      <c r="G1176" s="46">
        <f aca="true" t="shared" si="110" ref="G1176:H1178">G1177</f>
        <v>59165491.86</v>
      </c>
      <c r="H1176" s="46">
        <f t="shared" si="110"/>
        <v>59121259.86</v>
      </c>
      <c r="I1176" s="46">
        <f t="shared" si="106"/>
        <v>99.93</v>
      </c>
    </row>
    <row r="1177" spans="1:9" ht="135.75" customHeight="1">
      <c r="A1177" s="5" t="s">
        <v>746</v>
      </c>
      <c r="B1177" s="6" t="s">
        <v>80</v>
      </c>
      <c r="C1177" s="6" t="s">
        <v>872</v>
      </c>
      <c r="D1177" s="6" t="s">
        <v>874</v>
      </c>
      <c r="E1177" s="6" t="s">
        <v>747</v>
      </c>
      <c r="F1177" s="6"/>
      <c r="G1177" s="46">
        <f t="shared" si="110"/>
        <v>59165491.86</v>
      </c>
      <c r="H1177" s="46">
        <f t="shared" si="110"/>
        <v>59121259.86</v>
      </c>
      <c r="I1177" s="46">
        <f t="shared" si="106"/>
        <v>99.93</v>
      </c>
    </row>
    <row r="1178" spans="1:9" ht="78.75">
      <c r="A1178" s="5" t="s">
        <v>936</v>
      </c>
      <c r="B1178" s="6" t="s">
        <v>80</v>
      </c>
      <c r="C1178" s="6" t="s">
        <v>872</v>
      </c>
      <c r="D1178" s="6" t="s">
        <v>874</v>
      </c>
      <c r="E1178" s="6" t="s">
        <v>747</v>
      </c>
      <c r="F1178" s="6" t="s">
        <v>685</v>
      </c>
      <c r="G1178" s="46">
        <f t="shared" si="110"/>
        <v>59165491.86</v>
      </c>
      <c r="H1178" s="46">
        <f t="shared" si="110"/>
        <v>59121259.86</v>
      </c>
      <c r="I1178" s="46">
        <f t="shared" si="106"/>
        <v>99.93</v>
      </c>
    </row>
    <row r="1179" spans="1:9" ht="31.5">
      <c r="A1179" s="122" t="s">
        <v>45</v>
      </c>
      <c r="B1179" s="6" t="s">
        <v>80</v>
      </c>
      <c r="C1179" s="6" t="s">
        <v>872</v>
      </c>
      <c r="D1179" s="6" t="s">
        <v>874</v>
      </c>
      <c r="E1179" s="6" t="s">
        <v>747</v>
      </c>
      <c r="F1179" s="6" t="s">
        <v>686</v>
      </c>
      <c r="G1179" s="46">
        <f>G1180+G1181</f>
        <v>59165491.86</v>
      </c>
      <c r="H1179" s="46">
        <f>H1180+H1181</f>
        <v>59121259.86</v>
      </c>
      <c r="I1179" s="46">
        <f t="shared" si="106"/>
        <v>99.93</v>
      </c>
    </row>
    <row r="1180" spans="1:9" ht="110.25">
      <c r="A1180" s="5" t="s">
        <v>64</v>
      </c>
      <c r="B1180" s="6" t="s">
        <v>80</v>
      </c>
      <c r="C1180" s="6" t="s">
        <v>872</v>
      </c>
      <c r="D1180" s="6" t="s">
        <v>874</v>
      </c>
      <c r="E1180" s="6" t="s">
        <v>747</v>
      </c>
      <c r="F1180" s="6" t="s">
        <v>65</v>
      </c>
      <c r="G1180" s="46">
        <f>55163727+3182090+113413.68+9100+64270.47</f>
        <v>58532601.15</v>
      </c>
      <c r="H1180" s="46">
        <v>58488369.15</v>
      </c>
      <c r="I1180" s="46">
        <f t="shared" si="106"/>
        <v>99.92</v>
      </c>
    </row>
    <row r="1181" spans="1:9" ht="47.25">
      <c r="A1181" s="122" t="s">
        <v>46</v>
      </c>
      <c r="B1181" s="6" t="s">
        <v>80</v>
      </c>
      <c r="C1181" s="6" t="s">
        <v>872</v>
      </c>
      <c r="D1181" s="6" t="s">
        <v>874</v>
      </c>
      <c r="E1181" s="6" t="s">
        <v>747</v>
      </c>
      <c r="F1181" s="6" t="s">
        <v>57</v>
      </c>
      <c r="G1181" s="46">
        <f>619050-113413.68-9100+136354.39</f>
        <v>632890.71</v>
      </c>
      <c r="H1181" s="46">
        <v>632890.71</v>
      </c>
      <c r="I1181" s="46">
        <f t="shared" si="106"/>
        <v>100</v>
      </c>
    </row>
    <row r="1182" spans="1:9" ht="31.5" customHeight="1" hidden="1">
      <c r="A1182" s="127" t="s">
        <v>463</v>
      </c>
      <c r="B1182" s="2" t="s">
        <v>80</v>
      </c>
      <c r="C1182" s="2" t="s">
        <v>872</v>
      </c>
      <c r="D1182" s="2" t="s">
        <v>874</v>
      </c>
      <c r="E1182" s="2" t="s">
        <v>462</v>
      </c>
      <c r="F1182" s="2"/>
      <c r="G1182" s="50"/>
      <c r="H1182" s="50"/>
      <c r="I1182" s="50" t="e">
        <f t="shared" si="106"/>
        <v>#DIV/0!</v>
      </c>
    </row>
    <row r="1183" spans="1:9" ht="110.25" customHeight="1" hidden="1">
      <c r="A1183" s="5" t="s">
        <v>60</v>
      </c>
      <c r="B1183" s="6" t="s">
        <v>80</v>
      </c>
      <c r="C1183" s="6" t="s">
        <v>872</v>
      </c>
      <c r="D1183" s="6" t="s">
        <v>874</v>
      </c>
      <c r="E1183" s="6" t="s">
        <v>61</v>
      </c>
      <c r="F1183" s="6"/>
      <c r="G1183" s="46"/>
      <c r="H1183" s="46"/>
      <c r="I1183" s="46" t="e">
        <f t="shared" si="106"/>
        <v>#DIV/0!</v>
      </c>
    </row>
    <row r="1184" spans="1:9" ht="94.5" customHeight="1" hidden="1">
      <c r="A1184" s="5" t="s">
        <v>786</v>
      </c>
      <c r="B1184" s="6" t="s">
        <v>80</v>
      </c>
      <c r="C1184" s="6" t="s">
        <v>872</v>
      </c>
      <c r="D1184" s="6" t="s">
        <v>874</v>
      </c>
      <c r="E1184" s="6" t="s">
        <v>588</v>
      </c>
      <c r="F1184" s="6"/>
      <c r="G1184" s="46"/>
      <c r="H1184" s="46"/>
      <c r="I1184" s="46" t="e">
        <f t="shared" si="106"/>
        <v>#DIV/0!</v>
      </c>
    </row>
    <row r="1185" spans="1:9" ht="78.75" customHeight="1" hidden="1">
      <c r="A1185" s="5" t="s">
        <v>936</v>
      </c>
      <c r="B1185" s="6" t="s">
        <v>80</v>
      </c>
      <c r="C1185" s="6" t="s">
        <v>872</v>
      </c>
      <c r="D1185" s="6" t="s">
        <v>874</v>
      </c>
      <c r="E1185" s="6" t="s">
        <v>588</v>
      </c>
      <c r="F1185" s="6" t="s">
        <v>685</v>
      </c>
      <c r="G1185" s="46"/>
      <c r="H1185" s="46"/>
      <c r="I1185" s="46" t="e">
        <f t="shared" si="106"/>
        <v>#DIV/0!</v>
      </c>
    </row>
    <row r="1186" spans="1:9" ht="31.5" customHeight="1" hidden="1">
      <c r="A1186" s="122" t="s">
        <v>45</v>
      </c>
      <c r="B1186" s="6" t="s">
        <v>80</v>
      </c>
      <c r="C1186" s="6" t="s">
        <v>872</v>
      </c>
      <c r="D1186" s="6" t="s">
        <v>874</v>
      </c>
      <c r="E1186" s="6" t="s">
        <v>588</v>
      </c>
      <c r="F1186" s="6" t="s">
        <v>686</v>
      </c>
      <c r="G1186" s="46"/>
      <c r="H1186" s="46"/>
      <c r="I1186" s="46" t="e">
        <f t="shared" si="106"/>
        <v>#DIV/0!</v>
      </c>
    </row>
    <row r="1187" spans="1:9" ht="110.25" customHeight="1" hidden="1">
      <c r="A1187" s="5" t="s">
        <v>64</v>
      </c>
      <c r="B1187" s="6" t="s">
        <v>80</v>
      </c>
      <c r="C1187" s="6" t="s">
        <v>872</v>
      </c>
      <c r="D1187" s="6" t="s">
        <v>874</v>
      </c>
      <c r="E1187" s="6" t="s">
        <v>588</v>
      </c>
      <c r="F1187" s="6" t="s">
        <v>65</v>
      </c>
      <c r="G1187" s="46"/>
      <c r="H1187" s="46"/>
      <c r="I1187" s="46" t="e">
        <f t="shared" si="106"/>
        <v>#DIV/0!</v>
      </c>
    </row>
    <row r="1188" spans="1:9" ht="31.5">
      <c r="A1188" s="20" t="s">
        <v>69</v>
      </c>
      <c r="B1188" s="7" t="s">
        <v>80</v>
      </c>
      <c r="C1188" s="7" t="s">
        <v>872</v>
      </c>
      <c r="D1188" s="7" t="s">
        <v>872</v>
      </c>
      <c r="E1188" s="7"/>
      <c r="F1188" s="7"/>
      <c r="G1188" s="45">
        <f>G1189</f>
        <v>16659514</v>
      </c>
      <c r="H1188" s="45">
        <f>H1189</f>
        <v>16650142.82</v>
      </c>
      <c r="I1188" s="45">
        <f t="shared" si="106"/>
        <v>99.94</v>
      </c>
    </row>
    <row r="1189" spans="1:9" ht="47.25">
      <c r="A1189" s="1" t="s">
        <v>922</v>
      </c>
      <c r="B1189" s="2" t="s">
        <v>80</v>
      </c>
      <c r="C1189" s="2" t="s">
        <v>872</v>
      </c>
      <c r="D1189" s="2" t="s">
        <v>872</v>
      </c>
      <c r="E1189" s="2" t="s">
        <v>923</v>
      </c>
      <c r="F1189" s="2"/>
      <c r="G1189" s="50">
        <f>G1210+G1190</f>
        <v>16659514</v>
      </c>
      <c r="H1189" s="50">
        <f>H1210+H1190</f>
        <v>16650142.82</v>
      </c>
      <c r="I1189" s="50">
        <f t="shared" si="106"/>
        <v>99.94</v>
      </c>
    </row>
    <row r="1190" spans="1:9" ht="47.25">
      <c r="A1190" s="90" t="s">
        <v>824</v>
      </c>
      <c r="B1190" s="6" t="s">
        <v>80</v>
      </c>
      <c r="C1190" s="6" t="s">
        <v>872</v>
      </c>
      <c r="D1190" s="6" t="s">
        <v>872</v>
      </c>
      <c r="E1190" s="91" t="s">
        <v>795</v>
      </c>
      <c r="F1190" s="6"/>
      <c r="G1190" s="46">
        <f>G1195+G1199+G1206+G1191</f>
        <v>790000</v>
      </c>
      <c r="H1190" s="46">
        <f>H1195+H1199+H1206+H1191</f>
        <v>788775.2</v>
      </c>
      <c r="I1190" s="46">
        <f t="shared" si="106"/>
        <v>99.84</v>
      </c>
    </row>
    <row r="1191" spans="1:9" ht="141.75">
      <c r="A1191" s="90" t="s">
        <v>477</v>
      </c>
      <c r="B1191" s="6" t="s">
        <v>80</v>
      </c>
      <c r="C1191" s="6" t="s">
        <v>872</v>
      </c>
      <c r="D1191" s="6" t="s">
        <v>872</v>
      </c>
      <c r="E1191" s="6" t="s">
        <v>478</v>
      </c>
      <c r="F1191" s="6"/>
      <c r="G1191" s="46">
        <f aca="true" t="shared" si="111" ref="G1191:H1193">G1192</f>
        <v>130000</v>
      </c>
      <c r="H1191" s="46">
        <f t="shared" si="111"/>
        <v>130000</v>
      </c>
      <c r="I1191" s="46">
        <f t="shared" si="106"/>
        <v>100</v>
      </c>
    </row>
    <row r="1192" spans="1:9" ht="78.75">
      <c r="A1192" s="122" t="s">
        <v>936</v>
      </c>
      <c r="B1192" s="6" t="s">
        <v>80</v>
      </c>
      <c r="C1192" s="6" t="s">
        <v>872</v>
      </c>
      <c r="D1192" s="6" t="s">
        <v>872</v>
      </c>
      <c r="E1192" s="6" t="s">
        <v>478</v>
      </c>
      <c r="F1192" s="6" t="s">
        <v>685</v>
      </c>
      <c r="G1192" s="46">
        <f t="shared" si="111"/>
        <v>130000</v>
      </c>
      <c r="H1192" s="46">
        <f t="shared" si="111"/>
        <v>130000</v>
      </c>
      <c r="I1192" s="46">
        <f t="shared" si="106"/>
        <v>100</v>
      </c>
    </row>
    <row r="1193" spans="1:9" ht="31.5">
      <c r="A1193" s="122" t="s">
        <v>45</v>
      </c>
      <c r="B1193" s="6" t="s">
        <v>80</v>
      </c>
      <c r="C1193" s="6" t="s">
        <v>872</v>
      </c>
      <c r="D1193" s="6" t="s">
        <v>872</v>
      </c>
      <c r="E1193" s="6" t="s">
        <v>478</v>
      </c>
      <c r="F1193" s="6" t="s">
        <v>686</v>
      </c>
      <c r="G1193" s="46">
        <f t="shared" si="111"/>
        <v>130000</v>
      </c>
      <c r="H1193" s="46">
        <f t="shared" si="111"/>
        <v>130000</v>
      </c>
      <c r="I1193" s="46">
        <f t="shared" si="106"/>
        <v>100</v>
      </c>
    </row>
    <row r="1194" spans="1:9" ht="47.25">
      <c r="A1194" s="122" t="s">
        <v>46</v>
      </c>
      <c r="B1194" s="6" t="s">
        <v>80</v>
      </c>
      <c r="C1194" s="6" t="s">
        <v>872</v>
      </c>
      <c r="D1194" s="6" t="s">
        <v>872</v>
      </c>
      <c r="E1194" s="6" t="s">
        <v>478</v>
      </c>
      <c r="F1194" s="6" t="s">
        <v>57</v>
      </c>
      <c r="G1194" s="46">
        <f>35000+95000</f>
        <v>130000</v>
      </c>
      <c r="H1194" s="46">
        <v>130000</v>
      </c>
      <c r="I1194" s="46">
        <f t="shared" si="106"/>
        <v>100</v>
      </c>
    </row>
    <row r="1195" spans="1:9" ht="141.75">
      <c r="A1195" s="90" t="s">
        <v>757</v>
      </c>
      <c r="B1195" s="6" t="s">
        <v>80</v>
      </c>
      <c r="C1195" s="6" t="s">
        <v>872</v>
      </c>
      <c r="D1195" s="6" t="s">
        <v>872</v>
      </c>
      <c r="E1195" s="91" t="s">
        <v>758</v>
      </c>
      <c r="F1195" s="6"/>
      <c r="G1195" s="46">
        <f aca="true" t="shared" si="112" ref="G1195:H1197">G1196</f>
        <v>69000</v>
      </c>
      <c r="H1195" s="46">
        <f t="shared" si="112"/>
        <v>69000</v>
      </c>
      <c r="I1195" s="46">
        <f t="shared" si="106"/>
        <v>100</v>
      </c>
    </row>
    <row r="1196" spans="1:9" ht="78.75">
      <c r="A1196" s="98" t="s">
        <v>936</v>
      </c>
      <c r="B1196" s="6" t="s">
        <v>80</v>
      </c>
      <c r="C1196" s="6" t="s">
        <v>872</v>
      </c>
      <c r="D1196" s="6" t="s">
        <v>872</v>
      </c>
      <c r="E1196" s="91" t="s">
        <v>758</v>
      </c>
      <c r="F1196" s="6" t="s">
        <v>685</v>
      </c>
      <c r="G1196" s="46">
        <f t="shared" si="112"/>
        <v>69000</v>
      </c>
      <c r="H1196" s="46">
        <f t="shared" si="112"/>
        <v>69000</v>
      </c>
      <c r="I1196" s="46">
        <f t="shared" si="106"/>
        <v>100</v>
      </c>
    </row>
    <row r="1197" spans="1:9" ht="31.5">
      <c r="A1197" s="98" t="s">
        <v>45</v>
      </c>
      <c r="B1197" s="6" t="s">
        <v>80</v>
      </c>
      <c r="C1197" s="6" t="s">
        <v>872</v>
      </c>
      <c r="D1197" s="6" t="s">
        <v>872</v>
      </c>
      <c r="E1197" s="91" t="s">
        <v>758</v>
      </c>
      <c r="F1197" s="6" t="s">
        <v>686</v>
      </c>
      <c r="G1197" s="46">
        <f t="shared" si="112"/>
        <v>69000</v>
      </c>
      <c r="H1197" s="46">
        <f t="shared" si="112"/>
        <v>69000</v>
      </c>
      <c r="I1197" s="46">
        <f t="shared" si="106"/>
        <v>100</v>
      </c>
    </row>
    <row r="1198" spans="1:9" ht="47.25">
      <c r="A1198" s="98" t="s">
        <v>46</v>
      </c>
      <c r="B1198" s="6" t="s">
        <v>80</v>
      </c>
      <c r="C1198" s="6" t="s">
        <v>872</v>
      </c>
      <c r="D1198" s="6" t="s">
        <v>872</v>
      </c>
      <c r="E1198" s="91" t="s">
        <v>758</v>
      </c>
      <c r="F1198" s="6" t="s">
        <v>57</v>
      </c>
      <c r="G1198" s="46">
        <f>69000</f>
        <v>69000</v>
      </c>
      <c r="H1198" s="46">
        <v>69000</v>
      </c>
      <c r="I1198" s="46">
        <f t="shared" si="106"/>
        <v>100</v>
      </c>
    </row>
    <row r="1199" spans="1:9" ht="63">
      <c r="A1199" s="3" t="s">
        <v>763</v>
      </c>
      <c r="B1199" s="6" t="s">
        <v>80</v>
      </c>
      <c r="C1199" s="6" t="s">
        <v>872</v>
      </c>
      <c r="D1199" s="6" t="s">
        <v>872</v>
      </c>
      <c r="E1199" s="91" t="s">
        <v>764</v>
      </c>
      <c r="F1199" s="6"/>
      <c r="G1199" s="46">
        <f>G1203+G1200</f>
        <v>440000</v>
      </c>
      <c r="H1199" s="46">
        <f>H1203+H1200</f>
        <v>438775.2</v>
      </c>
      <c r="I1199" s="46">
        <f t="shared" si="106"/>
        <v>99.72</v>
      </c>
    </row>
    <row r="1200" spans="1:9" ht="47.25">
      <c r="A1200" s="3" t="s">
        <v>673</v>
      </c>
      <c r="B1200" s="6" t="s">
        <v>80</v>
      </c>
      <c r="C1200" s="6" t="s">
        <v>872</v>
      </c>
      <c r="D1200" s="6" t="s">
        <v>872</v>
      </c>
      <c r="E1200" s="91" t="s">
        <v>764</v>
      </c>
      <c r="F1200" s="6" t="s">
        <v>674</v>
      </c>
      <c r="G1200" s="46">
        <f>G1201</f>
        <v>400000</v>
      </c>
      <c r="H1200" s="46">
        <f>H1201</f>
        <v>398775.2</v>
      </c>
      <c r="I1200" s="46">
        <f t="shared" si="106"/>
        <v>99.69</v>
      </c>
    </row>
    <row r="1201" spans="1:9" ht="47.25">
      <c r="A1201" s="3" t="s">
        <v>675</v>
      </c>
      <c r="B1201" s="6" t="s">
        <v>80</v>
      </c>
      <c r="C1201" s="6" t="s">
        <v>872</v>
      </c>
      <c r="D1201" s="6" t="s">
        <v>872</v>
      </c>
      <c r="E1201" s="91" t="s">
        <v>764</v>
      </c>
      <c r="F1201" s="6" t="s">
        <v>676</v>
      </c>
      <c r="G1201" s="46">
        <f>G1202</f>
        <v>400000</v>
      </c>
      <c r="H1201" s="46">
        <f>H1202</f>
        <v>398775.2</v>
      </c>
      <c r="I1201" s="46">
        <f t="shared" si="106"/>
        <v>99.69</v>
      </c>
    </row>
    <row r="1202" spans="1:9" ht="47.25">
      <c r="A1202" s="3" t="s">
        <v>677</v>
      </c>
      <c r="B1202" s="6" t="s">
        <v>80</v>
      </c>
      <c r="C1202" s="6" t="s">
        <v>872</v>
      </c>
      <c r="D1202" s="6" t="s">
        <v>872</v>
      </c>
      <c r="E1202" s="91" t="s">
        <v>764</v>
      </c>
      <c r="F1202" s="6" t="s">
        <v>678</v>
      </c>
      <c r="G1202" s="46">
        <f>400000</f>
        <v>400000</v>
      </c>
      <c r="H1202" s="46">
        <v>398775.2</v>
      </c>
      <c r="I1202" s="46">
        <f t="shared" si="106"/>
        <v>99.69</v>
      </c>
    </row>
    <row r="1203" spans="1:9" ht="78.75">
      <c r="A1203" s="5" t="s">
        <v>936</v>
      </c>
      <c r="B1203" s="6" t="s">
        <v>80</v>
      </c>
      <c r="C1203" s="6" t="s">
        <v>872</v>
      </c>
      <c r="D1203" s="6" t="s">
        <v>872</v>
      </c>
      <c r="E1203" s="91" t="s">
        <v>764</v>
      </c>
      <c r="F1203" s="6" t="s">
        <v>685</v>
      </c>
      <c r="G1203" s="46">
        <f>G1204</f>
        <v>40000</v>
      </c>
      <c r="H1203" s="46">
        <f>H1204</f>
        <v>40000</v>
      </c>
      <c r="I1203" s="46">
        <f t="shared" si="106"/>
        <v>100</v>
      </c>
    </row>
    <row r="1204" spans="1:9" ht="31.5">
      <c r="A1204" s="122" t="s">
        <v>45</v>
      </c>
      <c r="B1204" s="6" t="s">
        <v>80</v>
      </c>
      <c r="C1204" s="6" t="s">
        <v>872</v>
      </c>
      <c r="D1204" s="6" t="s">
        <v>872</v>
      </c>
      <c r="E1204" s="91" t="s">
        <v>764</v>
      </c>
      <c r="F1204" s="6" t="s">
        <v>686</v>
      </c>
      <c r="G1204" s="46">
        <f>G1205</f>
        <v>40000</v>
      </c>
      <c r="H1204" s="46">
        <f>H1205</f>
        <v>40000</v>
      </c>
      <c r="I1204" s="46">
        <f t="shared" si="106"/>
        <v>100</v>
      </c>
    </row>
    <row r="1205" spans="1:9" ht="47.25">
      <c r="A1205" s="122" t="s">
        <v>46</v>
      </c>
      <c r="B1205" s="6" t="s">
        <v>80</v>
      </c>
      <c r="C1205" s="6" t="s">
        <v>872</v>
      </c>
      <c r="D1205" s="6" t="s">
        <v>872</v>
      </c>
      <c r="E1205" s="91" t="s">
        <v>764</v>
      </c>
      <c r="F1205" s="6" t="s">
        <v>57</v>
      </c>
      <c r="G1205" s="46">
        <f>40000</f>
        <v>40000</v>
      </c>
      <c r="H1205" s="46">
        <v>40000</v>
      </c>
      <c r="I1205" s="46">
        <f t="shared" si="106"/>
        <v>100</v>
      </c>
    </row>
    <row r="1206" spans="1:9" ht="173.25">
      <c r="A1206" s="5" t="s">
        <v>777</v>
      </c>
      <c r="B1206" s="6" t="s">
        <v>80</v>
      </c>
      <c r="C1206" s="6" t="s">
        <v>872</v>
      </c>
      <c r="D1206" s="6" t="s">
        <v>872</v>
      </c>
      <c r="E1206" s="6" t="s">
        <v>778</v>
      </c>
      <c r="F1206" s="6"/>
      <c r="G1206" s="46">
        <f aca="true" t="shared" si="113" ref="G1206:H1208">G1207</f>
        <v>151000</v>
      </c>
      <c r="H1206" s="46">
        <f t="shared" si="113"/>
        <v>151000</v>
      </c>
      <c r="I1206" s="46">
        <f t="shared" si="106"/>
        <v>100</v>
      </c>
    </row>
    <row r="1207" spans="1:9" ht="78.75">
      <c r="A1207" s="122" t="s">
        <v>936</v>
      </c>
      <c r="B1207" s="6" t="s">
        <v>80</v>
      </c>
      <c r="C1207" s="6" t="s">
        <v>872</v>
      </c>
      <c r="D1207" s="6" t="s">
        <v>872</v>
      </c>
      <c r="E1207" s="6" t="s">
        <v>778</v>
      </c>
      <c r="F1207" s="6" t="s">
        <v>685</v>
      </c>
      <c r="G1207" s="46">
        <f t="shared" si="113"/>
        <v>151000</v>
      </c>
      <c r="H1207" s="46">
        <f t="shared" si="113"/>
        <v>151000</v>
      </c>
      <c r="I1207" s="46">
        <f t="shared" si="106"/>
        <v>100</v>
      </c>
    </row>
    <row r="1208" spans="1:9" ht="31.5">
      <c r="A1208" s="122" t="s">
        <v>45</v>
      </c>
      <c r="B1208" s="6" t="s">
        <v>80</v>
      </c>
      <c r="C1208" s="6" t="s">
        <v>872</v>
      </c>
      <c r="D1208" s="6" t="s">
        <v>872</v>
      </c>
      <c r="E1208" s="6" t="s">
        <v>778</v>
      </c>
      <c r="F1208" s="6" t="s">
        <v>686</v>
      </c>
      <c r="G1208" s="46">
        <f t="shared" si="113"/>
        <v>151000</v>
      </c>
      <c r="H1208" s="46">
        <f t="shared" si="113"/>
        <v>151000</v>
      </c>
      <c r="I1208" s="46">
        <f t="shared" si="106"/>
        <v>100</v>
      </c>
    </row>
    <row r="1209" spans="1:9" ht="47.25">
      <c r="A1209" s="122" t="s">
        <v>46</v>
      </c>
      <c r="B1209" s="6" t="s">
        <v>80</v>
      </c>
      <c r="C1209" s="6" t="s">
        <v>872</v>
      </c>
      <c r="D1209" s="6" t="s">
        <v>872</v>
      </c>
      <c r="E1209" s="6" t="s">
        <v>778</v>
      </c>
      <c r="F1209" s="6" t="s">
        <v>57</v>
      </c>
      <c r="G1209" s="46">
        <f>364000-213000</f>
        <v>151000</v>
      </c>
      <c r="H1209" s="46">
        <v>151000</v>
      </c>
      <c r="I1209" s="46">
        <f t="shared" si="106"/>
        <v>100</v>
      </c>
    </row>
    <row r="1210" spans="1:9" ht="47.25">
      <c r="A1210" s="90" t="s">
        <v>816</v>
      </c>
      <c r="B1210" s="4" t="s">
        <v>80</v>
      </c>
      <c r="C1210" s="6" t="s">
        <v>872</v>
      </c>
      <c r="D1210" s="6" t="s">
        <v>872</v>
      </c>
      <c r="E1210" s="91" t="s">
        <v>650</v>
      </c>
      <c r="F1210" s="6"/>
      <c r="G1210" s="46">
        <f>G1211+G1216</f>
        <v>15869514</v>
      </c>
      <c r="H1210" s="46">
        <f>H1211+H1216</f>
        <v>15861367.620000001</v>
      </c>
      <c r="I1210" s="46">
        <f t="shared" si="106"/>
        <v>99.95</v>
      </c>
    </row>
    <row r="1211" spans="1:9" ht="126" customHeight="1">
      <c r="A1211" s="122" t="s">
        <v>481</v>
      </c>
      <c r="B1211" s="6" t="s">
        <v>80</v>
      </c>
      <c r="C1211" s="6" t="s">
        <v>872</v>
      </c>
      <c r="D1211" s="6" t="s">
        <v>872</v>
      </c>
      <c r="E1211" s="6" t="s">
        <v>482</v>
      </c>
      <c r="F1211" s="6"/>
      <c r="G1211" s="46">
        <f>G1212</f>
        <v>922000</v>
      </c>
      <c r="H1211" s="46">
        <f>H1212</f>
        <v>914644.6</v>
      </c>
      <c r="I1211" s="46">
        <f t="shared" si="106"/>
        <v>99.2</v>
      </c>
    </row>
    <row r="1212" spans="1:9" ht="47.25">
      <c r="A1212" s="125" t="s">
        <v>673</v>
      </c>
      <c r="B1212" s="6" t="s">
        <v>80</v>
      </c>
      <c r="C1212" s="6" t="s">
        <v>872</v>
      </c>
      <c r="D1212" s="6" t="s">
        <v>872</v>
      </c>
      <c r="E1212" s="6" t="s">
        <v>482</v>
      </c>
      <c r="F1212" s="6" t="s">
        <v>674</v>
      </c>
      <c r="G1212" s="46">
        <f>G1213</f>
        <v>922000</v>
      </c>
      <c r="H1212" s="46">
        <f>H1213</f>
        <v>914644.6</v>
      </c>
      <c r="I1212" s="46">
        <f t="shared" si="106"/>
        <v>99.2</v>
      </c>
    </row>
    <row r="1213" spans="1:9" ht="47.25">
      <c r="A1213" s="125" t="s">
        <v>675</v>
      </c>
      <c r="B1213" s="6" t="s">
        <v>80</v>
      </c>
      <c r="C1213" s="6" t="s">
        <v>872</v>
      </c>
      <c r="D1213" s="6" t="s">
        <v>872</v>
      </c>
      <c r="E1213" s="6" t="s">
        <v>482</v>
      </c>
      <c r="F1213" s="6" t="s">
        <v>676</v>
      </c>
      <c r="G1213" s="46">
        <f>G1215+G1214</f>
        <v>922000</v>
      </c>
      <c r="H1213" s="46">
        <f>H1215+H1214</f>
        <v>914644.6</v>
      </c>
      <c r="I1213" s="46">
        <f t="shared" si="106"/>
        <v>99.2</v>
      </c>
    </row>
    <row r="1214" spans="1:9" ht="78.75">
      <c r="A1214" s="3" t="s">
        <v>679</v>
      </c>
      <c r="B1214" s="6" t="s">
        <v>80</v>
      </c>
      <c r="C1214" s="6" t="s">
        <v>872</v>
      </c>
      <c r="D1214" s="6" t="s">
        <v>872</v>
      </c>
      <c r="E1214" s="6" t="s">
        <v>482</v>
      </c>
      <c r="F1214" s="6" t="s">
        <v>680</v>
      </c>
      <c r="G1214" s="46">
        <v>7000</v>
      </c>
      <c r="H1214" s="46">
        <v>4560</v>
      </c>
      <c r="I1214" s="46">
        <f t="shared" si="106"/>
        <v>65.14</v>
      </c>
    </row>
    <row r="1215" spans="1:9" ht="47.25">
      <c r="A1215" s="125" t="s">
        <v>677</v>
      </c>
      <c r="B1215" s="6" t="s">
        <v>80</v>
      </c>
      <c r="C1215" s="6" t="s">
        <v>872</v>
      </c>
      <c r="D1215" s="6" t="s">
        <v>872</v>
      </c>
      <c r="E1215" s="6" t="s">
        <v>482</v>
      </c>
      <c r="F1215" s="6" t="s">
        <v>678</v>
      </c>
      <c r="G1215" s="46">
        <f>922000-7000</f>
        <v>915000</v>
      </c>
      <c r="H1215" s="46">
        <v>910084.6</v>
      </c>
      <c r="I1215" s="46">
        <f t="shared" si="106"/>
        <v>99.46</v>
      </c>
    </row>
    <row r="1216" spans="1:9" ht="110.25">
      <c r="A1216" s="90" t="s">
        <v>479</v>
      </c>
      <c r="B1216" s="4" t="s">
        <v>80</v>
      </c>
      <c r="C1216" s="6" t="s">
        <v>872</v>
      </c>
      <c r="D1216" s="6" t="s">
        <v>872</v>
      </c>
      <c r="E1216" s="91" t="s">
        <v>480</v>
      </c>
      <c r="F1216" s="6"/>
      <c r="G1216" s="46">
        <f>G1217</f>
        <v>14947514</v>
      </c>
      <c r="H1216" s="46">
        <f>H1217</f>
        <v>14946723.020000001</v>
      </c>
      <c r="I1216" s="46">
        <f t="shared" si="106"/>
        <v>99.99</v>
      </c>
    </row>
    <row r="1217" spans="1:9" ht="78.75">
      <c r="A1217" s="5" t="s">
        <v>936</v>
      </c>
      <c r="B1217" s="6" t="s">
        <v>80</v>
      </c>
      <c r="C1217" s="6" t="s">
        <v>872</v>
      </c>
      <c r="D1217" s="6" t="s">
        <v>872</v>
      </c>
      <c r="E1217" s="91" t="s">
        <v>480</v>
      </c>
      <c r="F1217" s="6" t="s">
        <v>685</v>
      </c>
      <c r="G1217" s="46">
        <f>G1218</f>
        <v>14947514</v>
      </c>
      <c r="H1217" s="46">
        <f>H1218</f>
        <v>14946723.020000001</v>
      </c>
      <c r="I1217" s="46">
        <f t="shared" si="106"/>
        <v>99.99</v>
      </c>
    </row>
    <row r="1218" spans="1:9" ht="31.5">
      <c r="A1218" s="122" t="s">
        <v>45</v>
      </c>
      <c r="B1218" s="6" t="s">
        <v>80</v>
      </c>
      <c r="C1218" s="6" t="s">
        <v>872</v>
      </c>
      <c r="D1218" s="6" t="s">
        <v>872</v>
      </c>
      <c r="E1218" s="91" t="s">
        <v>480</v>
      </c>
      <c r="F1218" s="6" t="s">
        <v>686</v>
      </c>
      <c r="G1218" s="46">
        <f>G1219+G1220</f>
        <v>14947514</v>
      </c>
      <c r="H1218" s="46">
        <f>H1219+H1220</f>
        <v>14946723.020000001</v>
      </c>
      <c r="I1218" s="46">
        <f t="shared" si="106"/>
        <v>99.99</v>
      </c>
    </row>
    <row r="1219" spans="1:9" ht="110.25">
      <c r="A1219" s="5" t="s">
        <v>64</v>
      </c>
      <c r="B1219" s="6" t="s">
        <v>80</v>
      </c>
      <c r="C1219" s="6" t="s">
        <v>872</v>
      </c>
      <c r="D1219" s="6" t="s">
        <v>872</v>
      </c>
      <c r="E1219" s="91" t="s">
        <v>480</v>
      </c>
      <c r="F1219" s="6" t="s">
        <v>65</v>
      </c>
      <c r="G1219" s="46">
        <f>14293522+357600+9796.22</f>
        <v>14660918.22</v>
      </c>
      <c r="H1219" s="46">
        <v>14660918.22</v>
      </c>
      <c r="I1219" s="46">
        <f t="shared" si="106"/>
        <v>100</v>
      </c>
    </row>
    <row r="1220" spans="1:9" ht="47.25">
      <c r="A1220" s="122" t="s">
        <v>46</v>
      </c>
      <c r="B1220" s="6" t="s">
        <v>80</v>
      </c>
      <c r="C1220" s="6" t="s">
        <v>872</v>
      </c>
      <c r="D1220" s="6" t="s">
        <v>872</v>
      </c>
      <c r="E1220" s="91" t="s">
        <v>480</v>
      </c>
      <c r="F1220" s="6" t="s">
        <v>57</v>
      </c>
      <c r="G1220" s="46">
        <f>469992-357600+279000-95000-9796.22</f>
        <v>286595.78</v>
      </c>
      <c r="H1220" s="46">
        <v>285804.8</v>
      </c>
      <c r="I1220" s="46">
        <f t="shared" si="106"/>
        <v>99.72</v>
      </c>
    </row>
    <row r="1221" spans="1:9" ht="31.5" customHeight="1" hidden="1">
      <c r="A1221" s="127" t="s">
        <v>463</v>
      </c>
      <c r="B1221" s="2" t="s">
        <v>80</v>
      </c>
      <c r="C1221" s="2" t="s">
        <v>872</v>
      </c>
      <c r="D1221" s="2" t="s">
        <v>872</v>
      </c>
      <c r="E1221" s="2" t="s">
        <v>462</v>
      </c>
      <c r="F1221" s="2"/>
      <c r="G1221" s="50"/>
      <c r="H1221" s="50"/>
      <c r="I1221" s="50" t="e">
        <f t="shared" si="106"/>
        <v>#DIV/0!</v>
      </c>
    </row>
    <row r="1222" spans="1:9" ht="110.25" customHeight="1" hidden="1">
      <c r="A1222" s="5" t="s">
        <v>60</v>
      </c>
      <c r="B1222" s="6" t="s">
        <v>80</v>
      </c>
      <c r="C1222" s="6" t="s">
        <v>872</v>
      </c>
      <c r="D1222" s="6" t="s">
        <v>872</v>
      </c>
      <c r="E1222" s="6" t="s">
        <v>61</v>
      </c>
      <c r="F1222" s="6"/>
      <c r="G1222" s="46"/>
      <c r="H1222" s="46"/>
      <c r="I1222" s="46" t="e">
        <f t="shared" si="106"/>
        <v>#DIV/0!</v>
      </c>
    </row>
    <row r="1223" spans="1:9" ht="94.5" customHeight="1" hidden="1">
      <c r="A1223" s="5" t="s">
        <v>786</v>
      </c>
      <c r="B1223" s="6" t="s">
        <v>80</v>
      </c>
      <c r="C1223" s="6" t="s">
        <v>872</v>
      </c>
      <c r="D1223" s="6" t="s">
        <v>872</v>
      </c>
      <c r="E1223" s="6" t="s">
        <v>718</v>
      </c>
      <c r="F1223" s="6"/>
      <c r="G1223" s="46"/>
      <c r="H1223" s="46"/>
      <c r="I1223" s="46" t="e">
        <f t="shared" si="106"/>
        <v>#DIV/0!</v>
      </c>
    </row>
    <row r="1224" spans="1:9" ht="78.75" customHeight="1" hidden="1">
      <c r="A1224" s="5" t="s">
        <v>936</v>
      </c>
      <c r="B1224" s="6" t="s">
        <v>80</v>
      </c>
      <c r="C1224" s="6" t="s">
        <v>872</v>
      </c>
      <c r="D1224" s="6" t="s">
        <v>872</v>
      </c>
      <c r="E1224" s="6" t="s">
        <v>718</v>
      </c>
      <c r="F1224" s="6" t="s">
        <v>685</v>
      </c>
      <c r="G1224" s="46"/>
      <c r="H1224" s="46"/>
      <c r="I1224" s="46" t="e">
        <f aca="true" t="shared" si="114" ref="I1224:I1287">ROUND(H1224/G1224*100,2)</f>
        <v>#DIV/0!</v>
      </c>
    </row>
    <row r="1225" spans="1:9" ht="31.5" customHeight="1" hidden="1">
      <c r="A1225" s="122" t="s">
        <v>45</v>
      </c>
      <c r="B1225" s="6" t="s">
        <v>80</v>
      </c>
      <c r="C1225" s="6" t="s">
        <v>872</v>
      </c>
      <c r="D1225" s="6" t="s">
        <v>872</v>
      </c>
      <c r="E1225" s="6" t="s">
        <v>718</v>
      </c>
      <c r="F1225" s="6" t="s">
        <v>686</v>
      </c>
      <c r="G1225" s="46"/>
      <c r="H1225" s="46"/>
      <c r="I1225" s="46" t="e">
        <f t="shared" si="114"/>
        <v>#DIV/0!</v>
      </c>
    </row>
    <row r="1226" spans="1:9" ht="110.25" customHeight="1" hidden="1">
      <c r="A1226" s="5" t="s">
        <v>64</v>
      </c>
      <c r="B1226" s="6" t="s">
        <v>80</v>
      </c>
      <c r="C1226" s="6" t="s">
        <v>872</v>
      </c>
      <c r="D1226" s="6" t="s">
        <v>872</v>
      </c>
      <c r="E1226" s="6" t="s">
        <v>718</v>
      </c>
      <c r="F1226" s="6" t="s">
        <v>65</v>
      </c>
      <c r="G1226" s="46"/>
      <c r="H1226" s="46"/>
      <c r="I1226" s="46" t="e">
        <f t="shared" si="114"/>
        <v>#DIV/0!</v>
      </c>
    </row>
    <row r="1227" spans="1:11" s="24" customFormat="1" ht="31.5">
      <c r="A1227" s="20" t="s">
        <v>681</v>
      </c>
      <c r="B1227" s="7" t="s">
        <v>80</v>
      </c>
      <c r="C1227" s="7" t="s">
        <v>873</v>
      </c>
      <c r="D1227" s="7" t="s">
        <v>910</v>
      </c>
      <c r="E1227" s="7"/>
      <c r="F1227" s="7"/>
      <c r="G1227" s="45">
        <f>G1228</f>
        <v>147039894.94</v>
      </c>
      <c r="H1227" s="45">
        <f>H1228</f>
        <v>146737425</v>
      </c>
      <c r="I1227" s="45">
        <f t="shared" si="114"/>
        <v>99.79</v>
      </c>
      <c r="J1227" s="96"/>
      <c r="K1227" s="187"/>
    </row>
    <row r="1228" spans="1:9" ht="15.75">
      <c r="A1228" s="1" t="s">
        <v>896</v>
      </c>
      <c r="B1228" s="2" t="s">
        <v>80</v>
      </c>
      <c r="C1228" s="2" t="s">
        <v>873</v>
      </c>
      <c r="D1228" s="2" t="s">
        <v>869</v>
      </c>
      <c r="E1228" s="2"/>
      <c r="F1228" s="2"/>
      <c r="G1228" s="50">
        <f>G1229+G1238+G1249+G1243</f>
        <v>147039894.94</v>
      </c>
      <c r="H1228" s="50">
        <f>H1229+H1238+H1249+H1243</f>
        <v>146737425</v>
      </c>
      <c r="I1228" s="50">
        <f t="shared" si="114"/>
        <v>99.79</v>
      </c>
    </row>
    <row r="1229" spans="1:9" ht="63">
      <c r="A1229" s="3" t="s">
        <v>70</v>
      </c>
      <c r="B1229" s="4" t="s">
        <v>80</v>
      </c>
      <c r="C1229" s="4" t="s">
        <v>873</v>
      </c>
      <c r="D1229" s="4" t="s">
        <v>869</v>
      </c>
      <c r="E1229" s="4" t="s">
        <v>901</v>
      </c>
      <c r="F1229" s="2"/>
      <c r="G1229" s="46">
        <f>G1234+G1230</f>
        <v>154800</v>
      </c>
      <c r="H1229" s="46">
        <f>H1234+H1230</f>
        <v>154800</v>
      </c>
      <c r="I1229" s="46">
        <f t="shared" si="114"/>
        <v>100</v>
      </c>
    </row>
    <row r="1230" spans="1:9" ht="102.75" customHeight="1">
      <c r="A1230" s="3" t="s">
        <v>499</v>
      </c>
      <c r="B1230" s="4" t="s">
        <v>80</v>
      </c>
      <c r="C1230" s="4" t="s">
        <v>873</v>
      </c>
      <c r="D1230" s="4" t="s">
        <v>869</v>
      </c>
      <c r="E1230" s="4" t="s">
        <v>500</v>
      </c>
      <c r="F1230" s="2"/>
      <c r="G1230" s="46">
        <f aca="true" t="shared" si="115" ref="G1230:H1232">G1231</f>
        <v>50000</v>
      </c>
      <c r="H1230" s="46">
        <f t="shared" si="115"/>
        <v>50000</v>
      </c>
      <c r="I1230" s="46">
        <f t="shared" si="114"/>
        <v>100</v>
      </c>
    </row>
    <row r="1231" spans="1:9" ht="78.75">
      <c r="A1231" s="98" t="s">
        <v>936</v>
      </c>
      <c r="B1231" s="4" t="s">
        <v>80</v>
      </c>
      <c r="C1231" s="4" t="s">
        <v>873</v>
      </c>
      <c r="D1231" s="4" t="s">
        <v>869</v>
      </c>
      <c r="E1231" s="4" t="s">
        <v>500</v>
      </c>
      <c r="F1231" s="6" t="s">
        <v>685</v>
      </c>
      <c r="G1231" s="46">
        <f t="shared" si="115"/>
        <v>50000</v>
      </c>
      <c r="H1231" s="46">
        <f t="shared" si="115"/>
        <v>50000</v>
      </c>
      <c r="I1231" s="46">
        <f t="shared" si="114"/>
        <v>100</v>
      </c>
    </row>
    <row r="1232" spans="1:9" ht="31.5">
      <c r="A1232" s="98" t="s">
        <v>45</v>
      </c>
      <c r="B1232" s="4" t="s">
        <v>80</v>
      </c>
      <c r="C1232" s="4" t="s">
        <v>873</v>
      </c>
      <c r="D1232" s="4" t="s">
        <v>869</v>
      </c>
      <c r="E1232" s="4" t="s">
        <v>500</v>
      </c>
      <c r="F1232" s="6" t="s">
        <v>686</v>
      </c>
      <c r="G1232" s="46">
        <f t="shared" si="115"/>
        <v>50000</v>
      </c>
      <c r="H1232" s="46">
        <f t="shared" si="115"/>
        <v>50000</v>
      </c>
      <c r="I1232" s="46">
        <f t="shared" si="114"/>
        <v>100</v>
      </c>
    </row>
    <row r="1233" spans="1:9" ht="47.25">
      <c r="A1233" s="98" t="s">
        <v>46</v>
      </c>
      <c r="B1233" s="4" t="s">
        <v>80</v>
      </c>
      <c r="C1233" s="4" t="s">
        <v>873</v>
      </c>
      <c r="D1233" s="4" t="s">
        <v>869</v>
      </c>
      <c r="E1233" s="4" t="s">
        <v>500</v>
      </c>
      <c r="F1233" s="6" t="s">
        <v>57</v>
      </c>
      <c r="G1233" s="46">
        <v>50000</v>
      </c>
      <c r="H1233" s="46">
        <v>50000</v>
      </c>
      <c r="I1233" s="46">
        <f t="shared" si="114"/>
        <v>100</v>
      </c>
    </row>
    <row r="1234" spans="1:9" ht="126">
      <c r="A1234" s="5" t="s">
        <v>551</v>
      </c>
      <c r="B1234" s="4" t="s">
        <v>80</v>
      </c>
      <c r="C1234" s="4" t="s">
        <v>873</v>
      </c>
      <c r="D1234" s="4" t="s">
        <v>869</v>
      </c>
      <c r="E1234" s="4" t="s">
        <v>632</v>
      </c>
      <c r="F1234" s="6"/>
      <c r="G1234" s="46">
        <f aca="true" t="shared" si="116" ref="G1234:H1236">G1235</f>
        <v>104800</v>
      </c>
      <c r="H1234" s="46">
        <f t="shared" si="116"/>
        <v>104800</v>
      </c>
      <c r="I1234" s="46">
        <f t="shared" si="114"/>
        <v>100</v>
      </c>
    </row>
    <row r="1235" spans="1:9" ht="78.75">
      <c r="A1235" s="5" t="s">
        <v>936</v>
      </c>
      <c r="B1235" s="6" t="s">
        <v>80</v>
      </c>
      <c r="C1235" s="4" t="s">
        <v>873</v>
      </c>
      <c r="D1235" s="4" t="s">
        <v>869</v>
      </c>
      <c r="E1235" s="4" t="s">
        <v>632</v>
      </c>
      <c r="F1235" s="6" t="s">
        <v>685</v>
      </c>
      <c r="G1235" s="46">
        <f t="shared" si="116"/>
        <v>104800</v>
      </c>
      <c r="H1235" s="46">
        <f t="shared" si="116"/>
        <v>104800</v>
      </c>
      <c r="I1235" s="46">
        <f t="shared" si="114"/>
        <v>100</v>
      </c>
    </row>
    <row r="1236" spans="1:9" ht="31.5">
      <c r="A1236" s="122" t="s">
        <v>45</v>
      </c>
      <c r="B1236" s="6" t="s">
        <v>80</v>
      </c>
      <c r="C1236" s="4" t="s">
        <v>873</v>
      </c>
      <c r="D1236" s="4" t="s">
        <v>869</v>
      </c>
      <c r="E1236" s="4" t="s">
        <v>632</v>
      </c>
      <c r="F1236" s="6" t="s">
        <v>686</v>
      </c>
      <c r="G1236" s="46">
        <f t="shared" si="116"/>
        <v>104800</v>
      </c>
      <c r="H1236" s="46">
        <f t="shared" si="116"/>
        <v>104800</v>
      </c>
      <c r="I1236" s="46">
        <f t="shared" si="114"/>
        <v>100</v>
      </c>
    </row>
    <row r="1237" spans="1:9" ht="47.25">
      <c r="A1237" s="98" t="s">
        <v>46</v>
      </c>
      <c r="B1237" s="6" t="s">
        <v>80</v>
      </c>
      <c r="C1237" s="4" t="s">
        <v>873</v>
      </c>
      <c r="D1237" s="4" t="s">
        <v>869</v>
      </c>
      <c r="E1237" s="4" t="s">
        <v>632</v>
      </c>
      <c r="F1237" s="6" t="s">
        <v>57</v>
      </c>
      <c r="G1237" s="46">
        <f>104800</f>
        <v>104800</v>
      </c>
      <c r="H1237" s="46">
        <v>104800</v>
      </c>
      <c r="I1237" s="46">
        <f t="shared" si="114"/>
        <v>100</v>
      </c>
    </row>
    <row r="1238" spans="1:9" ht="47.25">
      <c r="A1238" s="132" t="s">
        <v>914</v>
      </c>
      <c r="B1238" s="33" t="s">
        <v>80</v>
      </c>
      <c r="C1238" s="35" t="s">
        <v>873</v>
      </c>
      <c r="D1238" s="35" t="s">
        <v>869</v>
      </c>
      <c r="E1238" s="33" t="s">
        <v>937</v>
      </c>
      <c r="F1238" s="33"/>
      <c r="G1238" s="55">
        <f aca="true" t="shared" si="117" ref="G1238:H1241">G1239</f>
        <v>759094</v>
      </c>
      <c r="H1238" s="55">
        <f t="shared" si="117"/>
        <v>685575.73</v>
      </c>
      <c r="I1238" s="55">
        <f t="shared" si="114"/>
        <v>90.31</v>
      </c>
    </row>
    <row r="1239" spans="1:9" ht="173.25">
      <c r="A1239" s="122" t="s">
        <v>66</v>
      </c>
      <c r="B1239" s="6" t="s">
        <v>80</v>
      </c>
      <c r="C1239" s="4" t="s">
        <v>873</v>
      </c>
      <c r="D1239" s="4" t="s">
        <v>869</v>
      </c>
      <c r="E1239" s="6" t="s">
        <v>67</v>
      </c>
      <c r="F1239" s="6"/>
      <c r="G1239" s="46">
        <f t="shared" si="117"/>
        <v>759094</v>
      </c>
      <c r="H1239" s="46">
        <f t="shared" si="117"/>
        <v>685575.73</v>
      </c>
      <c r="I1239" s="46">
        <f t="shared" si="114"/>
        <v>90.31</v>
      </c>
    </row>
    <row r="1240" spans="1:9" ht="78.75">
      <c r="A1240" s="5" t="s">
        <v>936</v>
      </c>
      <c r="B1240" s="6" t="s">
        <v>80</v>
      </c>
      <c r="C1240" s="4" t="s">
        <v>873</v>
      </c>
      <c r="D1240" s="4" t="s">
        <v>869</v>
      </c>
      <c r="E1240" s="6" t="s">
        <v>67</v>
      </c>
      <c r="F1240" s="6" t="s">
        <v>685</v>
      </c>
      <c r="G1240" s="46">
        <f t="shared" si="117"/>
        <v>759094</v>
      </c>
      <c r="H1240" s="46">
        <f t="shared" si="117"/>
        <v>685575.73</v>
      </c>
      <c r="I1240" s="46">
        <f t="shared" si="114"/>
        <v>90.31</v>
      </c>
    </row>
    <row r="1241" spans="1:9" ht="31.5">
      <c r="A1241" s="122" t="s">
        <v>45</v>
      </c>
      <c r="B1241" s="6" t="s">
        <v>80</v>
      </c>
      <c r="C1241" s="4" t="s">
        <v>873</v>
      </c>
      <c r="D1241" s="4" t="s">
        <v>869</v>
      </c>
      <c r="E1241" s="6" t="s">
        <v>67</v>
      </c>
      <c r="F1241" s="6" t="s">
        <v>686</v>
      </c>
      <c r="G1241" s="46">
        <f t="shared" si="117"/>
        <v>759094</v>
      </c>
      <c r="H1241" s="46">
        <f t="shared" si="117"/>
        <v>685575.73</v>
      </c>
      <c r="I1241" s="46">
        <f t="shared" si="114"/>
        <v>90.31</v>
      </c>
    </row>
    <row r="1242" spans="1:9" ht="110.25">
      <c r="A1242" s="5" t="s">
        <v>64</v>
      </c>
      <c r="B1242" s="6" t="s">
        <v>80</v>
      </c>
      <c r="C1242" s="4" t="s">
        <v>873</v>
      </c>
      <c r="D1242" s="4" t="s">
        <v>869</v>
      </c>
      <c r="E1242" s="6" t="s">
        <v>67</v>
      </c>
      <c r="F1242" s="6" t="s">
        <v>65</v>
      </c>
      <c r="G1242" s="46">
        <f>759094</f>
        <v>759094</v>
      </c>
      <c r="H1242" s="46">
        <v>685575.73</v>
      </c>
      <c r="I1242" s="46">
        <f t="shared" si="114"/>
        <v>90.31</v>
      </c>
    </row>
    <row r="1243" spans="1:9" ht="31.5">
      <c r="A1243" s="132" t="s">
        <v>463</v>
      </c>
      <c r="B1243" s="33" t="s">
        <v>80</v>
      </c>
      <c r="C1243" s="33" t="s">
        <v>873</v>
      </c>
      <c r="D1243" s="33" t="s">
        <v>869</v>
      </c>
      <c r="E1243" s="33" t="s">
        <v>462</v>
      </c>
      <c r="F1243" s="7"/>
      <c r="G1243" s="55">
        <f aca="true" t="shared" si="118" ref="G1243:H1247">G1244</f>
        <v>5272476</v>
      </c>
      <c r="H1243" s="55">
        <f t="shared" si="118"/>
        <v>5271829.78</v>
      </c>
      <c r="I1243" s="55">
        <f t="shared" si="114"/>
        <v>99.99</v>
      </c>
    </row>
    <row r="1244" spans="1:9" ht="63">
      <c r="A1244" s="5" t="s">
        <v>698</v>
      </c>
      <c r="B1244" s="6" t="s">
        <v>80</v>
      </c>
      <c r="C1244" s="6" t="s">
        <v>873</v>
      </c>
      <c r="D1244" s="6" t="s">
        <v>869</v>
      </c>
      <c r="E1244" s="6" t="s">
        <v>719</v>
      </c>
      <c r="F1244" s="6"/>
      <c r="G1244" s="46">
        <f t="shared" si="118"/>
        <v>5272476</v>
      </c>
      <c r="H1244" s="46">
        <f t="shared" si="118"/>
        <v>5271829.78</v>
      </c>
      <c r="I1244" s="46">
        <f t="shared" si="114"/>
        <v>99.99</v>
      </c>
    </row>
    <row r="1245" spans="1:9" ht="126">
      <c r="A1245" s="5" t="s">
        <v>696</v>
      </c>
      <c r="B1245" s="6" t="s">
        <v>80</v>
      </c>
      <c r="C1245" s="6" t="s">
        <v>873</v>
      </c>
      <c r="D1245" s="6" t="s">
        <v>869</v>
      </c>
      <c r="E1245" s="6" t="s">
        <v>697</v>
      </c>
      <c r="F1245" s="6"/>
      <c r="G1245" s="46">
        <f t="shared" si="118"/>
        <v>5272476</v>
      </c>
      <c r="H1245" s="46">
        <f t="shared" si="118"/>
        <v>5271829.78</v>
      </c>
      <c r="I1245" s="46">
        <f t="shared" si="114"/>
        <v>99.99</v>
      </c>
    </row>
    <row r="1246" spans="1:9" ht="78.75">
      <c r="A1246" s="5" t="s">
        <v>936</v>
      </c>
      <c r="B1246" s="6" t="s">
        <v>80</v>
      </c>
      <c r="C1246" s="6" t="s">
        <v>873</v>
      </c>
      <c r="D1246" s="6" t="s">
        <v>869</v>
      </c>
      <c r="E1246" s="6" t="s">
        <v>697</v>
      </c>
      <c r="F1246" s="6" t="s">
        <v>685</v>
      </c>
      <c r="G1246" s="46">
        <f t="shared" si="118"/>
        <v>5272476</v>
      </c>
      <c r="H1246" s="46">
        <f t="shared" si="118"/>
        <v>5271829.78</v>
      </c>
      <c r="I1246" s="46">
        <f t="shared" si="114"/>
        <v>99.99</v>
      </c>
    </row>
    <row r="1247" spans="1:9" ht="31.5">
      <c r="A1247" s="122" t="s">
        <v>45</v>
      </c>
      <c r="B1247" s="6" t="s">
        <v>80</v>
      </c>
      <c r="C1247" s="6" t="s">
        <v>873</v>
      </c>
      <c r="D1247" s="6" t="s">
        <v>869</v>
      </c>
      <c r="E1247" s="6" t="s">
        <v>697</v>
      </c>
      <c r="F1247" s="6" t="s">
        <v>686</v>
      </c>
      <c r="G1247" s="46">
        <f t="shared" si="118"/>
        <v>5272476</v>
      </c>
      <c r="H1247" s="46">
        <f t="shared" si="118"/>
        <v>5271829.78</v>
      </c>
      <c r="I1247" s="46">
        <f t="shared" si="114"/>
        <v>99.99</v>
      </c>
    </row>
    <row r="1248" spans="1:9" ht="110.25">
      <c r="A1248" s="8" t="s">
        <v>64</v>
      </c>
      <c r="B1248" s="9" t="s">
        <v>80</v>
      </c>
      <c r="C1248" s="9" t="s">
        <v>873</v>
      </c>
      <c r="D1248" s="9" t="s">
        <v>869</v>
      </c>
      <c r="E1248" s="6" t="s">
        <v>697</v>
      </c>
      <c r="F1248" s="9" t="s">
        <v>65</v>
      </c>
      <c r="G1248" s="48">
        <f>2374930+801230+880150-10-1379100+2595276</f>
        <v>5272476</v>
      </c>
      <c r="H1248" s="48">
        <v>5271829.78</v>
      </c>
      <c r="I1248" s="48">
        <f t="shared" si="114"/>
        <v>99.99</v>
      </c>
    </row>
    <row r="1249" spans="1:9" ht="47.25">
      <c r="A1249" s="20" t="s">
        <v>922</v>
      </c>
      <c r="B1249" s="7" t="s">
        <v>80</v>
      </c>
      <c r="C1249" s="7" t="s">
        <v>873</v>
      </c>
      <c r="D1249" s="7" t="s">
        <v>869</v>
      </c>
      <c r="E1249" s="7" t="s">
        <v>923</v>
      </c>
      <c r="F1249" s="33"/>
      <c r="G1249" s="45">
        <f>G1250+G1277</f>
        <v>140853524.94</v>
      </c>
      <c r="H1249" s="45">
        <f>H1250+H1277</f>
        <v>140625219.49</v>
      </c>
      <c r="I1249" s="45">
        <f t="shared" si="114"/>
        <v>99.84</v>
      </c>
    </row>
    <row r="1250" spans="1:9" ht="47.25">
      <c r="A1250" s="90" t="s">
        <v>824</v>
      </c>
      <c r="B1250" s="6" t="s">
        <v>80</v>
      </c>
      <c r="C1250" s="6" t="s">
        <v>873</v>
      </c>
      <c r="D1250" s="6" t="s">
        <v>869</v>
      </c>
      <c r="E1250" s="91" t="s">
        <v>795</v>
      </c>
      <c r="F1250" s="6"/>
      <c r="G1250" s="46">
        <f>G1262+G1266+G1258+G1273+G1251</f>
        <v>9161887.59</v>
      </c>
      <c r="H1250" s="46">
        <f>H1262+H1266+H1258+H1273+H1251</f>
        <v>9043412.22</v>
      </c>
      <c r="I1250" s="46">
        <f t="shared" si="114"/>
        <v>98.71</v>
      </c>
    </row>
    <row r="1251" spans="1:9" ht="141.75">
      <c r="A1251" s="90" t="s">
        <v>477</v>
      </c>
      <c r="B1251" s="6" t="s">
        <v>80</v>
      </c>
      <c r="C1251" s="6" t="s">
        <v>873</v>
      </c>
      <c r="D1251" s="6" t="s">
        <v>869</v>
      </c>
      <c r="E1251" s="91" t="s">
        <v>478</v>
      </c>
      <c r="F1251" s="6"/>
      <c r="G1251" s="46">
        <f>G1255+G1252</f>
        <v>4630910.680000001</v>
      </c>
      <c r="H1251" s="46">
        <f>H1255+H1252</f>
        <v>4630884.07</v>
      </c>
      <c r="I1251" s="46">
        <f t="shared" si="114"/>
        <v>100</v>
      </c>
    </row>
    <row r="1252" spans="1:9" ht="47.25" customHeight="1" hidden="1">
      <c r="A1252" s="3" t="s">
        <v>673</v>
      </c>
      <c r="B1252" s="6" t="s">
        <v>80</v>
      </c>
      <c r="C1252" s="6" t="s">
        <v>873</v>
      </c>
      <c r="D1252" s="6" t="s">
        <v>869</v>
      </c>
      <c r="E1252" s="91" t="s">
        <v>478</v>
      </c>
      <c r="F1252" s="6" t="s">
        <v>674</v>
      </c>
      <c r="G1252" s="46">
        <f>G1253</f>
        <v>0</v>
      </c>
      <c r="H1252" s="46">
        <f>H1253</f>
        <v>0</v>
      </c>
      <c r="I1252" s="46" t="e">
        <f t="shared" si="114"/>
        <v>#DIV/0!</v>
      </c>
    </row>
    <row r="1253" spans="1:9" ht="47.25" customHeight="1" hidden="1">
      <c r="A1253" s="3" t="s">
        <v>675</v>
      </c>
      <c r="B1253" s="6" t="s">
        <v>80</v>
      </c>
      <c r="C1253" s="6" t="s">
        <v>873</v>
      </c>
      <c r="D1253" s="6" t="s">
        <v>869</v>
      </c>
      <c r="E1253" s="91" t="s">
        <v>478</v>
      </c>
      <c r="F1253" s="6" t="s">
        <v>676</v>
      </c>
      <c r="G1253" s="46">
        <f>G1254</f>
        <v>0</v>
      </c>
      <c r="H1253" s="46">
        <f>H1254</f>
        <v>0</v>
      </c>
      <c r="I1253" s="46" t="e">
        <f t="shared" si="114"/>
        <v>#DIV/0!</v>
      </c>
    </row>
    <row r="1254" spans="1:9" ht="63" customHeight="1" hidden="1">
      <c r="A1254" s="5" t="s">
        <v>768</v>
      </c>
      <c r="B1254" s="6" t="s">
        <v>80</v>
      </c>
      <c r="C1254" s="6" t="s">
        <v>873</v>
      </c>
      <c r="D1254" s="6" t="s">
        <v>869</v>
      </c>
      <c r="E1254" s="91" t="s">
        <v>478</v>
      </c>
      <c r="F1254" s="6" t="s">
        <v>770</v>
      </c>
      <c r="G1254" s="46">
        <v>0</v>
      </c>
      <c r="H1254" s="46">
        <v>0</v>
      </c>
      <c r="I1254" s="46" t="e">
        <f t="shared" si="114"/>
        <v>#DIV/0!</v>
      </c>
    </row>
    <row r="1255" spans="1:9" ht="78.75">
      <c r="A1255" s="98" t="s">
        <v>936</v>
      </c>
      <c r="B1255" s="6" t="s">
        <v>80</v>
      </c>
      <c r="C1255" s="6" t="s">
        <v>873</v>
      </c>
      <c r="D1255" s="6" t="s">
        <v>869</v>
      </c>
      <c r="E1255" s="91" t="s">
        <v>478</v>
      </c>
      <c r="F1255" s="6" t="s">
        <v>685</v>
      </c>
      <c r="G1255" s="46">
        <f>G1256</f>
        <v>4630910.680000001</v>
      </c>
      <c r="H1255" s="46">
        <f>H1256</f>
        <v>4630884.07</v>
      </c>
      <c r="I1255" s="46">
        <f t="shared" si="114"/>
        <v>100</v>
      </c>
    </row>
    <row r="1256" spans="1:9" ht="31.5">
      <c r="A1256" s="98" t="s">
        <v>45</v>
      </c>
      <c r="B1256" s="6" t="s">
        <v>80</v>
      </c>
      <c r="C1256" s="6" t="s">
        <v>873</v>
      </c>
      <c r="D1256" s="6" t="s">
        <v>869</v>
      </c>
      <c r="E1256" s="91" t="s">
        <v>478</v>
      </c>
      <c r="F1256" s="6" t="s">
        <v>686</v>
      </c>
      <c r="G1256" s="46">
        <f>G1257</f>
        <v>4630910.680000001</v>
      </c>
      <c r="H1256" s="46">
        <f>H1257</f>
        <v>4630884.07</v>
      </c>
      <c r="I1256" s="46">
        <f t="shared" si="114"/>
        <v>100</v>
      </c>
    </row>
    <row r="1257" spans="1:9" ht="47.25">
      <c r="A1257" s="98" t="s">
        <v>46</v>
      </c>
      <c r="B1257" s="6" t="s">
        <v>80</v>
      </c>
      <c r="C1257" s="6" t="s">
        <v>873</v>
      </c>
      <c r="D1257" s="6" t="s">
        <v>869</v>
      </c>
      <c r="E1257" s="91" t="s">
        <v>478</v>
      </c>
      <c r="F1257" s="6" t="s">
        <v>57</v>
      </c>
      <c r="G1257" s="46">
        <f>700000+348000+393400+360000+186480+193338.95+670480+517600+214409.56+1047202.17</f>
        <v>4630910.680000001</v>
      </c>
      <c r="H1257" s="46">
        <v>4630884.07</v>
      </c>
      <c r="I1257" s="46">
        <f t="shared" si="114"/>
        <v>100</v>
      </c>
    </row>
    <row r="1258" spans="1:9" ht="110.25">
      <c r="A1258" s="90" t="s">
        <v>773</v>
      </c>
      <c r="B1258" s="6" t="s">
        <v>80</v>
      </c>
      <c r="C1258" s="6" t="s">
        <v>873</v>
      </c>
      <c r="D1258" s="6" t="s">
        <v>869</v>
      </c>
      <c r="E1258" s="91" t="s">
        <v>774</v>
      </c>
      <c r="F1258" s="6"/>
      <c r="G1258" s="46">
        <f aca="true" t="shared" si="119" ref="G1258:H1260">G1259</f>
        <v>481025</v>
      </c>
      <c r="H1258" s="46">
        <f t="shared" si="119"/>
        <v>450418.11</v>
      </c>
      <c r="I1258" s="46">
        <f t="shared" si="114"/>
        <v>93.64</v>
      </c>
    </row>
    <row r="1259" spans="1:9" ht="78.75">
      <c r="A1259" s="98" t="s">
        <v>936</v>
      </c>
      <c r="B1259" s="6" t="s">
        <v>80</v>
      </c>
      <c r="C1259" s="6" t="s">
        <v>873</v>
      </c>
      <c r="D1259" s="6" t="s">
        <v>869</v>
      </c>
      <c r="E1259" s="91" t="s">
        <v>774</v>
      </c>
      <c r="F1259" s="6" t="s">
        <v>685</v>
      </c>
      <c r="G1259" s="46">
        <f t="shared" si="119"/>
        <v>481025</v>
      </c>
      <c r="H1259" s="46">
        <f t="shared" si="119"/>
        <v>450418.11</v>
      </c>
      <c r="I1259" s="46">
        <f t="shared" si="114"/>
        <v>93.64</v>
      </c>
    </row>
    <row r="1260" spans="1:9" ht="31.5">
      <c r="A1260" s="98" t="s">
        <v>45</v>
      </c>
      <c r="B1260" s="6" t="s">
        <v>80</v>
      </c>
      <c r="C1260" s="6" t="s">
        <v>873</v>
      </c>
      <c r="D1260" s="6" t="s">
        <v>869</v>
      </c>
      <c r="E1260" s="91" t="s">
        <v>774</v>
      </c>
      <c r="F1260" s="6" t="s">
        <v>686</v>
      </c>
      <c r="G1260" s="46">
        <f t="shared" si="119"/>
        <v>481025</v>
      </c>
      <c r="H1260" s="46">
        <f t="shared" si="119"/>
        <v>450418.11</v>
      </c>
      <c r="I1260" s="46">
        <f t="shared" si="114"/>
        <v>93.64</v>
      </c>
    </row>
    <row r="1261" spans="1:9" ht="47.25">
      <c r="A1261" s="98" t="s">
        <v>46</v>
      </c>
      <c r="B1261" s="6" t="s">
        <v>80</v>
      </c>
      <c r="C1261" s="6" t="s">
        <v>873</v>
      </c>
      <c r="D1261" s="6" t="s">
        <v>869</v>
      </c>
      <c r="E1261" s="91" t="s">
        <v>774</v>
      </c>
      <c r="F1261" s="6" t="s">
        <v>57</v>
      </c>
      <c r="G1261" s="46">
        <f>3387000-60000+152680-2957000-41655</f>
        <v>481025</v>
      </c>
      <c r="H1261" s="46">
        <v>450418.11</v>
      </c>
      <c r="I1261" s="46">
        <f t="shared" si="114"/>
        <v>93.64</v>
      </c>
    </row>
    <row r="1262" spans="1:9" ht="141.75">
      <c r="A1262" s="90" t="s">
        <v>757</v>
      </c>
      <c r="B1262" s="6" t="s">
        <v>80</v>
      </c>
      <c r="C1262" s="6" t="s">
        <v>873</v>
      </c>
      <c r="D1262" s="6" t="s">
        <v>869</v>
      </c>
      <c r="E1262" s="91" t="s">
        <v>758</v>
      </c>
      <c r="F1262" s="6"/>
      <c r="G1262" s="46">
        <f aca="true" t="shared" si="120" ref="G1262:H1264">G1263</f>
        <v>228220</v>
      </c>
      <c r="H1262" s="46">
        <f t="shared" si="120"/>
        <v>140762</v>
      </c>
      <c r="I1262" s="46">
        <f t="shared" si="114"/>
        <v>61.68</v>
      </c>
    </row>
    <row r="1263" spans="1:9" ht="78.75">
      <c r="A1263" s="98" t="s">
        <v>936</v>
      </c>
      <c r="B1263" s="6" t="s">
        <v>80</v>
      </c>
      <c r="C1263" s="6" t="s">
        <v>873</v>
      </c>
      <c r="D1263" s="6" t="s">
        <v>869</v>
      </c>
      <c r="E1263" s="91" t="s">
        <v>758</v>
      </c>
      <c r="F1263" s="6" t="s">
        <v>685</v>
      </c>
      <c r="G1263" s="46">
        <f t="shared" si="120"/>
        <v>228220</v>
      </c>
      <c r="H1263" s="46">
        <f t="shared" si="120"/>
        <v>140762</v>
      </c>
      <c r="I1263" s="46">
        <f t="shared" si="114"/>
        <v>61.68</v>
      </c>
    </row>
    <row r="1264" spans="1:9" ht="31.5">
      <c r="A1264" s="98" t="s">
        <v>45</v>
      </c>
      <c r="B1264" s="6" t="s">
        <v>80</v>
      </c>
      <c r="C1264" s="6" t="s">
        <v>873</v>
      </c>
      <c r="D1264" s="6" t="s">
        <v>869</v>
      </c>
      <c r="E1264" s="91" t="s">
        <v>758</v>
      </c>
      <c r="F1264" s="6" t="s">
        <v>686</v>
      </c>
      <c r="G1264" s="46">
        <f t="shared" si="120"/>
        <v>228220</v>
      </c>
      <c r="H1264" s="46">
        <f t="shared" si="120"/>
        <v>140762</v>
      </c>
      <c r="I1264" s="46">
        <f t="shared" si="114"/>
        <v>61.68</v>
      </c>
    </row>
    <row r="1265" spans="1:9" ht="47.25">
      <c r="A1265" s="98" t="s">
        <v>46</v>
      </c>
      <c r="B1265" s="6" t="s">
        <v>80</v>
      </c>
      <c r="C1265" s="6" t="s">
        <v>873</v>
      </c>
      <c r="D1265" s="6" t="s">
        <v>869</v>
      </c>
      <c r="E1265" s="91" t="s">
        <v>758</v>
      </c>
      <c r="F1265" s="6" t="s">
        <v>57</v>
      </c>
      <c r="G1265" s="46">
        <f>307000-69000-9780</f>
        <v>228220</v>
      </c>
      <c r="H1265" s="46">
        <v>140762</v>
      </c>
      <c r="I1265" s="46">
        <f t="shared" si="114"/>
        <v>61.68</v>
      </c>
    </row>
    <row r="1266" spans="1:9" ht="63">
      <c r="A1266" s="3" t="s">
        <v>763</v>
      </c>
      <c r="B1266" s="6" t="s">
        <v>80</v>
      </c>
      <c r="C1266" s="6" t="s">
        <v>873</v>
      </c>
      <c r="D1266" s="6" t="s">
        <v>869</v>
      </c>
      <c r="E1266" s="91" t="s">
        <v>764</v>
      </c>
      <c r="F1266" s="6"/>
      <c r="G1266" s="46">
        <f>G1267+G1270</f>
        <v>35000</v>
      </c>
      <c r="H1266" s="46">
        <f>H1267+H1270</f>
        <v>35000</v>
      </c>
      <c r="I1266" s="46">
        <f t="shared" si="114"/>
        <v>100</v>
      </c>
    </row>
    <row r="1267" spans="1:9" ht="47.25" customHeight="1" hidden="1">
      <c r="A1267" s="3" t="s">
        <v>673</v>
      </c>
      <c r="B1267" s="6" t="s">
        <v>80</v>
      </c>
      <c r="C1267" s="6" t="s">
        <v>873</v>
      </c>
      <c r="D1267" s="6" t="s">
        <v>869</v>
      </c>
      <c r="E1267" s="91" t="s">
        <v>764</v>
      </c>
      <c r="F1267" s="6" t="s">
        <v>674</v>
      </c>
      <c r="G1267" s="46">
        <f>G1268</f>
        <v>0</v>
      </c>
      <c r="H1267" s="46">
        <f>H1268</f>
        <v>0</v>
      </c>
      <c r="I1267" s="46" t="e">
        <f t="shared" si="114"/>
        <v>#DIV/0!</v>
      </c>
    </row>
    <row r="1268" spans="1:9" ht="47.25" customHeight="1" hidden="1">
      <c r="A1268" s="3" t="s">
        <v>675</v>
      </c>
      <c r="B1268" s="6" t="s">
        <v>80</v>
      </c>
      <c r="C1268" s="6" t="s">
        <v>873</v>
      </c>
      <c r="D1268" s="6" t="s">
        <v>869</v>
      </c>
      <c r="E1268" s="91" t="s">
        <v>764</v>
      </c>
      <c r="F1268" s="6" t="s">
        <v>676</v>
      </c>
      <c r="G1268" s="46">
        <f>G1269</f>
        <v>0</v>
      </c>
      <c r="H1268" s="46">
        <f>H1269</f>
        <v>0</v>
      </c>
      <c r="I1268" s="46" t="e">
        <f t="shared" si="114"/>
        <v>#DIV/0!</v>
      </c>
    </row>
    <row r="1269" spans="1:9" ht="47.25" customHeight="1" hidden="1">
      <c r="A1269" s="3" t="s">
        <v>677</v>
      </c>
      <c r="B1269" s="6" t="s">
        <v>80</v>
      </c>
      <c r="C1269" s="6" t="s">
        <v>873</v>
      </c>
      <c r="D1269" s="6" t="s">
        <v>869</v>
      </c>
      <c r="E1269" s="91" t="s">
        <v>764</v>
      </c>
      <c r="F1269" s="6" t="s">
        <v>678</v>
      </c>
      <c r="G1269" s="46">
        <v>0</v>
      </c>
      <c r="H1269" s="46">
        <v>0</v>
      </c>
      <c r="I1269" s="46" t="e">
        <f t="shared" si="114"/>
        <v>#DIV/0!</v>
      </c>
    </row>
    <row r="1270" spans="1:9" ht="78.75">
      <c r="A1270" s="5" t="s">
        <v>936</v>
      </c>
      <c r="B1270" s="6" t="s">
        <v>80</v>
      </c>
      <c r="C1270" s="6" t="s">
        <v>873</v>
      </c>
      <c r="D1270" s="6" t="s">
        <v>869</v>
      </c>
      <c r="E1270" s="91" t="s">
        <v>764</v>
      </c>
      <c r="F1270" s="6" t="s">
        <v>685</v>
      </c>
      <c r="G1270" s="46">
        <f>G1271</f>
        <v>35000</v>
      </c>
      <c r="H1270" s="46">
        <f>H1271</f>
        <v>35000</v>
      </c>
      <c r="I1270" s="46">
        <f t="shared" si="114"/>
        <v>100</v>
      </c>
    </row>
    <row r="1271" spans="1:9" ht="31.5">
      <c r="A1271" s="122" t="s">
        <v>45</v>
      </c>
      <c r="B1271" s="6" t="s">
        <v>80</v>
      </c>
      <c r="C1271" s="4" t="s">
        <v>873</v>
      </c>
      <c r="D1271" s="4" t="s">
        <v>869</v>
      </c>
      <c r="E1271" s="91" t="s">
        <v>764</v>
      </c>
      <c r="F1271" s="6" t="s">
        <v>686</v>
      </c>
      <c r="G1271" s="46">
        <f>G1272</f>
        <v>35000</v>
      </c>
      <c r="H1271" s="46">
        <f>H1272</f>
        <v>35000</v>
      </c>
      <c r="I1271" s="46">
        <f t="shared" si="114"/>
        <v>100</v>
      </c>
    </row>
    <row r="1272" spans="1:9" ht="47.25">
      <c r="A1272" s="122" t="s">
        <v>46</v>
      </c>
      <c r="B1272" s="6" t="s">
        <v>80</v>
      </c>
      <c r="C1272" s="4" t="s">
        <v>873</v>
      </c>
      <c r="D1272" s="4" t="s">
        <v>869</v>
      </c>
      <c r="E1272" s="91" t="s">
        <v>764</v>
      </c>
      <c r="F1272" s="6" t="s">
        <v>57</v>
      </c>
      <c r="G1272" s="46">
        <f>35000</f>
        <v>35000</v>
      </c>
      <c r="H1272" s="46">
        <v>35000</v>
      </c>
      <c r="I1272" s="46">
        <f t="shared" si="114"/>
        <v>100</v>
      </c>
    </row>
    <row r="1273" spans="1:9" ht="173.25">
      <c r="A1273" s="5" t="s">
        <v>777</v>
      </c>
      <c r="B1273" s="6" t="s">
        <v>80</v>
      </c>
      <c r="C1273" s="4" t="s">
        <v>873</v>
      </c>
      <c r="D1273" s="4" t="s">
        <v>869</v>
      </c>
      <c r="E1273" s="6" t="s">
        <v>778</v>
      </c>
      <c r="F1273" s="6"/>
      <c r="G1273" s="46">
        <f aca="true" t="shared" si="121" ref="G1273:H1275">G1274</f>
        <v>3786731.91</v>
      </c>
      <c r="H1273" s="46">
        <f t="shared" si="121"/>
        <v>3786348.04</v>
      </c>
      <c r="I1273" s="46">
        <f t="shared" si="114"/>
        <v>99.99</v>
      </c>
    </row>
    <row r="1274" spans="1:9" ht="78.75">
      <c r="A1274" s="122" t="s">
        <v>936</v>
      </c>
      <c r="B1274" s="6" t="s">
        <v>80</v>
      </c>
      <c r="C1274" s="4" t="s">
        <v>873</v>
      </c>
      <c r="D1274" s="4" t="s">
        <v>869</v>
      </c>
      <c r="E1274" s="6" t="s">
        <v>778</v>
      </c>
      <c r="F1274" s="6" t="s">
        <v>685</v>
      </c>
      <c r="G1274" s="46">
        <f t="shared" si="121"/>
        <v>3786731.91</v>
      </c>
      <c r="H1274" s="46">
        <f t="shared" si="121"/>
        <v>3786348.04</v>
      </c>
      <c r="I1274" s="46">
        <f t="shared" si="114"/>
        <v>99.99</v>
      </c>
    </row>
    <row r="1275" spans="1:9" ht="31.5">
      <c r="A1275" s="122" t="s">
        <v>45</v>
      </c>
      <c r="B1275" s="6" t="s">
        <v>80</v>
      </c>
      <c r="C1275" s="4" t="s">
        <v>873</v>
      </c>
      <c r="D1275" s="4" t="s">
        <v>869</v>
      </c>
      <c r="E1275" s="6" t="s">
        <v>778</v>
      </c>
      <c r="F1275" s="6" t="s">
        <v>686</v>
      </c>
      <c r="G1275" s="46">
        <f t="shared" si="121"/>
        <v>3786731.91</v>
      </c>
      <c r="H1275" s="46">
        <f t="shared" si="121"/>
        <v>3786348.04</v>
      </c>
      <c r="I1275" s="46">
        <f t="shared" si="114"/>
        <v>99.99</v>
      </c>
    </row>
    <row r="1276" spans="1:9" ht="47.25">
      <c r="A1276" s="122" t="s">
        <v>46</v>
      </c>
      <c r="B1276" s="6" t="s">
        <v>80</v>
      </c>
      <c r="C1276" s="4" t="s">
        <v>873</v>
      </c>
      <c r="D1276" s="4" t="s">
        <v>869</v>
      </c>
      <c r="E1276" s="6" t="s">
        <v>778</v>
      </c>
      <c r="F1276" s="6" t="s">
        <v>57</v>
      </c>
      <c r="G1276" s="46">
        <f>4021200+410000-186480-152680-266328.8+24055-19940.84-43093.45</f>
        <v>3786731.91</v>
      </c>
      <c r="H1276" s="46">
        <v>3786348.04</v>
      </c>
      <c r="I1276" s="46">
        <f t="shared" si="114"/>
        <v>99.99</v>
      </c>
    </row>
    <row r="1277" spans="1:9" ht="47.25">
      <c r="A1277" s="90" t="s">
        <v>816</v>
      </c>
      <c r="B1277" s="4" t="s">
        <v>80</v>
      </c>
      <c r="C1277" s="6" t="s">
        <v>873</v>
      </c>
      <c r="D1277" s="6" t="s">
        <v>869</v>
      </c>
      <c r="E1277" s="91" t="s">
        <v>650</v>
      </c>
      <c r="F1277" s="6"/>
      <c r="G1277" s="46">
        <f>G1278+G1283+G1288</f>
        <v>131691637.35000001</v>
      </c>
      <c r="H1277" s="46">
        <f>H1278+H1283+H1288</f>
        <v>131581807.27000001</v>
      </c>
      <c r="I1277" s="46">
        <f t="shared" si="114"/>
        <v>99.92</v>
      </c>
    </row>
    <row r="1278" spans="1:9" ht="99" customHeight="1">
      <c r="A1278" s="3" t="s">
        <v>485</v>
      </c>
      <c r="B1278" s="4" t="s">
        <v>80</v>
      </c>
      <c r="C1278" s="4" t="s">
        <v>873</v>
      </c>
      <c r="D1278" s="4" t="s">
        <v>869</v>
      </c>
      <c r="E1278" s="4" t="s">
        <v>486</v>
      </c>
      <c r="F1278" s="2"/>
      <c r="G1278" s="46">
        <f>G1279</f>
        <v>47510913</v>
      </c>
      <c r="H1278" s="46">
        <f>H1279</f>
        <v>47510911</v>
      </c>
      <c r="I1278" s="46">
        <f t="shared" si="114"/>
        <v>100</v>
      </c>
    </row>
    <row r="1279" spans="1:9" ht="78.75">
      <c r="A1279" s="5" t="s">
        <v>936</v>
      </c>
      <c r="B1279" s="6" t="s">
        <v>80</v>
      </c>
      <c r="C1279" s="4" t="s">
        <v>873</v>
      </c>
      <c r="D1279" s="4" t="s">
        <v>869</v>
      </c>
      <c r="E1279" s="4" t="s">
        <v>486</v>
      </c>
      <c r="F1279" s="6" t="s">
        <v>685</v>
      </c>
      <c r="G1279" s="46">
        <f>G1280</f>
        <v>47510913</v>
      </c>
      <c r="H1279" s="46">
        <f>H1280</f>
        <v>47510911</v>
      </c>
      <c r="I1279" s="46">
        <f t="shared" si="114"/>
        <v>100</v>
      </c>
    </row>
    <row r="1280" spans="1:9" ht="31.5">
      <c r="A1280" s="122" t="s">
        <v>45</v>
      </c>
      <c r="B1280" s="6" t="s">
        <v>80</v>
      </c>
      <c r="C1280" s="4" t="s">
        <v>873</v>
      </c>
      <c r="D1280" s="4" t="s">
        <v>869</v>
      </c>
      <c r="E1280" s="4" t="s">
        <v>486</v>
      </c>
      <c r="F1280" s="6" t="s">
        <v>686</v>
      </c>
      <c r="G1280" s="46">
        <f>G1281+G1282</f>
        <v>47510913</v>
      </c>
      <c r="H1280" s="46">
        <f>H1281+H1282</f>
        <v>47510911</v>
      </c>
      <c r="I1280" s="46">
        <f t="shared" si="114"/>
        <v>100</v>
      </c>
    </row>
    <row r="1281" spans="1:9" ht="110.25">
      <c r="A1281" s="5" t="s">
        <v>64</v>
      </c>
      <c r="B1281" s="6" t="s">
        <v>80</v>
      </c>
      <c r="C1281" s="4" t="s">
        <v>873</v>
      </c>
      <c r="D1281" s="4" t="s">
        <v>869</v>
      </c>
      <c r="E1281" s="4" t="s">
        <v>486</v>
      </c>
      <c r="F1281" s="6" t="s">
        <v>65</v>
      </c>
      <c r="G1281" s="46">
        <f>44285711+908560+1014120+450000+1937.1</f>
        <v>46660328.1</v>
      </c>
      <c r="H1281" s="46">
        <v>46660326.1</v>
      </c>
      <c r="I1281" s="46">
        <f t="shared" si="114"/>
        <v>100</v>
      </c>
    </row>
    <row r="1282" spans="1:9" ht="47.25">
      <c r="A1282" s="122" t="s">
        <v>46</v>
      </c>
      <c r="B1282" s="6" t="s">
        <v>80</v>
      </c>
      <c r="C1282" s="4" t="s">
        <v>873</v>
      </c>
      <c r="D1282" s="4" t="s">
        <v>869</v>
      </c>
      <c r="E1282" s="4" t="s">
        <v>486</v>
      </c>
      <c r="F1282" s="6" t="s">
        <v>57</v>
      </c>
      <c r="G1282" s="46">
        <f>1503082-908560-1937.1+258000</f>
        <v>850584.9</v>
      </c>
      <c r="H1282" s="46">
        <v>850584.9</v>
      </c>
      <c r="I1282" s="46">
        <f t="shared" si="114"/>
        <v>100</v>
      </c>
    </row>
    <row r="1283" spans="1:9" ht="78.75">
      <c r="A1283" s="34" t="s">
        <v>483</v>
      </c>
      <c r="B1283" s="35" t="s">
        <v>80</v>
      </c>
      <c r="C1283" s="35" t="s">
        <v>873</v>
      </c>
      <c r="D1283" s="35" t="s">
        <v>869</v>
      </c>
      <c r="E1283" s="35" t="s">
        <v>484</v>
      </c>
      <c r="F1283" s="33"/>
      <c r="G1283" s="55">
        <f>G1284</f>
        <v>10237407</v>
      </c>
      <c r="H1283" s="55">
        <f>H1284</f>
        <v>10237407</v>
      </c>
      <c r="I1283" s="55">
        <f t="shared" si="114"/>
        <v>100</v>
      </c>
    </row>
    <row r="1284" spans="1:9" ht="78.75">
      <c r="A1284" s="5" t="s">
        <v>936</v>
      </c>
      <c r="B1284" s="6" t="s">
        <v>80</v>
      </c>
      <c r="C1284" s="4" t="s">
        <v>873</v>
      </c>
      <c r="D1284" s="4" t="s">
        <v>869</v>
      </c>
      <c r="E1284" s="4" t="s">
        <v>484</v>
      </c>
      <c r="F1284" s="6" t="s">
        <v>685</v>
      </c>
      <c r="G1284" s="46">
        <f>G1285</f>
        <v>10237407</v>
      </c>
      <c r="H1284" s="46">
        <f>H1285</f>
        <v>10237407</v>
      </c>
      <c r="I1284" s="46">
        <f t="shared" si="114"/>
        <v>100</v>
      </c>
    </row>
    <row r="1285" spans="1:9" ht="31.5">
      <c r="A1285" s="122" t="s">
        <v>45</v>
      </c>
      <c r="B1285" s="6" t="s">
        <v>80</v>
      </c>
      <c r="C1285" s="4" t="s">
        <v>873</v>
      </c>
      <c r="D1285" s="4" t="s">
        <v>869</v>
      </c>
      <c r="E1285" s="4" t="s">
        <v>484</v>
      </c>
      <c r="F1285" s="6" t="s">
        <v>686</v>
      </c>
      <c r="G1285" s="46">
        <f>G1286+G1287</f>
        <v>10237407</v>
      </c>
      <c r="H1285" s="46">
        <f>H1286+H1287</f>
        <v>10237407</v>
      </c>
      <c r="I1285" s="46">
        <f t="shared" si="114"/>
        <v>100</v>
      </c>
    </row>
    <row r="1286" spans="1:9" ht="110.25">
      <c r="A1286" s="5" t="s">
        <v>64</v>
      </c>
      <c r="B1286" s="6" t="s">
        <v>80</v>
      </c>
      <c r="C1286" s="4" t="s">
        <v>873</v>
      </c>
      <c r="D1286" s="4" t="s">
        <v>869</v>
      </c>
      <c r="E1286" s="4" t="s">
        <v>484</v>
      </c>
      <c r="F1286" s="6" t="s">
        <v>65</v>
      </c>
      <c r="G1286" s="46">
        <f>7733786+413270+1114010+777140+50948.81</f>
        <v>10089154.81</v>
      </c>
      <c r="H1286" s="46">
        <v>10089154.81</v>
      </c>
      <c r="I1286" s="46">
        <f t="shared" si="114"/>
        <v>100</v>
      </c>
    </row>
    <row r="1287" spans="1:9" ht="47.25">
      <c r="A1287" s="122" t="s">
        <v>46</v>
      </c>
      <c r="B1287" s="6" t="s">
        <v>80</v>
      </c>
      <c r="C1287" s="4" t="s">
        <v>873</v>
      </c>
      <c r="D1287" s="4" t="s">
        <v>869</v>
      </c>
      <c r="E1287" s="4" t="s">
        <v>484</v>
      </c>
      <c r="F1287" s="6" t="s">
        <v>57</v>
      </c>
      <c r="G1287" s="46">
        <f>612471-413270-50948.81</f>
        <v>148252.19</v>
      </c>
      <c r="H1287" s="46">
        <v>148252.19</v>
      </c>
      <c r="I1287" s="46">
        <f t="shared" si="114"/>
        <v>100</v>
      </c>
    </row>
    <row r="1288" spans="1:9" ht="126">
      <c r="A1288" s="5" t="s">
        <v>746</v>
      </c>
      <c r="B1288" s="6" t="s">
        <v>80</v>
      </c>
      <c r="C1288" s="6" t="s">
        <v>873</v>
      </c>
      <c r="D1288" s="6" t="s">
        <v>869</v>
      </c>
      <c r="E1288" s="6" t="s">
        <v>747</v>
      </c>
      <c r="F1288" s="6"/>
      <c r="G1288" s="46">
        <f>G1292+G1289</f>
        <v>73943317.35000001</v>
      </c>
      <c r="H1288" s="46">
        <f>H1292+H1289</f>
        <v>73833489.27000001</v>
      </c>
      <c r="I1288" s="46">
        <f aca="true" t="shared" si="122" ref="I1288:I1351">ROUND(H1288/G1288*100,2)</f>
        <v>99.85</v>
      </c>
    </row>
    <row r="1289" spans="1:9" ht="47.25">
      <c r="A1289" s="3" t="s">
        <v>673</v>
      </c>
      <c r="B1289" s="6" t="s">
        <v>80</v>
      </c>
      <c r="C1289" s="6" t="s">
        <v>873</v>
      </c>
      <c r="D1289" s="6" t="s">
        <v>869</v>
      </c>
      <c r="E1289" s="6" t="s">
        <v>747</v>
      </c>
      <c r="F1289" s="6" t="s">
        <v>674</v>
      </c>
      <c r="G1289" s="46">
        <f>G1290</f>
        <v>1567940.84</v>
      </c>
      <c r="H1289" s="46">
        <f>H1290</f>
        <v>1567861.5</v>
      </c>
      <c r="I1289" s="46">
        <f t="shared" si="122"/>
        <v>99.99</v>
      </c>
    </row>
    <row r="1290" spans="1:9" ht="47.25">
      <c r="A1290" s="3" t="s">
        <v>675</v>
      </c>
      <c r="B1290" s="6" t="s">
        <v>80</v>
      </c>
      <c r="C1290" s="6" t="s">
        <v>873</v>
      </c>
      <c r="D1290" s="6" t="s">
        <v>869</v>
      </c>
      <c r="E1290" s="6" t="s">
        <v>747</v>
      </c>
      <c r="F1290" s="6" t="s">
        <v>676</v>
      </c>
      <c r="G1290" s="46">
        <f>G1291</f>
        <v>1567940.84</v>
      </c>
      <c r="H1290" s="46">
        <f>H1291</f>
        <v>1567861.5</v>
      </c>
      <c r="I1290" s="46">
        <f t="shared" si="122"/>
        <v>99.99</v>
      </c>
    </row>
    <row r="1291" spans="1:9" ht="47.25">
      <c r="A1291" s="3" t="s">
        <v>677</v>
      </c>
      <c r="B1291" s="6" t="s">
        <v>80</v>
      </c>
      <c r="C1291" s="6" t="s">
        <v>873</v>
      </c>
      <c r="D1291" s="6" t="s">
        <v>869</v>
      </c>
      <c r="E1291" s="6" t="s">
        <v>747</v>
      </c>
      <c r="F1291" s="6" t="s">
        <v>678</v>
      </c>
      <c r="G1291" s="46">
        <f>1393000+1000000-650000-25059.16-150000</f>
        <v>1567940.84</v>
      </c>
      <c r="H1291" s="46">
        <v>1567861.5</v>
      </c>
      <c r="I1291" s="46">
        <f t="shared" si="122"/>
        <v>99.99</v>
      </c>
    </row>
    <row r="1292" spans="1:9" ht="78.75">
      <c r="A1292" s="5" t="s">
        <v>936</v>
      </c>
      <c r="B1292" s="6" t="s">
        <v>80</v>
      </c>
      <c r="C1292" s="4" t="s">
        <v>873</v>
      </c>
      <c r="D1292" s="4" t="s">
        <v>869</v>
      </c>
      <c r="E1292" s="6" t="s">
        <v>747</v>
      </c>
      <c r="F1292" s="6" t="s">
        <v>685</v>
      </c>
      <c r="G1292" s="46">
        <f>G1293</f>
        <v>72375376.51</v>
      </c>
      <c r="H1292" s="46">
        <f>H1293</f>
        <v>72265627.77000001</v>
      </c>
      <c r="I1292" s="46">
        <f t="shared" si="122"/>
        <v>99.85</v>
      </c>
    </row>
    <row r="1293" spans="1:9" ht="31.5">
      <c r="A1293" s="122" t="s">
        <v>45</v>
      </c>
      <c r="B1293" s="6" t="s">
        <v>80</v>
      </c>
      <c r="C1293" s="4" t="s">
        <v>873</v>
      </c>
      <c r="D1293" s="4" t="s">
        <v>869</v>
      </c>
      <c r="E1293" s="6" t="s">
        <v>747</v>
      </c>
      <c r="F1293" s="6" t="s">
        <v>686</v>
      </c>
      <c r="G1293" s="46">
        <f>G1294+G1295</f>
        <v>72375376.51</v>
      </c>
      <c r="H1293" s="46">
        <f>H1294+H1295</f>
        <v>72265627.77000001</v>
      </c>
      <c r="I1293" s="46">
        <f t="shared" si="122"/>
        <v>99.85</v>
      </c>
    </row>
    <row r="1294" spans="1:9" ht="110.25">
      <c r="A1294" s="5" t="s">
        <v>64</v>
      </c>
      <c r="B1294" s="6" t="s">
        <v>80</v>
      </c>
      <c r="C1294" s="4" t="s">
        <v>873</v>
      </c>
      <c r="D1294" s="4" t="s">
        <v>869</v>
      </c>
      <c r="E1294" s="6" t="s">
        <v>747</v>
      </c>
      <c r="F1294" s="6" t="s">
        <v>65</v>
      </c>
      <c r="G1294" s="46">
        <f>63928206+3003620+1475610+2281810+102091.27-69814.94-179974.63+53000-53066</f>
        <v>70541481.7</v>
      </c>
      <c r="H1294" s="46">
        <v>70448009.73</v>
      </c>
      <c r="I1294" s="46">
        <f t="shared" si="122"/>
        <v>99.87</v>
      </c>
    </row>
    <row r="1295" spans="1:9" ht="47.25">
      <c r="A1295" s="122" t="s">
        <v>46</v>
      </c>
      <c r="B1295" s="6" t="s">
        <v>80</v>
      </c>
      <c r="C1295" s="4" t="s">
        <v>873</v>
      </c>
      <c r="D1295" s="4" t="s">
        <v>869</v>
      </c>
      <c r="E1295" s="6" t="s">
        <v>747</v>
      </c>
      <c r="F1295" s="6" t="s">
        <v>57</v>
      </c>
      <c r="G1295" s="46">
        <f>1170730+650000-102091.27+45000+69814.94+148000-147558.86</f>
        <v>1833894.81</v>
      </c>
      <c r="H1295" s="46">
        <v>1817618.04</v>
      </c>
      <c r="I1295" s="46">
        <f t="shared" si="122"/>
        <v>99.11</v>
      </c>
    </row>
    <row r="1296" spans="1:9" ht="31.5" customHeight="1" hidden="1">
      <c r="A1296" s="122" t="s">
        <v>463</v>
      </c>
      <c r="B1296" s="6" t="s">
        <v>80</v>
      </c>
      <c r="C1296" s="4" t="s">
        <v>873</v>
      </c>
      <c r="D1296" s="4" t="s">
        <v>869</v>
      </c>
      <c r="E1296" s="6" t="s">
        <v>462</v>
      </c>
      <c r="F1296" s="6"/>
      <c r="G1296" s="46"/>
      <c r="H1296" s="46"/>
      <c r="I1296" s="46" t="e">
        <f t="shared" si="122"/>
        <v>#DIV/0!</v>
      </c>
    </row>
    <row r="1297" spans="1:9" ht="63" customHeight="1" hidden="1">
      <c r="A1297" s="5" t="s">
        <v>720</v>
      </c>
      <c r="B1297" s="6" t="s">
        <v>80</v>
      </c>
      <c r="C1297" s="4" t="s">
        <v>873</v>
      </c>
      <c r="D1297" s="4" t="s">
        <v>869</v>
      </c>
      <c r="E1297" s="6" t="s">
        <v>719</v>
      </c>
      <c r="F1297" s="6"/>
      <c r="G1297" s="46"/>
      <c r="H1297" s="46"/>
      <c r="I1297" s="46" t="e">
        <f t="shared" si="122"/>
        <v>#DIV/0!</v>
      </c>
    </row>
    <row r="1298" spans="1:9" ht="78.75" customHeight="1" hidden="1">
      <c r="A1298" s="5" t="s">
        <v>791</v>
      </c>
      <c r="B1298" s="6" t="s">
        <v>80</v>
      </c>
      <c r="C1298" s="4" t="s">
        <v>873</v>
      </c>
      <c r="D1298" s="4" t="s">
        <v>869</v>
      </c>
      <c r="E1298" s="6" t="s">
        <v>721</v>
      </c>
      <c r="F1298" s="6"/>
      <c r="G1298" s="46"/>
      <c r="H1298" s="46"/>
      <c r="I1298" s="46" t="e">
        <f t="shared" si="122"/>
        <v>#DIV/0!</v>
      </c>
    </row>
    <row r="1299" spans="1:9" ht="78.75" customHeight="1" hidden="1">
      <c r="A1299" s="5" t="s">
        <v>936</v>
      </c>
      <c r="B1299" s="6" t="s">
        <v>80</v>
      </c>
      <c r="C1299" s="4" t="s">
        <v>873</v>
      </c>
      <c r="D1299" s="4" t="s">
        <v>869</v>
      </c>
      <c r="E1299" s="6" t="s">
        <v>721</v>
      </c>
      <c r="F1299" s="6" t="s">
        <v>685</v>
      </c>
      <c r="G1299" s="46"/>
      <c r="H1299" s="46"/>
      <c r="I1299" s="46" t="e">
        <f t="shared" si="122"/>
        <v>#DIV/0!</v>
      </c>
    </row>
    <row r="1300" spans="1:9" ht="31.5" customHeight="1" hidden="1">
      <c r="A1300" s="122" t="s">
        <v>45</v>
      </c>
      <c r="B1300" s="6" t="s">
        <v>80</v>
      </c>
      <c r="C1300" s="4" t="s">
        <v>873</v>
      </c>
      <c r="D1300" s="4" t="s">
        <v>869</v>
      </c>
      <c r="E1300" s="6" t="s">
        <v>721</v>
      </c>
      <c r="F1300" s="6" t="s">
        <v>686</v>
      </c>
      <c r="G1300" s="46"/>
      <c r="H1300" s="46"/>
      <c r="I1300" s="46" t="e">
        <f t="shared" si="122"/>
        <v>#DIV/0!</v>
      </c>
    </row>
    <row r="1301" spans="1:9" ht="110.25" customHeight="1" hidden="1">
      <c r="A1301" s="5" t="s">
        <v>64</v>
      </c>
      <c r="B1301" s="6" t="s">
        <v>80</v>
      </c>
      <c r="C1301" s="4" t="s">
        <v>873</v>
      </c>
      <c r="D1301" s="4" t="s">
        <v>869</v>
      </c>
      <c r="E1301" s="6" t="s">
        <v>721</v>
      </c>
      <c r="F1301" s="6" t="s">
        <v>65</v>
      </c>
      <c r="G1301" s="46"/>
      <c r="H1301" s="46"/>
      <c r="I1301" s="46" t="e">
        <f t="shared" si="122"/>
        <v>#DIV/0!</v>
      </c>
    </row>
    <row r="1302" spans="1:9" ht="78.75" customHeight="1" hidden="1">
      <c r="A1302" s="5" t="s">
        <v>791</v>
      </c>
      <c r="B1302" s="6" t="s">
        <v>80</v>
      </c>
      <c r="C1302" s="4" t="s">
        <v>873</v>
      </c>
      <c r="D1302" s="4" t="s">
        <v>869</v>
      </c>
      <c r="E1302" s="6" t="s">
        <v>722</v>
      </c>
      <c r="F1302" s="6"/>
      <c r="G1302" s="46"/>
      <c r="H1302" s="46"/>
      <c r="I1302" s="46" t="e">
        <f t="shared" si="122"/>
        <v>#DIV/0!</v>
      </c>
    </row>
    <row r="1303" spans="1:9" ht="78.75" customHeight="1" hidden="1">
      <c r="A1303" s="5" t="s">
        <v>936</v>
      </c>
      <c r="B1303" s="6" t="s">
        <v>80</v>
      </c>
      <c r="C1303" s="4" t="s">
        <v>873</v>
      </c>
      <c r="D1303" s="4" t="s">
        <v>869</v>
      </c>
      <c r="E1303" s="6" t="s">
        <v>722</v>
      </c>
      <c r="F1303" s="6" t="s">
        <v>685</v>
      </c>
      <c r="G1303" s="46"/>
      <c r="H1303" s="46"/>
      <c r="I1303" s="46" t="e">
        <f t="shared" si="122"/>
        <v>#DIV/0!</v>
      </c>
    </row>
    <row r="1304" spans="1:9" ht="31.5" customHeight="1" hidden="1">
      <c r="A1304" s="122" t="s">
        <v>45</v>
      </c>
      <c r="B1304" s="6" t="s">
        <v>80</v>
      </c>
      <c r="C1304" s="4" t="s">
        <v>873</v>
      </c>
      <c r="D1304" s="4" t="s">
        <v>869</v>
      </c>
      <c r="E1304" s="6" t="s">
        <v>722</v>
      </c>
      <c r="F1304" s="6" t="s">
        <v>686</v>
      </c>
      <c r="G1304" s="46"/>
      <c r="H1304" s="46"/>
      <c r="I1304" s="46" t="e">
        <f t="shared" si="122"/>
        <v>#DIV/0!</v>
      </c>
    </row>
    <row r="1305" spans="1:9" ht="110.25" customHeight="1" hidden="1">
      <c r="A1305" s="5" t="s">
        <v>64</v>
      </c>
      <c r="B1305" s="6" t="s">
        <v>80</v>
      </c>
      <c r="C1305" s="4" t="s">
        <v>873</v>
      </c>
      <c r="D1305" s="4" t="s">
        <v>869</v>
      </c>
      <c r="E1305" s="6" t="s">
        <v>722</v>
      </c>
      <c r="F1305" s="6" t="s">
        <v>65</v>
      </c>
      <c r="G1305" s="46"/>
      <c r="H1305" s="46"/>
      <c r="I1305" s="46" t="e">
        <f t="shared" si="122"/>
        <v>#DIV/0!</v>
      </c>
    </row>
    <row r="1306" spans="1:9" ht="78.75" customHeight="1" hidden="1">
      <c r="A1306" s="5" t="s">
        <v>791</v>
      </c>
      <c r="B1306" s="6" t="s">
        <v>80</v>
      </c>
      <c r="C1306" s="4" t="s">
        <v>873</v>
      </c>
      <c r="D1306" s="4" t="s">
        <v>869</v>
      </c>
      <c r="E1306" s="6" t="s">
        <v>723</v>
      </c>
      <c r="F1306" s="6"/>
      <c r="G1306" s="46"/>
      <c r="H1306" s="46"/>
      <c r="I1306" s="46" t="e">
        <f t="shared" si="122"/>
        <v>#DIV/0!</v>
      </c>
    </row>
    <row r="1307" spans="1:9" ht="78.75" customHeight="1" hidden="1">
      <c r="A1307" s="5" t="s">
        <v>936</v>
      </c>
      <c r="B1307" s="6" t="s">
        <v>80</v>
      </c>
      <c r="C1307" s="4" t="s">
        <v>873</v>
      </c>
      <c r="D1307" s="4" t="s">
        <v>869</v>
      </c>
      <c r="E1307" s="6" t="s">
        <v>723</v>
      </c>
      <c r="F1307" s="6" t="s">
        <v>685</v>
      </c>
      <c r="G1307" s="46"/>
      <c r="H1307" s="46"/>
      <c r="I1307" s="46" t="e">
        <f t="shared" si="122"/>
        <v>#DIV/0!</v>
      </c>
    </row>
    <row r="1308" spans="1:9" ht="31.5" customHeight="1" hidden="1">
      <c r="A1308" s="122" t="s">
        <v>45</v>
      </c>
      <c r="B1308" s="6" t="s">
        <v>80</v>
      </c>
      <c r="C1308" s="4" t="s">
        <v>873</v>
      </c>
      <c r="D1308" s="4" t="s">
        <v>869</v>
      </c>
      <c r="E1308" s="6" t="s">
        <v>723</v>
      </c>
      <c r="F1308" s="6" t="s">
        <v>686</v>
      </c>
      <c r="G1308" s="46"/>
      <c r="H1308" s="46"/>
      <c r="I1308" s="46" t="e">
        <f t="shared" si="122"/>
        <v>#DIV/0!</v>
      </c>
    </row>
    <row r="1309" spans="1:9" ht="110.25" customHeight="1" hidden="1">
      <c r="A1309" s="5" t="s">
        <v>64</v>
      </c>
      <c r="B1309" s="6" t="s">
        <v>80</v>
      </c>
      <c r="C1309" s="4" t="s">
        <v>873</v>
      </c>
      <c r="D1309" s="4" t="s">
        <v>869</v>
      </c>
      <c r="E1309" s="6" t="s">
        <v>723</v>
      </c>
      <c r="F1309" s="6" t="s">
        <v>65</v>
      </c>
      <c r="G1309" s="46"/>
      <c r="H1309" s="46"/>
      <c r="I1309" s="46" t="e">
        <f t="shared" si="122"/>
        <v>#DIV/0!</v>
      </c>
    </row>
    <row r="1310" spans="1:9" ht="15.75">
      <c r="A1310" s="20" t="s">
        <v>883</v>
      </c>
      <c r="B1310" s="7" t="s">
        <v>80</v>
      </c>
      <c r="C1310" s="7" t="s">
        <v>877</v>
      </c>
      <c r="D1310" s="7"/>
      <c r="E1310" s="7"/>
      <c r="F1310" s="7"/>
      <c r="G1310" s="45">
        <f>G1311</f>
        <v>514940</v>
      </c>
      <c r="H1310" s="45">
        <f>H1311</f>
        <v>513940</v>
      </c>
      <c r="I1310" s="45">
        <f t="shared" si="122"/>
        <v>99.81</v>
      </c>
    </row>
    <row r="1311" spans="1:9" ht="31.5">
      <c r="A1311" s="1" t="s">
        <v>897</v>
      </c>
      <c r="B1311" s="2" t="s">
        <v>80</v>
      </c>
      <c r="C1311" s="2" t="s">
        <v>877</v>
      </c>
      <c r="D1311" s="2" t="s">
        <v>876</v>
      </c>
      <c r="E1311" s="2"/>
      <c r="F1311" s="2"/>
      <c r="G1311" s="50">
        <f>G1318+G1314</f>
        <v>514940</v>
      </c>
      <c r="H1311" s="50">
        <f>H1318+H1314</f>
        <v>513940</v>
      </c>
      <c r="I1311" s="50">
        <f t="shared" si="122"/>
        <v>99.81</v>
      </c>
    </row>
    <row r="1312" spans="1:9" ht="110.25">
      <c r="A1312" s="44" t="s">
        <v>636</v>
      </c>
      <c r="B1312" s="6" t="s">
        <v>80</v>
      </c>
      <c r="C1312" s="6" t="s">
        <v>877</v>
      </c>
      <c r="D1312" s="6" t="s">
        <v>876</v>
      </c>
      <c r="E1312" s="6" t="s">
        <v>637</v>
      </c>
      <c r="F1312" s="2"/>
      <c r="G1312" s="46">
        <f>G1314</f>
        <v>2940</v>
      </c>
      <c r="H1312" s="46">
        <f>H1314</f>
        <v>1940</v>
      </c>
      <c r="I1312" s="46">
        <f t="shared" si="122"/>
        <v>65.99</v>
      </c>
    </row>
    <row r="1313" spans="1:9" ht="47.25">
      <c r="A1313" s="5" t="s">
        <v>853</v>
      </c>
      <c r="B1313" s="6" t="s">
        <v>80</v>
      </c>
      <c r="C1313" s="6" t="s">
        <v>877</v>
      </c>
      <c r="D1313" s="6" t="s">
        <v>876</v>
      </c>
      <c r="E1313" s="6" t="s">
        <v>854</v>
      </c>
      <c r="F1313" s="2"/>
      <c r="G1313" s="46">
        <f>G1314</f>
        <v>2940</v>
      </c>
      <c r="H1313" s="46">
        <f>H1314</f>
        <v>1940</v>
      </c>
      <c r="I1313" s="46">
        <f t="shared" si="122"/>
        <v>65.99</v>
      </c>
    </row>
    <row r="1314" spans="1:9" ht="204.75">
      <c r="A1314" s="3" t="s">
        <v>560</v>
      </c>
      <c r="B1314" s="6" t="s">
        <v>80</v>
      </c>
      <c r="C1314" s="6" t="s">
        <v>877</v>
      </c>
      <c r="D1314" s="6" t="s">
        <v>876</v>
      </c>
      <c r="E1314" s="6" t="s">
        <v>855</v>
      </c>
      <c r="F1314" s="6"/>
      <c r="G1314" s="46">
        <f aca="true" t="shared" si="123" ref="G1314:H1316">G1315</f>
        <v>2940</v>
      </c>
      <c r="H1314" s="46">
        <f t="shared" si="123"/>
        <v>1940</v>
      </c>
      <c r="I1314" s="46">
        <f t="shared" si="122"/>
        <v>65.99</v>
      </c>
    </row>
    <row r="1315" spans="1:9" ht="78.75">
      <c r="A1315" s="5" t="s">
        <v>936</v>
      </c>
      <c r="B1315" s="6" t="s">
        <v>80</v>
      </c>
      <c r="C1315" s="6" t="s">
        <v>877</v>
      </c>
      <c r="D1315" s="6" t="s">
        <v>876</v>
      </c>
      <c r="E1315" s="6" t="s">
        <v>855</v>
      </c>
      <c r="F1315" s="6" t="s">
        <v>685</v>
      </c>
      <c r="G1315" s="46">
        <f t="shared" si="123"/>
        <v>2940</v>
      </c>
      <c r="H1315" s="46">
        <f t="shared" si="123"/>
        <v>1940</v>
      </c>
      <c r="I1315" s="46">
        <f t="shared" si="122"/>
        <v>65.99</v>
      </c>
    </row>
    <row r="1316" spans="1:9" ht="31.5">
      <c r="A1316" s="122" t="s">
        <v>45</v>
      </c>
      <c r="B1316" s="6" t="s">
        <v>80</v>
      </c>
      <c r="C1316" s="6" t="s">
        <v>877</v>
      </c>
      <c r="D1316" s="6" t="s">
        <v>876</v>
      </c>
      <c r="E1316" s="6" t="s">
        <v>855</v>
      </c>
      <c r="F1316" s="6" t="s">
        <v>686</v>
      </c>
      <c r="G1316" s="46">
        <f t="shared" si="123"/>
        <v>2940</v>
      </c>
      <c r="H1316" s="46">
        <f t="shared" si="123"/>
        <v>1940</v>
      </c>
      <c r="I1316" s="46">
        <f t="shared" si="122"/>
        <v>65.99</v>
      </c>
    </row>
    <row r="1317" spans="1:9" ht="47.25">
      <c r="A1317" s="5" t="s">
        <v>46</v>
      </c>
      <c r="B1317" s="6" t="s">
        <v>80</v>
      </c>
      <c r="C1317" s="6" t="s">
        <v>877</v>
      </c>
      <c r="D1317" s="6" t="s">
        <v>876</v>
      </c>
      <c r="E1317" s="6" t="s">
        <v>855</v>
      </c>
      <c r="F1317" s="6" t="s">
        <v>57</v>
      </c>
      <c r="G1317" s="46">
        <f>2940</f>
        <v>2940</v>
      </c>
      <c r="H1317" s="46">
        <v>1940</v>
      </c>
      <c r="I1317" s="46">
        <f t="shared" si="122"/>
        <v>65.99</v>
      </c>
    </row>
    <row r="1318" spans="1:9" ht="267.75">
      <c r="A1318" s="97" t="s">
        <v>14</v>
      </c>
      <c r="B1318" s="2" t="s">
        <v>80</v>
      </c>
      <c r="C1318" s="2" t="s">
        <v>877</v>
      </c>
      <c r="D1318" s="2" t="s">
        <v>876</v>
      </c>
      <c r="E1318" s="2" t="s">
        <v>15</v>
      </c>
      <c r="F1318" s="2"/>
      <c r="G1318" s="46">
        <f aca="true" t="shared" si="124" ref="G1318:H1322">G1319</f>
        <v>512000</v>
      </c>
      <c r="H1318" s="46">
        <f t="shared" si="124"/>
        <v>512000</v>
      </c>
      <c r="I1318" s="46">
        <f t="shared" si="122"/>
        <v>100</v>
      </c>
    </row>
    <row r="1319" spans="1:9" ht="220.5">
      <c r="A1319" s="5" t="s">
        <v>475</v>
      </c>
      <c r="B1319" s="6" t="s">
        <v>80</v>
      </c>
      <c r="C1319" s="6" t="s">
        <v>877</v>
      </c>
      <c r="D1319" s="6" t="s">
        <v>876</v>
      </c>
      <c r="E1319" s="6" t="s">
        <v>16</v>
      </c>
      <c r="F1319" s="6"/>
      <c r="G1319" s="46">
        <f t="shared" si="124"/>
        <v>512000</v>
      </c>
      <c r="H1319" s="46">
        <f t="shared" si="124"/>
        <v>512000</v>
      </c>
      <c r="I1319" s="46">
        <f t="shared" si="122"/>
        <v>100</v>
      </c>
    </row>
    <row r="1320" spans="1:9" ht="31.5">
      <c r="A1320" s="5" t="s">
        <v>17</v>
      </c>
      <c r="B1320" s="6" t="s">
        <v>80</v>
      </c>
      <c r="C1320" s="6" t="s">
        <v>877</v>
      </c>
      <c r="D1320" s="6" t="s">
        <v>876</v>
      </c>
      <c r="E1320" s="6" t="s">
        <v>18</v>
      </c>
      <c r="F1320" s="6"/>
      <c r="G1320" s="46">
        <f t="shared" si="124"/>
        <v>512000</v>
      </c>
      <c r="H1320" s="46">
        <f t="shared" si="124"/>
        <v>512000</v>
      </c>
      <c r="I1320" s="46">
        <f t="shared" si="122"/>
        <v>100</v>
      </c>
    </row>
    <row r="1321" spans="1:9" ht="78.75">
      <c r="A1321" s="5" t="s">
        <v>936</v>
      </c>
      <c r="B1321" s="6" t="s">
        <v>80</v>
      </c>
      <c r="C1321" s="6" t="s">
        <v>877</v>
      </c>
      <c r="D1321" s="6" t="s">
        <v>876</v>
      </c>
      <c r="E1321" s="6" t="s">
        <v>18</v>
      </c>
      <c r="F1321" s="6" t="s">
        <v>685</v>
      </c>
      <c r="G1321" s="46">
        <f t="shared" si="124"/>
        <v>512000</v>
      </c>
      <c r="H1321" s="46">
        <f t="shared" si="124"/>
        <v>512000</v>
      </c>
      <c r="I1321" s="46">
        <f t="shared" si="122"/>
        <v>100</v>
      </c>
    </row>
    <row r="1322" spans="1:9" ht="31.5">
      <c r="A1322" s="122" t="s">
        <v>45</v>
      </c>
      <c r="B1322" s="6" t="s">
        <v>80</v>
      </c>
      <c r="C1322" s="6" t="s">
        <v>877</v>
      </c>
      <c r="D1322" s="6" t="s">
        <v>876</v>
      </c>
      <c r="E1322" s="6" t="s">
        <v>18</v>
      </c>
      <c r="F1322" s="6" t="s">
        <v>686</v>
      </c>
      <c r="G1322" s="46">
        <f t="shared" si="124"/>
        <v>512000</v>
      </c>
      <c r="H1322" s="46">
        <f t="shared" si="124"/>
        <v>512000</v>
      </c>
      <c r="I1322" s="46">
        <f t="shared" si="122"/>
        <v>100</v>
      </c>
    </row>
    <row r="1323" spans="1:9" ht="47.25">
      <c r="A1323" s="8" t="s">
        <v>46</v>
      </c>
      <c r="B1323" s="9" t="s">
        <v>80</v>
      </c>
      <c r="C1323" s="9" t="s">
        <v>877</v>
      </c>
      <c r="D1323" s="9" t="s">
        <v>876</v>
      </c>
      <c r="E1323" s="9" t="s">
        <v>18</v>
      </c>
      <c r="F1323" s="9" t="s">
        <v>57</v>
      </c>
      <c r="G1323" s="48">
        <f>512000</f>
        <v>512000</v>
      </c>
      <c r="H1323" s="48">
        <v>512000</v>
      </c>
      <c r="I1323" s="48">
        <f t="shared" si="122"/>
        <v>100</v>
      </c>
    </row>
    <row r="1324" spans="1:11" s="42" customFormat="1" ht="31.5">
      <c r="A1324" s="62" t="s">
        <v>452</v>
      </c>
      <c r="B1324" s="7" t="s">
        <v>80</v>
      </c>
      <c r="C1324" s="7" t="s">
        <v>459</v>
      </c>
      <c r="D1324" s="7" t="s">
        <v>910</v>
      </c>
      <c r="E1324" s="7"/>
      <c r="F1324" s="7"/>
      <c r="G1324" s="75">
        <f aca="true" t="shared" si="125" ref="G1324:H1329">G1325</f>
        <v>1579000</v>
      </c>
      <c r="H1324" s="75">
        <f t="shared" si="125"/>
        <v>1478978.91</v>
      </c>
      <c r="I1324" s="75">
        <f t="shared" si="122"/>
        <v>93.67</v>
      </c>
      <c r="J1324" s="119"/>
      <c r="K1324" s="193"/>
    </row>
    <row r="1325" spans="1:11" s="38" customFormat="1" ht="15.75">
      <c r="A1325" s="44" t="s">
        <v>631</v>
      </c>
      <c r="B1325" s="6" t="s">
        <v>80</v>
      </c>
      <c r="C1325" s="6" t="s">
        <v>459</v>
      </c>
      <c r="D1325" s="6" t="s">
        <v>869</v>
      </c>
      <c r="E1325" s="6"/>
      <c r="F1325" s="6"/>
      <c r="G1325" s="59">
        <f t="shared" si="125"/>
        <v>1579000</v>
      </c>
      <c r="H1325" s="59">
        <f t="shared" si="125"/>
        <v>1478978.91</v>
      </c>
      <c r="I1325" s="59">
        <f t="shared" si="122"/>
        <v>93.67</v>
      </c>
      <c r="J1325" s="95"/>
      <c r="K1325" s="186"/>
    </row>
    <row r="1326" spans="1:11" s="38" customFormat="1" ht="47.25">
      <c r="A1326" s="90" t="s">
        <v>816</v>
      </c>
      <c r="B1326" s="4" t="s">
        <v>80</v>
      </c>
      <c r="C1326" s="6" t="s">
        <v>459</v>
      </c>
      <c r="D1326" s="6" t="s">
        <v>869</v>
      </c>
      <c r="E1326" s="91" t="s">
        <v>650</v>
      </c>
      <c r="F1326" s="6"/>
      <c r="G1326" s="59">
        <f t="shared" si="125"/>
        <v>1579000</v>
      </c>
      <c r="H1326" s="59">
        <f t="shared" si="125"/>
        <v>1478978.91</v>
      </c>
      <c r="I1326" s="59">
        <f t="shared" si="122"/>
        <v>93.67</v>
      </c>
      <c r="J1326" s="95"/>
      <c r="K1326" s="186"/>
    </row>
    <row r="1327" spans="1:11" s="38" customFormat="1" ht="123.75" customHeight="1">
      <c r="A1327" s="44" t="s">
        <v>548</v>
      </c>
      <c r="B1327" s="6" t="s">
        <v>80</v>
      </c>
      <c r="C1327" s="6" t="s">
        <v>459</v>
      </c>
      <c r="D1327" s="6" t="s">
        <v>869</v>
      </c>
      <c r="E1327" s="6" t="s">
        <v>549</v>
      </c>
      <c r="F1327" s="6"/>
      <c r="G1327" s="59">
        <f t="shared" si="125"/>
        <v>1579000</v>
      </c>
      <c r="H1327" s="59">
        <f t="shared" si="125"/>
        <v>1478978.91</v>
      </c>
      <c r="I1327" s="59">
        <f t="shared" si="122"/>
        <v>93.67</v>
      </c>
      <c r="J1327" s="95"/>
      <c r="K1327" s="186"/>
    </row>
    <row r="1328" spans="1:11" s="38" customFormat="1" ht="47.25">
      <c r="A1328" s="5" t="s">
        <v>673</v>
      </c>
      <c r="B1328" s="6" t="s">
        <v>80</v>
      </c>
      <c r="C1328" s="4" t="s">
        <v>459</v>
      </c>
      <c r="D1328" s="4" t="s">
        <v>869</v>
      </c>
      <c r="E1328" s="6" t="s">
        <v>549</v>
      </c>
      <c r="F1328" s="6" t="s">
        <v>674</v>
      </c>
      <c r="G1328" s="59">
        <f t="shared" si="125"/>
        <v>1579000</v>
      </c>
      <c r="H1328" s="59">
        <f t="shared" si="125"/>
        <v>1478978.91</v>
      </c>
      <c r="I1328" s="59">
        <f t="shared" si="122"/>
        <v>93.67</v>
      </c>
      <c r="J1328" s="95"/>
      <c r="K1328" s="186"/>
    </row>
    <row r="1329" spans="1:11" s="38" customFormat="1" ht="47.25">
      <c r="A1329" s="122" t="s">
        <v>675</v>
      </c>
      <c r="B1329" s="6" t="s">
        <v>80</v>
      </c>
      <c r="C1329" s="4" t="s">
        <v>459</v>
      </c>
      <c r="D1329" s="4" t="s">
        <v>869</v>
      </c>
      <c r="E1329" s="6" t="s">
        <v>549</v>
      </c>
      <c r="F1329" s="6" t="s">
        <v>676</v>
      </c>
      <c r="G1329" s="59">
        <f t="shared" si="125"/>
        <v>1579000</v>
      </c>
      <c r="H1329" s="59">
        <f t="shared" si="125"/>
        <v>1478978.91</v>
      </c>
      <c r="I1329" s="59">
        <f t="shared" si="122"/>
        <v>93.67</v>
      </c>
      <c r="J1329" s="95"/>
      <c r="K1329" s="186"/>
    </row>
    <row r="1330" spans="1:11" s="38" customFormat="1" ht="47.25">
      <c r="A1330" s="124" t="s">
        <v>677</v>
      </c>
      <c r="B1330" s="9" t="s">
        <v>80</v>
      </c>
      <c r="C1330" s="21" t="s">
        <v>459</v>
      </c>
      <c r="D1330" s="21" t="s">
        <v>869</v>
      </c>
      <c r="E1330" s="6" t="s">
        <v>549</v>
      </c>
      <c r="F1330" s="9" t="s">
        <v>678</v>
      </c>
      <c r="G1330" s="101">
        <f>1579000</f>
        <v>1579000</v>
      </c>
      <c r="H1330" s="101">
        <v>1478978.91</v>
      </c>
      <c r="I1330" s="101">
        <f t="shared" si="122"/>
        <v>93.67</v>
      </c>
      <c r="J1330" s="95"/>
      <c r="K1330" s="186"/>
    </row>
    <row r="1331" spans="1:11" s="22" customFormat="1" ht="78">
      <c r="A1331" s="37" t="s">
        <v>47</v>
      </c>
      <c r="B1331" s="36" t="s">
        <v>48</v>
      </c>
      <c r="C1331" s="36"/>
      <c r="D1331" s="36"/>
      <c r="E1331" s="36"/>
      <c r="F1331" s="36"/>
      <c r="G1331" s="57">
        <f>G1332+G1365</f>
        <v>2336382</v>
      </c>
      <c r="H1331" s="57">
        <f>H1332+H1365</f>
        <v>2334858.25</v>
      </c>
      <c r="I1331" s="57">
        <f t="shared" si="122"/>
        <v>99.93</v>
      </c>
      <c r="J1331" s="115"/>
      <c r="K1331" s="188"/>
    </row>
    <row r="1332" spans="1:11" s="27" customFormat="1" ht="31.5">
      <c r="A1332" s="39" t="s">
        <v>890</v>
      </c>
      <c r="B1332" s="10" t="s">
        <v>48</v>
      </c>
      <c r="C1332" s="10" t="s">
        <v>869</v>
      </c>
      <c r="D1332" s="10"/>
      <c r="E1332" s="10"/>
      <c r="F1332" s="10"/>
      <c r="G1332" s="54">
        <f>G1333+G1348</f>
        <v>2300236</v>
      </c>
      <c r="H1332" s="54">
        <f>H1333+H1348</f>
        <v>2298712.5</v>
      </c>
      <c r="I1332" s="54">
        <f t="shared" si="122"/>
        <v>99.93</v>
      </c>
      <c r="J1332" s="116"/>
      <c r="K1332" s="189"/>
    </row>
    <row r="1333" spans="1:11" s="22" customFormat="1" ht="110.25">
      <c r="A1333" s="1" t="s">
        <v>49</v>
      </c>
      <c r="B1333" s="10" t="s">
        <v>48</v>
      </c>
      <c r="C1333" s="10" t="s">
        <v>869</v>
      </c>
      <c r="D1333" s="10" t="s">
        <v>870</v>
      </c>
      <c r="E1333" s="10"/>
      <c r="F1333" s="10"/>
      <c r="G1333" s="54">
        <f aca="true" t="shared" si="126" ref="G1333:H1335">G1334</f>
        <v>2103382</v>
      </c>
      <c r="H1333" s="54">
        <f t="shared" si="126"/>
        <v>2103359</v>
      </c>
      <c r="I1333" s="54">
        <f t="shared" si="122"/>
        <v>100</v>
      </c>
      <c r="J1333" s="115"/>
      <c r="K1333" s="188"/>
    </row>
    <row r="1334" spans="1:11" s="22" customFormat="1" ht="110.25">
      <c r="A1334" s="44" t="s">
        <v>636</v>
      </c>
      <c r="B1334" s="6" t="s">
        <v>48</v>
      </c>
      <c r="C1334" s="6" t="s">
        <v>869</v>
      </c>
      <c r="D1334" s="6" t="s">
        <v>870</v>
      </c>
      <c r="E1334" s="6" t="s">
        <v>637</v>
      </c>
      <c r="F1334" s="6"/>
      <c r="G1334" s="46">
        <f t="shared" si="126"/>
        <v>2103382</v>
      </c>
      <c r="H1334" s="46">
        <f t="shared" si="126"/>
        <v>2103359</v>
      </c>
      <c r="I1334" s="46">
        <f t="shared" si="122"/>
        <v>100</v>
      </c>
      <c r="J1334" s="115"/>
      <c r="K1334" s="188"/>
    </row>
    <row r="1335" spans="1:11" s="22" customFormat="1" ht="18.75">
      <c r="A1335" s="44" t="s">
        <v>907</v>
      </c>
      <c r="B1335" s="6" t="s">
        <v>48</v>
      </c>
      <c r="C1335" s="6" t="s">
        <v>869</v>
      </c>
      <c r="D1335" s="6" t="s">
        <v>870</v>
      </c>
      <c r="E1335" s="6" t="s">
        <v>638</v>
      </c>
      <c r="F1335" s="6"/>
      <c r="G1335" s="46">
        <f t="shared" si="126"/>
        <v>2103382</v>
      </c>
      <c r="H1335" s="46">
        <f t="shared" si="126"/>
        <v>2103359</v>
      </c>
      <c r="I1335" s="46">
        <f t="shared" si="122"/>
        <v>100</v>
      </c>
      <c r="J1335" s="115"/>
      <c r="K1335" s="188"/>
    </row>
    <row r="1336" spans="1:11" s="22" customFormat="1" ht="47.25">
      <c r="A1336" s="44" t="s">
        <v>642</v>
      </c>
      <c r="B1336" s="6" t="s">
        <v>48</v>
      </c>
      <c r="C1336" s="6" t="s">
        <v>869</v>
      </c>
      <c r="D1336" s="6" t="s">
        <v>870</v>
      </c>
      <c r="E1336" s="6" t="s">
        <v>639</v>
      </c>
      <c r="F1336" s="6"/>
      <c r="G1336" s="46">
        <f>G1337+G1341+G1345</f>
        <v>2103382</v>
      </c>
      <c r="H1336" s="46">
        <f>H1337+H1341+H1345</f>
        <v>2103359</v>
      </c>
      <c r="I1336" s="46">
        <f t="shared" si="122"/>
        <v>100</v>
      </c>
      <c r="J1336" s="115"/>
      <c r="K1336" s="188"/>
    </row>
    <row r="1337" spans="1:11" s="22" customFormat="1" ht="157.5">
      <c r="A1337" s="44" t="s">
        <v>663</v>
      </c>
      <c r="B1337" s="6" t="s">
        <v>48</v>
      </c>
      <c r="C1337" s="6" t="s">
        <v>869</v>
      </c>
      <c r="D1337" s="6" t="s">
        <v>870</v>
      </c>
      <c r="E1337" s="6" t="s">
        <v>639</v>
      </c>
      <c r="F1337" s="6" t="s">
        <v>664</v>
      </c>
      <c r="G1337" s="46">
        <f>G1338</f>
        <v>1950182</v>
      </c>
      <c r="H1337" s="46">
        <f>H1338</f>
        <v>1950182</v>
      </c>
      <c r="I1337" s="46">
        <f t="shared" si="122"/>
        <v>100</v>
      </c>
      <c r="J1337" s="115"/>
      <c r="K1337" s="188"/>
    </row>
    <row r="1338" spans="1:11" s="22" customFormat="1" ht="47.25">
      <c r="A1338" s="44" t="s">
        <v>667</v>
      </c>
      <c r="B1338" s="6" t="s">
        <v>48</v>
      </c>
      <c r="C1338" s="6" t="s">
        <v>869</v>
      </c>
      <c r="D1338" s="6" t="s">
        <v>870</v>
      </c>
      <c r="E1338" s="6" t="s">
        <v>639</v>
      </c>
      <c r="F1338" s="6" t="s">
        <v>668</v>
      </c>
      <c r="G1338" s="46">
        <f>G1339+G1340</f>
        <v>1950182</v>
      </c>
      <c r="H1338" s="46">
        <f>H1339+H1340</f>
        <v>1950182</v>
      </c>
      <c r="I1338" s="46">
        <f t="shared" si="122"/>
        <v>100</v>
      </c>
      <c r="J1338" s="115"/>
      <c r="K1338" s="188"/>
    </row>
    <row r="1339" spans="1:11" s="22" customFormat="1" ht="31.5">
      <c r="A1339" s="44" t="s">
        <v>669</v>
      </c>
      <c r="B1339" s="6" t="s">
        <v>48</v>
      </c>
      <c r="C1339" s="6" t="s">
        <v>869</v>
      </c>
      <c r="D1339" s="6" t="s">
        <v>870</v>
      </c>
      <c r="E1339" s="6" t="s">
        <v>639</v>
      </c>
      <c r="F1339" s="6" t="s">
        <v>670</v>
      </c>
      <c r="G1339" s="46">
        <f>1800000+83413+35969-4531.53-1600</f>
        <v>1913250.47</v>
      </c>
      <c r="H1339" s="46">
        <v>1913250.47</v>
      </c>
      <c r="I1339" s="46">
        <f t="shared" si="122"/>
        <v>100</v>
      </c>
      <c r="J1339" s="115"/>
      <c r="K1339" s="188"/>
    </row>
    <row r="1340" spans="1:11" s="22" customFormat="1" ht="47.25">
      <c r="A1340" s="44" t="s">
        <v>671</v>
      </c>
      <c r="B1340" s="6" t="s">
        <v>48</v>
      </c>
      <c r="C1340" s="6" t="s">
        <v>869</v>
      </c>
      <c r="D1340" s="6" t="s">
        <v>870</v>
      </c>
      <c r="E1340" s="6" t="s">
        <v>639</v>
      </c>
      <c r="F1340" s="6" t="s">
        <v>672</v>
      </c>
      <c r="G1340" s="46">
        <f>30800+4531.53+1600</f>
        <v>36931.53</v>
      </c>
      <c r="H1340" s="46">
        <v>36931.53</v>
      </c>
      <c r="I1340" s="46">
        <f t="shared" si="122"/>
        <v>100</v>
      </c>
      <c r="J1340" s="115"/>
      <c r="K1340" s="188"/>
    </row>
    <row r="1341" spans="1:9" ht="47.25">
      <c r="A1341" s="3" t="s">
        <v>673</v>
      </c>
      <c r="B1341" s="6" t="s">
        <v>48</v>
      </c>
      <c r="C1341" s="6" t="s">
        <v>869</v>
      </c>
      <c r="D1341" s="6" t="s">
        <v>870</v>
      </c>
      <c r="E1341" s="6" t="s">
        <v>639</v>
      </c>
      <c r="F1341" s="6" t="s">
        <v>674</v>
      </c>
      <c r="G1341" s="46">
        <f>G1342</f>
        <v>153200</v>
      </c>
      <c r="H1341" s="46">
        <f>H1342</f>
        <v>153177</v>
      </c>
      <c r="I1341" s="46">
        <f t="shared" si="122"/>
        <v>99.98</v>
      </c>
    </row>
    <row r="1342" spans="1:9" ht="47.25">
      <c r="A1342" s="3" t="s">
        <v>675</v>
      </c>
      <c r="B1342" s="6" t="s">
        <v>48</v>
      </c>
      <c r="C1342" s="6" t="s">
        <v>869</v>
      </c>
      <c r="D1342" s="6" t="s">
        <v>870</v>
      </c>
      <c r="E1342" s="6" t="s">
        <v>639</v>
      </c>
      <c r="F1342" s="6" t="s">
        <v>676</v>
      </c>
      <c r="G1342" s="46">
        <f>G1343+G1344</f>
        <v>153200</v>
      </c>
      <c r="H1342" s="46">
        <f>H1343+H1344</f>
        <v>153177</v>
      </c>
      <c r="I1342" s="46">
        <f t="shared" si="122"/>
        <v>99.98</v>
      </c>
    </row>
    <row r="1343" spans="1:9" ht="78.75">
      <c r="A1343" s="3" t="s">
        <v>679</v>
      </c>
      <c r="B1343" s="6" t="s">
        <v>48</v>
      </c>
      <c r="C1343" s="6" t="s">
        <v>869</v>
      </c>
      <c r="D1343" s="6" t="s">
        <v>870</v>
      </c>
      <c r="E1343" s="6" t="s">
        <v>639</v>
      </c>
      <c r="F1343" s="6" t="s">
        <v>680</v>
      </c>
      <c r="G1343" s="46">
        <f>21175-150</f>
        <v>21025</v>
      </c>
      <c r="H1343" s="46">
        <v>21025</v>
      </c>
      <c r="I1343" s="46">
        <f t="shared" si="122"/>
        <v>100</v>
      </c>
    </row>
    <row r="1344" spans="1:11" s="38" customFormat="1" ht="47.25">
      <c r="A1344" s="122" t="s">
        <v>677</v>
      </c>
      <c r="B1344" s="6" t="s">
        <v>48</v>
      </c>
      <c r="C1344" s="6" t="s">
        <v>869</v>
      </c>
      <c r="D1344" s="6" t="s">
        <v>870</v>
      </c>
      <c r="E1344" s="6" t="s">
        <v>639</v>
      </c>
      <c r="F1344" s="6" t="s">
        <v>678</v>
      </c>
      <c r="G1344" s="59">
        <f>73025+400+58600+150</f>
        <v>132175</v>
      </c>
      <c r="H1344" s="59">
        <v>132152</v>
      </c>
      <c r="I1344" s="59">
        <f t="shared" si="122"/>
        <v>99.98</v>
      </c>
      <c r="J1344" s="95"/>
      <c r="K1344" s="186"/>
    </row>
    <row r="1345" spans="1:9" ht="31.5" customHeight="1" hidden="1">
      <c r="A1345" s="3" t="s">
        <v>557</v>
      </c>
      <c r="B1345" s="6" t="s">
        <v>48</v>
      </c>
      <c r="C1345" s="6" t="s">
        <v>869</v>
      </c>
      <c r="D1345" s="6" t="s">
        <v>870</v>
      </c>
      <c r="E1345" s="6" t="s">
        <v>639</v>
      </c>
      <c r="F1345" s="6" t="s">
        <v>683</v>
      </c>
      <c r="G1345" s="46">
        <f>G1346</f>
        <v>0</v>
      </c>
      <c r="H1345" s="46">
        <f>H1346</f>
        <v>0</v>
      </c>
      <c r="I1345" s="46" t="e">
        <f t="shared" si="122"/>
        <v>#DIV/0!</v>
      </c>
    </row>
    <row r="1346" spans="1:9" ht="78.75" customHeight="1" hidden="1">
      <c r="A1346" s="90" t="s">
        <v>729</v>
      </c>
      <c r="B1346" s="6" t="s">
        <v>48</v>
      </c>
      <c r="C1346" s="6" t="s">
        <v>869</v>
      </c>
      <c r="D1346" s="6" t="s">
        <v>870</v>
      </c>
      <c r="E1346" s="6" t="s">
        <v>639</v>
      </c>
      <c r="F1346" s="91" t="s">
        <v>730</v>
      </c>
      <c r="G1346" s="46">
        <f>G1347</f>
        <v>0</v>
      </c>
      <c r="H1346" s="46">
        <f>H1347</f>
        <v>0</v>
      </c>
      <c r="I1346" s="46" t="e">
        <f t="shared" si="122"/>
        <v>#DIV/0!</v>
      </c>
    </row>
    <row r="1347" spans="1:9" ht="47.25" customHeight="1" hidden="1">
      <c r="A1347" s="90" t="s">
        <v>731</v>
      </c>
      <c r="B1347" s="9" t="s">
        <v>48</v>
      </c>
      <c r="C1347" s="9" t="s">
        <v>869</v>
      </c>
      <c r="D1347" s="9" t="s">
        <v>870</v>
      </c>
      <c r="E1347" s="9" t="s">
        <v>639</v>
      </c>
      <c r="F1347" s="100" t="s">
        <v>732</v>
      </c>
      <c r="G1347" s="48"/>
      <c r="H1347" s="48"/>
      <c r="I1347" s="48" t="e">
        <f t="shared" si="122"/>
        <v>#DIV/0!</v>
      </c>
    </row>
    <row r="1348" spans="1:9" ht="47.25">
      <c r="A1348" s="1" t="s">
        <v>906</v>
      </c>
      <c r="B1348" s="2" t="s">
        <v>48</v>
      </c>
      <c r="C1348" s="2" t="s">
        <v>869</v>
      </c>
      <c r="D1348" s="2" t="s">
        <v>659</v>
      </c>
      <c r="E1348" s="2"/>
      <c r="F1348" s="133"/>
      <c r="G1348" s="50">
        <f>G1355+G1349</f>
        <v>196854</v>
      </c>
      <c r="H1348" s="50">
        <f>H1355+H1349</f>
        <v>195353.5</v>
      </c>
      <c r="I1348" s="50">
        <f t="shared" si="122"/>
        <v>99.24</v>
      </c>
    </row>
    <row r="1349" spans="1:9" ht="31.5">
      <c r="A1349" s="1" t="s">
        <v>554</v>
      </c>
      <c r="B1349" s="2" t="s">
        <v>48</v>
      </c>
      <c r="C1349" s="2" t="s">
        <v>869</v>
      </c>
      <c r="D1349" s="2" t="s">
        <v>659</v>
      </c>
      <c r="E1349" s="2" t="s">
        <v>932</v>
      </c>
      <c r="F1349" s="133"/>
      <c r="G1349" s="50">
        <f aca="true" t="shared" si="127" ref="G1349:H1353">G1350</f>
        <v>13000</v>
      </c>
      <c r="H1349" s="50">
        <f t="shared" si="127"/>
        <v>11500</v>
      </c>
      <c r="I1349" s="50">
        <f t="shared" si="122"/>
        <v>88.46</v>
      </c>
    </row>
    <row r="1350" spans="1:9" ht="141.75">
      <c r="A1350" s="90" t="s">
        <v>846</v>
      </c>
      <c r="B1350" s="6" t="s">
        <v>48</v>
      </c>
      <c r="C1350" s="6" t="s">
        <v>869</v>
      </c>
      <c r="D1350" s="6" t="s">
        <v>659</v>
      </c>
      <c r="E1350" s="6" t="s">
        <v>847</v>
      </c>
      <c r="F1350" s="91"/>
      <c r="G1350" s="61">
        <f t="shared" si="127"/>
        <v>13000</v>
      </c>
      <c r="H1350" s="61">
        <f t="shared" si="127"/>
        <v>11500</v>
      </c>
      <c r="I1350" s="61">
        <f t="shared" si="122"/>
        <v>88.46</v>
      </c>
    </row>
    <row r="1351" spans="1:9" ht="110.25">
      <c r="A1351" s="90" t="s">
        <v>92</v>
      </c>
      <c r="B1351" s="6" t="s">
        <v>48</v>
      </c>
      <c r="C1351" s="6" t="s">
        <v>869</v>
      </c>
      <c r="D1351" s="6" t="s">
        <v>659</v>
      </c>
      <c r="E1351" s="6" t="s">
        <v>93</v>
      </c>
      <c r="F1351" s="91"/>
      <c r="G1351" s="61">
        <f t="shared" si="127"/>
        <v>13000</v>
      </c>
      <c r="H1351" s="61">
        <f t="shared" si="127"/>
        <v>11500</v>
      </c>
      <c r="I1351" s="61">
        <f t="shared" si="122"/>
        <v>88.46</v>
      </c>
    </row>
    <row r="1352" spans="1:9" ht="47.25">
      <c r="A1352" s="113" t="s">
        <v>673</v>
      </c>
      <c r="B1352" s="6" t="s">
        <v>48</v>
      </c>
      <c r="C1352" s="6" t="s">
        <v>869</v>
      </c>
      <c r="D1352" s="6" t="s">
        <v>659</v>
      </c>
      <c r="E1352" s="6" t="s">
        <v>93</v>
      </c>
      <c r="F1352" s="91" t="s">
        <v>674</v>
      </c>
      <c r="G1352" s="61">
        <f t="shared" si="127"/>
        <v>13000</v>
      </c>
      <c r="H1352" s="61">
        <f t="shared" si="127"/>
        <v>11500</v>
      </c>
      <c r="I1352" s="61">
        <f aca="true" t="shared" si="128" ref="I1352:I1372">ROUND(H1352/G1352*100,2)</f>
        <v>88.46</v>
      </c>
    </row>
    <row r="1353" spans="1:9" ht="47.25">
      <c r="A1353" s="113" t="s">
        <v>675</v>
      </c>
      <c r="B1353" s="6" t="s">
        <v>48</v>
      </c>
      <c r="C1353" s="6" t="s">
        <v>869</v>
      </c>
      <c r="D1353" s="6" t="s">
        <v>659</v>
      </c>
      <c r="E1353" s="6" t="s">
        <v>93</v>
      </c>
      <c r="F1353" s="91" t="s">
        <v>676</v>
      </c>
      <c r="G1353" s="61">
        <f t="shared" si="127"/>
        <v>13000</v>
      </c>
      <c r="H1353" s="61">
        <f t="shared" si="127"/>
        <v>11500</v>
      </c>
      <c r="I1353" s="61">
        <f t="shared" si="128"/>
        <v>88.46</v>
      </c>
    </row>
    <row r="1354" spans="1:9" ht="47.25">
      <c r="A1354" s="5" t="s">
        <v>677</v>
      </c>
      <c r="B1354" s="6" t="s">
        <v>48</v>
      </c>
      <c r="C1354" s="6" t="s">
        <v>869</v>
      </c>
      <c r="D1354" s="6" t="s">
        <v>659</v>
      </c>
      <c r="E1354" s="6" t="s">
        <v>93</v>
      </c>
      <c r="F1354" s="91" t="s">
        <v>678</v>
      </c>
      <c r="G1354" s="61">
        <f>13000</f>
        <v>13000</v>
      </c>
      <c r="H1354" s="61">
        <v>11500</v>
      </c>
      <c r="I1354" s="61">
        <f t="shared" si="128"/>
        <v>88.46</v>
      </c>
    </row>
    <row r="1355" spans="1:9" ht="47.25">
      <c r="A1355" s="5" t="s">
        <v>922</v>
      </c>
      <c r="B1355" s="6" t="s">
        <v>48</v>
      </c>
      <c r="C1355" s="6" t="s">
        <v>869</v>
      </c>
      <c r="D1355" s="6" t="s">
        <v>659</v>
      </c>
      <c r="E1355" s="6" t="s">
        <v>923</v>
      </c>
      <c r="F1355" s="91"/>
      <c r="G1355" s="46">
        <f>G1356</f>
        <v>183854</v>
      </c>
      <c r="H1355" s="46">
        <f>H1356</f>
        <v>183853.5</v>
      </c>
      <c r="I1355" s="46">
        <f t="shared" si="128"/>
        <v>100</v>
      </c>
    </row>
    <row r="1356" spans="1:9" ht="47.25">
      <c r="A1356" s="90" t="s">
        <v>824</v>
      </c>
      <c r="B1356" s="6" t="s">
        <v>48</v>
      </c>
      <c r="C1356" s="6" t="s">
        <v>869</v>
      </c>
      <c r="D1356" s="6" t="s">
        <v>659</v>
      </c>
      <c r="E1356" s="6" t="s">
        <v>795</v>
      </c>
      <c r="F1356" s="91"/>
      <c r="G1356" s="46">
        <f>G1357</f>
        <v>183854</v>
      </c>
      <c r="H1356" s="46">
        <f>H1357</f>
        <v>183853.5</v>
      </c>
      <c r="I1356" s="46">
        <f t="shared" si="128"/>
        <v>100</v>
      </c>
    </row>
    <row r="1357" spans="1:9" ht="110.25">
      <c r="A1357" s="3" t="s">
        <v>909</v>
      </c>
      <c r="B1357" s="6" t="s">
        <v>48</v>
      </c>
      <c r="C1357" s="6" t="s">
        <v>869</v>
      </c>
      <c r="D1357" s="6" t="s">
        <v>659</v>
      </c>
      <c r="E1357" s="6" t="s">
        <v>733</v>
      </c>
      <c r="F1357" s="6"/>
      <c r="G1357" s="46">
        <f>G1361+G1358</f>
        <v>183854</v>
      </c>
      <c r="H1357" s="46">
        <f>H1361+H1358</f>
        <v>183853.5</v>
      </c>
      <c r="I1357" s="46">
        <f t="shared" si="128"/>
        <v>100</v>
      </c>
    </row>
    <row r="1358" spans="1:9" ht="157.5">
      <c r="A1358" s="44" t="s">
        <v>663</v>
      </c>
      <c r="B1358" s="6" t="s">
        <v>48</v>
      </c>
      <c r="C1358" s="6" t="s">
        <v>869</v>
      </c>
      <c r="D1358" s="6" t="s">
        <v>659</v>
      </c>
      <c r="E1358" s="6" t="s">
        <v>733</v>
      </c>
      <c r="F1358" s="6" t="s">
        <v>664</v>
      </c>
      <c r="G1358" s="46">
        <f>G1359</f>
        <v>43254.5</v>
      </c>
      <c r="H1358" s="46">
        <f>H1359</f>
        <v>43254.5</v>
      </c>
      <c r="I1358" s="46">
        <f t="shared" si="128"/>
        <v>100</v>
      </c>
    </row>
    <row r="1359" spans="1:9" ht="47.25">
      <c r="A1359" s="44" t="s">
        <v>667</v>
      </c>
      <c r="B1359" s="6" t="s">
        <v>48</v>
      </c>
      <c r="C1359" s="6" t="s">
        <v>869</v>
      </c>
      <c r="D1359" s="6" t="s">
        <v>659</v>
      </c>
      <c r="E1359" s="6" t="s">
        <v>733</v>
      </c>
      <c r="F1359" s="6" t="s">
        <v>668</v>
      </c>
      <c r="G1359" s="46">
        <f>G1360</f>
        <v>43254.5</v>
      </c>
      <c r="H1359" s="46">
        <f>H1360</f>
        <v>43254.5</v>
      </c>
      <c r="I1359" s="46">
        <f t="shared" si="128"/>
        <v>100</v>
      </c>
    </row>
    <row r="1360" spans="1:9" ht="47.25">
      <c r="A1360" s="44" t="s">
        <v>671</v>
      </c>
      <c r="B1360" s="6" t="s">
        <v>48</v>
      </c>
      <c r="C1360" s="6" t="s">
        <v>869</v>
      </c>
      <c r="D1360" s="6" t="s">
        <v>659</v>
      </c>
      <c r="E1360" s="6" t="s">
        <v>733</v>
      </c>
      <c r="F1360" s="6" t="s">
        <v>672</v>
      </c>
      <c r="G1360" s="46">
        <f>44000-745.5</f>
        <v>43254.5</v>
      </c>
      <c r="H1360" s="46">
        <v>43254.5</v>
      </c>
      <c r="I1360" s="46">
        <f t="shared" si="128"/>
        <v>100</v>
      </c>
    </row>
    <row r="1361" spans="1:9" ht="47.25">
      <c r="A1361" s="3" t="s">
        <v>673</v>
      </c>
      <c r="B1361" s="6" t="s">
        <v>48</v>
      </c>
      <c r="C1361" s="6" t="s">
        <v>869</v>
      </c>
      <c r="D1361" s="6" t="s">
        <v>659</v>
      </c>
      <c r="E1361" s="6" t="s">
        <v>733</v>
      </c>
      <c r="F1361" s="6" t="s">
        <v>674</v>
      </c>
      <c r="G1361" s="46">
        <f>G1362</f>
        <v>140599.5</v>
      </c>
      <c r="H1361" s="46">
        <f>H1362</f>
        <v>140599</v>
      </c>
      <c r="I1361" s="46">
        <f t="shared" si="128"/>
        <v>100</v>
      </c>
    </row>
    <row r="1362" spans="1:9" ht="47.25">
      <c r="A1362" s="3" t="s">
        <v>675</v>
      </c>
      <c r="B1362" s="6" t="s">
        <v>48</v>
      </c>
      <c r="C1362" s="6" t="s">
        <v>869</v>
      </c>
      <c r="D1362" s="6" t="s">
        <v>659</v>
      </c>
      <c r="E1362" s="6" t="s">
        <v>733</v>
      </c>
      <c r="F1362" s="6" t="s">
        <v>676</v>
      </c>
      <c r="G1362" s="46">
        <f>G1363+G1364</f>
        <v>140599.5</v>
      </c>
      <c r="H1362" s="46">
        <f>H1363+H1364</f>
        <v>140599</v>
      </c>
      <c r="I1362" s="46">
        <f t="shared" si="128"/>
        <v>100</v>
      </c>
    </row>
    <row r="1363" spans="1:9" ht="85.5" customHeight="1">
      <c r="A1363" s="3" t="s">
        <v>679</v>
      </c>
      <c r="B1363" s="6" t="s">
        <v>48</v>
      </c>
      <c r="C1363" s="6" t="s">
        <v>869</v>
      </c>
      <c r="D1363" s="6" t="s">
        <v>659</v>
      </c>
      <c r="E1363" s="6" t="s">
        <v>733</v>
      </c>
      <c r="F1363" s="6" t="s">
        <v>680</v>
      </c>
      <c r="G1363" s="46">
        <f>50000+33854+32500+745.5</f>
        <v>117099.5</v>
      </c>
      <c r="H1363" s="46">
        <v>117099</v>
      </c>
      <c r="I1363" s="46">
        <f t="shared" si="128"/>
        <v>100</v>
      </c>
    </row>
    <row r="1364" spans="1:9" ht="85.5" customHeight="1">
      <c r="A1364" s="5" t="s">
        <v>677</v>
      </c>
      <c r="B1364" s="6" t="s">
        <v>48</v>
      </c>
      <c r="C1364" s="6" t="s">
        <v>869</v>
      </c>
      <c r="D1364" s="6" t="s">
        <v>659</v>
      </c>
      <c r="E1364" s="6" t="s">
        <v>733</v>
      </c>
      <c r="F1364" s="6" t="s">
        <v>678</v>
      </c>
      <c r="G1364" s="46">
        <f>100000-76500</f>
        <v>23500</v>
      </c>
      <c r="H1364" s="46">
        <v>23500</v>
      </c>
      <c r="I1364" s="46">
        <f t="shared" si="128"/>
        <v>100</v>
      </c>
    </row>
    <row r="1365" spans="1:11" s="22" customFormat="1" ht="37.5">
      <c r="A1365" s="16" t="s">
        <v>892</v>
      </c>
      <c r="B1365" s="14" t="s">
        <v>48</v>
      </c>
      <c r="C1365" s="14" t="s">
        <v>879</v>
      </c>
      <c r="D1365" s="14"/>
      <c r="E1365" s="14"/>
      <c r="F1365" s="14"/>
      <c r="G1365" s="45">
        <f aca="true" t="shared" si="129" ref="G1365:H1370">G1366</f>
        <v>36146</v>
      </c>
      <c r="H1365" s="45">
        <f t="shared" si="129"/>
        <v>36145.75</v>
      </c>
      <c r="I1365" s="45">
        <f t="shared" si="128"/>
        <v>100</v>
      </c>
      <c r="J1365" s="115"/>
      <c r="K1365" s="188"/>
    </row>
    <row r="1366" spans="1:11" s="22" customFormat="1" ht="18.75">
      <c r="A1366" s="1" t="s">
        <v>634</v>
      </c>
      <c r="B1366" s="2" t="s">
        <v>48</v>
      </c>
      <c r="C1366" s="2" t="s">
        <v>879</v>
      </c>
      <c r="D1366" s="2" t="s">
        <v>877</v>
      </c>
      <c r="E1366" s="2"/>
      <c r="F1366" s="2"/>
      <c r="G1366" s="46">
        <f t="shared" si="129"/>
        <v>36146</v>
      </c>
      <c r="H1366" s="46">
        <f t="shared" si="129"/>
        <v>36145.75</v>
      </c>
      <c r="I1366" s="46">
        <f t="shared" si="128"/>
        <v>100</v>
      </c>
      <c r="J1366" s="115"/>
      <c r="K1366" s="188"/>
    </row>
    <row r="1367" spans="1:11" s="22" customFormat="1" ht="47.25">
      <c r="A1367" s="90" t="s">
        <v>824</v>
      </c>
      <c r="B1367" s="91" t="s">
        <v>48</v>
      </c>
      <c r="C1367" s="91" t="s">
        <v>879</v>
      </c>
      <c r="D1367" s="91" t="s">
        <v>877</v>
      </c>
      <c r="E1367" s="91" t="s">
        <v>795</v>
      </c>
      <c r="F1367" s="6"/>
      <c r="G1367" s="46">
        <f t="shared" si="129"/>
        <v>36146</v>
      </c>
      <c r="H1367" s="46">
        <f t="shared" si="129"/>
        <v>36145.75</v>
      </c>
      <c r="I1367" s="46">
        <f t="shared" si="128"/>
        <v>100</v>
      </c>
      <c r="J1367" s="115"/>
      <c r="K1367" s="188"/>
    </row>
    <row r="1368" spans="1:11" s="22" customFormat="1" ht="141.75">
      <c r="A1368" s="3" t="s">
        <v>825</v>
      </c>
      <c r="B1368" s="6" t="s">
        <v>48</v>
      </c>
      <c r="C1368" s="6" t="s">
        <v>879</v>
      </c>
      <c r="D1368" s="6" t="s">
        <v>877</v>
      </c>
      <c r="E1368" s="6" t="s">
        <v>826</v>
      </c>
      <c r="F1368" s="6"/>
      <c r="G1368" s="46">
        <f t="shared" si="129"/>
        <v>36146</v>
      </c>
      <c r="H1368" s="46">
        <f t="shared" si="129"/>
        <v>36145.75</v>
      </c>
      <c r="I1368" s="46">
        <f t="shared" si="128"/>
        <v>100</v>
      </c>
      <c r="J1368" s="115"/>
      <c r="K1368" s="188"/>
    </row>
    <row r="1369" spans="1:11" s="22" customFormat="1" ht="47.25">
      <c r="A1369" s="3" t="s">
        <v>673</v>
      </c>
      <c r="B1369" s="6" t="s">
        <v>48</v>
      </c>
      <c r="C1369" s="6" t="s">
        <v>879</v>
      </c>
      <c r="D1369" s="6" t="s">
        <v>877</v>
      </c>
      <c r="E1369" s="6" t="s">
        <v>826</v>
      </c>
      <c r="F1369" s="6" t="s">
        <v>674</v>
      </c>
      <c r="G1369" s="46">
        <f t="shared" si="129"/>
        <v>36146</v>
      </c>
      <c r="H1369" s="46">
        <f t="shared" si="129"/>
        <v>36145.75</v>
      </c>
      <c r="I1369" s="46">
        <f t="shared" si="128"/>
        <v>100</v>
      </c>
      <c r="J1369" s="115"/>
      <c r="K1369" s="188"/>
    </row>
    <row r="1370" spans="1:11" s="22" customFormat="1" ht="47.25">
      <c r="A1370" s="3" t="s">
        <v>675</v>
      </c>
      <c r="B1370" s="6" t="s">
        <v>48</v>
      </c>
      <c r="C1370" s="6" t="s">
        <v>879</v>
      </c>
      <c r="D1370" s="6" t="s">
        <v>877</v>
      </c>
      <c r="E1370" s="6" t="s">
        <v>826</v>
      </c>
      <c r="F1370" s="6" t="s">
        <v>676</v>
      </c>
      <c r="G1370" s="46">
        <f t="shared" si="129"/>
        <v>36146</v>
      </c>
      <c r="H1370" s="46">
        <f t="shared" si="129"/>
        <v>36145.75</v>
      </c>
      <c r="I1370" s="46">
        <f t="shared" si="128"/>
        <v>100</v>
      </c>
      <c r="J1370" s="115"/>
      <c r="K1370" s="188"/>
    </row>
    <row r="1371" spans="1:11" s="22" customFormat="1" ht="78.75">
      <c r="A1371" s="15" t="s">
        <v>679</v>
      </c>
      <c r="B1371" s="9" t="s">
        <v>48</v>
      </c>
      <c r="C1371" s="9" t="s">
        <v>879</v>
      </c>
      <c r="D1371" s="9" t="s">
        <v>877</v>
      </c>
      <c r="E1371" s="9" t="s">
        <v>826</v>
      </c>
      <c r="F1371" s="9" t="s">
        <v>680</v>
      </c>
      <c r="G1371" s="48">
        <f>120000-50000-33854</f>
        <v>36146</v>
      </c>
      <c r="H1371" s="48">
        <v>36145.75</v>
      </c>
      <c r="I1371" s="48">
        <f t="shared" si="128"/>
        <v>100</v>
      </c>
      <c r="J1371" s="115"/>
      <c r="K1371" s="188"/>
    </row>
    <row r="1372" spans="1:11" s="215" customFormat="1" ht="30" customHeight="1">
      <c r="A1372" s="372" t="s">
        <v>810</v>
      </c>
      <c r="B1372" s="373"/>
      <c r="C1372" s="373"/>
      <c r="D1372" s="373"/>
      <c r="E1372" s="373"/>
      <c r="F1372" s="374"/>
      <c r="G1372" s="201">
        <f>G11+G53+G347+G708+G753+G1103+G1331</f>
        <v>2256380503.49</v>
      </c>
      <c r="H1372" s="201">
        <f>H11+H53+H347+H708+H753+H1103+H1331</f>
        <v>2090875712.7700002</v>
      </c>
      <c r="I1372" s="201">
        <f t="shared" si="128"/>
        <v>92.67</v>
      </c>
      <c r="J1372" s="213"/>
      <c r="K1372" s="214"/>
    </row>
    <row r="1373" spans="1:8" ht="15.75">
      <c r="A1373" s="25"/>
      <c r="B1373" s="25"/>
      <c r="C1373" s="26"/>
      <c r="D1373" s="26"/>
      <c r="E1373" s="26"/>
      <c r="F1373" s="26"/>
      <c r="G1373" s="25"/>
      <c r="H1373" s="25"/>
    </row>
    <row r="1374" spans="1:8" ht="15.75">
      <c r="A1374" s="25"/>
      <c r="B1374" s="25"/>
      <c r="C1374" s="26"/>
      <c r="D1374" s="26"/>
      <c r="E1374" s="26"/>
      <c r="F1374" s="26"/>
      <c r="G1374" s="25"/>
      <c r="H1374" s="25"/>
    </row>
    <row r="1375" spans="1:8" ht="15.75">
      <c r="A1375" s="25"/>
      <c r="B1375" s="25"/>
      <c r="C1375" s="26"/>
      <c r="D1375" s="26"/>
      <c r="E1375" s="26"/>
      <c r="F1375" s="26"/>
      <c r="G1375" s="25"/>
      <c r="H1375" s="25"/>
    </row>
    <row r="1376" spans="1:8" ht="15.75">
      <c r="A1376" s="25"/>
      <c r="B1376" s="25"/>
      <c r="C1376" s="26"/>
      <c r="D1376" s="26"/>
      <c r="E1376" s="26"/>
      <c r="F1376" s="26"/>
      <c r="G1376" s="25"/>
      <c r="H1376" s="25"/>
    </row>
    <row r="1377" spans="1:8" ht="15.75">
      <c r="A1377" s="25"/>
      <c r="B1377" s="25"/>
      <c r="C1377" s="26"/>
      <c r="D1377" s="26"/>
      <c r="E1377" s="26"/>
      <c r="F1377" s="26"/>
      <c r="G1377" s="25"/>
      <c r="H1377" s="25"/>
    </row>
    <row r="1378" spans="1:8" ht="15.75">
      <c r="A1378" s="25"/>
      <c r="B1378" s="25"/>
      <c r="C1378" s="26"/>
      <c r="D1378" s="26"/>
      <c r="E1378" s="26"/>
      <c r="F1378" s="26"/>
      <c r="G1378" s="25"/>
      <c r="H1378" s="25"/>
    </row>
    <row r="1379" spans="1:8" ht="15.75">
      <c r="A1379" s="25"/>
      <c r="B1379" s="25"/>
      <c r="C1379" s="26"/>
      <c r="D1379" s="26"/>
      <c r="E1379" s="26"/>
      <c r="F1379" s="26"/>
      <c r="G1379" s="25"/>
      <c r="H1379" s="25"/>
    </row>
    <row r="1380" spans="1:8" ht="15.75">
      <c r="A1380" s="25"/>
      <c r="B1380" s="25"/>
      <c r="C1380" s="26"/>
      <c r="D1380" s="26"/>
      <c r="E1380" s="26"/>
      <c r="F1380" s="26"/>
      <c r="G1380" s="25"/>
      <c r="H1380" s="25"/>
    </row>
    <row r="1381" spans="1:8" ht="15.75">
      <c r="A1381" s="25"/>
      <c r="B1381" s="25"/>
      <c r="C1381" s="26"/>
      <c r="D1381" s="26"/>
      <c r="E1381" s="26"/>
      <c r="F1381" s="26"/>
      <c r="G1381" s="25"/>
      <c r="H1381" s="25"/>
    </row>
    <row r="1382" spans="1:8" ht="15.75">
      <c r="A1382" s="25"/>
      <c r="B1382" s="25"/>
      <c r="C1382" s="26"/>
      <c r="D1382" s="26"/>
      <c r="E1382" s="26"/>
      <c r="F1382" s="26"/>
      <c r="G1382" s="25"/>
      <c r="H1382" s="25"/>
    </row>
    <row r="1383" spans="1:8" ht="15.75">
      <c r="A1383" s="25"/>
      <c r="B1383" s="25"/>
      <c r="C1383" s="26"/>
      <c r="D1383" s="26"/>
      <c r="E1383" s="26"/>
      <c r="F1383" s="26"/>
      <c r="G1383" s="25"/>
      <c r="H1383" s="25"/>
    </row>
    <row r="1384" spans="1:8" ht="15.75">
      <c r="A1384" s="25"/>
      <c r="B1384" s="25"/>
      <c r="C1384" s="26"/>
      <c r="D1384" s="26"/>
      <c r="E1384" s="26"/>
      <c r="F1384" s="26"/>
      <c r="G1384" s="25"/>
      <c r="H1384" s="25"/>
    </row>
    <row r="1385" spans="1:8" ht="15.75">
      <c r="A1385" s="25"/>
      <c r="B1385" s="25"/>
      <c r="C1385" s="26"/>
      <c r="D1385" s="26"/>
      <c r="E1385" s="26"/>
      <c r="F1385" s="26"/>
      <c r="G1385" s="25"/>
      <c r="H1385" s="25"/>
    </row>
    <row r="1386" spans="1:8" ht="15.75">
      <c r="A1386" s="25"/>
      <c r="B1386" s="25"/>
      <c r="C1386" s="26"/>
      <c r="D1386" s="26"/>
      <c r="E1386" s="26"/>
      <c r="F1386" s="26"/>
      <c r="G1386" s="25"/>
      <c r="H1386" s="25"/>
    </row>
    <row r="1387" spans="1:8" ht="15.75">
      <c r="A1387" s="25"/>
      <c r="B1387" s="25"/>
      <c r="C1387" s="26"/>
      <c r="D1387" s="26"/>
      <c r="E1387" s="26"/>
      <c r="F1387" s="26"/>
      <c r="G1387" s="25"/>
      <c r="H1387" s="25"/>
    </row>
    <row r="1388" spans="1:8" ht="15.75">
      <c r="A1388" s="25"/>
      <c r="B1388" s="25"/>
      <c r="C1388" s="26"/>
      <c r="D1388" s="26"/>
      <c r="E1388" s="26"/>
      <c r="F1388" s="26"/>
      <c r="G1388" s="25"/>
      <c r="H1388" s="25"/>
    </row>
    <row r="1389" spans="1:8" ht="15.75">
      <c r="A1389" s="25"/>
      <c r="B1389" s="25"/>
      <c r="C1389" s="26"/>
      <c r="D1389" s="26"/>
      <c r="E1389" s="26"/>
      <c r="F1389" s="26"/>
      <c r="G1389" s="25"/>
      <c r="H1389" s="25"/>
    </row>
    <row r="1390" spans="1:8" ht="15.75">
      <c r="A1390" s="25"/>
      <c r="B1390" s="25"/>
      <c r="C1390" s="26"/>
      <c r="D1390" s="26"/>
      <c r="E1390" s="26"/>
      <c r="F1390" s="26"/>
      <c r="G1390" s="25"/>
      <c r="H1390" s="25"/>
    </row>
    <row r="1391" spans="1:8" ht="15.75">
      <c r="A1391" s="25"/>
      <c r="B1391" s="25"/>
      <c r="C1391" s="26"/>
      <c r="D1391" s="26"/>
      <c r="E1391" s="26"/>
      <c r="F1391" s="26"/>
      <c r="G1391" s="25"/>
      <c r="H1391" s="25"/>
    </row>
    <row r="1392" spans="1:8" ht="15.75">
      <c r="A1392" s="25"/>
      <c r="B1392" s="25"/>
      <c r="C1392" s="26"/>
      <c r="D1392" s="26"/>
      <c r="E1392" s="26"/>
      <c r="F1392" s="26"/>
      <c r="G1392" s="25"/>
      <c r="H1392" s="25"/>
    </row>
    <row r="1393" spans="1:8" ht="15.75">
      <c r="A1393" s="25"/>
      <c r="B1393" s="25"/>
      <c r="C1393" s="26"/>
      <c r="D1393" s="26"/>
      <c r="E1393" s="26"/>
      <c r="F1393" s="26"/>
      <c r="G1393" s="25"/>
      <c r="H1393" s="25"/>
    </row>
    <row r="1394" spans="1:8" ht="15.75">
      <c r="A1394" s="25"/>
      <c r="B1394" s="25"/>
      <c r="C1394" s="26"/>
      <c r="D1394" s="26"/>
      <c r="E1394" s="26"/>
      <c r="F1394" s="26"/>
      <c r="G1394" s="25"/>
      <c r="H1394" s="25"/>
    </row>
    <row r="1395" spans="1:8" ht="15.75">
      <c r="A1395" s="25"/>
      <c r="B1395" s="25"/>
      <c r="C1395" s="26"/>
      <c r="D1395" s="26"/>
      <c r="E1395" s="26"/>
      <c r="F1395" s="26"/>
      <c r="G1395" s="25"/>
      <c r="H1395" s="25"/>
    </row>
    <row r="1396" spans="1:8" ht="15.75">
      <c r="A1396" s="25"/>
      <c r="B1396" s="25"/>
      <c r="C1396" s="26"/>
      <c r="D1396" s="26"/>
      <c r="E1396" s="26"/>
      <c r="F1396" s="26"/>
      <c r="G1396" s="25"/>
      <c r="H1396" s="25"/>
    </row>
    <row r="1397" spans="1:8" ht="15.75">
      <c r="A1397" s="25"/>
      <c r="B1397" s="25"/>
      <c r="C1397" s="26"/>
      <c r="D1397" s="26"/>
      <c r="E1397" s="26"/>
      <c r="F1397" s="26"/>
      <c r="G1397" s="25"/>
      <c r="H1397" s="25"/>
    </row>
    <row r="1398" spans="1:8" ht="15.75">
      <c r="A1398" s="25"/>
      <c r="B1398" s="25"/>
      <c r="C1398" s="26"/>
      <c r="D1398" s="26"/>
      <c r="E1398" s="26"/>
      <c r="F1398" s="26"/>
      <c r="G1398" s="25"/>
      <c r="H1398" s="25"/>
    </row>
    <row r="1399" spans="1:8" ht="15.75">
      <c r="A1399" s="25"/>
      <c r="B1399" s="25"/>
      <c r="C1399" s="26"/>
      <c r="D1399" s="26"/>
      <c r="E1399" s="26"/>
      <c r="F1399" s="26"/>
      <c r="G1399" s="25"/>
      <c r="H1399" s="25"/>
    </row>
    <row r="1400" spans="1:8" ht="15.75">
      <c r="A1400" s="25"/>
      <c r="B1400" s="25"/>
      <c r="C1400" s="26"/>
      <c r="D1400" s="26"/>
      <c r="E1400" s="26"/>
      <c r="F1400" s="26"/>
      <c r="G1400" s="25"/>
      <c r="H1400" s="25"/>
    </row>
    <row r="1401" spans="1:8" ht="15.75">
      <c r="A1401" s="25"/>
      <c r="B1401" s="25"/>
      <c r="C1401" s="26"/>
      <c r="D1401" s="26"/>
      <c r="E1401" s="26"/>
      <c r="F1401" s="26"/>
      <c r="G1401" s="25"/>
      <c r="H1401" s="25"/>
    </row>
    <row r="1402" spans="1:8" ht="15.75">
      <c r="A1402" s="25"/>
      <c r="B1402" s="25"/>
      <c r="C1402" s="26"/>
      <c r="D1402" s="26"/>
      <c r="E1402" s="26"/>
      <c r="F1402" s="26"/>
      <c r="G1402" s="25"/>
      <c r="H1402" s="25"/>
    </row>
    <row r="1403" spans="1:8" ht="15.75">
      <c r="A1403" s="25"/>
      <c r="B1403" s="25"/>
      <c r="C1403" s="26"/>
      <c r="D1403" s="26"/>
      <c r="E1403" s="26"/>
      <c r="F1403" s="26"/>
      <c r="G1403" s="25"/>
      <c r="H1403" s="25"/>
    </row>
    <row r="1404" spans="1:8" ht="15.75">
      <c r="A1404" s="25"/>
      <c r="B1404" s="25"/>
      <c r="C1404" s="26"/>
      <c r="D1404" s="26"/>
      <c r="E1404" s="26"/>
      <c r="F1404" s="26"/>
      <c r="G1404" s="25"/>
      <c r="H1404" s="25"/>
    </row>
    <row r="1405" spans="1:8" ht="15.75">
      <c r="A1405" s="25"/>
      <c r="B1405" s="25"/>
      <c r="C1405" s="26"/>
      <c r="D1405" s="26"/>
      <c r="E1405" s="26"/>
      <c r="F1405" s="26"/>
      <c r="G1405" s="25"/>
      <c r="H1405" s="25"/>
    </row>
    <row r="1406" spans="1:8" ht="15.75">
      <c r="A1406" s="25"/>
      <c r="B1406" s="25"/>
      <c r="C1406" s="26"/>
      <c r="D1406" s="26"/>
      <c r="E1406" s="26"/>
      <c r="F1406" s="26"/>
      <c r="G1406" s="25"/>
      <c r="H1406" s="25"/>
    </row>
    <row r="1407" spans="1:8" ht="15.75">
      <c r="A1407" s="25"/>
      <c r="B1407" s="25"/>
      <c r="C1407" s="26"/>
      <c r="D1407" s="26"/>
      <c r="E1407" s="26"/>
      <c r="F1407" s="26"/>
      <c r="G1407" s="25"/>
      <c r="H1407" s="25"/>
    </row>
    <row r="1408" spans="1:8" ht="15.75">
      <c r="A1408" s="25"/>
      <c r="B1408" s="25"/>
      <c r="C1408" s="26"/>
      <c r="D1408" s="26"/>
      <c r="E1408" s="26"/>
      <c r="F1408" s="26"/>
      <c r="G1408" s="25"/>
      <c r="H1408" s="25"/>
    </row>
    <row r="1409" spans="1:8" ht="15.75">
      <c r="A1409" s="25"/>
      <c r="B1409" s="25"/>
      <c r="C1409" s="26"/>
      <c r="D1409" s="26"/>
      <c r="E1409" s="26"/>
      <c r="F1409" s="26"/>
      <c r="G1409" s="25"/>
      <c r="H1409" s="25"/>
    </row>
    <row r="1410" spans="1:8" ht="15.75">
      <c r="A1410" s="25"/>
      <c r="B1410" s="25"/>
      <c r="C1410" s="26"/>
      <c r="D1410" s="26"/>
      <c r="E1410" s="26"/>
      <c r="F1410" s="26"/>
      <c r="G1410" s="25"/>
      <c r="H1410" s="25"/>
    </row>
    <row r="1411" spans="1:8" ht="15.75">
      <c r="A1411" s="25"/>
      <c r="B1411" s="25"/>
      <c r="C1411" s="26"/>
      <c r="D1411" s="26"/>
      <c r="E1411" s="26"/>
      <c r="F1411" s="26"/>
      <c r="G1411" s="25"/>
      <c r="H1411" s="25"/>
    </row>
    <row r="1412" spans="1:8" ht="15.75">
      <c r="A1412" s="25"/>
      <c r="B1412" s="25"/>
      <c r="C1412" s="26"/>
      <c r="D1412" s="26"/>
      <c r="E1412" s="26"/>
      <c r="F1412" s="26"/>
      <c r="G1412" s="25"/>
      <c r="H1412" s="25"/>
    </row>
    <row r="1413" spans="1:8" ht="15.75">
      <c r="A1413" s="25"/>
      <c r="B1413" s="25"/>
      <c r="C1413" s="26"/>
      <c r="D1413" s="26"/>
      <c r="E1413" s="26"/>
      <c r="F1413" s="26"/>
      <c r="G1413" s="25"/>
      <c r="H1413" s="25"/>
    </row>
    <row r="1414" spans="1:8" ht="15.75">
      <c r="A1414" s="25"/>
      <c r="B1414" s="25"/>
      <c r="C1414" s="26"/>
      <c r="D1414" s="26"/>
      <c r="E1414" s="26"/>
      <c r="F1414" s="26"/>
      <c r="G1414" s="25"/>
      <c r="H1414" s="25"/>
    </row>
    <row r="1415" spans="1:8" ht="15.75">
      <c r="A1415" s="25"/>
      <c r="B1415" s="25"/>
      <c r="C1415" s="26"/>
      <c r="D1415" s="26"/>
      <c r="E1415" s="26"/>
      <c r="F1415" s="26"/>
      <c r="G1415" s="25"/>
      <c r="H1415" s="25"/>
    </row>
    <row r="1416" spans="1:8" ht="15.75">
      <c r="A1416" s="25"/>
      <c r="B1416" s="25"/>
      <c r="C1416" s="26"/>
      <c r="D1416" s="26"/>
      <c r="E1416" s="26"/>
      <c r="F1416" s="26"/>
      <c r="G1416" s="25"/>
      <c r="H1416" s="25"/>
    </row>
    <row r="1417" spans="1:8" ht="15.75">
      <c r="A1417" s="25"/>
      <c r="B1417" s="25"/>
      <c r="C1417" s="26"/>
      <c r="D1417" s="26"/>
      <c r="E1417" s="26"/>
      <c r="F1417" s="26"/>
      <c r="G1417" s="25"/>
      <c r="H1417" s="25"/>
    </row>
    <row r="1418" spans="1:8" ht="15.75">
      <c r="A1418" s="25"/>
      <c r="B1418" s="25"/>
      <c r="C1418" s="26"/>
      <c r="D1418" s="26"/>
      <c r="E1418" s="26"/>
      <c r="F1418" s="26"/>
      <c r="G1418" s="25"/>
      <c r="H1418" s="25"/>
    </row>
    <row r="1419" spans="1:8" ht="15.75">
      <c r="A1419" s="25"/>
      <c r="B1419" s="25"/>
      <c r="C1419" s="26"/>
      <c r="D1419" s="26"/>
      <c r="E1419" s="26"/>
      <c r="F1419" s="26"/>
      <c r="G1419" s="25"/>
      <c r="H1419" s="25"/>
    </row>
    <row r="1420" spans="1:8" ht="15.75">
      <c r="A1420" s="25"/>
      <c r="B1420" s="25"/>
      <c r="C1420" s="26"/>
      <c r="D1420" s="26"/>
      <c r="E1420" s="26"/>
      <c r="F1420" s="26"/>
      <c r="G1420" s="25"/>
      <c r="H1420" s="25"/>
    </row>
    <row r="1421" spans="1:8" ht="15.75">
      <c r="A1421" s="25"/>
      <c r="B1421" s="25"/>
      <c r="C1421" s="26"/>
      <c r="D1421" s="26"/>
      <c r="E1421" s="26"/>
      <c r="F1421" s="26"/>
      <c r="G1421" s="25"/>
      <c r="H1421" s="25"/>
    </row>
    <row r="1422" spans="1:8" ht="15.75">
      <c r="A1422" s="25"/>
      <c r="B1422" s="25"/>
      <c r="C1422" s="26"/>
      <c r="D1422" s="26"/>
      <c r="E1422" s="26"/>
      <c r="F1422" s="26"/>
      <c r="G1422" s="25"/>
      <c r="H1422" s="25"/>
    </row>
    <row r="1423" spans="1:8" ht="15.75">
      <c r="A1423" s="25"/>
      <c r="B1423" s="25"/>
      <c r="C1423" s="26"/>
      <c r="D1423" s="26"/>
      <c r="E1423" s="26"/>
      <c r="F1423" s="26"/>
      <c r="G1423" s="25"/>
      <c r="H1423" s="25"/>
    </row>
    <row r="1424" spans="1:8" ht="15.75">
      <c r="A1424" s="25"/>
      <c r="B1424" s="25"/>
      <c r="C1424" s="26"/>
      <c r="D1424" s="26"/>
      <c r="E1424" s="26"/>
      <c r="F1424" s="26"/>
      <c r="G1424" s="25"/>
      <c r="H1424" s="25"/>
    </row>
    <row r="1425" spans="1:8" ht="15.75">
      <c r="A1425" s="25"/>
      <c r="B1425" s="25"/>
      <c r="C1425" s="26"/>
      <c r="D1425" s="26"/>
      <c r="E1425" s="26"/>
      <c r="F1425" s="26"/>
      <c r="G1425" s="25"/>
      <c r="H1425" s="25"/>
    </row>
    <row r="1426" spans="1:8" ht="15.75">
      <c r="A1426" s="25"/>
      <c r="B1426" s="25"/>
      <c r="C1426" s="26"/>
      <c r="D1426" s="26"/>
      <c r="E1426" s="26"/>
      <c r="F1426" s="26"/>
      <c r="G1426" s="25"/>
      <c r="H1426" s="25"/>
    </row>
    <row r="1427" spans="1:8" ht="15.75">
      <c r="A1427" s="25"/>
      <c r="B1427" s="25"/>
      <c r="C1427" s="26"/>
      <c r="D1427" s="26"/>
      <c r="E1427" s="26"/>
      <c r="F1427" s="26"/>
      <c r="G1427" s="25"/>
      <c r="H1427" s="25"/>
    </row>
    <row r="1428" spans="1:8" ht="15.75">
      <c r="A1428" s="25"/>
      <c r="B1428" s="25"/>
      <c r="C1428" s="26"/>
      <c r="D1428" s="26"/>
      <c r="E1428" s="26"/>
      <c r="F1428" s="26"/>
      <c r="G1428" s="25"/>
      <c r="H1428" s="25"/>
    </row>
    <row r="1429" spans="1:8" ht="15.75">
      <c r="A1429" s="25"/>
      <c r="B1429" s="25"/>
      <c r="C1429" s="26"/>
      <c r="D1429" s="26"/>
      <c r="E1429" s="26"/>
      <c r="F1429" s="26"/>
      <c r="G1429" s="25"/>
      <c r="H1429" s="25"/>
    </row>
    <row r="1430" spans="1:8" ht="15.75">
      <c r="A1430" s="25"/>
      <c r="B1430" s="25"/>
      <c r="C1430" s="26"/>
      <c r="D1430" s="26"/>
      <c r="E1430" s="26"/>
      <c r="F1430" s="26"/>
      <c r="G1430" s="25"/>
      <c r="H1430" s="25"/>
    </row>
    <row r="1431" spans="1:8" ht="15.75">
      <c r="A1431" s="25"/>
      <c r="B1431" s="25"/>
      <c r="C1431" s="26"/>
      <c r="D1431" s="26"/>
      <c r="E1431" s="26"/>
      <c r="F1431" s="26"/>
      <c r="G1431" s="25"/>
      <c r="H1431" s="25"/>
    </row>
    <row r="1432" spans="1:8" ht="15.75">
      <c r="A1432" s="25"/>
      <c r="B1432" s="25"/>
      <c r="C1432" s="26"/>
      <c r="D1432" s="26"/>
      <c r="E1432" s="26"/>
      <c r="F1432" s="26"/>
      <c r="G1432" s="25"/>
      <c r="H1432" s="25"/>
    </row>
    <row r="1433" spans="1:8" ht="15.75">
      <c r="A1433" s="25"/>
      <c r="B1433" s="25"/>
      <c r="C1433" s="26"/>
      <c r="D1433" s="26"/>
      <c r="E1433" s="26"/>
      <c r="F1433" s="26"/>
      <c r="G1433" s="25"/>
      <c r="H1433" s="25"/>
    </row>
    <row r="1434" spans="1:8" ht="15.75">
      <c r="A1434" s="25"/>
      <c r="B1434" s="25"/>
      <c r="C1434" s="26"/>
      <c r="D1434" s="26"/>
      <c r="E1434" s="26"/>
      <c r="F1434" s="26"/>
      <c r="G1434" s="25"/>
      <c r="H1434" s="25"/>
    </row>
    <row r="1435" spans="1:8" ht="15.75">
      <c r="A1435" s="25"/>
      <c r="B1435" s="25"/>
      <c r="C1435" s="26"/>
      <c r="D1435" s="26"/>
      <c r="E1435" s="26"/>
      <c r="F1435" s="26"/>
      <c r="G1435" s="25"/>
      <c r="H1435" s="25"/>
    </row>
    <row r="1436" spans="1:8" ht="15.75">
      <c r="A1436" s="25"/>
      <c r="B1436" s="25"/>
      <c r="C1436" s="26"/>
      <c r="D1436" s="26"/>
      <c r="E1436" s="26"/>
      <c r="F1436" s="26"/>
      <c r="G1436" s="25"/>
      <c r="H1436" s="25"/>
    </row>
    <row r="1437" spans="1:8" ht="15.75">
      <c r="A1437" s="25"/>
      <c r="B1437" s="25"/>
      <c r="C1437" s="26"/>
      <c r="D1437" s="26"/>
      <c r="E1437" s="26"/>
      <c r="F1437" s="26"/>
      <c r="G1437" s="25"/>
      <c r="H1437" s="25"/>
    </row>
    <row r="1438" spans="1:8" ht="15.75">
      <c r="A1438" s="25"/>
      <c r="B1438" s="25"/>
      <c r="C1438" s="26"/>
      <c r="D1438" s="26"/>
      <c r="E1438" s="26"/>
      <c r="F1438" s="26"/>
      <c r="G1438" s="25"/>
      <c r="H1438" s="25"/>
    </row>
    <row r="1439" spans="1:8" ht="15.75">
      <c r="A1439" s="25"/>
      <c r="B1439" s="25"/>
      <c r="C1439" s="26"/>
      <c r="D1439" s="26"/>
      <c r="E1439" s="26"/>
      <c r="F1439" s="26"/>
      <c r="G1439" s="25"/>
      <c r="H1439" s="25"/>
    </row>
    <row r="1440" spans="1:8" ht="15.75">
      <c r="A1440" s="25"/>
      <c r="B1440" s="25"/>
      <c r="C1440" s="26"/>
      <c r="D1440" s="26"/>
      <c r="E1440" s="26"/>
      <c r="F1440" s="26"/>
      <c r="G1440" s="25"/>
      <c r="H1440" s="25"/>
    </row>
    <row r="1441" spans="1:8" ht="15.75">
      <c r="A1441" s="25"/>
      <c r="B1441" s="25"/>
      <c r="C1441" s="26"/>
      <c r="D1441" s="26"/>
      <c r="E1441" s="26"/>
      <c r="F1441" s="26"/>
      <c r="G1441" s="25"/>
      <c r="H1441" s="25"/>
    </row>
    <row r="1442" spans="1:8" ht="15.75">
      <c r="A1442" s="25"/>
      <c r="B1442" s="25"/>
      <c r="C1442" s="26"/>
      <c r="D1442" s="26"/>
      <c r="E1442" s="26"/>
      <c r="F1442" s="26"/>
      <c r="G1442" s="25"/>
      <c r="H1442" s="25"/>
    </row>
    <row r="1443" spans="1:8" ht="15.75">
      <c r="A1443" s="25"/>
      <c r="B1443" s="25"/>
      <c r="C1443" s="26"/>
      <c r="D1443" s="26"/>
      <c r="E1443" s="26"/>
      <c r="F1443" s="26"/>
      <c r="G1443" s="25"/>
      <c r="H1443" s="25"/>
    </row>
    <row r="1444" spans="1:8" ht="15.75">
      <c r="A1444" s="25"/>
      <c r="B1444" s="25"/>
      <c r="C1444" s="26"/>
      <c r="D1444" s="26"/>
      <c r="E1444" s="26"/>
      <c r="F1444" s="26"/>
      <c r="G1444" s="25"/>
      <c r="H1444" s="25"/>
    </row>
    <row r="1445" spans="1:8" ht="15.75">
      <c r="A1445" s="25"/>
      <c r="B1445" s="25"/>
      <c r="C1445" s="26"/>
      <c r="D1445" s="26"/>
      <c r="E1445" s="26"/>
      <c r="F1445" s="26"/>
      <c r="G1445" s="25"/>
      <c r="H1445" s="25"/>
    </row>
    <row r="1446" spans="1:8" ht="15.75">
      <c r="A1446" s="25"/>
      <c r="B1446" s="25"/>
      <c r="C1446" s="26"/>
      <c r="D1446" s="26"/>
      <c r="E1446" s="26"/>
      <c r="F1446" s="26"/>
      <c r="G1446" s="25"/>
      <c r="H1446" s="25"/>
    </row>
    <row r="1447" spans="1:8" ht="15.75">
      <c r="A1447" s="25"/>
      <c r="B1447" s="25"/>
      <c r="C1447" s="26"/>
      <c r="D1447" s="26"/>
      <c r="E1447" s="26"/>
      <c r="F1447" s="26"/>
      <c r="G1447" s="25"/>
      <c r="H1447" s="25"/>
    </row>
    <row r="1448" spans="1:8" ht="15.75">
      <c r="A1448" s="25"/>
      <c r="B1448" s="25"/>
      <c r="C1448" s="26"/>
      <c r="D1448" s="26"/>
      <c r="E1448" s="26"/>
      <c r="F1448" s="26"/>
      <c r="G1448" s="25"/>
      <c r="H1448" s="25"/>
    </row>
    <row r="1449" spans="1:8" ht="15.75">
      <c r="A1449" s="25"/>
      <c r="B1449" s="25"/>
      <c r="C1449" s="26"/>
      <c r="D1449" s="26"/>
      <c r="E1449" s="26"/>
      <c r="F1449" s="26"/>
      <c r="G1449" s="25"/>
      <c r="H1449" s="25"/>
    </row>
    <row r="1450" spans="1:8" ht="15.75">
      <c r="A1450" s="25"/>
      <c r="B1450" s="25"/>
      <c r="C1450" s="26"/>
      <c r="D1450" s="26"/>
      <c r="E1450" s="26"/>
      <c r="F1450" s="26"/>
      <c r="G1450" s="25"/>
      <c r="H1450" s="25"/>
    </row>
    <row r="1451" spans="1:8" ht="15.75">
      <c r="A1451" s="25"/>
      <c r="B1451" s="25"/>
      <c r="C1451" s="26"/>
      <c r="D1451" s="26"/>
      <c r="E1451" s="26"/>
      <c r="F1451" s="26"/>
      <c r="G1451" s="25"/>
      <c r="H1451" s="25"/>
    </row>
    <row r="1452" spans="1:8" ht="15.75">
      <c r="A1452" s="25"/>
      <c r="B1452" s="25"/>
      <c r="C1452" s="26"/>
      <c r="D1452" s="26"/>
      <c r="E1452" s="26"/>
      <c r="F1452" s="26"/>
      <c r="G1452" s="25"/>
      <c r="H1452" s="25"/>
    </row>
    <row r="1453" spans="1:8" ht="15.75">
      <c r="A1453" s="25"/>
      <c r="B1453" s="25"/>
      <c r="C1453" s="26"/>
      <c r="D1453" s="26"/>
      <c r="E1453" s="26"/>
      <c r="F1453" s="26"/>
      <c r="G1453" s="25"/>
      <c r="H1453" s="25"/>
    </row>
    <row r="1454" spans="1:8" ht="15.75">
      <c r="A1454" s="25"/>
      <c r="B1454" s="25"/>
      <c r="C1454" s="26"/>
      <c r="D1454" s="26"/>
      <c r="E1454" s="26"/>
      <c r="F1454" s="26"/>
      <c r="G1454" s="25"/>
      <c r="H1454" s="25"/>
    </row>
    <row r="1455" spans="1:8" ht="15.75">
      <c r="A1455" s="25"/>
      <c r="B1455" s="25"/>
      <c r="C1455" s="26"/>
      <c r="D1455" s="26"/>
      <c r="E1455" s="26"/>
      <c r="F1455" s="26"/>
      <c r="G1455" s="25"/>
      <c r="H1455" s="25"/>
    </row>
    <row r="1456" spans="1:8" ht="15.75">
      <c r="A1456" s="25"/>
      <c r="B1456" s="25"/>
      <c r="C1456" s="26"/>
      <c r="D1456" s="26"/>
      <c r="E1456" s="26"/>
      <c r="F1456" s="26"/>
      <c r="G1456" s="25"/>
      <c r="H1456" s="25"/>
    </row>
    <row r="1457" spans="1:8" ht="15.75">
      <c r="A1457" s="25"/>
      <c r="B1457" s="25"/>
      <c r="C1457" s="26"/>
      <c r="D1457" s="26"/>
      <c r="E1457" s="26"/>
      <c r="F1457" s="26"/>
      <c r="G1457" s="25"/>
      <c r="H1457" s="25"/>
    </row>
    <row r="1458" spans="1:8" ht="15.75">
      <c r="A1458" s="25"/>
      <c r="B1458" s="25"/>
      <c r="C1458" s="26"/>
      <c r="D1458" s="26"/>
      <c r="E1458" s="26"/>
      <c r="F1458" s="26"/>
      <c r="G1458" s="25"/>
      <c r="H1458" s="25"/>
    </row>
    <row r="1459" spans="1:8" ht="15.75">
      <c r="A1459" s="25"/>
      <c r="B1459" s="25"/>
      <c r="C1459" s="26"/>
      <c r="D1459" s="26"/>
      <c r="E1459" s="26"/>
      <c r="F1459" s="26"/>
      <c r="G1459" s="25"/>
      <c r="H1459" s="25"/>
    </row>
    <row r="1460" spans="1:8" ht="15.75">
      <c r="A1460" s="25"/>
      <c r="B1460" s="25"/>
      <c r="C1460" s="26"/>
      <c r="D1460" s="26"/>
      <c r="E1460" s="26"/>
      <c r="F1460" s="26"/>
      <c r="G1460" s="25"/>
      <c r="H1460" s="25"/>
    </row>
    <row r="1461" spans="1:8" ht="15.75">
      <c r="A1461" s="25"/>
      <c r="B1461" s="25"/>
      <c r="C1461" s="26"/>
      <c r="D1461" s="26"/>
      <c r="E1461" s="26"/>
      <c r="F1461" s="26"/>
      <c r="G1461" s="25"/>
      <c r="H1461" s="25"/>
    </row>
    <row r="1462" spans="1:8" ht="15.75">
      <c r="A1462" s="25"/>
      <c r="B1462" s="25"/>
      <c r="C1462" s="26"/>
      <c r="D1462" s="26"/>
      <c r="E1462" s="26"/>
      <c r="F1462" s="26"/>
      <c r="G1462" s="25"/>
      <c r="H1462" s="25"/>
    </row>
    <row r="1463" spans="1:8" ht="15.75">
      <c r="A1463" s="25"/>
      <c r="B1463" s="25"/>
      <c r="C1463" s="26"/>
      <c r="D1463" s="26"/>
      <c r="E1463" s="26"/>
      <c r="F1463" s="26"/>
      <c r="G1463" s="25"/>
      <c r="H1463" s="25"/>
    </row>
    <row r="1464" spans="1:8" ht="15.75">
      <c r="A1464" s="25"/>
      <c r="B1464" s="25"/>
      <c r="C1464" s="26"/>
      <c r="D1464" s="26"/>
      <c r="E1464" s="26"/>
      <c r="F1464" s="26"/>
      <c r="G1464" s="25"/>
      <c r="H1464" s="25"/>
    </row>
    <row r="1465" spans="1:8" ht="15.75">
      <c r="A1465" s="25"/>
      <c r="B1465" s="25"/>
      <c r="C1465" s="26"/>
      <c r="D1465" s="26"/>
      <c r="E1465" s="26"/>
      <c r="F1465" s="26"/>
      <c r="G1465" s="25"/>
      <c r="H1465" s="25"/>
    </row>
    <row r="1466" spans="1:8" ht="15.75">
      <c r="A1466" s="25"/>
      <c r="B1466" s="25"/>
      <c r="C1466" s="26"/>
      <c r="D1466" s="26"/>
      <c r="E1466" s="26"/>
      <c r="F1466" s="26"/>
      <c r="G1466" s="25"/>
      <c r="H1466" s="25"/>
    </row>
    <row r="1467" spans="1:8" ht="15.75">
      <c r="A1467" s="25"/>
      <c r="B1467" s="25"/>
      <c r="C1467" s="26"/>
      <c r="D1467" s="26"/>
      <c r="E1467" s="26"/>
      <c r="F1467" s="26"/>
      <c r="G1467" s="25"/>
      <c r="H1467" s="25"/>
    </row>
    <row r="1468" spans="1:8" ht="15.75">
      <c r="A1468" s="25"/>
      <c r="B1468" s="25"/>
      <c r="C1468" s="26"/>
      <c r="D1468" s="26"/>
      <c r="E1468" s="26"/>
      <c r="F1468" s="26"/>
      <c r="G1468" s="25"/>
      <c r="H1468" s="25"/>
    </row>
    <row r="1469" spans="1:8" ht="15.75">
      <c r="A1469" s="25"/>
      <c r="B1469" s="25"/>
      <c r="C1469" s="26"/>
      <c r="D1469" s="26"/>
      <c r="E1469" s="26"/>
      <c r="F1469" s="26"/>
      <c r="G1469" s="25"/>
      <c r="H1469" s="25"/>
    </row>
    <row r="1470" spans="1:8" ht="15.75">
      <c r="A1470" s="25"/>
      <c r="B1470" s="25"/>
      <c r="C1470" s="26"/>
      <c r="D1470" s="26"/>
      <c r="E1470" s="26"/>
      <c r="F1470" s="26"/>
      <c r="G1470" s="25"/>
      <c r="H1470" s="25"/>
    </row>
    <row r="1471" spans="1:8" ht="15.75">
      <c r="A1471" s="25"/>
      <c r="B1471" s="25"/>
      <c r="C1471" s="26"/>
      <c r="D1471" s="26"/>
      <c r="E1471" s="26"/>
      <c r="F1471" s="26"/>
      <c r="G1471" s="25"/>
      <c r="H1471" s="25"/>
    </row>
    <row r="1472" spans="1:8" ht="15.75">
      <c r="A1472" s="25"/>
      <c r="B1472" s="25"/>
      <c r="C1472" s="26"/>
      <c r="D1472" s="26"/>
      <c r="E1472" s="26"/>
      <c r="F1472" s="26"/>
      <c r="G1472" s="25"/>
      <c r="H1472" s="25"/>
    </row>
    <row r="1473" spans="1:8" ht="15.75">
      <c r="A1473" s="25"/>
      <c r="B1473" s="25"/>
      <c r="C1473" s="26"/>
      <c r="D1473" s="26"/>
      <c r="E1473" s="26"/>
      <c r="F1473" s="26"/>
      <c r="G1473" s="25"/>
      <c r="H1473" s="25"/>
    </row>
    <row r="1474" spans="1:8" ht="15.75">
      <c r="A1474" s="25"/>
      <c r="B1474" s="25"/>
      <c r="C1474" s="26"/>
      <c r="D1474" s="26"/>
      <c r="E1474" s="26"/>
      <c r="F1474" s="26"/>
      <c r="G1474" s="25"/>
      <c r="H1474" s="25"/>
    </row>
    <row r="1475" spans="1:8" ht="15.75">
      <c r="A1475" s="25"/>
      <c r="B1475" s="25"/>
      <c r="C1475" s="26"/>
      <c r="D1475" s="26"/>
      <c r="E1475" s="26"/>
      <c r="F1475" s="26"/>
      <c r="G1475" s="25"/>
      <c r="H1475" s="25"/>
    </row>
    <row r="1476" spans="1:8" ht="15.75">
      <c r="A1476" s="25"/>
      <c r="B1476" s="25"/>
      <c r="C1476" s="26"/>
      <c r="D1476" s="26"/>
      <c r="E1476" s="26"/>
      <c r="F1476" s="26"/>
      <c r="G1476" s="25"/>
      <c r="H1476" s="25"/>
    </row>
    <row r="1477" spans="1:8" ht="15.75">
      <c r="A1477" s="25"/>
      <c r="B1477" s="25"/>
      <c r="C1477" s="26"/>
      <c r="D1477" s="26"/>
      <c r="E1477" s="26"/>
      <c r="F1477" s="26"/>
      <c r="G1477" s="25"/>
      <c r="H1477" s="25"/>
    </row>
    <row r="1478" spans="1:8" ht="15.75">
      <c r="A1478" s="25"/>
      <c r="B1478" s="25"/>
      <c r="C1478" s="26"/>
      <c r="D1478" s="26"/>
      <c r="E1478" s="26"/>
      <c r="F1478" s="26"/>
      <c r="G1478" s="25"/>
      <c r="H1478" s="25"/>
    </row>
    <row r="1479" spans="1:8" ht="15.75">
      <c r="A1479" s="25"/>
      <c r="B1479" s="25"/>
      <c r="C1479" s="26"/>
      <c r="D1479" s="26"/>
      <c r="E1479" s="26"/>
      <c r="F1479" s="26"/>
      <c r="G1479" s="25"/>
      <c r="H1479" s="25"/>
    </row>
    <row r="1480" spans="1:8" ht="15.75">
      <c r="A1480" s="25"/>
      <c r="B1480" s="25"/>
      <c r="C1480" s="26"/>
      <c r="D1480" s="26"/>
      <c r="E1480" s="26"/>
      <c r="F1480" s="26"/>
      <c r="G1480" s="25"/>
      <c r="H1480" s="25"/>
    </row>
    <row r="1481" spans="1:8" ht="15.75">
      <c r="A1481" s="25"/>
      <c r="B1481" s="25"/>
      <c r="C1481" s="26"/>
      <c r="D1481" s="26"/>
      <c r="E1481" s="26"/>
      <c r="F1481" s="26"/>
      <c r="G1481" s="25"/>
      <c r="H1481" s="25"/>
    </row>
    <row r="1482" spans="1:8" ht="15.75">
      <c r="A1482" s="25"/>
      <c r="B1482" s="25"/>
      <c r="C1482" s="26"/>
      <c r="D1482" s="26"/>
      <c r="E1482" s="26"/>
      <c r="F1482" s="26"/>
      <c r="G1482" s="25"/>
      <c r="H1482" s="25"/>
    </row>
    <row r="1483" spans="1:8" ht="15.75">
      <c r="A1483" s="25"/>
      <c r="B1483" s="25"/>
      <c r="C1483" s="26"/>
      <c r="D1483" s="26"/>
      <c r="E1483" s="26"/>
      <c r="F1483" s="26"/>
      <c r="G1483" s="25"/>
      <c r="H1483" s="25"/>
    </row>
    <row r="1484" spans="1:8" ht="15.75">
      <c r="A1484" s="25"/>
      <c r="B1484" s="25"/>
      <c r="C1484" s="26"/>
      <c r="D1484" s="26"/>
      <c r="E1484" s="26"/>
      <c r="F1484" s="26"/>
      <c r="G1484" s="25"/>
      <c r="H1484" s="25"/>
    </row>
    <row r="1485" spans="1:8" ht="15.75">
      <c r="A1485" s="25"/>
      <c r="B1485" s="25"/>
      <c r="C1485" s="26"/>
      <c r="D1485" s="26"/>
      <c r="E1485" s="26"/>
      <c r="F1485" s="26"/>
      <c r="G1485" s="25"/>
      <c r="H1485" s="25"/>
    </row>
    <row r="1486" spans="1:8" ht="15.75">
      <c r="A1486" s="25"/>
      <c r="B1486" s="25"/>
      <c r="C1486" s="26"/>
      <c r="D1486" s="26"/>
      <c r="E1486" s="26"/>
      <c r="F1486" s="26"/>
      <c r="G1486" s="25"/>
      <c r="H1486" s="25"/>
    </row>
    <row r="1487" spans="1:8" ht="15.75">
      <c r="A1487" s="25"/>
      <c r="B1487" s="25"/>
      <c r="C1487" s="26"/>
      <c r="D1487" s="26"/>
      <c r="E1487" s="26"/>
      <c r="F1487" s="26"/>
      <c r="G1487" s="25"/>
      <c r="H1487" s="25"/>
    </row>
    <row r="1488" spans="1:8" ht="15.75">
      <c r="A1488" s="25"/>
      <c r="B1488" s="25"/>
      <c r="C1488" s="26"/>
      <c r="D1488" s="26"/>
      <c r="E1488" s="26"/>
      <c r="F1488" s="26"/>
      <c r="G1488" s="25"/>
      <c r="H1488" s="25"/>
    </row>
    <row r="1489" spans="1:8" ht="15.75">
      <c r="A1489" s="25"/>
      <c r="B1489" s="25"/>
      <c r="C1489" s="26"/>
      <c r="D1489" s="26"/>
      <c r="E1489" s="26"/>
      <c r="F1489" s="26"/>
      <c r="G1489" s="25"/>
      <c r="H1489" s="25"/>
    </row>
    <row r="1490" spans="1:8" ht="15.75">
      <c r="A1490" s="25"/>
      <c r="B1490" s="25"/>
      <c r="C1490" s="26"/>
      <c r="D1490" s="26"/>
      <c r="E1490" s="26"/>
      <c r="F1490" s="26"/>
      <c r="G1490" s="25"/>
      <c r="H1490" s="25"/>
    </row>
    <row r="1491" spans="1:8" ht="15.75">
      <c r="A1491" s="25"/>
      <c r="B1491" s="25"/>
      <c r="C1491" s="26"/>
      <c r="D1491" s="26"/>
      <c r="E1491" s="26"/>
      <c r="F1491" s="26"/>
      <c r="G1491" s="25"/>
      <c r="H1491" s="25"/>
    </row>
    <row r="1492" spans="1:8" ht="15.75">
      <c r="A1492" s="25"/>
      <c r="B1492" s="25"/>
      <c r="C1492" s="26"/>
      <c r="D1492" s="26"/>
      <c r="E1492" s="26"/>
      <c r="F1492" s="26"/>
      <c r="G1492" s="25"/>
      <c r="H1492" s="25"/>
    </row>
    <row r="1493" spans="1:8" ht="15.75">
      <c r="A1493" s="25"/>
      <c r="B1493" s="25"/>
      <c r="C1493" s="26"/>
      <c r="D1493" s="26"/>
      <c r="E1493" s="26"/>
      <c r="F1493" s="26"/>
      <c r="G1493" s="25"/>
      <c r="H1493" s="25"/>
    </row>
    <row r="1494" spans="1:8" ht="15.75">
      <c r="A1494" s="25"/>
      <c r="B1494" s="25"/>
      <c r="C1494" s="26"/>
      <c r="D1494" s="26"/>
      <c r="E1494" s="26"/>
      <c r="F1494" s="26"/>
      <c r="G1494" s="25"/>
      <c r="H1494" s="25"/>
    </row>
    <row r="1495" spans="1:8" ht="15.75">
      <c r="A1495" s="25"/>
      <c r="B1495" s="25"/>
      <c r="C1495" s="26"/>
      <c r="D1495" s="26"/>
      <c r="E1495" s="26"/>
      <c r="F1495" s="26"/>
      <c r="G1495" s="25"/>
      <c r="H1495" s="25"/>
    </row>
    <row r="1496" spans="1:8" ht="15.75">
      <c r="A1496" s="25"/>
      <c r="B1496" s="25"/>
      <c r="C1496" s="26"/>
      <c r="D1496" s="26"/>
      <c r="E1496" s="26"/>
      <c r="F1496" s="26"/>
      <c r="G1496" s="25"/>
      <c r="H1496" s="25"/>
    </row>
    <row r="1497" spans="1:8" ht="15.75">
      <c r="A1497" s="25"/>
      <c r="B1497" s="25"/>
      <c r="C1497" s="26"/>
      <c r="D1497" s="26"/>
      <c r="E1497" s="26"/>
      <c r="F1497" s="26"/>
      <c r="G1497" s="25"/>
      <c r="H1497" s="25"/>
    </row>
    <row r="1498" spans="1:8" ht="15.75">
      <c r="A1498" s="25"/>
      <c r="B1498" s="25"/>
      <c r="C1498" s="26"/>
      <c r="D1498" s="26"/>
      <c r="E1498" s="26"/>
      <c r="F1498" s="26"/>
      <c r="G1498" s="25"/>
      <c r="H1498" s="25"/>
    </row>
    <row r="1499" spans="1:8" ht="15.75">
      <c r="A1499" s="25"/>
      <c r="B1499" s="25"/>
      <c r="C1499" s="26"/>
      <c r="D1499" s="26"/>
      <c r="E1499" s="26"/>
      <c r="F1499" s="26"/>
      <c r="G1499" s="25"/>
      <c r="H1499" s="25"/>
    </row>
    <row r="1500" spans="1:8" ht="15.75">
      <c r="A1500" s="25"/>
      <c r="B1500" s="25"/>
      <c r="C1500" s="26"/>
      <c r="D1500" s="26"/>
      <c r="E1500" s="26"/>
      <c r="F1500" s="26"/>
      <c r="G1500" s="25"/>
      <c r="H1500" s="25"/>
    </row>
    <row r="1501" spans="1:8" ht="15.75">
      <c r="A1501" s="25"/>
      <c r="B1501" s="25"/>
      <c r="C1501" s="26"/>
      <c r="D1501" s="26"/>
      <c r="E1501" s="26"/>
      <c r="F1501" s="26"/>
      <c r="G1501" s="25"/>
      <c r="H1501" s="25"/>
    </row>
    <row r="1502" spans="1:8" ht="15.75">
      <c r="A1502" s="25"/>
      <c r="B1502" s="25"/>
      <c r="C1502" s="26"/>
      <c r="D1502" s="26"/>
      <c r="E1502" s="26"/>
      <c r="F1502" s="26"/>
      <c r="G1502" s="25"/>
      <c r="H1502" s="25"/>
    </row>
    <row r="1503" spans="1:8" ht="15.75">
      <c r="A1503" s="25"/>
      <c r="B1503" s="25"/>
      <c r="C1503" s="26"/>
      <c r="D1503" s="26"/>
      <c r="E1503" s="26"/>
      <c r="F1503" s="26"/>
      <c r="G1503" s="25"/>
      <c r="H1503" s="25"/>
    </row>
    <row r="1504" spans="1:8" ht="15.75">
      <c r="A1504" s="25"/>
      <c r="B1504" s="25"/>
      <c r="C1504" s="26"/>
      <c r="D1504" s="26"/>
      <c r="E1504" s="26"/>
      <c r="F1504" s="26"/>
      <c r="G1504" s="25"/>
      <c r="H1504" s="25"/>
    </row>
    <row r="1505" spans="1:8" ht="15.75">
      <c r="A1505" s="25"/>
      <c r="B1505" s="25"/>
      <c r="C1505" s="26"/>
      <c r="D1505" s="26"/>
      <c r="E1505" s="26"/>
      <c r="F1505" s="26"/>
      <c r="G1505" s="25"/>
      <c r="H1505" s="25"/>
    </row>
    <row r="1506" spans="1:8" ht="15.75">
      <c r="A1506" s="25"/>
      <c r="B1506" s="25"/>
      <c r="C1506" s="26"/>
      <c r="D1506" s="26"/>
      <c r="E1506" s="26"/>
      <c r="F1506" s="26"/>
      <c r="G1506" s="25"/>
      <c r="H1506" s="25"/>
    </row>
    <row r="1507" spans="1:8" ht="15.75">
      <c r="A1507" s="25"/>
      <c r="B1507" s="25"/>
      <c r="C1507" s="26"/>
      <c r="D1507" s="26"/>
      <c r="E1507" s="26"/>
      <c r="F1507" s="26"/>
      <c r="G1507" s="25"/>
      <c r="H1507" s="25"/>
    </row>
    <row r="1508" spans="1:8" ht="15.75">
      <c r="A1508" s="25"/>
      <c r="B1508" s="25"/>
      <c r="C1508" s="26"/>
      <c r="D1508" s="26"/>
      <c r="E1508" s="26"/>
      <c r="F1508" s="26"/>
      <c r="G1508" s="25"/>
      <c r="H1508" s="25"/>
    </row>
    <row r="1509" spans="1:8" ht="15.75">
      <c r="A1509" s="25"/>
      <c r="B1509" s="25"/>
      <c r="C1509" s="26"/>
      <c r="D1509" s="26"/>
      <c r="E1509" s="26"/>
      <c r="F1509" s="26"/>
      <c r="G1509" s="25"/>
      <c r="H1509" s="25"/>
    </row>
    <row r="1510" spans="1:8" ht="15.75">
      <c r="A1510" s="25"/>
      <c r="B1510" s="25"/>
      <c r="C1510" s="26"/>
      <c r="D1510" s="26"/>
      <c r="E1510" s="26"/>
      <c r="F1510" s="26"/>
      <c r="G1510" s="25"/>
      <c r="H1510" s="25"/>
    </row>
    <row r="1511" spans="1:8" ht="15.75">
      <c r="A1511" s="25"/>
      <c r="B1511" s="25"/>
      <c r="C1511" s="26"/>
      <c r="D1511" s="26"/>
      <c r="E1511" s="26"/>
      <c r="F1511" s="26"/>
      <c r="G1511" s="25"/>
      <c r="H1511" s="25"/>
    </row>
    <row r="1512" spans="1:8" ht="15.75">
      <c r="A1512" s="25"/>
      <c r="B1512" s="25"/>
      <c r="C1512" s="26"/>
      <c r="D1512" s="26"/>
      <c r="E1512" s="26"/>
      <c r="F1512" s="26"/>
      <c r="G1512" s="25"/>
      <c r="H1512" s="25"/>
    </row>
    <row r="1513" spans="1:8" ht="15.75">
      <c r="A1513" s="25"/>
      <c r="B1513" s="25"/>
      <c r="C1513" s="26"/>
      <c r="D1513" s="26"/>
      <c r="E1513" s="26"/>
      <c r="F1513" s="26"/>
      <c r="G1513" s="25"/>
      <c r="H1513" s="25"/>
    </row>
    <row r="1514" spans="1:8" ht="15.75">
      <c r="A1514" s="25"/>
      <c r="B1514" s="25"/>
      <c r="C1514" s="26"/>
      <c r="D1514" s="26"/>
      <c r="E1514" s="26"/>
      <c r="F1514" s="26"/>
      <c r="G1514" s="25"/>
      <c r="H1514" s="25"/>
    </row>
    <row r="1515" spans="1:8" ht="15.75">
      <c r="A1515" s="25"/>
      <c r="B1515" s="25"/>
      <c r="C1515" s="26"/>
      <c r="D1515" s="26"/>
      <c r="E1515" s="26"/>
      <c r="F1515" s="26"/>
      <c r="G1515" s="25"/>
      <c r="H1515" s="25"/>
    </row>
    <row r="1516" spans="1:8" ht="15.75">
      <c r="A1516" s="25"/>
      <c r="B1516" s="25"/>
      <c r="C1516" s="26"/>
      <c r="D1516" s="26"/>
      <c r="E1516" s="26"/>
      <c r="F1516" s="26"/>
      <c r="G1516" s="25"/>
      <c r="H1516" s="25"/>
    </row>
    <row r="1517" spans="1:8" ht="15.75">
      <c r="A1517" s="25"/>
      <c r="B1517" s="25"/>
      <c r="C1517" s="26"/>
      <c r="D1517" s="26"/>
      <c r="E1517" s="26"/>
      <c r="F1517" s="26"/>
      <c r="G1517" s="25"/>
      <c r="H1517" s="25"/>
    </row>
    <row r="1518" spans="1:8" ht="15.75">
      <c r="A1518" s="25"/>
      <c r="B1518" s="25"/>
      <c r="C1518" s="26"/>
      <c r="D1518" s="26"/>
      <c r="E1518" s="26"/>
      <c r="F1518" s="26"/>
      <c r="G1518" s="25"/>
      <c r="H1518" s="25"/>
    </row>
    <row r="1519" spans="1:8" ht="15.75">
      <c r="A1519" s="25"/>
      <c r="B1519" s="25"/>
      <c r="C1519" s="26"/>
      <c r="D1519" s="26"/>
      <c r="E1519" s="26"/>
      <c r="F1519" s="26"/>
      <c r="G1519" s="25"/>
      <c r="H1519" s="25"/>
    </row>
    <row r="1520" spans="1:8" ht="15.75">
      <c r="A1520" s="25"/>
      <c r="B1520" s="25"/>
      <c r="C1520" s="26"/>
      <c r="D1520" s="26"/>
      <c r="E1520" s="26"/>
      <c r="F1520" s="26"/>
      <c r="G1520" s="25"/>
      <c r="H1520" s="25"/>
    </row>
    <row r="1521" spans="1:8" ht="15.75">
      <c r="A1521" s="25"/>
      <c r="B1521" s="25"/>
      <c r="C1521" s="26"/>
      <c r="D1521" s="26"/>
      <c r="E1521" s="26"/>
      <c r="F1521" s="26"/>
      <c r="G1521" s="25"/>
      <c r="H1521" s="25"/>
    </row>
    <row r="1522" spans="1:8" ht="15.75">
      <c r="A1522" s="25"/>
      <c r="B1522" s="25"/>
      <c r="C1522" s="26"/>
      <c r="D1522" s="26"/>
      <c r="E1522" s="26"/>
      <c r="F1522" s="26"/>
      <c r="G1522" s="25"/>
      <c r="H1522" s="25"/>
    </row>
    <row r="1523" spans="1:8" ht="15.75">
      <c r="A1523" s="25"/>
      <c r="B1523" s="25"/>
      <c r="C1523" s="26"/>
      <c r="D1523" s="26"/>
      <c r="E1523" s="26"/>
      <c r="F1523" s="26"/>
      <c r="G1523" s="25"/>
      <c r="H1523" s="25"/>
    </row>
    <row r="1524" spans="1:8" ht="15.75">
      <c r="A1524" s="25"/>
      <c r="B1524" s="25"/>
      <c r="C1524" s="26"/>
      <c r="D1524" s="26"/>
      <c r="E1524" s="26"/>
      <c r="F1524" s="26"/>
      <c r="G1524" s="25"/>
      <c r="H1524" s="25"/>
    </row>
    <row r="1525" spans="1:8" ht="15.75">
      <c r="A1525" s="25"/>
      <c r="B1525" s="25"/>
      <c r="C1525" s="26"/>
      <c r="D1525" s="26"/>
      <c r="E1525" s="26"/>
      <c r="F1525" s="26"/>
      <c r="G1525" s="25"/>
      <c r="H1525" s="25"/>
    </row>
    <row r="1526" spans="1:8" ht="15.75">
      <c r="A1526" s="25"/>
      <c r="B1526" s="25"/>
      <c r="C1526" s="26"/>
      <c r="D1526" s="26"/>
      <c r="E1526" s="26"/>
      <c r="F1526" s="26"/>
      <c r="G1526" s="25"/>
      <c r="H1526" s="25"/>
    </row>
    <row r="1527" spans="3:6" ht="15.75">
      <c r="C1527" s="28"/>
      <c r="D1527" s="28"/>
      <c r="E1527" s="28"/>
      <c r="F1527" s="28"/>
    </row>
    <row r="1528" spans="3:6" ht="15.75">
      <c r="C1528" s="28"/>
      <c r="D1528" s="28"/>
      <c r="E1528" s="28"/>
      <c r="F1528" s="28"/>
    </row>
    <row r="1529" spans="3:6" ht="15.75">
      <c r="C1529" s="28"/>
      <c r="D1529" s="28"/>
      <c r="E1529" s="28"/>
      <c r="F1529" s="28"/>
    </row>
    <row r="1530" spans="3:6" ht="15.75">
      <c r="C1530" s="28"/>
      <c r="D1530" s="28"/>
      <c r="E1530" s="28"/>
      <c r="F1530" s="28"/>
    </row>
    <row r="1531" spans="3:6" ht="15.75">
      <c r="C1531" s="28"/>
      <c r="D1531" s="28"/>
      <c r="E1531" s="28"/>
      <c r="F1531" s="28"/>
    </row>
    <row r="1532" spans="3:6" ht="15.75">
      <c r="C1532" s="28"/>
      <c r="D1532" s="28"/>
      <c r="E1532" s="28"/>
      <c r="F1532" s="28"/>
    </row>
    <row r="1533" spans="3:6" ht="15.75">
      <c r="C1533" s="28"/>
      <c r="D1533" s="28"/>
      <c r="E1533" s="28"/>
      <c r="F1533" s="28"/>
    </row>
    <row r="1534" spans="3:6" ht="15.75">
      <c r="C1534" s="28"/>
      <c r="D1534" s="28"/>
      <c r="E1534" s="28"/>
      <c r="F1534" s="28"/>
    </row>
    <row r="1535" spans="3:6" ht="15.75">
      <c r="C1535" s="28"/>
      <c r="D1535" s="28"/>
      <c r="E1535" s="28"/>
      <c r="F1535" s="28"/>
    </row>
    <row r="1536" spans="3:6" ht="15.75">
      <c r="C1536" s="28"/>
      <c r="D1536" s="28"/>
      <c r="E1536" s="28"/>
      <c r="F1536" s="28"/>
    </row>
    <row r="1537" spans="3:6" ht="15.75">
      <c r="C1537" s="28"/>
      <c r="D1537" s="28"/>
      <c r="E1537" s="28"/>
      <c r="F1537" s="28"/>
    </row>
    <row r="1538" spans="3:6" ht="15.75">
      <c r="C1538" s="28"/>
      <c r="D1538" s="28"/>
      <c r="E1538" s="28"/>
      <c r="F1538" s="28"/>
    </row>
    <row r="1539" spans="3:6" ht="15.75">
      <c r="C1539" s="28"/>
      <c r="D1539" s="28"/>
      <c r="E1539" s="28"/>
      <c r="F1539" s="28"/>
    </row>
    <row r="1540" spans="3:6" ht="15.75">
      <c r="C1540" s="28"/>
      <c r="D1540" s="28"/>
      <c r="E1540" s="28"/>
      <c r="F1540" s="28"/>
    </row>
    <row r="1541" spans="3:6" ht="15.75">
      <c r="C1541" s="28"/>
      <c r="D1541" s="28"/>
      <c r="E1541" s="28"/>
      <c r="F1541" s="28"/>
    </row>
    <row r="1542" spans="3:6" ht="15.75">
      <c r="C1542" s="28"/>
      <c r="D1542" s="28"/>
      <c r="E1542" s="28"/>
      <c r="F1542" s="28"/>
    </row>
    <row r="1543" spans="3:6" ht="15.75">
      <c r="C1543" s="28"/>
      <c r="D1543" s="28"/>
      <c r="E1543" s="28"/>
      <c r="F1543" s="28"/>
    </row>
    <row r="1544" spans="3:6" ht="15.75">
      <c r="C1544" s="28"/>
      <c r="D1544" s="28"/>
      <c r="E1544" s="28"/>
      <c r="F1544" s="28"/>
    </row>
    <row r="1545" spans="3:6" ht="15.75">
      <c r="C1545" s="28"/>
      <c r="D1545" s="28"/>
      <c r="E1545" s="28"/>
      <c r="F1545" s="28"/>
    </row>
    <row r="1546" spans="3:6" ht="15.75">
      <c r="C1546" s="28"/>
      <c r="D1546" s="28"/>
      <c r="E1546" s="28"/>
      <c r="F1546" s="28"/>
    </row>
    <row r="1547" spans="3:6" ht="15.75">
      <c r="C1547" s="28"/>
      <c r="D1547" s="28"/>
      <c r="E1547" s="28"/>
      <c r="F1547" s="28"/>
    </row>
    <row r="1548" spans="3:6" ht="15.75">
      <c r="C1548" s="28"/>
      <c r="D1548" s="28"/>
      <c r="E1548" s="28"/>
      <c r="F1548" s="28"/>
    </row>
    <row r="1549" spans="3:6" ht="15.75">
      <c r="C1549" s="28"/>
      <c r="D1549" s="28"/>
      <c r="E1549" s="28"/>
      <c r="F1549" s="28"/>
    </row>
    <row r="1550" spans="3:6" ht="15.75">
      <c r="C1550" s="28"/>
      <c r="D1550" s="28"/>
      <c r="E1550" s="28"/>
      <c r="F1550" s="28"/>
    </row>
    <row r="1551" spans="3:6" ht="15.75">
      <c r="C1551" s="28"/>
      <c r="D1551" s="28"/>
      <c r="E1551" s="28"/>
      <c r="F1551" s="28"/>
    </row>
    <row r="1552" spans="3:6" ht="15.75">
      <c r="C1552" s="28"/>
      <c r="D1552" s="28"/>
      <c r="E1552" s="28"/>
      <c r="F1552" s="28"/>
    </row>
    <row r="1553" spans="3:6" ht="15.75">
      <c r="C1553" s="28"/>
      <c r="D1553" s="28"/>
      <c r="E1553" s="28"/>
      <c r="F1553" s="28"/>
    </row>
    <row r="1554" spans="3:6" ht="15.75">
      <c r="C1554" s="28"/>
      <c r="D1554" s="28"/>
      <c r="E1554" s="28"/>
      <c r="F1554" s="28"/>
    </row>
    <row r="1555" spans="3:6" ht="15.75">
      <c r="C1555" s="28"/>
      <c r="D1555" s="28"/>
      <c r="E1555" s="28"/>
      <c r="F1555" s="28"/>
    </row>
    <row r="1556" spans="3:6" ht="15.75">
      <c r="C1556" s="28"/>
      <c r="D1556" s="28"/>
      <c r="E1556" s="28"/>
      <c r="F1556" s="28"/>
    </row>
    <row r="1557" spans="3:6" ht="15.75">
      <c r="C1557" s="28"/>
      <c r="D1557" s="28"/>
      <c r="E1557" s="28"/>
      <c r="F1557" s="28"/>
    </row>
    <row r="1558" spans="3:6" ht="15.75">
      <c r="C1558" s="28"/>
      <c r="D1558" s="28"/>
      <c r="E1558" s="28"/>
      <c r="F1558" s="28"/>
    </row>
    <row r="1559" spans="3:6" ht="15.75">
      <c r="C1559" s="28"/>
      <c r="D1559" s="28"/>
      <c r="E1559" s="28"/>
      <c r="F1559" s="28"/>
    </row>
    <row r="1560" spans="3:6" ht="15.75">
      <c r="C1560" s="28"/>
      <c r="D1560" s="28"/>
      <c r="E1560" s="28"/>
      <c r="F1560" s="28"/>
    </row>
    <row r="1561" spans="3:6" ht="15.75">
      <c r="C1561" s="28"/>
      <c r="D1561" s="28"/>
      <c r="E1561" s="28"/>
      <c r="F1561" s="28"/>
    </row>
    <row r="1562" spans="3:6" ht="15.75">
      <c r="C1562" s="28"/>
      <c r="D1562" s="28"/>
      <c r="E1562" s="28"/>
      <c r="F1562" s="28"/>
    </row>
    <row r="1563" spans="3:6" ht="15.75">
      <c r="C1563" s="28"/>
      <c r="D1563" s="28"/>
      <c r="E1563" s="28"/>
      <c r="F1563" s="28"/>
    </row>
    <row r="1564" spans="3:6" ht="15.75">
      <c r="C1564" s="28"/>
      <c r="D1564" s="28"/>
      <c r="E1564" s="28"/>
      <c r="F1564" s="28"/>
    </row>
    <row r="1565" spans="3:6" ht="15.75">
      <c r="C1565" s="28"/>
      <c r="D1565" s="28"/>
      <c r="E1565" s="28"/>
      <c r="F1565" s="28"/>
    </row>
    <row r="1566" spans="3:6" ht="15.75">
      <c r="C1566" s="28"/>
      <c r="D1566" s="28"/>
      <c r="E1566" s="28"/>
      <c r="F1566" s="28"/>
    </row>
    <row r="1567" spans="3:6" ht="15.75">
      <c r="C1567" s="28"/>
      <c r="D1567" s="28"/>
      <c r="E1567" s="28"/>
      <c r="F1567" s="28"/>
    </row>
    <row r="1568" spans="3:6" ht="15.75">
      <c r="C1568" s="28"/>
      <c r="D1568" s="28"/>
      <c r="E1568" s="28"/>
      <c r="F1568" s="28"/>
    </row>
    <row r="1569" spans="3:6" ht="15.75">
      <c r="C1569" s="28"/>
      <c r="D1569" s="28"/>
      <c r="E1569" s="28"/>
      <c r="F1569" s="28"/>
    </row>
    <row r="1570" spans="3:6" ht="15.75">
      <c r="C1570" s="28"/>
      <c r="D1570" s="28"/>
      <c r="E1570" s="28"/>
      <c r="F1570" s="28"/>
    </row>
    <row r="1571" spans="3:6" ht="15.75">
      <c r="C1571" s="28"/>
      <c r="D1571" s="28"/>
      <c r="E1571" s="28"/>
      <c r="F1571" s="28"/>
    </row>
    <row r="1572" spans="3:6" ht="15.75">
      <c r="C1572" s="28"/>
      <c r="D1572" s="28"/>
      <c r="E1572" s="28"/>
      <c r="F1572" s="28"/>
    </row>
    <row r="1573" spans="3:6" ht="15.75">
      <c r="C1573" s="28"/>
      <c r="D1573" s="28"/>
      <c r="E1573" s="28"/>
      <c r="F1573" s="28"/>
    </row>
    <row r="1574" spans="3:6" ht="15.75">
      <c r="C1574" s="28"/>
      <c r="D1574" s="28"/>
      <c r="E1574" s="28"/>
      <c r="F1574" s="28"/>
    </row>
    <row r="1575" spans="3:6" ht="15.75">
      <c r="C1575" s="28"/>
      <c r="D1575" s="28"/>
      <c r="E1575" s="28"/>
      <c r="F1575" s="28"/>
    </row>
    <row r="1576" spans="3:6" ht="15.75">
      <c r="C1576" s="28"/>
      <c r="D1576" s="28"/>
      <c r="E1576" s="28"/>
      <c r="F1576" s="28"/>
    </row>
    <row r="1577" spans="3:6" ht="15.75">
      <c r="C1577" s="28"/>
      <c r="D1577" s="28"/>
      <c r="E1577" s="28"/>
      <c r="F1577" s="28"/>
    </row>
    <row r="1578" spans="3:6" ht="15.75">
      <c r="C1578" s="28"/>
      <c r="D1578" s="28"/>
      <c r="E1578" s="28"/>
      <c r="F1578" s="28"/>
    </row>
    <row r="1579" spans="3:6" ht="15.75">
      <c r="C1579" s="28"/>
      <c r="D1579" s="28"/>
      <c r="E1579" s="28"/>
      <c r="F1579" s="28"/>
    </row>
    <row r="1580" spans="3:6" ht="15.75">
      <c r="C1580" s="28"/>
      <c r="D1580" s="28"/>
      <c r="E1580" s="28"/>
      <c r="F1580" s="28"/>
    </row>
    <row r="1581" spans="3:6" ht="15.75">
      <c r="C1581" s="28"/>
      <c r="D1581" s="28"/>
      <c r="E1581" s="28"/>
      <c r="F1581" s="28"/>
    </row>
    <row r="1582" spans="3:6" ht="15.75">
      <c r="C1582" s="28"/>
      <c r="D1582" s="28"/>
      <c r="E1582" s="28"/>
      <c r="F1582" s="28"/>
    </row>
    <row r="1583" spans="3:6" ht="15.75">
      <c r="C1583" s="28"/>
      <c r="D1583" s="28"/>
      <c r="E1583" s="28"/>
      <c r="F1583" s="28"/>
    </row>
    <row r="1584" spans="3:6" ht="15.75">
      <c r="C1584" s="28"/>
      <c r="D1584" s="28"/>
      <c r="E1584" s="28"/>
      <c r="F1584" s="28"/>
    </row>
    <row r="1585" spans="3:6" ht="15.75">
      <c r="C1585" s="28"/>
      <c r="D1585" s="28"/>
      <c r="E1585" s="28"/>
      <c r="F1585" s="28"/>
    </row>
    <row r="1586" spans="3:6" ht="15.75">
      <c r="C1586" s="28"/>
      <c r="D1586" s="28"/>
      <c r="E1586" s="28"/>
      <c r="F1586" s="28"/>
    </row>
    <row r="1587" spans="3:6" ht="15.75">
      <c r="C1587" s="28"/>
      <c r="D1587" s="28"/>
      <c r="E1587" s="28"/>
      <c r="F1587" s="28"/>
    </row>
    <row r="1588" spans="3:6" ht="15.75">
      <c r="C1588" s="28"/>
      <c r="D1588" s="28"/>
      <c r="E1588" s="28"/>
      <c r="F1588" s="28"/>
    </row>
    <row r="1589" spans="3:6" ht="15.75">
      <c r="C1589" s="28"/>
      <c r="D1589" s="28"/>
      <c r="E1589" s="28"/>
      <c r="F1589" s="28"/>
    </row>
    <row r="1590" spans="3:6" ht="15.75">
      <c r="C1590" s="28"/>
      <c r="D1590" s="28"/>
      <c r="E1590" s="28"/>
      <c r="F1590" s="28"/>
    </row>
    <row r="1591" spans="3:6" ht="15.75">
      <c r="C1591" s="28"/>
      <c r="D1591" s="28"/>
      <c r="E1591" s="28"/>
      <c r="F1591" s="28"/>
    </row>
    <row r="1592" spans="3:6" ht="15.75">
      <c r="C1592" s="28"/>
      <c r="D1592" s="28"/>
      <c r="E1592" s="28"/>
      <c r="F1592" s="28"/>
    </row>
    <row r="1593" spans="3:6" ht="15.75">
      <c r="C1593" s="28"/>
      <c r="D1593" s="28"/>
      <c r="E1593" s="28"/>
      <c r="F1593" s="28"/>
    </row>
  </sheetData>
  <sheetProtection/>
  <mergeCells count="13">
    <mergeCell ref="B259:B260"/>
    <mergeCell ref="C259:C260"/>
    <mergeCell ref="D259:D260"/>
    <mergeCell ref="E259:E260"/>
    <mergeCell ref="I259:I260"/>
    <mergeCell ref="A1372:F1372"/>
    <mergeCell ref="A1:I1"/>
    <mergeCell ref="A2:I2"/>
    <mergeCell ref="A3:I3"/>
    <mergeCell ref="H259:H260"/>
    <mergeCell ref="F259:F260"/>
    <mergeCell ref="G259:G260"/>
    <mergeCell ref="A6:I6"/>
  </mergeCells>
  <printOptions horizontalCentered="1"/>
  <pageMargins left="0.63" right="0.24" top="0.47" bottom="0.45" header="0.5118110236220472" footer="0.5118110236220472"/>
  <pageSetup fitToHeight="115" fitToWidth="1" horizontalDpi="600" verticalDpi="600" orientation="portrait" paperSize="9" scale="64" r:id="rId1"/>
  <headerFooter alignWithMargins="0">
    <oddFooter>&amp;CСтраница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04"/>
  <sheetViews>
    <sheetView zoomScale="85" zoomScaleNormal="85" zoomScalePageLayoutView="0" workbookViewId="0" topLeftCell="A1">
      <selection activeCell="H11" sqref="H11"/>
    </sheetView>
  </sheetViews>
  <sheetFormatPr defaultColWidth="9.00390625" defaultRowHeight="12.75"/>
  <cols>
    <col min="1" max="1" width="39.00390625" style="19" customWidth="1"/>
    <col min="2" max="3" width="12.75390625" style="19" customWidth="1"/>
    <col min="4" max="4" width="19.75390625" style="43" customWidth="1"/>
    <col min="5" max="5" width="21.00390625" style="43" customWidth="1"/>
    <col min="6" max="6" width="21.375" style="19" customWidth="1"/>
    <col min="7" max="7" width="23.625" style="19" bestFit="1" customWidth="1"/>
    <col min="8" max="8" width="21.125" style="19" bestFit="1" customWidth="1"/>
    <col min="9" max="16384" width="9.125" style="19" customWidth="1"/>
  </cols>
  <sheetData>
    <row r="1" spans="1:7" ht="15.75">
      <c r="A1" s="366" t="s">
        <v>662</v>
      </c>
      <c r="B1" s="366"/>
      <c r="C1" s="366"/>
      <c r="D1" s="366"/>
      <c r="E1" s="366"/>
      <c r="F1" s="366"/>
      <c r="G1" s="47"/>
    </row>
    <row r="2" spans="1:7" ht="15.75">
      <c r="A2" s="366" t="s">
        <v>797</v>
      </c>
      <c r="B2" s="366"/>
      <c r="C2" s="366"/>
      <c r="D2" s="366"/>
      <c r="E2" s="366"/>
      <c r="F2" s="366"/>
      <c r="G2" s="47"/>
    </row>
    <row r="3" spans="1:7" ht="15.75">
      <c r="A3" s="366" t="s">
        <v>949</v>
      </c>
      <c r="B3" s="366"/>
      <c r="C3" s="366"/>
      <c r="D3" s="366"/>
      <c r="E3" s="366"/>
      <c r="F3" s="366"/>
      <c r="G3" s="47"/>
    </row>
    <row r="4" spans="1:5" ht="15.75">
      <c r="A4" s="47"/>
      <c r="B4" s="47"/>
      <c r="C4" s="47"/>
      <c r="D4" s="47"/>
      <c r="E4" s="47"/>
    </row>
    <row r="5" spans="1:5" ht="15.75">
      <c r="A5" s="47"/>
      <c r="B5" s="47"/>
      <c r="C5" s="47"/>
      <c r="D5" s="47"/>
      <c r="E5" s="47"/>
    </row>
    <row r="6" spans="1:6" ht="15.75">
      <c r="A6" s="376" t="s">
        <v>807</v>
      </c>
      <c r="B6" s="376"/>
      <c r="C6" s="376"/>
      <c r="D6" s="376"/>
      <c r="E6" s="376"/>
      <c r="F6" s="376"/>
    </row>
    <row r="7" spans="1:6" ht="15.75">
      <c r="A7" s="376" t="s">
        <v>806</v>
      </c>
      <c r="B7" s="376"/>
      <c r="C7" s="376"/>
      <c r="D7" s="376"/>
      <c r="E7" s="376"/>
      <c r="F7" s="376"/>
    </row>
    <row r="8" spans="1:5" ht="15.75">
      <c r="A8" s="376"/>
      <c r="B8" s="376"/>
      <c r="C8" s="376"/>
      <c r="D8" s="376"/>
      <c r="E8" s="376"/>
    </row>
    <row r="9" spans="1:5" ht="15.75">
      <c r="A9" s="65"/>
      <c r="B9" s="65"/>
      <c r="C9" s="65"/>
      <c r="D9" s="66"/>
      <c r="E9" s="66"/>
    </row>
    <row r="10" spans="4:5" ht="15.75">
      <c r="D10" s="67"/>
      <c r="E10" s="67" t="s">
        <v>911</v>
      </c>
    </row>
    <row r="11" spans="1:6" ht="31.5">
      <c r="A11" s="23" t="s">
        <v>868</v>
      </c>
      <c r="B11" s="23" t="s">
        <v>808</v>
      </c>
      <c r="C11" s="23" t="s">
        <v>809</v>
      </c>
      <c r="D11" s="23" t="s">
        <v>805</v>
      </c>
      <c r="E11" s="23" t="s">
        <v>804</v>
      </c>
      <c r="F11" s="195" t="s">
        <v>801</v>
      </c>
    </row>
    <row r="12" spans="1:6" ht="15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00">
        <v>6</v>
      </c>
    </row>
    <row r="13" spans="1:8" s="68" customFormat="1" ht="20.25">
      <c r="A13" s="182" t="s">
        <v>890</v>
      </c>
      <c r="B13" s="206" t="s">
        <v>869</v>
      </c>
      <c r="C13" s="206" t="s">
        <v>910</v>
      </c>
      <c r="D13" s="203">
        <f>SUM(D14:D20)</f>
        <v>158575930.24</v>
      </c>
      <c r="E13" s="203">
        <f>SUM(E14:E20)</f>
        <v>155377587.32999998</v>
      </c>
      <c r="F13" s="203">
        <f>ROUND(E13/D13*100,2)</f>
        <v>97.98</v>
      </c>
      <c r="G13" s="181"/>
      <c r="H13" s="181"/>
    </row>
    <row r="14" spans="1:6" s="68" customFormat="1" ht="63">
      <c r="A14" s="184" t="s">
        <v>84</v>
      </c>
      <c r="B14" s="205" t="s">
        <v>869</v>
      </c>
      <c r="C14" s="205" t="s">
        <v>874</v>
      </c>
      <c r="D14" s="202">
        <f>прил_3!G13</f>
        <v>1973065</v>
      </c>
      <c r="E14" s="202">
        <f>прил_3!H13</f>
        <v>1947994.06</v>
      </c>
      <c r="F14" s="202">
        <f aca="true" t="shared" si="0" ref="F14:F56">ROUND(E14/D14*100,2)</f>
        <v>98.73</v>
      </c>
    </row>
    <row r="15" spans="1:6" ht="78.75">
      <c r="A15" s="184" t="s">
        <v>724</v>
      </c>
      <c r="B15" s="205" t="s">
        <v>869</v>
      </c>
      <c r="C15" s="205" t="s">
        <v>876</v>
      </c>
      <c r="D15" s="202">
        <f>прил_3!G21</f>
        <v>3507355</v>
      </c>
      <c r="E15" s="202">
        <f>прил_3!H21</f>
        <v>3498983.64</v>
      </c>
      <c r="F15" s="202">
        <f t="shared" si="0"/>
        <v>99.76</v>
      </c>
    </row>
    <row r="16" spans="1:6" ht="94.5">
      <c r="A16" s="184" t="s">
        <v>640</v>
      </c>
      <c r="B16" s="205" t="s">
        <v>869</v>
      </c>
      <c r="C16" s="205" t="s">
        <v>879</v>
      </c>
      <c r="D16" s="202">
        <f>прил_3!G55+прил_3!G349+прил_3!G710+прил_3!G755+прил_3!G1105</f>
        <v>71322495.59</v>
      </c>
      <c r="E16" s="202">
        <f>прил_3!H55+прил_3!H349+прил_3!H710+прил_3!H755+прил_3!H1105</f>
        <v>70725887.59</v>
      </c>
      <c r="F16" s="202">
        <f t="shared" si="0"/>
        <v>99.16</v>
      </c>
    </row>
    <row r="17" spans="1:6" ht="78.75">
      <c r="A17" s="184" t="s">
        <v>49</v>
      </c>
      <c r="B17" s="205" t="s">
        <v>869</v>
      </c>
      <c r="C17" s="205" t="s">
        <v>870</v>
      </c>
      <c r="D17" s="202">
        <f>прил_3!G1333</f>
        <v>2103382</v>
      </c>
      <c r="E17" s="202">
        <f>прил_3!H1333</f>
        <v>2103359</v>
      </c>
      <c r="F17" s="202">
        <f t="shared" si="0"/>
        <v>100</v>
      </c>
    </row>
    <row r="18" spans="1:6" ht="31.5">
      <c r="A18" s="184" t="s">
        <v>50</v>
      </c>
      <c r="B18" s="205" t="s">
        <v>869</v>
      </c>
      <c r="C18" s="205" t="s">
        <v>872</v>
      </c>
      <c r="D18" s="202">
        <f>прил_3!G95</f>
        <v>2664063.9699999997</v>
      </c>
      <c r="E18" s="202">
        <f>прил_3!H95</f>
        <v>2501773.97</v>
      </c>
      <c r="F18" s="202">
        <f t="shared" si="0"/>
        <v>93.91</v>
      </c>
    </row>
    <row r="19" spans="1:6" ht="15.75">
      <c r="A19" s="184" t="s">
        <v>904</v>
      </c>
      <c r="B19" s="205" t="s">
        <v>869</v>
      </c>
      <c r="C19" s="205" t="s">
        <v>459</v>
      </c>
      <c r="D19" s="211">
        <f>прил_3!G101</f>
        <v>500000</v>
      </c>
      <c r="E19" s="211">
        <f>прил_3!H101</f>
        <v>0</v>
      </c>
      <c r="F19" s="211">
        <f t="shared" si="0"/>
        <v>0</v>
      </c>
    </row>
    <row r="20" spans="1:6" ht="31.5">
      <c r="A20" s="184" t="s">
        <v>906</v>
      </c>
      <c r="B20" s="205" t="s">
        <v>869</v>
      </c>
      <c r="C20" s="205" t="s">
        <v>659</v>
      </c>
      <c r="D20" s="202">
        <f>прил_3!G38+прил_3!G110+прил_3!G368+прил_3!G725+прил_3!G774+прил_3!G1120+прил_3!G1348</f>
        <v>76505568.67999999</v>
      </c>
      <c r="E20" s="202">
        <f>прил_3!H38+прил_3!H110+прил_3!H368+прил_3!H725+прил_3!H774+прил_3!H1120+прил_3!H1348</f>
        <v>74599589.07</v>
      </c>
      <c r="F20" s="202">
        <f t="shared" si="0"/>
        <v>97.51</v>
      </c>
    </row>
    <row r="21" spans="1:8" ht="56.25">
      <c r="A21" s="207" t="s">
        <v>891</v>
      </c>
      <c r="B21" s="206" t="s">
        <v>876</v>
      </c>
      <c r="C21" s="206" t="s">
        <v>910</v>
      </c>
      <c r="D21" s="203">
        <f>SUM(D22:D24)</f>
        <v>46185639.95999999</v>
      </c>
      <c r="E21" s="203">
        <f>SUM(E22:E24)</f>
        <v>44097800.98</v>
      </c>
      <c r="F21" s="203">
        <f t="shared" si="0"/>
        <v>95.48</v>
      </c>
      <c r="G21" s="43"/>
      <c r="H21" s="181"/>
    </row>
    <row r="22" spans="1:6" ht="18.75">
      <c r="A22" s="212" t="s">
        <v>660</v>
      </c>
      <c r="B22" s="205" t="s">
        <v>876</v>
      </c>
      <c r="C22" s="205" t="s">
        <v>879</v>
      </c>
      <c r="D22" s="202">
        <f>прил_3!G208</f>
        <v>2071800.0000000002</v>
      </c>
      <c r="E22" s="202">
        <f>прил_3!H208</f>
        <v>2071800</v>
      </c>
      <c r="F22" s="202">
        <f t="shared" si="0"/>
        <v>100</v>
      </c>
    </row>
    <row r="23" spans="1:6" ht="63">
      <c r="A23" s="184" t="s">
        <v>68</v>
      </c>
      <c r="B23" s="205" t="s">
        <v>876</v>
      </c>
      <c r="C23" s="205" t="s">
        <v>875</v>
      </c>
      <c r="D23" s="202">
        <f>прил_3!G219</f>
        <v>38594318.91</v>
      </c>
      <c r="E23" s="202">
        <f>прил_3!H219</f>
        <v>37279240.33</v>
      </c>
      <c r="F23" s="202">
        <f t="shared" si="0"/>
        <v>96.59</v>
      </c>
    </row>
    <row r="24" spans="1:6" ht="47.25">
      <c r="A24" s="184" t="s">
        <v>929</v>
      </c>
      <c r="B24" s="205" t="s">
        <v>876</v>
      </c>
      <c r="C24" s="205" t="s">
        <v>793</v>
      </c>
      <c r="D24" s="202">
        <f>прил_3!G248+прил_3!G427</f>
        <v>5519521.050000001</v>
      </c>
      <c r="E24" s="202">
        <f>прил_3!H248+прил_3!H427</f>
        <v>4746760.65</v>
      </c>
      <c r="F24" s="202">
        <f t="shared" si="0"/>
        <v>86</v>
      </c>
    </row>
    <row r="25" spans="1:8" ht="20.25">
      <c r="A25" s="207" t="s">
        <v>892</v>
      </c>
      <c r="B25" s="206" t="s">
        <v>879</v>
      </c>
      <c r="C25" s="206" t="s">
        <v>910</v>
      </c>
      <c r="D25" s="203">
        <f>SUM(D26:D29)</f>
        <v>141886701.14</v>
      </c>
      <c r="E25" s="203">
        <f>SUM(E26:E29)</f>
        <v>139959368.12</v>
      </c>
      <c r="F25" s="203">
        <f t="shared" si="0"/>
        <v>98.64</v>
      </c>
      <c r="G25" s="43"/>
      <c r="H25" s="181"/>
    </row>
    <row r="26" spans="1:6" ht="15.75">
      <c r="A26" s="183" t="s">
        <v>893</v>
      </c>
      <c r="B26" s="205" t="s">
        <v>879</v>
      </c>
      <c r="C26" s="205" t="s">
        <v>873</v>
      </c>
      <c r="D26" s="202">
        <f>прил_3!G256</f>
        <v>38827800</v>
      </c>
      <c r="E26" s="202">
        <f>прил_3!H256</f>
        <v>38741088.8</v>
      </c>
      <c r="F26" s="202">
        <f t="shared" si="0"/>
        <v>99.78</v>
      </c>
    </row>
    <row r="27" spans="1:6" ht="31.5">
      <c r="A27" s="184" t="s">
        <v>556</v>
      </c>
      <c r="B27" s="205" t="s">
        <v>879</v>
      </c>
      <c r="C27" s="205" t="s">
        <v>875</v>
      </c>
      <c r="D27" s="202">
        <f>прил_3!G446</f>
        <v>70203838.34</v>
      </c>
      <c r="E27" s="202">
        <f>прил_3!H446</f>
        <v>68969527.01</v>
      </c>
      <c r="F27" s="202">
        <f t="shared" si="0"/>
        <v>98.24</v>
      </c>
    </row>
    <row r="28" spans="1:6" ht="15.75">
      <c r="A28" s="184" t="s">
        <v>634</v>
      </c>
      <c r="B28" s="205" t="s">
        <v>879</v>
      </c>
      <c r="C28" s="205" t="s">
        <v>877</v>
      </c>
      <c r="D28" s="202">
        <f>прил_3!G46+прил_3!G274+прил_3!G459+прил_3!G740+прил_3!G796+прил_3!G1145+прил_3!G1366</f>
        <v>23300394.1</v>
      </c>
      <c r="E28" s="202">
        <f>прил_3!H46+прил_3!H274+прил_3!H459+прил_3!H740+прил_3!H796+прил_3!H1145+прил_3!H1366</f>
        <v>22757689.340000004</v>
      </c>
      <c r="F28" s="202">
        <f t="shared" si="0"/>
        <v>97.67</v>
      </c>
    </row>
    <row r="29" spans="1:6" s="24" customFormat="1" ht="31.5">
      <c r="A29" s="184" t="s">
        <v>894</v>
      </c>
      <c r="B29" s="205" t="s">
        <v>879</v>
      </c>
      <c r="C29" s="205" t="s">
        <v>643</v>
      </c>
      <c r="D29" s="202">
        <f>прил_3!G304+прил_3!G466</f>
        <v>9554668.7</v>
      </c>
      <c r="E29" s="202">
        <f>прил_3!H304+прил_3!H466</f>
        <v>9491062.97</v>
      </c>
      <c r="F29" s="202">
        <f t="shared" si="0"/>
        <v>99.33</v>
      </c>
    </row>
    <row r="30" spans="1:8" s="24" customFormat="1" ht="37.5">
      <c r="A30" s="207" t="s">
        <v>878</v>
      </c>
      <c r="B30" s="206" t="s">
        <v>871</v>
      </c>
      <c r="C30" s="206" t="s">
        <v>910</v>
      </c>
      <c r="D30" s="203">
        <f>SUM(D31:D34)</f>
        <v>270433237.37</v>
      </c>
      <c r="E30" s="203">
        <f>SUM(E31:E34)</f>
        <v>260856632.31</v>
      </c>
      <c r="F30" s="203">
        <f t="shared" si="0"/>
        <v>96.46</v>
      </c>
      <c r="G30" s="96"/>
      <c r="H30" s="181"/>
    </row>
    <row r="31" spans="1:6" s="24" customFormat="1" ht="18.75">
      <c r="A31" s="212" t="s">
        <v>884</v>
      </c>
      <c r="B31" s="205" t="s">
        <v>871</v>
      </c>
      <c r="C31" s="205" t="s">
        <v>869</v>
      </c>
      <c r="D31" s="202">
        <f>прил_3!G488</f>
        <v>59274859.58</v>
      </c>
      <c r="E31" s="202">
        <f>прил_3!H488</f>
        <v>50361201.68</v>
      </c>
      <c r="F31" s="202">
        <f t="shared" si="0"/>
        <v>84.96</v>
      </c>
    </row>
    <row r="32" spans="1:6" s="24" customFormat="1" ht="15.75">
      <c r="A32" s="184" t="s">
        <v>635</v>
      </c>
      <c r="B32" s="205" t="s">
        <v>871</v>
      </c>
      <c r="C32" s="205" t="s">
        <v>874</v>
      </c>
      <c r="D32" s="202">
        <f>прил_3!G542</f>
        <v>63796291.42</v>
      </c>
      <c r="E32" s="202">
        <f>прил_3!H542</f>
        <v>63557219.62</v>
      </c>
      <c r="F32" s="202">
        <f t="shared" si="0"/>
        <v>99.63</v>
      </c>
    </row>
    <row r="33" spans="1:6" s="24" customFormat="1" ht="15.75">
      <c r="A33" s="208" t="s">
        <v>794</v>
      </c>
      <c r="B33" s="205" t="s">
        <v>871</v>
      </c>
      <c r="C33" s="205" t="s">
        <v>876</v>
      </c>
      <c r="D33" s="202">
        <f>прил_3!G572</f>
        <v>34691095.39</v>
      </c>
      <c r="E33" s="202">
        <f>прил_3!H572</f>
        <v>34284197.46</v>
      </c>
      <c r="F33" s="202">
        <f t="shared" si="0"/>
        <v>98.83</v>
      </c>
    </row>
    <row r="34" spans="1:6" s="24" customFormat="1" ht="31.5">
      <c r="A34" s="184" t="s">
        <v>898</v>
      </c>
      <c r="B34" s="205" t="s">
        <v>871</v>
      </c>
      <c r="C34" s="205" t="s">
        <v>871</v>
      </c>
      <c r="D34" s="202">
        <f>прил_3!G590</f>
        <v>112670990.98000002</v>
      </c>
      <c r="E34" s="202">
        <f>прил_3!H590</f>
        <v>112654013.55000001</v>
      </c>
      <c r="F34" s="202">
        <f t="shared" si="0"/>
        <v>99.98</v>
      </c>
    </row>
    <row r="35" spans="1:8" s="24" customFormat="1" ht="26.25" customHeight="1">
      <c r="A35" s="182" t="s">
        <v>753</v>
      </c>
      <c r="B35" s="206" t="s">
        <v>870</v>
      </c>
      <c r="C35" s="206" t="s">
        <v>910</v>
      </c>
      <c r="D35" s="203">
        <f>SUM(D36:D37)</f>
        <v>3614559.62</v>
      </c>
      <c r="E35" s="203">
        <f>SUM(E36:E37)</f>
        <v>2109749.99</v>
      </c>
      <c r="F35" s="203">
        <f t="shared" si="0"/>
        <v>58.37</v>
      </c>
      <c r="G35" s="96"/>
      <c r="H35" s="181"/>
    </row>
    <row r="36" spans="1:6" s="24" customFormat="1" ht="31.5">
      <c r="A36" s="184" t="s">
        <v>857</v>
      </c>
      <c r="B36" s="205" t="s">
        <v>870</v>
      </c>
      <c r="C36" s="205" t="s">
        <v>876</v>
      </c>
      <c r="D36" s="202">
        <f>прил_3!G638</f>
        <v>310730</v>
      </c>
      <c r="E36" s="202">
        <f>прил_3!H638</f>
        <v>0</v>
      </c>
      <c r="F36" s="202">
        <f t="shared" si="0"/>
        <v>0</v>
      </c>
    </row>
    <row r="37" spans="1:6" s="24" customFormat="1" ht="31.5">
      <c r="A37" s="184" t="s">
        <v>754</v>
      </c>
      <c r="B37" s="205" t="s">
        <v>870</v>
      </c>
      <c r="C37" s="205" t="s">
        <v>871</v>
      </c>
      <c r="D37" s="202">
        <f>прил_3!G644</f>
        <v>3303829.62</v>
      </c>
      <c r="E37" s="202">
        <f>прил_3!H644</f>
        <v>2109749.99</v>
      </c>
      <c r="F37" s="202">
        <f t="shared" si="0"/>
        <v>63.86</v>
      </c>
    </row>
    <row r="38" spans="1:8" s="24" customFormat="1" ht="20.25">
      <c r="A38" s="207" t="s">
        <v>880</v>
      </c>
      <c r="B38" s="206" t="s">
        <v>872</v>
      </c>
      <c r="C38" s="206" t="s">
        <v>910</v>
      </c>
      <c r="D38" s="203">
        <f>SUM(D39:D42)</f>
        <v>1410303827.63</v>
      </c>
      <c r="E38" s="203">
        <f>SUM(E39:E42)</f>
        <v>1269369846.24</v>
      </c>
      <c r="F38" s="203">
        <f t="shared" si="0"/>
        <v>90.01</v>
      </c>
      <c r="G38" s="96"/>
      <c r="H38" s="181"/>
    </row>
    <row r="39" spans="1:6" s="24" customFormat="1" ht="15.75">
      <c r="A39" s="184" t="s">
        <v>881</v>
      </c>
      <c r="B39" s="205" t="s">
        <v>872</v>
      </c>
      <c r="C39" s="205" t="s">
        <v>869</v>
      </c>
      <c r="D39" s="202">
        <f>прил_3!G809</f>
        <v>454447667.04</v>
      </c>
      <c r="E39" s="202">
        <f>прил_3!H809</f>
        <v>453232461.3</v>
      </c>
      <c r="F39" s="202">
        <f t="shared" si="0"/>
        <v>99.73</v>
      </c>
    </row>
    <row r="40" spans="1:6" s="24" customFormat="1" ht="15.75">
      <c r="A40" s="184" t="s">
        <v>882</v>
      </c>
      <c r="B40" s="205" t="s">
        <v>872</v>
      </c>
      <c r="C40" s="205" t="s">
        <v>874</v>
      </c>
      <c r="D40" s="202">
        <f>прил_3!G863+прил_3!G1155</f>
        <v>640735705.68</v>
      </c>
      <c r="E40" s="202">
        <f>прил_3!H863+прил_3!H1155</f>
        <v>637856867.5</v>
      </c>
      <c r="F40" s="202">
        <f t="shared" si="0"/>
        <v>99.55</v>
      </c>
    </row>
    <row r="41" spans="1:6" s="24" customFormat="1" ht="31.5">
      <c r="A41" s="184" t="s">
        <v>69</v>
      </c>
      <c r="B41" s="205" t="s">
        <v>872</v>
      </c>
      <c r="C41" s="205" t="s">
        <v>872</v>
      </c>
      <c r="D41" s="202">
        <f>прил_3!G663+прил_3!G938+прил_3!G1188</f>
        <v>28070245.189999998</v>
      </c>
      <c r="E41" s="202">
        <f>прил_3!H663+прил_3!H938+прил_3!H1188</f>
        <v>28060874.009999998</v>
      </c>
      <c r="F41" s="202">
        <f t="shared" si="0"/>
        <v>99.97</v>
      </c>
    </row>
    <row r="42" spans="1:6" ht="31.5">
      <c r="A42" s="184" t="s">
        <v>895</v>
      </c>
      <c r="B42" s="205" t="s">
        <v>872</v>
      </c>
      <c r="C42" s="205" t="s">
        <v>875</v>
      </c>
      <c r="D42" s="202">
        <f>прил_3!G669+прил_3!G951</f>
        <v>287050209.72</v>
      </c>
      <c r="E42" s="202">
        <f>прил_3!H669+прил_3!H951</f>
        <v>150219643.43</v>
      </c>
      <c r="F42" s="202">
        <f t="shared" si="0"/>
        <v>52.33</v>
      </c>
    </row>
    <row r="43" spans="1:8" ht="20.25">
      <c r="A43" s="182" t="s">
        <v>681</v>
      </c>
      <c r="B43" s="206" t="s">
        <v>873</v>
      </c>
      <c r="C43" s="206" t="s">
        <v>910</v>
      </c>
      <c r="D43" s="203">
        <f>D44</f>
        <v>155319205.05</v>
      </c>
      <c r="E43" s="203">
        <f>E44</f>
        <v>155005805.1</v>
      </c>
      <c r="F43" s="203">
        <f t="shared" si="0"/>
        <v>99.8</v>
      </c>
      <c r="G43" s="43"/>
      <c r="H43" s="181"/>
    </row>
    <row r="44" spans="1:6" ht="15.75">
      <c r="A44" s="184" t="s">
        <v>896</v>
      </c>
      <c r="B44" s="205" t="s">
        <v>873</v>
      </c>
      <c r="C44" s="205" t="s">
        <v>869</v>
      </c>
      <c r="D44" s="202">
        <f>прил_3!G688+прил_3!G1228</f>
        <v>155319205.05</v>
      </c>
      <c r="E44" s="202">
        <f>прил_3!H688+прил_3!H1228</f>
        <v>155005805.1</v>
      </c>
      <c r="F44" s="202">
        <f t="shared" si="0"/>
        <v>99.8</v>
      </c>
    </row>
    <row r="45" spans="1:8" ht="20.25">
      <c r="A45" s="207" t="s">
        <v>883</v>
      </c>
      <c r="B45" s="206" t="s">
        <v>877</v>
      </c>
      <c r="C45" s="206" t="s">
        <v>910</v>
      </c>
      <c r="D45" s="203">
        <f>SUM(D46:D49)</f>
        <v>60826059.43</v>
      </c>
      <c r="E45" s="203">
        <f>SUM(E46:E49)</f>
        <v>54963600.75</v>
      </c>
      <c r="F45" s="203">
        <f t="shared" si="0"/>
        <v>90.36</v>
      </c>
      <c r="G45" s="43"/>
      <c r="H45" s="181"/>
    </row>
    <row r="46" spans="1:6" ht="15.75">
      <c r="A46" s="184" t="s">
        <v>912</v>
      </c>
      <c r="B46" s="205" t="s">
        <v>877</v>
      </c>
      <c r="C46" s="205" t="s">
        <v>869</v>
      </c>
      <c r="D46" s="202">
        <f>прил_3!G315</f>
        <v>1861456.44</v>
      </c>
      <c r="E46" s="202">
        <f>прил_3!H315</f>
        <v>1319580.7</v>
      </c>
      <c r="F46" s="202">
        <f t="shared" si="0"/>
        <v>70.89</v>
      </c>
    </row>
    <row r="47" spans="1:6" ht="15.75">
      <c r="A47" s="184" t="s">
        <v>897</v>
      </c>
      <c r="B47" s="205" t="s">
        <v>877</v>
      </c>
      <c r="C47" s="205" t="s">
        <v>876</v>
      </c>
      <c r="D47" s="202">
        <f>прил_3!G1021+прил_3!G1311</f>
        <v>4481400</v>
      </c>
      <c r="E47" s="202">
        <f>прил_3!H1021+прил_3!H1311</f>
        <v>3385045</v>
      </c>
      <c r="F47" s="202">
        <f t="shared" si="0"/>
        <v>75.54</v>
      </c>
    </row>
    <row r="48" spans="1:6" ht="15.75">
      <c r="A48" s="184" t="s">
        <v>948</v>
      </c>
      <c r="B48" s="205" t="s">
        <v>877</v>
      </c>
      <c r="C48" s="205" t="s">
        <v>879</v>
      </c>
      <c r="D48" s="202">
        <f>прил_3!G321+прил_3!G1057</f>
        <v>43061700</v>
      </c>
      <c r="E48" s="202">
        <f>прил_3!H321+прил_3!H1057</f>
        <v>38837472.059999995</v>
      </c>
      <c r="F48" s="202">
        <f t="shared" si="0"/>
        <v>90.19</v>
      </c>
    </row>
    <row r="49" spans="1:6" ht="31.5">
      <c r="A49" s="184" t="s">
        <v>931</v>
      </c>
      <c r="B49" s="205" t="s">
        <v>877</v>
      </c>
      <c r="C49" s="205" t="s">
        <v>870</v>
      </c>
      <c r="D49" s="202">
        <f>прил_3!G703</f>
        <v>11421502.99</v>
      </c>
      <c r="E49" s="202">
        <f>прил_3!H703</f>
        <v>11421502.99</v>
      </c>
      <c r="F49" s="202">
        <f t="shared" si="0"/>
        <v>100</v>
      </c>
    </row>
    <row r="50" spans="1:6" ht="15.75">
      <c r="A50" s="209" t="s">
        <v>452</v>
      </c>
      <c r="B50" s="206" t="s">
        <v>459</v>
      </c>
      <c r="C50" s="206" t="s">
        <v>910</v>
      </c>
      <c r="D50" s="203">
        <f>D51</f>
        <v>1579000</v>
      </c>
      <c r="E50" s="203">
        <f>E51</f>
        <v>1478978.91</v>
      </c>
      <c r="F50" s="203">
        <f t="shared" si="0"/>
        <v>93.67</v>
      </c>
    </row>
    <row r="51" spans="1:6" ht="15.75">
      <c r="A51" s="210" t="s">
        <v>631</v>
      </c>
      <c r="B51" s="205" t="s">
        <v>459</v>
      </c>
      <c r="C51" s="205" t="s">
        <v>869</v>
      </c>
      <c r="D51" s="202">
        <f>прил_3!G1325</f>
        <v>1579000</v>
      </c>
      <c r="E51" s="202">
        <f>прил_3!H1325</f>
        <v>1478978.91</v>
      </c>
      <c r="F51" s="202">
        <f t="shared" si="0"/>
        <v>93.67</v>
      </c>
    </row>
    <row r="52" spans="1:6" ht="15.75">
      <c r="A52" s="182" t="s">
        <v>633</v>
      </c>
      <c r="B52" s="206" t="s">
        <v>643</v>
      </c>
      <c r="C52" s="206" t="s">
        <v>910</v>
      </c>
      <c r="D52" s="203">
        <f>D53</f>
        <v>6066606.61</v>
      </c>
      <c r="E52" s="203">
        <f>E53</f>
        <v>6066606.6</v>
      </c>
      <c r="F52" s="203">
        <f t="shared" si="0"/>
        <v>100</v>
      </c>
    </row>
    <row r="53" spans="1:6" ht="15.75">
      <c r="A53" s="184" t="s">
        <v>451</v>
      </c>
      <c r="B53" s="205" t="s">
        <v>643</v>
      </c>
      <c r="C53" s="205" t="s">
        <v>874</v>
      </c>
      <c r="D53" s="202">
        <f>прил_3!G341</f>
        <v>6066606.61</v>
      </c>
      <c r="E53" s="202">
        <f>прил_3!H341</f>
        <v>6066606.6</v>
      </c>
      <c r="F53" s="202">
        <f t="shared" si="0"/>
        <v>100</v>
      </c>
    </row>
    <row r="54" spans="1:6" ht="31.5">
      <c r="A54" s="182" t="s">
        <v>458</v>
      </c>
      <c r="B54" s="206" t="s">
        <v>659</v>
      </c>
      <c r="C54" s="206" t="s">
        <v>910</v>
      </c>
      <c r="D54" s="203">
        <f>D55</f>
        <v>1589736.44</v>
      </c>
      <c r="E54" s="203">
        <f>E55</f>
        <v>1589736.44</v>
      </c>
      <c r="F54" s="203">
        <f t="shared" si="0"/>
        <v>100</v>
      </c>
    </row>
    <row r="55" spans="1:6" ht="31.5">
      <c r="A55" s="184" t="s">
        <v>604</v>
      </c>
      <c r="B55" s="205" t="s">
        <v>659</v>
      </c>
      <c r="C55" s="205" t="s">
        <v>869</v>
      </c>
      <c r="D55" s="202">
        <f>прил_3!G749</f>
        <v>1589736.44</v>
      </c>
      <c r="E55" s="202">
        <f>прил_3!H749</f>
        <v>1589736.44</v>
      </c>
      <c r="F55" s="202">
        <f t="shared" si="0"/>
        <v>100</v>
      </c>
    </row>
    <row r="56" spans="1:6" ht="31.5" customHeight="1">
      <c r="A56" s="372" t="s">
        <v>810</v>
      </c>
      <c r="B56" s="373"/>
      <c r="C56" s="373"/>
      <c r="D56" s="204">
        <f>D13+D21+D25+D30+D35+D38+D43+D45+D50+D52+D54</f>
        <v>2256380503.4900002</v>
      </c>
      <c r="E56" s="204">
        <f>E13+E21+E25+E30+E35+E38+E43+E45+E50+E52+E54</f>
        <v>2090875712.77</v>
      </c>
      <c r="F56" s="204">
        <f t="shared" si="0"/>
        <v>92.67</v>
      </c>
    </row>
    <row r="57" spans="1:5" ht="15.75">
      <c r="A57" s="25"/>
      <c r="B57" s="26"/>
      <c r="C57" s="26"/>
      <c r="D57" s="70"/>
      <c r="E57" s="70"/>
    </row>
    <row r="58" spans="1:5" ht="15.75">
      <c r="A58" s="25"/>
      <c r="B58" s="26"/>
      <c r="C58" s="26"/>
      <c r="D58" s="70"/>
      <c r="E58" s="70"/>
    </row>
    <row r="59" spans="1:5" ht="15.75">
      <c r="A59" s="25"/>
      <c r="B59" s="26"/>
      <c r="C59" s="26"/>
      <c r="D59" s="70"/>
      <c r="E59" s="70"/>
    </row>
    <row r="60" spans="1:5" ht="15.75">
      <c r="A60" s="25"/>
      <c r="B60" s="26"/>
      <c r="C60" s="26"/>
      <c r="D60" s="70"/>
      <c r="E60" s="70"/>
    </row>
    <row r="61" spans="1:5" ht="15.75">
      <c r="A61" s="25"/>
      <c r="B61" s="26"/>
      <c r="C61" s="26"/>
      <c r="D61" s="70"/>
      <c r="E61" s="70"/>
    </row>
    <row r="62" spans="1:5" ht="15.75">
      <c r="A62" s="25"/>
      <c r="B62" s="26"/>
      <c r="C62" s="26"/>
      <c r="D62" s="70"/>
      <c r="E62" s="70"/>
    </row>
    <row r="63" spans="1:5" ht="15.75">
      <c r="A63" s="25"/>
      <c r="B63" s="26"/>
      <c r="C63" s="26"/>
      <c r="D63" s="70"/>
      <c r="E63" s="70"/>
    </row>
    <row r="64" spans="1:5" ht="15.75">
      <c r="A64" s="25"/>
      <c r="B64" s="26"/>
      <c r="C64" s="26"/>
      <c r="D64" s="70"/>
      <c r="E64" s="70"/>
    </row>
    <row r="65" spans="1:5" ht="15.75">
      <c r="A65" s="25"/>
      <c r="B65" s="26"/>
      <c r="C65" s="26"/>
      <c r="D65" s="70"/>
      <c r="E65" s="70"/>
    </row>
    <row r="66" spans="1:5" ht="15.75">
      <c r="A66" s="25"/>
      <c r="B66" s="26"/>
      <c r="C66" s="26"/>
      <c r="D66" s="70"/>
      <c r="E66" s="70"/>
    </row>
    <row r="67" spans="1:5" ht="15.75">
      <c r="A67" s="25"/>
      <c r="B67" s="26"/>
      <c r="C67" s="26"/>
      <c r="D67" s="70"/>
      <c r="E67" s="70"/>
    </row>
    <row r="68" spans="1:5" ht="15.75">
      <c r="A68" s="25"/>
      <c r="B68" s="26"/>
      <c r="C68" s="26"/>
      <c r="D68" s="70"/>
      <c r="E68" s="70"/>
    </row>
    <row r="69" spans="1:5" ht="15.75">
      <c r="A69" s="25"/>
      <c r="B69" s="26"/>
      <c r="C69" s="26"/>
      <c r="D69" s="70"/>
      <c r="E69" s="70"/>
    </row>
    <row r="70" spans="1:5" ht="15.75">
      <c r="A70" s="25"/>
      <c r="B70" s="26"/>
      <c r="C70" s="26"/>
      <c r="D70" s="70"/>
      <c r="E70" s="70"/>
    </row>
    <row r="71" spans="1:5" ht="15.75">
      <c r="A71" s="25"/>
      <c r="B71" s="26"/>
      <c r="C71" s="26"/>
      <c r="D71" s="70"/>
      <c r="E71" s="70"/>
    </row>
    <row r="72" spans="1:5" ht="15.75">
      <c r="A72" s="25"/>
      <c r="B72" s="26"/>
      <c r="C72" s="26"/>
      <c r="D72" s="70"/>
      <c r="E72" s="70"/>
    </row>
    <row r="73" spans="1:5" ht="15.75">
      <c r="A73" s="25"/>
      <c r="B73" s="26"/>
      <c r="C73" s="26"/>
      <c r="D73" s="70"/>
      <c r="E73" s="70"/>
    </row>
    <row r="74" spans="1:5" ht="15.75">
      <c r="A74" s="25"/>
      <c r="B74" s="26"/>
      <c r="C74" s="26"/>
      <c r="D74" s="70"/>
      <c r="E74" s="70"/>
    </row>
    <row r="75" spans="1:5" ht="15.75">
      <c r="A75" s="25"/>
      <c r="B75" s="26"/>
      <c r="C75" s="26"/>
      <c r="D75" s="70"/>
      <c r="E75" s="70"/>
    </row>
    <row r="76" spans="1:5" ht="15.75">
      <c r="A76" s="25"/>
      <c r="B76" s="26"/>
      <c r="C76" s="26"/>
      <c r="D76" s="70"/>
      <c r="E76" s="70"/>
    </row>
    <row r="77" spans="1:5" ht="15.75">
      <c r="A77" s="25"/>
      <c r="B77" s="26"/>
      <c r="C77" s="26"/>
      <c r="D77" s="70"/>
      <c r="E77" s="70"/>
    </row>
    <row r="78" spans="1:5" ht="15.75">
      <c r="A78" s="25"/>
      <c r="B78" s="26"/>
      <c r="C78" s="26"/>
      <c r="D78" s="70"/>
      <c r="E78" s="70"/>
    </row>
    <row r="79" spans="1:5" ht="15.75">
      <c r="A79" s="25"/>
      <c r="B79" s="26"/>
      <c r="C79" s="26"/>
      <c r="D79" s="70"/>
      <c r="E79" s="70"/>
    </row>
    <row r="80" spans="1:5" ht="15.75">
      <c r="A80" s="25"/>
      <c r="B80" s="26"/>
      <c r="C80" s="26"/>
      <c r="D80" s="70"/>
      <c r="E80" s="70"/>
    </row>
    <row r="81" spans="1:5" ht="15.75">
      <c r="A81" s="25"/>
      <c r="B81" s="26"/>
      <c r="C81" s="26"/>
      <c r="D81" s="70"/>
      <c r="E81" s="70"/>
    </row>
    <row r="82" spans="1:5" ht="15.75">
      <c r="A82" s="25"/>
      <c r="B82" s="26"/>
      <c r="C82" s="26"/>
      <c r="D82" s="70"/>
      <c r="E82" s="70"/>
    </row>
    <row r="83" spans="1:5" ht="15.75">
      <c r="A83" s="25"/>
      <c r="B83" s="26"/>
      <c r="C83" s="26"/>
      <c r="D83" s="70"/>
      <c r="E83" s="70"/>
    </row>
    <row r="84" spans="1:5" ht="15.75">
      <c r="A84" s="25"/>
      <c r="B84" s="26"/>
      <c r="C84" s="26"/>
      <c r="D84" s="70"/>
      <c r="E84" s="70"/>
    </row>
    <row r="85" spans="1:5" ht="15.75">
      <c r="A85" s="25"/>
      <c r="B85" s="26"/>
      <c r="C85" s="26"/>
      <c r="D85" s="70"/>
      <c r="E85" s="70"/>
    </row>
    <row r="86" spans="1:5" ht="15.75">
      <c r="A86" s="25"/>
      <c r="B86" s="26"/>
      <c r="C86" s="26"/>
      <c r="D86" s="70"/>
      <c r="E86" s="70"/>
    </row>
    <row r="87" spans="1:5" ht="15.75">
      <c r="A87" s="25"/>
      <c r="B87" s="26"/>
      <c r="C87" s="26"/>
      <c r="D87" s="70"/>
      <c r="E87" s="70"/>
    </row>
    <row r="88" spans="1:5" ht="15.75">
      <c r="A88" s="25"/>
      <c r="B88" s="26"/>
      <c r="C88" s="26"/>
      <c r="D88" s="70"/>
      <c r="E88" s="70"/>
    </row>
    <row r="89" spans="1:5" ht="15.75">
      <c r="A89" s="25"/>
      <c r="B89" s="26"/>
      <c r="C89" s="26"/>
      <c r="D89" s="70"/>
      <c r="E89" s="70"/>
    </row>
    <row r="90" spans="1:5" ht="15.75">
      <c r="A90" s="25"/>
      <c r="B90" s="26"/>
      <c r="C90" s="26"/>
      <c r="D90" s="70"/>
      <c r="E90" s="70"/>
    </row>
    <row r="91" spans="1:5" ht="15.75">
      <c r="A91" s="25"/>
      <c r="B91" s="26"/>
      <c r="C91" s="26"/>
      <c r="D91" s="70"/>
      <c r="E91" s="70"/>
    </row>
    <row r="92" spans="1:5" ht="15.75">
      <c r="A92" s="25"/>
      <c r="B92" s="26"/>
      <c r="C92" s="26"/>
      <c r="D92" s="70"/>
      <c r="E92" s="70"/>
    </row>
    <row r="93" spans="1:5" ht="15.75">
      <c r="A93" s="25"/>
      <c r="B93" s="26"/>
      <c r="C93" s="26"/>
      <c r="D93" s="70"/>
      <c r="E93" s="70"/>
    </row>
    <row r="94" spans="1:5" ht="15.75">
      <c r="A94" s="25"/>
      <c r="B94" s="26"/>
      <c r="C94" s="26"/>
      <c r="D94" s="70"/>
      <c r="E94" s="70"/>
    </row>
    <row r="95" spans="1:5" ht="15.75">
      <c r="A95" s="25"/>
      <c r="B95" s="26"/>
      <c r="C95" s="26"/>
      <c r="D95" s="70"/>
      <c r="E95" s="70"/>
    </row>
    <row r="96" spans="1:5" ht="15.75">
      <c r="A96" s="25"/>
      <c r="B96" s="26"/>
      <c r="C96" s="26"/>
      <c r="D96" s="70"/>
      <c r="E96" s="70"/>
    </row>
    <row r="97" spans="1:5" ht="15.75">
      <c r="A97" s="25"/>
      <c r="B97" s="26"/>
      <c r="C97" s="26"/>
      <c r="D97" s="70"/>
      <c r="E97" s="70"/>
    </row>
    <row r="98" spans="1:5" ht="15.75">
      <c r="A98" s="25"/>
      <c r="B98" s="26"/>
      <c r="C98" s="26"/>
      <c r="D98" s="70"/>
      <c r="E98" s="70"/>
    </row>
    <row r="99" spans="1:5" ht="15.75">
      <c r="A99" s="25"/>
      <c r="B99" s="26"/>
      <c r="C99" s="26"/>
      <c r="D99" s="70"/>
      <c r="E99" s="70"/>
    </row>
    <row r="100" spans="1:5" ht="15.75">
      <c r="A100" s="25"/>
      <c r="B100" s="26"/>
      <c r="C100" s="26"/>
      <c r="D100" s="70"/>
      <c r="E100" s="70"/>
    </row>
    <row r="101" spans="1:5" ht="15.75">
      <c r="A101" s="25"/>
      <c r="B101" s="26"/>
      <c r="C101" s="26"/>
      <c r="D101" s="70"/>
      <c r="E101" s="70"/>
    </row>
    <row r="102" spans="1:5" ht="15.75">
      <c r="A102" s="25"/>
      <c r="B102" s="26"/>
      <c r="C102" s="26"/>
      <c r="D102" s="70"/>
      <c r="E102" s="70"/>
    </row>
    <row r="103" spans="1:5" ht="15.75">
      <c r="A103" s="25"/>
      <c r="B103" s="26"/>
      <c r="C103" s="26"/>
      <c r="D103" s="70"/>
      <c r="E103" s="70"/>
    </row>
    <row r="104" spans="1:5" ht="15.75">
      <c r="A104" s="25"/>
      <c r="B104" s="26"/>
      <c r="C104" s="26"/>
      <c r="D104" s="70"/>
      <c r="E104" s="70"/>
    </row>
    <row r="105" spans="1:5" ht="15.75">
      <c r="A105" s="25"/>
      <c r="B105" s="26"/>
      <c r="C105" s="26"/>
      <c r="D105" s="70"/>
      <c r="E105" s="70"/>
    </row>
    <row r="106" spans="1:5" ht="15.75">
      <c r="A106" s="25"/>
      <c r="B106" s="26"/>
      <c r="C106" s="26"/>
      <c r="D106" s="70"/>
      <c r="E106" s="70"/>
    </row>
    <row r="107" spans="1:5" ht="15.75">
      <c r="A107" s="25"/>
      <c r="B107" s="26"/>
      <c r="C107" s="26"/>
      <c r="D107" s="70"/>
      <c r="E107" s="70"/>
    </row>
    <row r="108" spans="1:5" ht="15.75">
      <c r="A108" s="25"/>
      <c r="B108" s="26"/>
      <c r="C108" s="26"/>
      <c r="D108" s="70"/>
      <c r="E108" s="70"/>
    </row>
    <row r="109" spans="1:5" ht="15.75">
      <c r="A109" s="25"/>
      <c r="B109" s="26"/>
      <c r="C109" s="26"/>
      <c r="D109" s="70"/>
      <c r="E109" s="70"/>
    </row>
    <row r="110" spans="1:5" ht="15.75">
      <c r="A110" s="25"/>
      <c r="B110" s="26"/>
      <c r="C110" s="26"/>
      <c r="D110" s="70"/>
      <c r="E110" s="70"/>
    </row>
    <row r="111" spans="1:5" ht="15.75">
      <c r="A111" s="25"/>
      <c r="B111" s="26"/>
      <c r="C111" s="26"/>
      <c r="D111" s="70"/>
      <c r="E111" s="70"/>
    </row>
    <row r="112" spans="1:5" ht="15.75">
      <c r="A112" s="25"/>
      <c r="B112" s="26"/>
      <c r="C112" s="26"/>
      <c r="D112" s="70"/>
      <c r="E112" s="70"/>
    </row>
    <row r="113" spans="1:5" ht="15.75">
      <c r="A113" s="25"/>
      <c r="B113" s="26"/>
      <c r="C113" s="26"/>
      <c r="D113" s="70"/>
      <c r="E113" s="70"/>
    </row>
    <row r="114" spans="1:5" ht="15.75">
      <c r="A114" s="25"/>
      <c r="B114" s="26"/>
      <c r="C114" s="26"/>
      <c r="D114" s="70"/>
      <c r="E114" s="70"/>
    </row>
    <row r="115" spans="1:5" ht="15.75">
      <c r="A115" s="25"/>
      <c r="B115" s="26"/>
      <c r="C115" s="26"/>
      <c r="D115" s="70"/>
      <c r="E115" s="70"/>
    </row>
    <row r="116" spans="1:5" ht="15.75">
      <c r="A116" s="25"/>
      <c r="B116" s="26"/>
      <c r="C116" s="26"/>
      <c r="D116" s="70"/>
      <c r="E116" s="70"/>
    </row>
    <row r="117" spans="1:5" ht="15.75">
      <c r="A117" s="25"/>
      <c r="B117" s="26"/>
      <c r="C117" s="26"/>
      <c r="D117" s="70"/>
      <c r="E117" s="70"/>
    </row>
    <row r="118" spans="1:5" ht="15.75">
      <c r="A118" s="25"/>
      <c r="B118" s="26"/>
      <c r="C118" s="26"/>
      <c r="D118" s="70"/>
      <c r="E118" s="70"/>
    </row>
    <row r="119" spans="1:5" ht="15.75">
      <c r="A119" s="25"/>
      <c r="B119" s="26"/>
      <c r="C119" s="26"/>
      <c r="D119" s="70"/>
      <c r="E119" s="70"/>
    </row>
    <row r="120" spans="1:5" ht="15.75">
      <c r="A120" s="25"/>
      <c r="B120" s="26"/>
      <c r="C120" s="26"/>
      <c r="D120" s="70"/>
      <c r="E120" s="70"/>
    </row>
    <row r="121" spans="1:5" ht="15.75">
      <c r="A121" s="25"/>
      <c r="B121" s="26"/>
      <c r="C121" s="26"/>
      <c r="D121" s="70"/>
      <c r="E121" s="70"/>
    </row>
    <row r="122" spans="1:5" ht="15.75">
      <c r="A122" s="25"/>
      <c r="B122" s="26"/>
      <c r="C122" s="26"/>
      <c r="D122" s="70"/>
      <c r="E122" s="70"/>
    </row>
    <row r="123" spans="1:5" ht="15.75">
      <c r="A123" s="25"/>
      <c r="B123" s="26"/>
      <c r="C123" s="26"/>
      <c r="D123" s="70"/>
      <c r="E123" s="70"/>
    </row>
    <row r="124" spans="1:5" ht="15.75">
      <c r="A124" s="25"/>
      <c r="B124" s="26"/>
      <c r="C124" s="26"/>
      <c r="D124" s="70"/>
      <c r="E124" s="70"/>
    </row>
    <row r="125" spans="1:5" ht="15.75">
      <c r="A125" s="25"/>
      <c r="B125" s="26"/>
      <c r="C125" s="26"/>
      <c r="D125" s="70"/>
      <c r="E125" s="70"/>
    </row>
    <row r="126" spans="1:5" ht="15.75">
      <c r="A126" s="25"/>
      <c r="B126" s="26"/>
      <c r="C126" s="26"/>
      <c r="D126" s="70"/>
      <c r="E126" s="70"/>
    </row>
    <row r="127" spans="1:5" ht="15.75">
      <c r="A127" s="25"/>
      <c r="B127" s="26"/>
      <c r="C127" s="26"/>
      <c r="D127" s="70"/>
      <c r="E127" s="70"/>
    </row>
    <row r="128" spans="1:5" ht="15.75">
      <c r="A128" s="25"/>
      <c r="B128" s="26"/>
      <c r="C128" s="26"/>
      <c r="D128" s="70"/>
      <c r="E128" s="70"/>
    </row>
    <row r="129" spans="1:5" ht="15.75">
      <c r="A129" s="25"/>
      <c r="B129" s="26"/>
      <c r="C129" s="26"/>
      <c r="D129" s="70"/>
      <c r="E129" s="70"/>
    </row>
    <row r="130" spans="1:5" ht="15.75">
      <c r="A130" s="25"/>
      <c r="B130" s="26"/>
      <c r="C130" s="26"/>
      <c r="D130" s="70"/>
      <c r="E130" s="70"/>
    </row>
    <row r="131" spans="1:5" ht="15.75">
      <c r="A131" s="25"/>
      <c r="B131" s="26"/>
      <c r="C131" s="26"/>
      <c r="D131" s="70"/>
      <c r="E131" s="70"/>
    </row>
    <row r="132" spans="1:5" ht="15.75">
      <c r="A132" s="25"/>
      <c r="B132" s="26"/>
      <c r="C132" s="26"/>
      <c r="D132" s="70"/>
      <c r="E132" s="70"/>
    </row>
    <row r="133" spans="1:5" ht="15.75">
      <c r="A133" s="25"/>
      <c r="B133" s="26"/>
      <c r="C133" s="26"/>
      <c r="D133" s="70"/>
      <c r="E133" s="70"/>
    </row>
    <row r="134" spans="1:5" ht="15.75">
      <c r="A134" s="25"/>
      <c r="B134" s="26"/>
      <c r="C134" s="26"/>
      <c r="D134" s="70"/>
      <c r="E134" s="70"/>
    </row>
    <row r="135" spans="1:5" ht="15.75">
      <c r="A135" s="25"/>
      <c r="B135" s="26"/>
      <c r="C135" s="26"/>
      <c r="D135" s="70"/>
      <c r="E135" s="70"/>
    </row>
    <row r="136" spans="1:5" ht="15.75">
      <c r="A136" s="25"/>
      <c r="B136" s="26"/>
      <c r="C136" s="26"/>
      <c r="D136" s="70"/>
      <c r="E136" s="70"/>
    </row>
    <row r="137" spans="1:5" ht="15.75">
      <c r="A137" s="25"/>
      <c r="B137" s="26"/>
      <c r="C137" s="26"/>
      <c r="D137" s="70"/>
      <c r="E137" s="70"/>
    </row>
    <row r="138" spans="1:5" ht="15.75">
      <c r="A138" s="25"/>
      <c r="B138" s="26"/>
      <c r="C138" s="26"/>
      <c r="D138" s="70"/>
      <c r="E138" s="70"/>
    </row>
    <row r="139" spans="1:5" ht="15.75">
      <c r="A139" s="25"/>
      <c r="B139" s="26"/>
      <c r="C139" s="26"/>
      <c r="D139" s="70"/>
      <c r="E139" s="70"/>
    </row>
    <row r="140" spans="1:5" ht="15.75">
      <c r="A140" s="25"/>
      <c r="B140" s="26"/>
      <c r="C140" s="26"/>
      <c r="D140" s="70"/>
      <c r="E140" s="70"/>
    </row>
    <row r="141" spans="1:5" ht="15.75">
      <c r="A141" s="25"/>
      <c r="B141" s="26"/>
      <c r="C141" s="26"/>
      <c r="D141" s="70"/>
      <c r="E141" s="70"/>
    </row>
    <row r="142" spans="1:5" ht="15.75">
      <c r="A142" s="25"/>
      <c r="B142" s="26"/>
      <c r="C142" s="26"/>
      <c r="D142" s="70"/>
      <c r="E142" s="70"/>
    </row>
    <row r="143" spans="1:5" ht="15.75">
      <c r="A143" s="25"/>
      <c r="B143" s="26"/>
      <c r="C143" s="26"/>
      <c r="D143" s="70"/>
      <c r="E143" s="70"/>
    </row>
    <row r="144" spans="1:5" ht="15.75">
      <c r="A144" s="25"/>
      <c r="B144" s="26"/>
      <c r="C144" s="26"/>
      <c r="D144" s="70"/>
      <c r="E144" s="70"/>
    </row>
    <row r="145" spans="1:5" ht="15.75">
      <c r="A145" s="25"/>
      <c r="B145" s="26"/>
      <c r="C145" s="26"/>
      <c r="D145" s="70"/>
      <c r="E145" s="70"/>
    </row>
    <row r="146" spans="1:5" ht="15.75">
      <c r="A146" s="25"/>
      <c r="B146" s="26"/>
      <c r="C146" s="26"/>
      <c r="D146" s="70"/>
      <c r="E146" s="70"/>
    </row>
    <row r="147" spans="1:5" ht="15.75">
      <c r="A147" s="25"/>
      <c r="B147" s="26"/>
      <c r="C147" s="26"/>
      <c r="D147" s="70"/>
      <c r="E147" s="70"/>
    </row>
    <row r="148" spans="1:5" ht="15.75">
      <c r="A148" s="25"/>
      <c r="B148" s="26"/>
      <c r="C148" s="26"/>
      <c r="D148" s="70"/>
      <c r="E148" s="70"/>
    </row>
    <row r="149" spans="1:5" ht="15.75">
      <c r="A149" s="25"/>
      <c r="B149" s="26"/>
      <c r="C149" s="26"/>
      <c r="D149" s="70"/>
      <c r="E149" s="70"/>
    </row>
    <row r="150" spans="1:5" ht="15.75">
      <c r="A150" s="25"/>
      <c r="B150" s="26"/>
      <c r="C150" s="26"/>
      <c r="D150" s="70"/>
      <c r="E150" s="70"/>
    </row>
    <row r="151" spans="1:5" ht="15.75">
      <c r="A151" s="25"/>
      <c r="B151" s="26"/>
      <c r="C151" s="26"/>
      <c r="D151" s="70"/>
      <c r="E151" s="70"/>
    </row>
    <row r="152" spans="1:5" ht="15.75">
      <c r="A152" s="25"/>
      <c r="B152" s="26"/>
      <c r="C152" s="26"/>
      <c r="D152" s="70"/>
      <c r="E152" s="70"/>
    </row>
    <row r="153" spans="1:5" ht="15.75">
      <c r="A153" s="25"/>
      <c r="B153" s="26"/>
      <c r="C153" s="26"/>
      <c r="D153" s="70"/>
      <c r="E153" s="70"/>
    </row>
    <row r="154" spans="1:5" ht="15.75">
      <c r="A154" s="25"/>
      <c r="B154" s="26"/>
      <c r="C154" s="26"/>
      <c r="D154" s="70"/>
      <c r="E154" s="70"/>
    </row>
    <row r="155" spans="1:5" ht="15.75">
      <c r="A155" s="25"/>
      <c r="B155" s="26"/>
      <c r="C155" s="26"/>
      <c r="D155" s="70"/>
      <c r="E155" s="70"/>
    </row>
    <row r="156" spans="1:5" ht="15.75">
      <c r="A156" s="25"/>
      <c r="B156" s="26"/>
      <c r="C156" s="26"/>
      <c r="D156" s="70"/>
      <c r="E156" s="70"/>
    </row>
    <row r="157" spans="1:5" ht="15.75">
      <c r="A157" s="25"/>
      <c r="B157" s="26"/>
      <c r="C157" s="26"/>
      <c r="D157" s="70"/>
      <c r="E157" s="70"/>
    </row>
    <row r="158" spans="1:5" ht="15.75">
      <c r="A158" s="25"/>
      <c r="B158" s="26"/>
      <c r="C158" s="26"/>
      <c r="D158" s="70"/>
      <c r="E158" s="70"/>
    </row>
    <row r="159" spans="1:5" ht="15.75">
      <c r="A159" s="25"/>
      <c r="B159" s="26"/>
      <c r="C159" s="26"/>
      <c r="D159" s="70"/>
      <c r="E159" s="70"/>
    </row>
    <row r="160" spans="1:5" ht="15.75">
      <c r="A160" s="25"/>
      <c r="B160" s="26"/>
      <c r="C160" s="26"/>
      <c r="D160" s="70"/>
      <c r="E160" s="70"/>
    </row>
    <row r="161" spans="1:5" ht="15.75">
      <c r="A161" s="25"/>
      <c r="B161" s="26"/>
      <c r="C161" s="26"/>
      <c r="D161" s="70"/>
      <c r="E161" s="70"/>
    </row>
    <row r="162" spans="1:5" ht="15.75">
      <c r="A162" s="25"/>
      <c r="B162" s="26"/>
      <c r="C162" s="26"/>
      <c r="D162" s="70"/>
      <c r="E162" s="70"/>
    </row>
    <row r="163" spans="1:5" ht="15.75">
      <c r="A163" s="25"/>
      <c r="B163" s="26"/>
      <c r="C163" s="26"/>
      <c r="D163" s="70"/>
      <c r="E163" s="70"/>
    </row>
    <row r="164" spans="1:5" ht="15.75">
      <c r="A164" s="25"/>
      <c r="B164" s="26"/>
      <c r="C164" s="26"/>
      <c r="D164" s="70"/>
      <c r="E164" s="70"/>
    </row>
    <row r="165" spans="1:5" ht="15.75">
      <c r="A165" s="25"/>
      <c r="B165" s="26"/>
      <c r="C165" s="26"/>
      <c r="D165" s="70"/>
      <c r="E165" s="70"/>
    </row>
    <row r="166" spans="1:5" ht="15.75">
      <c r="A166" s="25"/>
      <c r="B166" s="26"/>
      <c r="C166" s="26"/>
      <c r="D166" s="70"/>
      <c r="E166" s="70"/>
    </row>
    <row r="167" spans="1:5" ht="15.75">
      <c r="A167" s="25"/>
      <c r="B167" s="26"/>
      <c r="C167" s="26"/>
      <c r="D167" s="70"/>
      <c r="E167" s="70"/>
    </row>
    <row r="168" spans="1:5" ht="15.75">
      <c r="A168" s="25"/>
      <c r="B168" s="26"/>
      <c r="C168" s="26"/>
      <c r="D168" s="70"/>
      <c r="E168" s="70"/>
    </row>
    <row r="169" spans="1:5" ht="15.75">
      <c r="A169" s="25"/>
      <c r="B169" s="26"/>
      <c r="C169" s="26"/>
      <c r="D169" s="70"/>
      <c r="E169" s="70"/>
    </row>
    <row r="170" spans="1:5" ht="15.75">
      <c r="A170" s="25"/>
      <c r="B170" s="26"/>
      <c r="C170" s="26"/>
      <c r="D170" s="70"/>
      <c r="E170" s="70"/>
    </row>
    <row r="171" spans="1:5" ht="15.75">
      <c r="A171" s="25"/>
      <c r="B171" s="26"/>
      <c r="C171" s="26"/>
      <c r="D171" s="70"/>
      <c r="E171" s="70"/>
    </row>
    <row r="172" spans="1:5" ht="15.75">
      <c r="A172" s="25"/>
      <c r="B172" s="26"/>
      <c r="C172" s="26"/>
      <c r="D172" s="70"/>
      <c r="E172" s="70"/>
    </row>
    <row r="173" spans="1:5" ht="15.75">
      <c r="A173" s="25"/>
      <c r="B173" s="26"/>
      <c r="C173" s="26"/>
      <c r="D173" s="70"/>
      <c r="E173" s="70"/>
    </row>
    <row r="174" spans="1:5" ht="15.75">
      <c r="A174" s="25"/>
      <c r="B174" s="26"/>
      <c r="C174" s="26"/>
      <c r="D174" s="70"/>
      <c r="E174" s="70"/>
    </row>
    <row r="175" spans="1:5" ht="15.75">
      <c r="A175" s="25"/>
      <c r="B175" s="26"/>
      <c r="C175" s="26"/>
      <c r="D175" s="70"/>
      <c r="E175" s="70"/>
    </row>
    <row r="176" spans="1:5" ht="15.75">
      <c r="A176" s="25"/>
      <c r="B176" s="26"/>
      <c r="C176" s="26"/>
      <c r="D176" s="70"/>
      <c r="E176" s="70"/>
    </row>
    <row r="177" spans="1:5" ht="15.75">
      <c r="A177" s="25"/>
      <c r="B177" s="26"/>
      <c r="C177" s="26"/>
      <c r="D177" s="70"/>
      <c r="E177" s="70"/>
    </row>
    <row r="178" spans="1:5" ht="15.75">
      <c r="A178" s="25"/>
      <c r="B178" s="26"/>
      <c r="C178" s="26"/>
      <c r="D178" s="70"/>
      <c r="E178" s="70"/>
    </row>
    <row r="179" spans="1:5" ht="15.75">
      <c r="A179" s="25"/>
      <c r="B179" s="26"/>
      <c r="C179" s="26"/>
      <c r="D179" s="70"/>
      <c r="E179" s="70"/>
    </row>
    <row r="180" spans="1:5" ht="15.75">
      <c r="A180" s="25"/>
      <c r="B180" s="26"/>
      <c r="C180" s="26"/>
      <c r="D180" s="70"/>
      <c r="E180" s="70"/>
    </row>
    <row r="181" spans="1:5" ht="15.75">
      <c r="A181" s="25"/>
      <c r="B181" s="26"/>
      <c r="C181" s="26"/>
      <c r="D181" s="70"/>
      <c r="E181" s="70"/>
    </row>
    <row r="182" spans="1:5" ht="15.75">
      <c r="A182" s="25"/>
      <c r="B182" s="26"/>
      <c r="C182" s="26"/>
      <c r="D182" s="70"/>
      <c r="E182" s="70"/>
    </row>
    <row r="183" spans="1:5" ht="15.75">
      <c r="A183" s="25"/>
      <c r="B183" s="26"/>
      <c r="C183" s="26"/>
      <c r="D183" s="70"/>
      <c r="E183" s="70"/>
    </row>
    <row r="184" spans="1:5" ht="15.75">
      <c r="A184" s="25"/>
      <c r="B184" s="26"/>
      <c r="C184" s="26"/>
      <c r="D184" s="70"/>
      <c r="E184" s="70"/>
    </row>
    <row r="185" spans="1:5" ht="15.75">
      <c r="A185" s="25"/>
      <c r="B185" s="26"/>
      <c r="C185" s="26"/>
      <c r="D185" s="70"/>
      <c r="E185" s="70"/>
    </row>
    <row r="186" spans="1:5" ht="15.75">
      <c r="A186" s="25"/>
      <c r="B186" s="26"/>
      <c r="C186" s="26"/>
      <c r="D186" s="70"/>
      <c r="E186" s="70"/>
    </row>
    <row r="187" spans="1:5" ht="15.75">
      <c r="A187" s="25"/>
      <c r="B187" s="26"/>
      <c r="C187" s="26"/>
      <c r="D187" s="70"/>
      <c r="E187" s="70"/>
    </row>
    <row r="188" spans="1:5" ht="15.75">
      <c r="A188" s="25"/>
      <c r="B188" s="26"/>
      <c r="C188" s="26"/>
      <c r="D188" s="70"/>
      <c r="E188" s="70"/>
    </row>
    <row r="189" spans="1:5" ht="15.75">
      <c r="A189" s="25"/>
      <c r="B189" s="26"/>
      <c r="C189" s="26"/>
      <c r="D189" s="70"/>
      <c r="E189" s="70"/>
    </row>
    <row r="190" spans="1:5" ht="15.75">
      <c r="A190" s="25"/>
      <c r="B190" s="26"/>
      <c r="C190" s="26"/>
      <c r="D190" s="70"/>
      <c r="E190" s="70"/>
    </row>
    <row r="191" spans="1:5" ht="15.75">
      <c r="A191" s="25"/>
      <c r="B191" s="26"/>
      <c r="C191" s="26"/>
      <c r="D191" s="70"/>
      <c r="E191" s="70"/>
    </row>
    <row r="192" spans="1:5" ht="15.75">
      <c r="A192" s="25"/>
      <c r="B192" s="26"/>
      <c r="C192" s="26"/>
      <c r="D192" s="70"/>
      <c r="E192" s="70"/>
    </row>
    <row r="193" spans="1:5" ht="15.75">
      <c r="A193" s="25"/>
      <c r="B193" s="26"/>
      <c r="C193" s="26"/>
      <c r="D193" s="70"/>
      <c r="E193" s="70"/>
    </row>
    <row r="194" spans="1:5" ht="15.75">
      <c r="A194" s="25"/>
      <c r="B194" s="26"/>
      <c r="C194" s="26"/>
      <c r="D194" s="70"/>
      <c r="E194" s="70"/>
    </row>
    <row r="195" spans="1:5" ht="15.75">
      <c r="A195" s="25"/>
      <c r="B195" s="26"/>
      <c r="C195" s="26"/>
      <c r="D195" s="70"/>
      <c r="E195" s="70"/>
    </row>
    <row r="196" spans="1:5" ht="15.75">
      <c r="A196" s="25"/>
      <c r="B196" s="26"/>
      <c r="C196" s="26"/>
      <c r="D196" s="70"/>
      <c r="E196" s="70"/>
    </row>
    <row r="197" spans="1:5" ht="15.75">
      <c r="A197" s="25"/>
      <c r="B197" s="26"/>
      <c r="C197" s="26"/>
      <c r="D197" s="70"/>
      <c r="E197" s="70"/>
    </row>
    <row r="198" spans="1:5" ht="15.75">
      <c r="A198" s="25"/>
      <c r="B198" s="26"/>
      <c r="C198" s="26"/>
      <c r="D198" s="70"/>
      <c r="E198" s="70"/>
    </row>
    <row r="199" spans="1:5" ht="15.75">
      <c r="A199" s="25"/>
      <c r="B199" s="26"/>
      <c r="C199" s="26"/>
      <c r="D199" s="70"/>
      <c r="E199" s="70"/>
    </row>
    <row r="200" spans="1:5" ht="15.75">
      <c r="A200" s="25"/>
      <c r="B200" s="26"/>
      <c r="C200" s="26"/>
      <c r="D200" s="70"/>
      <c r="E200" s="70"/>
    </row>
    <row r="201" spans="1:5" ht="15.75">
      <c r="A201" s="25"/>
      <c r="B201" s="26"/>
      <c r="C201" s="26"/>
      <c r="D201" s="70"/>
      <c r="E201" s="70"/>
    </row>
    <row r="202" spans="1:5" ht="15.75">
      <c r="A202" s="25"/>
      <c r="B202" s="26"/>
      <c r="C202" s="26"/>
      <c r="D202" s="70"/>
      <c r="E202" s="70"/>
    </row>
    <row r="203" spans="1:5" ht="15.75">
      <c r="A203" s="25"/>
      <c r="B203" s="26"/>
      <c r="C203" s="26"/>
      <c r="D203" s="70"/>
      <c r="E203" s="70"/>
    </row>
    <row r="204" spans="1:5" ht="15.75">
      <c r="A204" s="25"/>
      <c r="B204" s="26"/>
      <c r="C204" s="26"/>
      <c r="D204" s="70"/>
      <c r="E204" s="70"/>
    </row>
    <row r="205" spans="1:5" ht="15.75">
      <c r="A205" s="25"/>
      <c r="B205" s="26"/>
      <c r="C205" s="26"/>
      <c r="D205" s="70"/>
      <c r="E205" s="70"/>
    </row>
    <row r="206" spans="1:5" ht="15.75">
      <c r="A206" s="25"/>
      <c r="B206" s="26"/>
      <c r="C206" s="26"/>
      <c r="D206" s="70"/>
      <c r="E206" s="70"/>
    </row>
    <row r="207" spans="1:5" ht="15.75">
      <c r="A207" s="25"/>
      <c r="B207" s="26"/>
      <c r="C207" s="26"/>
      <c r="D207" s="70"/>
      <c r="E207" s="70"/>
    </row>
    <row r="208" spans="1:5" ht="15.75">
      <c r="A208" s="25"/>
      <c r="B208" s="26"/>
      <c r="C208" s="26"/>
      <c r="D208" s="70"/>
      <c r="E208" s="70"/>
    </row>
    <row r="209" spans="1:5" ht="15.75">
      <c r="A209" s="25"/>
      <c r="B209" s="26"/>
      <c r="C209" s="26"/>
      <c r="D209" s="70"/>
      <c r="E209" s="70"/>
    </row>
    <row r="210" spans="1:5" ht="15.75">
      <c r="A210" s="25"/>
      <c r="B210" s="26"/>
      <c r="C210" s="26"/>
      <c r="D210" s="70"/>
      <c r="E210" s="70"/>
    </row>
    <row r="211" spans="1:5" ht="15.75">
      <c r="A211" s="25"/>
      <c r="B211" s="26"/>
      <c r="C211" s="26"/>
      <c r="D211" s="70"/>
      <c r="E211" s="70"/>
    </row>
    <row r="212" spans="1:5" ht="15.75">
      <c r="A212" s="25"/>
      <c r="B212" s="26"/>
      <c r="C212" s="26"/>
      <c r="D212" s="70"/>
      <c r="E212" s="70"/>
    </row>
    <row r="213" spans="1:5" ht="15.75">
      <c r="A213" s="25"/>
      <c r="B213" s="26"/>
      <c r="C213" s="26"/>
      <c r="D213" s="70"/>
      <c r="E213" s="70"/>
    </row>
    <row r="214" spans="1:5" ht="15.75">
      <c r="A214" s="25"/>
      <c r="B214" s="26"/>
      <c r="C214" s="26"/>
      <c r="D214" s="70"/>
      <c r="E214" s="70"/>
    </row>
    <row r="215" spans="1:5" ht="15.75">
      <c r="A215" s="25"/>
      <c r="B215" s="26"/>
      <c r="C215" s="26"/>
      <c r="D215" s="70"/>
      <c r="E215" s="70"/>
    </row>
    <row r="216" spans="1:5" ht="15.75">
      <c r="A216" s="25"/>
      <c r="B216" s="26"/>
      <c r="C216" s="26"/>
      <c r="D216" s="70"/>
      <c r="E216" s="70"/>
    </row>
    <row r="217" spans="1:5" ht="15.75">
      <c r="A217" s="25"/>
      <c r="B217" s="26"/>
      <c r="C217" s="26"/>
      <c r="D217" s="70"/>
      <c r="E217" s="70"/>
    </row>
    <row r="218" spans="1:5" ht="15.75">
      <c r="A218" s="25"/>
      <c r="B218" s="26"/>
      <c r="C218" s="26"/>
      <c r="D218" s="70"/>
      <c r="E218" s="70"/>
    </row>
    <row r="219" spans="1:5" ht="15.75">
      <c r="A219" s="25"/>
      <c r="B219" s="26"/>
      <c r="C219" s="26"/>
      <c r="D219" s="70"/>
      <c r="E219" s="70"/>
    </row>
    <row r="220" spans="1:5" ht="15.75">
      <c r="A220" s="25"/>
      <c r="B220" s="26"/>
      <c r="C220" s="26"/>
      <c r="D220" s="70"/>
      <c r="E220" s="70"/>
    </row>
    <row r="221" spans="1:5" ht="15.75">
      <c r="A221" s="25"/>
      <c r="B221" s="26"/>
      <c r="C221" s="26"/>
      <c r="D221" s="70"/>
      <c r="E221" s="70"/>
    </row>
    <row r="222" spans="1:5" ht="15.75">
      <c r="A222" s="25"/>
      <c r="B222" s="26"/>
      <c r="C222" s="26"/>
      <c r="D222" s="70"/>
      <c r="E222" s="70"/>
    </row>
    <row r="223" spans="1:5" ht="15.75">
      <c r="A223" s="25"/>
      <c r="B223" s="26"/>
      <c r="C223" s="26"/>
      <c r="D223" s="70"/>
      <c r="E223" s="70"/>
    </row>
    <row r="224" spans="1:5" ht="15.75">
      <c r="A224" s="25"/>
      <c r="B224" s="26"/>
      <c r="C224" s="26"/>
      <c r="D224" s="70"/>
      <c r="E224" s="70"/>
    </row>
    <row r="225" spans="1:5" ht="15.75">
      <c r="A225" s="25"/>
      <c r="B225" s="26"/>
      <c r="C225" s="26"/>
      <c r="D225" s="70"/>
      <c r="E225" s="70"/>
    </row>
    <row r="226" spans="1:5" ht="15.75">
      <c r="A226" s="25"/>
      <c r="B226" s="26"/>
      <c r="C226" s="26"/>
      <c r="D226" s="70"/>
      <c r="E226" s="70"/>
    </row>
    <row r="227" spans="1:5" ht="15.75">
      <c r="A227" s="25"/>
      <c r="B227" s="26"/>
      <c r="C227" s="26"/>
      <c r="D227" s="70"/>
      <c r="E227" s="70"/>
    </row>
    <row r="228" spans="1:5" ht="15.75">
      <c r="A228" s="25"/>
      <c r="B228" s="26"/>
      <c r="C228" s="26"/>
      <c r="D228" s="70"/>
      <c r="E228" s="70"/>
    </row>
    <row r="229" spans="1:5" ht="15.75">
      <c r="A229" s="25"/>
      <c r="B229" s="26"/>
      <c r="C229" s="26"/>
      <c r="D229" s="70"/>
      <c r="E229" s="70"/>
    </row>
    <row r="230" spans="1:5" ht="15.75">
      <c r="A230" s="25"/>
      <c r="B230" s="26"/>
      <c r="C230" s="26"/>
      <c r="D230" s="70"/>
      <c r="E230" s="70"/>
    </row>
    <row r="231" spans="1:5" ht="15.75">
      <c r="A231" s="25"/>
      <c r="B231" s="26"/>
      <c r="C231" s="26"/>
      <c r="D231" s="70"/>
      <c r="E231" s="70"/>
    </row>
    <row r="232" spans="1:5" ht="15.75">
      <c r="A232" s="25"/>
      <c r="B232" s="26"/>
      <c r="C232" s="26"/>
      <c r="D232" s="70"/>
      <c r="E232" s="70"/>
    </row>
    <row r="233" spans="1:5" ht="15.75">
      <c r="A233" s="25"/>
      <c r="B233" s="26"/>
      <c r="C233" s="26"/>
      <c r="D233" s="70"/>
      <c r="E233" s="70"/>
    </row>
    <row r="234" spans="1:5" ht="15.75">
      <c r="A234" s="25"/>
      <c r="B234" s="26"/>
      <c r="C234" s="26"/>
      <c r="D234" s="70"/>
      <c r="E234" s="70"/>
    </row>
    <row r="235" spans="1:5" ht="15.75">
      <c r="A235" s="25"/>
      <c r="B235" s="26"/>
      <c r="C235" s="26"/>
      <c r="D235" s="70"/>
      <c r="E235" s="70"/>
    </row>
    <row r="236" spans="1:5" ht="15.75">
      <c r="A236" s="25"/>
      <c r="B236" s="26"/>
      <c r="C236" s="26"/>
      <c r="D236" s="70"/>
      <c r="E236" s="70"/>
    </row>
    <row r="237" spans="1:5" ht="15.75">
      <c r="A237" s="25"/>
      <c r="B237" s="26"/>
      <c r="C237" s="26"/>
      <c r="D237" s="70"/>
      <c r="E237" s="70"/>
    </row>
    <row r="238" spans="2:3" ht="15.75">
      <c r="B238" s="28"/>
      <c r="C238" s="28"/>
    </row>
    <row r="239" spans="2:3" ht="15.75">
      <c r="B239" s="28"/>
      <c r="C239" s="28"/>
    </row>
    <row r="240" spans="2:3" ht="15.75">
      <c r="B240" s="28"/>
      <c r="C240" s="28"/>
    </row>
    <row r="241" spans="2:3" ht="15.75">
      <c r="B241" s="28"/>
      <c r="C241" s="28"/>
    </row>
    <row r="242" spans="2:3" ht="15.75">
      <c r="B242" s="28"/>
      <c r="C242" s="28"/>
    </row>
    <row r="243" spans="2:3" ht="15.75">
      <c r="B243" s="28"/>
      <c r="C243" s="28"/>
    </row>
    <row r="244" spans="2:3" ht="15.75">
      <c r="B244" s="28"/>
      <c r="C244" s="28"/>
    </row>
    <row r="245" spans="2:3" ht="15.75">
      <c r="B245" s="28"/>
      <c r="C245" s="28"/>
    </row>
    <row r="246" spans="2:3" ht="15.75">
      <c r="B246" s="28"/>
      <c r="C246" s="28"/>
    </row>
    <row r="247" spans="2:3" ht="15.75">
      <c r="B247" s="28"/>
      <c r="C247" s="28"/>
    </row>
    <row r="248" spans="2:3" ht="15.75">
      <c r="B248" s="28"/>
      <c r="C248" s="28"/>
    </row>
    <row r="249" spans="2:3" ht="15.75">
      <c r="B249" s="28"/>
      <c r="C249" s="28"/>
    </row>
    <row r="250" spans="2:3" ht="15.75">
      <c r="B250" s="28"/>
      <c r="C250" s="28"/>
    </row>
    <row r="251" spans="2:3" ht="15.75">
      <c r="B251" s="28"/>
      <c r="C251" s="28"/>
    </row>
    <row r="252" spans="2:3" ht="15.75">
      <c r="B252" s="28"/>
      <c r="C252" s="28"/>
    </row>
    <row r="253" spans="2:3" ht="15.75">
      <c r="B253" s="28"/>
      <c r="C253" s="28"/>
    </row>
    <row r="254" spans="2:3" ht="15.75">
      <c r="B254" s="28"/>
      <c r="C254" s="28"/>
    </row>
    <row r="255" spans="2:3" ht="15.75">
      <c r="B255" s="28"/>
      <c r="C255" s="28"/>
    </row>
    <row r="256" spans="2:3" ht="15.75">
      <c r="B256" s="28"/>
      <c r="C256" s="28"/>
    </row>
    <row r="257" spans="2:3" ht="15.75">
      <c r="B257" s="28"/>
      <c r="C257" s="28"/>
    </row>
    <row r="258" spans="2:3" ht="15.75">
      <c r="B258" s="28"/>
      <c r="C258" s="28"/>
    </row>
    <row r="259" spans="2:3" ht="15.75">
      <c r="B259" s="28"/>
      <c r="C259" s="28"/>
    </row>
    <row r="260" spans="2:3" ht="15.75">
      <c r="B260" s="28"/>
      <c r="C260" s="28"/>
    </row>
    <row r="261" spans="2:3" ht="15.75">
      <c r="B261" s="28"/>
      <c r="C261" s="28"/>
    </row>
    <row r="262" spans="2:3" ht="15.75">
      <c r="B262" s="28"/>
      <c r="C262" s="28"/>
    </row>
    <row r="263" spans="2:3" ht="15.75">
      <c r="B263" s="28"/>
      <c r="C263" s="28"/>
    </row>
    <row r="264" spans="2:3" ht="15.75">
      <c r="B264" s="28"/>
      <c r="C264" s="28"/>
    </row>
    <row r="265" spans="2:3" ht="15.75">
      <c r="B265" s="28"/>
      <c r="C265" s="28"/>
    </row>
    <row r="266" spans="2:3" ht="15.75">
      <c r="B266" s="28"/>
      <c r="C266" s="28"/>
    </row>
    <row r="267" spans="2:3" ht="15.75">
      <c r="B267" s="28"/>
      <c r="C267" s="28"/>
    </row>
    <row r="268" spans="2:3" ht="15.75">
      <c r="B268" s="28"/>
      <c r="C268" s="28"/>
    </row>
    <row r="269" spans="2:3" ht="15.75">
      <c r="B269" s="28"/>
      <c r="C269" s="28"/>
    </row>
    <row r="270" spans="2:3" ht="15.75">
      <c r="B270" s="28"/>
      <c r="C270" s="28"/>
    </row>
    <row r="271" spans="2:3" ht="15.75">
      <c r="B271" s="28"/>
      <c r="C271" s="28"/>
    </row>
    <row r="272" spans="2:3" ht="15.75">
      <c r="B272" s="28"/>
      <c r="C272" s="28"/>
    </row>
    <row r="273" spans="2:3" ht="15.75">
      <c r="B273" s="28"/>
      <c r="C273" s="28"/>
    </row>
    <row r="274" spans="2:3" ht="15.75">
      <c r="B274" s="28"/>
      <c r="C274" s="28"/>
    </row>
    <row r="275" spans="2:3" ht="15.75">
      <c r="B275" s="28"/>
      <c r="C275" s="28"/>
    </row>
    <row r="276" spans="2:3" ht="15.75">
      <c r="B276" s="28"/>
      <c r="C276" s="28"/>
    </row>
    <row r="277" spans="2:3" ht="15.75">
      <c r="B277" s="28"/>
      <c r="C277" s="28"/>
    </row>
    <row r="278" spans="2:3" ht="15.75">
      <c r="B278" s="28"/>
      <c r="C278" s="28"/>
    </row>
    <row r="279" spans="2:3" ht="15.75">
      <c r="B279" s="28"/>
      <c r="C279" s="28"/>
    </row>
    <row r="280" spans="2:3" ht="15.75">
      <c r="B280" s="28"/>
      <c r="C280" s="28"/>
    </row>
    <row r="281" spans="2:3" ht="15.75">
      <c r="B281" s="28"/>
      <c r="C281" s="28"/>
    </row>
    <row r="282" spans="2:3" ht="15.75">
      <c r="B282" s="28"/>
      <c r="C282" s="28"/>
    </row>
    <row r="283" spans="2:3" ht="15.75">
      <c r="B283" s="28"/>
      <c r="C283" s="28"/>
    </row>
    <row r="284" spans="2:3" ht="15.75">
      <c r="B284" s="28"/>
      <c r="C284" s="28"/>
    </row>
    <row r="285" spans="2:3" ht="15.75">
      <c r="B285" s="28"/>
      <c r="C285" s="28"/>
    </row>
    <row r="286" spans="2:3" ht="15.75">
      <c r="B286" s="28"/>
      <c r="C286" s="28"/>
    </row>
    <row r="287" spans="2:3" ht="15.75">
      <c r="B287" s="28"/>
      <c r="C287" s="28"/>
    </row>
    <row r="288" spans="2:3" ht="15.75">
      <c r="B288" s="28"/>
      <c r="C288" s="28"/>
    </row>
    <row r="289" spans="2:3" ht="15.75">
      <c r="B289" s="28"/>
      <c r="C289" s="28"/>
    </row>
    <row r="290" spans="2:3" ht="15.75">
      <c r="B290" s="28"/>
      <c r="C290" s="28"/>
    </row>
    <row r="291" spans="2:3" ht="15.75">
      <c r="B291" s="28"/>
      <c r="C291" s="28"/>
    </row>
    <row r="292" spans="2:3" ht="15.75">
      <c r="B292" s="28"/>
      <c r="C292" s="28"/>
    </row>
    <row r="293" spans="2:3" ht="15.75">
      <c r="B293" s="28"/>
      <c r="C293" s="28"/>
    </row>
    <row r="294" spans="2:3" ht="15.75">
      <c r="B294" s="28"/>
      <c r="C294" s="28"/>
    </row>
    <row r="295" spans="2:3" ht="15.75">
      <c r="B295" s="28"/>
      <c r="C295" s="28"/>
    </row>
    <row r="296" spans="2:3" ht="15.75">
      <c r="B296" s="28"/>
      <c r="C296" s="28"/>
    </row>
    <row r="297" spans="2:3" ht="15.75">
      <c r="B297" s="28"/>
      <c r="C297" s="28"/>
    </row>
    <row r="298" spans="2:3" ht="15.75">
      <c r="B298" s="28"/>
      <c r="C298" s="28"/>
    </row>
    <row r="299" spans="2:3" ht="15.75">
      <c r="B299" s="28"/>
      <c r="C299" s="28"/>
    </row>
    <row r="300" spans="2:3" ht="15.75">
      <c r="B300" s="28"/>
      <c r="C300" s="28"/>
    </row>
    <row r="301" spans="2:3" ht="15.75">
      <c r="B301" s="28"/>
      <c r="C301" s="28"/>
    </row>
    <row r="302" spans="2:3" ht="15.75">
      <c r="B302" s="28"/>
      <c r="C302" s="28"/>
    </row>
    <row r="303" spans="2:3" ht="15.75">
      <c r="B303" s="28"/>
      <c r="C303" s="28"/>
    </row>
    <row r="304" spans="2:3" ht="15.75">
      <c r="B304" s="28"/>
      <c r="C304" s="28"/>
    </row>
  </sheetData>
  <sheetProtection/>
  <mergeCells count="7">
    <mergeCell ref="A56:C56"/>
    <mergeCell ref="A1:F1"/>
    <mergeCell ref="A2:F2"/>
    <mergeCell ref="A3:F3"/>
    <mergeCell ref="A8:E8"/>
    <mergeCell ref="A7:F7"/>
    <mergeCell ref="A6:F6"/>
  </mergeCells>
  <printOptions horizontalCentered="1"/>
  <pageMargins left="0.5905511811023623" right="0.3937007874015748" top="0.5905511811023623" bottom="0.5905511811023623" header="0.5118110236220472" footer="0.5118110236220472"/>
  <pageSetup fitToHeight="65" fitToWidth="1" horizontalDpi="600" verticalDpi="600" orientation="portrait" paperSize="9" scale="74" r:id="rId1"/>
  <headerFooter alignWithMargins="0">
    <oddFooter>&amp;CСтраница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445"/>
  <sheetViews>
    <sheetView zoomScalePageLayoutView="0" workbookViewId="0" topLeftCell="A1">
      <selection activeCell="P6" sqref="P6"/>
    </sheetView>
  </sheetViews>
  <sheetFormatPr defaultColWidth="9.00390625" defaultRowHeight="12.75"/>
  <cols>
    <col min="1" max="1" width="38.75390625" style="159" customWidth="1"/>
    <col min="2" max="2" width="9.25390625" style="159" hidden="1" customWidth="1"/>
    <col min="3" max="3" width="7.625" style="159" customWidth="1"/>
    <col min="4" max="4" width="6.875" style="159" customWidth="1"/>
    <col min="5" max="5" width="6.00390625" style="159" customWidth="1"/>
    <col min="6" max="6" width="6.125" style="159" customWidth="1"/>
    <col min="7" max="7" width="5.125" style="159" customWidth="1"/>
    <col min="8" max="8" width="7.375" style="159" customWidth="1"/>
    <col min="9" max="9" width="9.875" style="159" customWidth="1"/>
    <col min="10" max="10" width="18.25390625" style="159" customWidth="1"/>
    <col min="11" max="11" width="18.375" style="160" customWidth="1"/>
    <col min="12" max="12" width="18.125" style="159" customWidth="1"/>
    <col min="13" max="16384" width="9.125" style="159" customWidth="1"/>
  </cols>
  <sheetData>
    <row r="1" spans="1:12" ht="15.75">
      <c r="A1" s="366" t="s">
        <v>502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5.75">
      <c r="A2" s="366" t="s">
        <v>797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5.75">
      <c r="A3" s="366" t="s">
        <v>949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3:10" ht="15.75">
      <c r="C4" s="64"/>
      <c r="D4" s="64"/>
      <c r="E4" s="64"/>
      <c r="F4" s="64"/>
      <c r="G4" s="64"/>
      <c r="H4" s="64"/>
      <c r="I4" s="64"/>
      <c r="J4" s="64"/>
    </row>
    <row r="5" spans="1:10" ht="15.75">
      <c r="A5" s="216"/>
      <c r="B5" s="216"/>
      <c r="C5" s="216"/>
      <c r="D5" s="216"/>
      <c r="E5" s="216"/>
      <c r="F5" s="216"/>
      <c r="G5" s="216"/>
      <c r="H5" s="216"/>
      <c r="I5" s="216"/>
      <c r="J5" s="216"/>
    </row>
    <row r="6" spans="1:12" ht="54" customHeight="1">
      <c r="A6" s="377" t="s">
        <v>574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</row>
    <row r="7" spans="1:10" ht="18.75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ht="15.75">
      <c r="L8" s="161" t="s">
        <v>503</v>
      </c>
    </row>
    <row r="9" spans="1:10" ht="15.75">
      <c r="A9" s="162"/>
      <c r="B9" s="162"/>
      <c r="C9" s="163"/>
      <c r="D9" s="163"/>
      <c r="E9" s="163"/>
      <c r="F9" s="163"/>
      <c r="G9" s="163"/>
      <c r="H9" s="163"/>
      <c r="I9" s="163"/>
      <c r="J9" s="164"/>
    </row>
    <row r="10" spans="1:12" ht="84" customHeight="1">
      <c r="A10" s="238" t="s">
        <v>812</v>
      </c>
      <c r="B10" s="378" t="s">
        <v>813</v>
      </c>
      <c r="C10" s="379"/>
      <c r="D10" s="379"/>
      <c r="E10" s="379"/>
      <c r="F10" s="379"/>
      <c r="G10" s="379"/>
      <c r="H10" s="379"/>
      <c r="I10" s="380"/>
      <c r="J10" s="23" t="s">
        <v>805</v>
      </c>
      <c r="K10" s="23" t="s">
        <v>804</v>
      </c>
      <c r="L10" s="195" t="s">
        <v>801</v>
      </c>
    </row>
    <row r="11" spans="1:12" ht="32.25" customHeight="1">
      <c r="A11" s="220" t="s">
        <v>511</v>
      </c>
      <c r="B11" s="221">
        <v>916</v>
      </c>
      <c r="C11" s="221" t="s">
        <v>869</v>
      </c>
      <c r="D11" s="221" t="s">
        <v>874</v>
      </c>
      <c r="E11" s="221" t="s">
        <v>910</v>
      </c>
      <c r="F11" s="221" t="s">
        <v>910</v>
      </c>
      <c r="G11" s="221" t="s">
        <v>910</v>
      </c>
      <c r="H11" s="221" t="s">
        <v>512</v>
      </c>
      <c r="I11" s="221" t="s">
        <v>513</v>
      </c>
      <c r="J11" s="222">
        <f>прил_6!I11</f>
        <v>59872400</v>
      </c>
      <c r="K11" s="222">
        <f>прил_6!J11</f>
        <v>0</v>
      </c>
      <c r="L11" s="246">
        <f>ROUND(K11/J11*100,2)</f>
        <v>0</v>
      </c>
    </row>
    <row r="12" spans="1:12" ht="50.25" customHeight="1">
      <c r="A12" s="220" t="s">
        <v>517</v>
      </c>
      <c r="B12" s="221">
        <v>916</v>
      </c>
      <c r="C12" s="221" t="s">
        <v>869</v>
      </c>
      <c r="D12" s="221" t="s">
        <v>876</v>
      </c>
      <c r="E12" s="221" t="s">
        <v>910</v>
      </c>
      <c r="F12" s="221" t="s">
        <v>910</v>
      </c>
      <c r="G12" s="221" t="s">
        <v>910</v>
      </c>
      <c r="H12" s="221" t="s">
        <v>512</v>
      </c>
      <c r="I12" s="221" t="s">
        <v>513</v>
      </c>
      <c r="J12" s="224">
        <f>прил_6!I14</f>
        <v>-19927000</v>
      </c>
      <c r="K12" s="224">
        <f>прил_6!J14</f>
        <v>-19927000</v>
      </c>
      <c r="L12" s="246">
        <f aca="true" t="shared" si="0" ref="L12:L18">ROUND(K12/J12*100,2)</f>
        <v>100</v>
      </c>
    </row>
    <row r="13" spans="1:12" s="168" customFormat="1" ht="35.25" customHeight="1">
      <c r="A13" s="220" t="s">
        <v>529</v>
      </c>
      <c r="B13" s="221">
        <v>916</v>
      </c>
      <c r="C13" s="243" t="s">
        <v>869</v>
      </c>
      <c r="D13" s="243" t="s">
        <v>871</v>
      </c>
      <c r="E13" s="243" t="s">
        <v>910</v>
      </c>
      <c r="F13" s="243" t="s">
        <v>910</v>
      </c>
      <c r="G13" s="243" t="s">
        <v>910</v>
      </c>
      <c r="H13" s="243" t="s">
        <v>512</v>
      </c>
      <c r="I13" s="243" t="s">
        <v>513</v>
      </c>
      <c r="J13" s="244">
        <f>прил_6!I25</f>
        <v>196678903.5400002</v>
      </c>
      <c r="K13" s="244">
        <f>прил_6!J25</f>
        <v>59409457.49000001</v>
      </c>
      <c r="L13" s="246">
        <f t="shared" si="0"/>
        <v>30.21</v>
      </c>
    </row>
    <row r="14" spans="1:12" s="169" customFormat="1" ht="47.25" hidden="1">
      <c r="A14" s="217" t="s">
        <v>523</v>
      </c>
      <c r="B14" s="217"/>
      <c r="C14" s="232" t="s">
        <v>869</v>
      </c>
      <c r="D14" s="232" t="s">
        <v>870</v>
      </c>
      <c r="E14" s="232" t="s">
        <v>910</v>
      </c>
      <c r="F14" s="232" t="s">
        <v>910</v>
      </c>
      <c r="G14" s="232" t="s">
        <v>910</v>
      </c>
      <c r="H14" s="232" t="s">
        <v>512</v>
      </c>
      <c r="I14" s="232" t="s">
        <v>513</v>
      </c>
      <c r="J14" s="233"/>
      <c r="K14" s="233"/>
      <c r="L14" s="246" t="e">
        <f t="shared" si="0"/>
        <v>#DIV/0!</v>
      </c>
    </row>
    <row r="15" spans="1:12" s="169" customFormat="1" ht="47.25" hidden="1">
      <c r="A15" s="217" t="s">
        <v>540</v>
      </c>
      <c r="B15" s="217"/>
      <c r="C15" s="232" t="s">
        <v>869</v>
      </c>
      <c r="D15" s="232" t="s">
        <v>870</v>
      </c>
      <c r="E15" s="232" t="s">
        <v>879</v>
      </c>
      <c r="F15" s="232" t="s">
        <v>910</v>
      </c>
      <c r="G15" s="232" t="s">
        <v>910</v>
      </c>
      <c r="H15" s="232" t="s">
        <v>512</v>
      </c>
      <c r="I15" s="232" t="s">
        <v>513</v>
      </c>
      <c r="J15" s="234"/>
      <c r="K15" s="234"/>
      <c r="L15" s="246" t="e">
        <f t="shared" si="0"/>
        <v>#DIV/0!</v>
      </c>
    </row>
    <row r="16" spans="1:12" s="168" customFormat="1" ht="174" customHeight="1" hidden="1">
      <c r="A16" s="228" t="s">
        <v>542</v>
      </c>
      <c r="B16" s="228"/>
      <c r="C16" s="229" t="s">
        <v>869</v>
      </c>
      <c r="D16" s="229" t="s">
        <v>870</v>
      </c>
      <c r="E16" s="229" t="s">
        <v>879</v>
      </c>
      <c r="F16" s="229" t="s">
        <v>910</v>
      </c>
      <c r="G16" s="229" t="s">
        <v>910</v>
      </c>
      <c r="H16" s="229" t="s">
        <v>512</v>
      </c>
      <c r="I16" s="229" t="s">
        <v>683</v>
      </c>
      <c r="J16" s="235"/>
      <c r="K16" s="235"/>
      <c r="L16" s="246" t="e">
        <f t="shared" si="0"/>
        <v>#DIV/0!</v>
      </c>
    </row>
    <row r="17" spans="1:12" s="168" customFormat="1" ht="165.75" customHeight="1" hidden="1">
      <c r="A17" s="228" t="s">
        <v>543</v>
      </c>
      <c r="B17" s="228"/>
      <c r="C17" s="229" t="s">
        <v>869</v>
      </c>
      <c r="D17" s="229" t="s">
        <v>870</v>
      </c>
      <c r="E17" s="229" t="s">
        <v>879</v>
      </c>
      <c r="F17" s="229" t="s">
        <v>910</v>
      </c>
      <c r="G17" s="229" t="s">
        <v>879</v>
      </c>
      <c r="H17" s="229" t="s">
        <v>512</v>
      </c>
      <c r="I17" s="229" t="s">
        <v>684</v>
      </c>
      <c r="J17" s="236"/>
      <c r="K17" s="236"/>
      <c r="L17" s="246" t="e">
        <f t="shared" si="0"/>
        <v>#DIV/0!</v>
      </c>
    </row>
    <row r="18" spans="1:12" s="168" customFormat="1" ht="57.75" customHeight="1">
      <c r="A18" s="237" t="s">
        <v>541</v>
      </c>
      <c r="B18" s="226" t="s">
        <v>513</v>
      </c>
      <c r="C18" s="226" t="s">
        <v>869</v>
      </c>
      <c r="D18" s="226" t="s">
        <v>910</v>
      </c>
      <c r="E18" s="226" t="s">
        <v>910</v>
      </c>
      <c r="F18" s="226" t="s">
        <v>910</v>
      </c>
      <c r="G18" s="226" t="s">
        <v>910</v>
      </c>
      <c r="H18" s="226" t="s">
        <v>512</v>
      </c>
      <c r="I18" s="226" t="s">
        <v>513</v>
      </c>
      <c r="J18" s="227">
        <f>J11+J12+J13</f>
        <v>236624303.5400002</v>
      </c>
      <c r="K18" s="227">
        <f>K11+K12+K13</f>
        <v>39482457.49000001</v>
      </c>
      <c r="L18" s="245">
        <f t="shared" si="0"/>
        <v>16.69</v>
      </c>
    </row>
    <row r="19" spans="3:11" s="168" customFormat="1" ht="15.75">
      <c r="C19" s="170"/>
      <c r="D19" s="170"/>
      <c r="E19" s="170"/>
      <c r="F19" s="170"/>
      <c r="G19" s="170"/>
      <c r="H19" s="170"/>
      <c r="I19" s="170"/>
      <c r="J19" s="171"/>
      <c r="K19" s="167"/>
    </row>
    <row r="20" spans="3:10" ht="15.75">
      <c r="C20" s="172"/>
      <c r="D20" s="172"/>
      <c r="E20" s="172"/>
      <c r="F20" s="172"/>
      <c r="G20" s="172"/>
      <c r="H20" s="172"/>
      <c r="I20" s="172"/>
      <c r="J20" s="173"/>
    </row>
    <row r="21" spans="3:10" ht="15.75">
      <c r="C21" s="172"/>
      <c r="D21" s="172"/>
      <c r="E21" s="172"/>
      <c r="F21" s="172"/>
      <c r="G21" s="172"/>
      <c r="H21" s="172"/>
      <c r="I21" s="172"/>
      <c r="J21" s="173"/>
    </row>
    <row r="22" spans="3:10" ht="15.75">
      <c r="C22" s="172"/>
      <c r="D22" s="172"/>
      <c r="E22" s="172"/>
      <c r="F22" s="172"/>
      <c r="G22" s="172"/>
      <c r="H22" s="172"/>
      <c r="I22" s="172"/>
      <c r="J22" s="173"/>
    </row>
    <row r="23" spans="3:10" ht="15.75">
      <c r="C23" s="172"/>
      <c r="D23" s="172"/>
      <c r="E23" s="172"/>
      <c r="F23" s="172"/>
      <c r="G23" s="172"/>
      <c r="H23" s="172"/>
      <c r="I23" s="172"/>
      <c r="J23" s="173"/>
    </row>
    <row r="24" spans="3:10" ht="15.75">
      <c r="C24" s="172"/>
      <c r="D24" s="172"/>
      <c r="E24" s="172"/>
      <c r="F24" s="172"/>
      <c r="G24" s="172"/>
      <c r="H24" s="172"/>
      <c r="I24" s="172"/>
      <c r="J24" s="173"/>
    </row>
    <row r="25" spans="3:10" ht="15.75">
      <c r="C25" s="172"/>
      <c r="D25" s="172"/>
      <c r="E25" s="172"/>
      <c r="F25" s="172"/>
      <c r="G25" s="172"/>
      <c r="H25" s="172"/>
      <c r="I25" s="172"/>
      <c r="J25" s="174"/>
    </row>
    <row r="26" spans="3:10" ht="15.75">
      <c r="C26" s="174"/>
      <c r="D26" s="174"/>
      <c r="E26" s="174"/>
      <c r="F26" s="174"/>
      <c r="G26" s="174"/>
      <c r="H26" s="174"/>
      <c r="I26" s="172"/>
      <c r="J26" s="173"/>
    </row>
    <row r="27" spans="3:10" ht="15.75">
      <c r="C27" s="174"/>
      <c r="D27" s="174"/>
      <c r="E27" s="174"/>
      <c r="F27" s="174"/>
      <c r="G27" s="174"/>
      <c r="H27" s="174"/>
      <c r="I27" s="172"/>
      <c r="J27" s="174"/>
    </row>
    <row r="28" spans="3:10" ht="15.75">
      <c r="C28" s="174"/>
      <c r="D28" s="174"/>
      <c r="E28" s="174"/>
      <c r="F28" s="174"/>
      <c r="G28" s="174"/>
      <c r="H28" s="174"/>
      <c r="I28" s="172"/>
      <c r="J28" s="174"/>
    </row>
    <row r="29" spans="3:10" ht="15.75">
      <c r="C29" s="174"/>
      <c r="D29" s="174"/>
      <c r="E29" s="174"/>
      <c r="F29" s="174"/>
      <c r="G29" s="174"/>
      <c r="H29" s="174"/>
      <c r="I29" s="172"/>
      <c r="J29" s="174"/>
    </row>
    <row r="30" spans="3:10" ht="15.75">
      <c r="C30" s="174"/>
      <c r="D30" s="174"/>
      <c r="E30" s="174"/>
      <c r="F30" s="174"/>
      <c r="G30" s="174"/>
      <c r="H30" s="174"/>
      <c r="I30" s="172"/>
      <c r="J30" s="174"/>
    </row>
    <row r="31" spans="3:10" ht="15.75">
      <c r="C31" s="174"/>
      <c r="D31" s="174"/>
      <c r="E31" s="174"/>
      <c r="F31" s="174"/>
      <c r="G31" s="174"/>
      <c r="H31" s="174"/>
      <c r="I31" s="172"/>
      <c r="J31" s="174"/>
    </row>
    <row r="32" spans="3:10" ht="15.75">
      <c r="C32" s="174"/>
      <c r="D32" s="174"/>
      <c r="E32" s="174"/>
      <c r="F32" s="174"/>
      <c r="G32" s="174"/>
      <c r="H32" s="174"/>
      <c r="I32" s="172"/>
      <c r="J32" s="174"/>
    </row>
    <row r="33" spans="3:10" ht="15.75">
      <c r="C33" s="174"/>
      <c r="D33" s="174"/>
      <c r="E33" s="174"/>
      <c r="F33" s="174"/>
      <c r="G33" s="174"/>
      <c r="H33" s="174"/>
      <c r="I33" s="172"/>
      <c r="J33" s="174"/>
    </row>
    <row r="34" spans="3:10" ht="15.75">
      <c r="C34" s="174"/>
      <c r="D34" s="174"/>
      <c r="E34" s="174"/>
      <c r="F34" s="174"/>
      <c r="G34" s="174"/>
      <c r="H34" s="174"/>
      <c r="I34" s="172"/>
      <c r="J34" s="174"/>
    </row>
    <row r="35" spans="3:10" ht="15.75">
      <c r="C35" s="174"/>
      <c r="D35" s="174"/>
      <c r="E35" s="174"/>
      <c r="F35" s="174"/>
      <c r="G35" s="174"/>
      <c r="H35" s="174"/>
      <c r="I35" s="172"/>
      <c r="J35" s="174"/>
    </row>
    <row r="36" spans="3:10" ht="15.75">
      <c r="C36" s="174"/>
      <c r="D36" s="174"/>
      <c r="E36" s="174"/>
      <c r="F36" s="174"/>
      <c r="G36" s="174"/>
      <c r="H36" s="174"/>
      <c r="I36" s="172"/>
      <c r="J36" s="174"/>
    </row>
    <row r="37" spans="3:10" ht="15.75">
      <c r="C37" s="174"/>
      <c r="D37" s="174"/>
      <c r="E37" s="174"/>
      <c r="F37" s="174"/>
      <c r="G37" s="174"/>
      <c r="H37" s="174"/>
      <c r="I37" s="172"/>
      <c r="J37" s="174"/>
    </row>
    <row r="38" spans="3:10" ht="15.75">
      <c r="C38" s="174"/>
      <c r="D38" s="174"/>
      <c r="E38" s="174"/>
      <c r="F38" s="174"/>
      <c r="G38" s="174"/>
      <c r="H38" s="174"/>
      <c r="I38" s="172"/>
      <c r="J38" s="174"/>
    </row>
    <row r="39" spans="3:10" ht="15.75">
      <c r="C39" s="174"/>
      <c r="D39" s="174"/>
      <c r="E39" s="174"/>
      <c r="F39" s="174"/>
      <c r="G39" s="174"/>
      <c r="H39" s="174"/>
      <c r="I39" s="172"/>
      <c r="J39" s="174"/>
    </row>
    <row r="40" spans="3:10" ht="15.75">
      <c r="C40" s="174"/>
      <c r="D40" s="174"/>
      <c r="E40" s="174"/>
      <c r="F40" s="174"/>
      <c r="G40" s="174"/>
      <c r="H40" s="174"/>
      <c r="I40" s="172"/>
      <c r="J40" s="174"/>
    </row>
    <row r="41" spans="3:10" ht="15.75">
      <c r="C41" s="174"/>
      <c r="D41" s="174"/>
      <c r="E41" s="174"/>
      <c r="F41" s="174"/>
      <c r="G41" s="174"/>
      <c r="H41" s="174"/>
      <c r="I41" s="172"/>
      <c r="J41" s="174"/>
    </row>
    <row r="42" spans="3:10" ht="15.75">
      <c r="C42" s="174"/>
      <c r="D42" s="174"/>
      <c r="E42" s="174"/>
      <c r="F42" s="174"/>
      <c r="G42" s="174"/>
      <c r="H42" s="174"/>
      <c r="I42" s="172"/>
      <c r="J42" s="174"/>
    </row>
    <row r="43" spans="3:10" ht="15.75">
      <c r="C43" s="174"/>
      <c r="D43" s="174"/>
      <c r="E43" s="174"/>
      <c r="F43" s="174"/>
      <c r="G43" s="174"/>
      <c r="H43" s="174"/>
      <c r="I43" s="172"/>
      <c r="J43" s="174"/>
    </row>
    <row r="44" spans="3:10" ht="15.75">
      <c r="C44" s="174"/>
      <c r="D44" s="174"/>
      <c r="E44" s="174"/>
      <c r="F44" s="174"/>
      <c r="G44" s="174"/>
      <c r="H44" s="174"/>
      <c r="I44" s="172"/>
      <c r="J44" s="174"/>
    </row>
    <row r="45" spans="3:10" ht="15.75">
      <c r="C45" s="174"/>
      <c r="D45" s="174"/>
      <c r="E45" s="174"/>
      <c r="F45" s="174"/>
      <c r="G45" s="174"/>
      <c r="H45" s="174"/>
      <c r="I45" s="172"/>
      <c r="J45" s="174"/>
    </row>
    <row r="46" spans="3:10" ht="15.75">
      <c r="C46" s="174"/>
      <c r="D46" s="174"/>
      <c r="E46" s="174"/>
      <c r="F46" s="174"/>
      <c r="G46" s="174"/>
      <c r="H46" s="174"/>
      <c r="I46" s="172"/>
      <c r="J46" s="174"/>
    </row>
    <row r="47" spans="3:10" ht="15.75">
      <c r="C47" s="174"/>
      <c r="D47" s="174"/>
      <c r="E47" s="174"/>
      <c r="F47" s="174"/>
      <c r="G47" s="174"/>
      <c r="H47" s="174"/>
      <c r="I47" s="172"/>
      <c r="J47" s="174"/>
    </row>
    <row r="48" spans="3:10" ht="15.75">
      <c r="C48" s="174"/>
      <c r="D48" s="174"/>
      <c r="E48" s="174"/>
      <c r="F48" s="174"/>
      <c r="G48" s="174"/>
      <c r="H48" s="174"/>
      <c r="I48" s="172"/>
      <c r="J48" s="174"/>
    </row>
    <row r="49" spans="3:10" ht="15.75">
      <c r="C49" s="174"/>
      <c r="D49" s="174"/>
      <c r="E49" s="174"/>
      <c r="F49" s="174"/>
      <c r="G49" s="174"/>
      <c r="H49" s="174"/>
      <c r="I49" s="172"/>
      <c r="J49" s="174"/>
    </row>
    <row r="50" spans="3:10" ht="15.75">
      <c r="C50" s="174"/>
      <c r="D50" s="174"/>
      <c r="E50" s="174"/>
      <c r="F50" s="174"/>
      <c r="G50" s="174"/>
      <c r="H50" s="174"/>
      <c r="I50" s="172"/>
      <c r="J50" s="174"/>
    </row>
    <row r="51" spans="3:10" ht="15.75">
      <c r="C51" s="174"/>
      <c r="D51" s="174"/>
      <c r="E51" s="174"/>
      <c r="F51" s="174"/>
      <c r="G51" s="174"/>
      <c r="H51" s="174"/>
      <c r="I51" s="172"/>
      <c r="J51" s="174"/>
    </row>
    <row r="52" spans="3:10" ht="15.75">
      <c r="C52" s="174"/>
      <c r="D52" s="174"/>
      <c r="E52" s="174"/>
      <c r="F52" s="174"/>
      <c r="G52" s="174"/>
      <c r="H52" s="174"/>
      <c r="I52" s="172"/>
      <c r="J52" s="174"/>
    </row>
    <row r="53" spans="3:10" ht="15.75">
      <c r="C53" s="174"/>
      <c r="D53" s="174"/>
      <c r="E53" s="174"/>
      <c r="F53" s="174"/>
      <c r="G53" s="174"/>
      <c r="H53" s="174"/>
      <c r="I53" s="172"/>
      <c r="J53" s="174"/>
    </row>
    <row r="54" spans="3:10" ht="15.75">
      <c r="C54" s="174"/>
      <c r="D54" s="174"/>
      <c r="E54" s="174"/>
      <c r="F54" s="174"/>
      <c r="G54" s="174"/>
      <c r="H54" s="174"/>
      <c r="I54" s="172"/>
      <c r="J54" s="174"/>
    </row>
    <row r="55" spans="3:10" ht="15.75">
      <c r="C55" s="174"/>
      <c r="D55" s="174"/>
      <c r="E55" s="174"/>
      <c r="F55" s="174"/>
      <c r="G55" s="174"/>
      <c r="H55" s="174"/>
      <c r="I55" s="172"/>
      <c r="J55" s="174"/>
    </row>
    <row r="56" spans="3:10" ht="15.75">
      <c r="C56" s="174"/>
      <c r="D56" s="174"/>
      <c r="E56" s="174"/>
      <c r="F56" s="174"/>
      <c r="G56" s="174"/>
      <c r="H56" s="174"/>
      <c r="I56" s="172"/>
      <c r="J56" s="174"/>
    </row>
    <row r="57" spans="3:10" ht="15.75">
      <c r="C57" s="174"/>
      <c r="D57" s="174"/>
      <c r="E57" s="174"/>
      <c r="F57" s="174"/>
      <c r="G57" s="174"/>
      <c r="H57" s="174"/>
      <c r="I57" s="172"/>
      <c r="J57" s="174"/>
    </row>
    <row r="58" spans="3:10" ht="15.75">
      <c r="C58" s="174"/>
      <c r="D58" s="174"/>
      <c r="E58" s="174"/>
      <c r="F58" s="174"/>
      <c r="G58" s="174"/>
      <c r="H58" s="174"/>
      <c r="I58" s="172"/>
      <c r="J58" s="174"/>
    </row>
    <row r="59" spans="3:10" ht="15.75">
      <c r="C59" s="174"/>
      <c r="D59" s="174"/>
      <c r="E59" s="174"/>
      <c r="F59" s="174"/>
      <c r="G59" s="174"/>
      <c r="H59" s="174"/>
      <c r="I59" s="172"/>
      <c r="J59" s="174"/>
    </row>
    <row r="60" spans="3:10" ht="15.75">
      <c r="C60" s="174"/>
      <c r="D60" s="174"/>
      <c r="E60" s="174"/>
      <c r="F60" s="174"/>
      <c r="G60" s="174"/>
      <c r="H60" s="174"/>
      <c r="I60" s="172"/>
      <c r="J60" s="174"/>
    </row>
    <row r="61" spans="3:10" ht="15.75">
      <c r="C61" s="174"/>
      <c r="D61" s="174"/>
      <c r="E61" s="174"/>
      <c r="F61" s="174"/>
      <c r="G61" s="174"/>
      <c r="H61" s="174"/>
      <c r="I61" s="172"/>
      <c r="J61" s="174"/>
    </row>
    <row r="62" spans="3:10" ht="15.75">
      <c r="C62" s="174"/>
      <c r="D62" s="174"/>
      <c r="E62" s="174"/>
      <c r="F62" s="174"/>
      <c r="G62" s="174"/>
      <c r="H62" s="174"/>
      <c r="I62" s="172"/>
      <c r="J62" s="174"/>
    </row>
    <row r="63" spans="3:10" ht="15.75">
      <c r="C63" s="174"/>
      <c r="D63" s="174"/>
      <c r="E63" s="174"/>
      <c r="F63" s="174"/>
      <c r="G63" s="174"/>
      <c r="H63" s="174"/>
      <c r="I63" s="172"/>
      <c r="J63" s="174"/>
    </row>
    <row r="64" spans="3:10" ht="15.75">
      <c r="C64" s="174"/>
      <c r="D64" s="174"/>
      <c r="E64" s="174"/>
      <c r="F64" s="174"/>
      <c r="G64" s="174"/>
      <c r="H64" s="174"/>
      <c r="I64" s="172"/>
      <c r="J64" s="174"/>
    </row>
    <row r="65" spans="3:10" ht="15.75">
      <c r="C65" s="174"/>
      <c r="D65" s="174"/>
      <c r="E65" s="174"/>
      <c r="F65" s="174"/>
      <c r="G65" s="174"/>
      <c r="H65" s="174"/>
      <c r="I65" s="172"/>
      <c r="J65" s="174"/>
    </row>
    <row r="66" spans="3:10" ht="15.75">
      <c r="C66" s="174"/>
      <c r="D66" s="174"/>
      <c r="E66" s="174"/>
      <c r="F66" s="174"/>
      <c r="G66" s="174"/>
      <c r="H66" s="174"/>
      <c r="I66" s="172"/>
      <c r="J66" s="174"/>
    </row>
    <row r="67" spans="3:10" ht="15.75">
      <c r="C67" s="174"/>
      <c r="D67" s="174"/>
      <c r="E67" s="174"/>
      <c r="F67" s="174"/>
      <c r="G67" s="174"/>
      <c r="H67" s="174"/>
      <c r="I67" s="172"/>
      <c r="J67" s="174"/>
    </row>
    <row r="68" spans="3:10" ht="15.75">
      <c r="C68" s="174"/>
      <c r="D68" s="174"/>
      <c r="E68" s="174"/>
      <c r="F68" s="174"/>
      <c r="G68" s="174"/>
      <c r="H68" s="174"/>
      <c r="I68" s="172"/>
      <c r="J68" s="174"/>
    </row>
    <row r="69" spans="3:10" ht="15.75">
      <c r="C69" s="174"/>
      <c r="D69" s="174"/>
      <c r="E69" s="174"/>
      <c r="F69" s="174"/>
      <c r="G69" s="174"/>
      <c r="H69" s="174"/>
      <c r="I69" s="172"/>
      <c r="J69" s="174"/>
    </row>
    <row r="70" spans="3:10" ht="15.75">
      <c r="C70" s="174"/>
      <c r="D70" s="174"/>
      <c r="E70" s="174"/>
      <c r="F70" s="174"/>
      <c r="G70" s="174"/>
      <c r="H70" s="174"/>
      <c r="I70" s="172"/>
      <c r="J70" s="174"/>
    </row>
    <row r="71" spans="3:10" ht="15.75">
      <c r="C71" s="174"/>
      <c r="D71" s="174"/>
      <c r="E71" s="174"/>
      <c r="F71" s="174"/>
      <c r="G71" s="174"/>
      <c r="H71" s="174"/>
      <c r="I71" s="172"/>
      <c r="J71" s="174"/>
    </row>
    <row r="72" spans="3:10" ht="15.75">
      <c r="C72" s="174"/>
      <c r="D72" s="174"/>
      <c r="E72" s="174"/>
      <c r="F72" s="174"/>
      <c r="G72" s="174"/>
      <c r="H72" s="174"/>
      <c r="I72" s="172"/>
      <c r="J72" s="174"/>
    </row>
    <row r="73" spans="3:10" ht="15.75">
      <c r="C73" s="174"/>
      <c r="D73" s="174"/>
      <c r="E73" s="174"/>
      <c r="F73" s="174"/>
      <c r="G73" s="174"/>
      <c r="H73" s="174"/>
      <c r="I73" s="172"/>
      <c r="J73" s="174"/>
    </row>
    <row r="74" spans="3:10" ht="15.75">
      <c r="C74" s="174"/>
      <c r="D74" s="174"/>
      <c r="E74" s="174"/>
      <c r="F74" s="174"/>
      <c r="G74" s="174"/>
      <c r="H74" s="174"/>
      <c r="I74" s="172"/>
      <c r="J74" s="174"/>
    </row>
    <row r="75" spans="3:10" ht="15.75">
      <c r="C75" s="174"/>
      <c r="D75" s="174"/>
      <c r="E75" s="174"/>
      <c r="F75" s="174"/>
      <c r="G75" s="174"/>
      <c r="H75" s="174"/>
      <c r="I75" s="172"/>
      <c r="J75" s="174"/>
    </row>
    <row r="76" spans="3:10" ht="15.75">
      <c r="C76" s="174"/>
      <c r="D76" s="174"/>
      <c r="E76" s="174"/>
      <c r="F76" s="174"/>
      <c r="G76" s="174"/>
      <c r="H76" s="174"/>
      <c r="I76" s="172"/>
      <c r="J76" s="174"/>
    </row>
    <row r="77" spans="3:10" ht="15.75">
      <c r="C77" s="174"/>
      <c r="D77" s="174"/>
      <c r="E77" s="174"/>
      <c r="F77" s="174"/>
      <c r="G77" s="174"/>
      <c r="H77" s="174"/>
      <c r="I77" s="172"/>
      <c r="J77" s="174"/>
    </row>
    <row r="78" spans="3:10" ht="15.75">
      <c r="C78" s="174"/>
      <c r="D78" s="174"/>
      <c r="E78" s="174"/>
      <c r="F78" s="174"/>
      <c r="G78" s="174"/>
      <c r="H78" s="174"/>
      <c r="I78" s="172"/>
      <c r="J78" s="174"/>
    </row>
    <row r="79" spans="3:10" ht="15.75">
      <c r="C79" s="174"/>
      <c r="D79" s="174"/>
      <c r="E79" s="174"/>
      <c r="F79" s="174"/>
      <c r="G79" s="174"/>
      <c r="H79" s="174"/>
      <c r="I79" s="172"/>
      <c r="J79" s="174"/>
    </row>
    <row r="80" spans="3:10" ht="15.75">
      <c r="C80" s="174"/>
      <c r="D80" s="174"/>
      <c r="E80" s="174"/>
      <c r="F80" s="174"/>
      <c r="G80" s="174"/>
      <c r="H80" s="174"/>
      <c r="I80" s="172"/>
      <c r="J80" s="174"/>
    </row>
    <row r="81" spans="3:10" ht="15.75">
      <c r="C81" s="174"/>
      <c r="D81" s="174"/>
      <c r="E81" s="174"/>
      <c r="F81" s="174"/>
      <c r="G81" s="174"/>
      <c r="H81" s="174"/>
      <c r="I81" s="172"/>
      <c r="J81" s="174"/>
    </row>
    <row r="82" spans="3:10" ht="15.75">
      <c r="C82" s="174"/>
      <c r="D82" s="174"/>
      <c r="E82" s="174"/>
      <c r="F82" s="174"/>
      <c r="G82" s="174"/>
      <c r="H82" s="174"/>
      <c r="I82" s="172"/>
      <c r="J82" s="174"/>
    </row>
    <row r="83" spans="3:10" ht="15.75">
      <c r="C83" s="174"/>
      <c r="D83" s="174"/>
      <c r="E83" s="174"/>
      <c r="F83" s="174"/>
      <c r="G83" s="174"/>
      <c r="H83" s="174"/>
      <c r="I83" s="172"/>
      <c r="J83" s="174"/>
    </row>
    <row r="84" spans="3:10" ht="15.75">
      <c r="C84" s="174"/>
      <c r="D84" s="174"/>
      <c r="E84" s="174"/>
      <c r="F84" s="174"/>
      <c r="G84" s="174"/>
      <c r="H84" s="174"/>
      <c r="I84" s="172"/>
      <c r="J84" s="174"/>
    </row>
    <row r="85" spans="3:10" ht="15.75">
      <c r="C85" s="174"/>
      <c r="D85" s="174"/>
      <c r="E85" s="174"/>
      <c r="F85" s="174"/>
      <c r="G85" s="174"/>
      <c r="H85" s="174"/>
      <c r="I85" s="172"/>
      <c r="J85" s="174"/>
    </row>
    <row r="86" spans="3:10" ht="15.75">
      <c r="C86" s="174"/>
      <c r="D86" s="174"/>
      <c r="E86" s="174"/>
      <c r="F86" s="174"/>
      <c r="G86" s="174"/>
      <c r="H86" s="174"/>
      <c r="I86" s="172"/>
      <c r="J86" s="174"/>
    </row>
    <row r="87" spans="3:10" ht="15.75">
      <c r="C87" s="174"/>
      <c r="D87" s="174"/>
      <c r="E87" s="174"/>
      <c r="F87" s="174"/>
      <c r="G87" s="174"/>
      <c r="H87" s="174"/>
      <c r="I87" s="172"/>
      <c r="J87" s="174"/>
    </row>
    <row r="88" spans="3:10" ht="15.75">
      <c r="C88" s="174"/>
      <c r="D88" s="174"/>
      <c r="E88" s="174"/>
      <c r="F88" s="174"/>
      <c r="G88" s="174"/>
      <c r="H88" s="174"/>
      <c r="I88" s="172"/>
      <c r="J88" s="174"/>
    </row>
    <row r="89" spans="3:10" ht="15.75">
      <c r="C89" s="174"/>
      <c r="D89" s="174"/>
      <c r="E89" s="174"/>
      <c r="F89" s="174"/>
      <c r="G89" s="174"/>
      <c r="H89" s="174"/>
      <c r="I89" s="172"/>
      <c r="J89" s="174"/>
    </row>
    <row r="90" spans="3:10" ht="15.75">
      <c r="C90" s="174"/>
      <c r="D90" s="174"/>
      <c r="E90" s="174"/>
      <c r="F90" s="174"/>
      <c r="G90" s="174"/>
      <c r="H90" s="174"/>
      <c r="I90" s="172"/>
      <c r="J90" s="174"/>
    </row>
    <row r="91" spans="3:10" ht="15.75">
      <c r="C91" s="174"/>
      <c r="D91" s="174"/>
      <c r="E91" s="174"/>
      <c r="F91" s="174"/>
      <c r="G91" s="174"/>
      <c r="H91" s="174"/>
      <c r="I91" s="172"/>
      <c r="J91" s="174"/>
    </row>
    <row r="92" spans="3:10" ht="15.75">
      <c r="C92" s="174"/>
      <c r="D92" s="174"/>
      <c r="E92" s="174"/>
      <c r="F92" s="174"/>
      <c r="G92" s="174"/>
      <c r="H92" s="174"/>
      <c r="I92" s="172"/>
      <c r="J92" s="174"/>
    </row>
    <row r="93" spans="3:10" ht="15.75">
      <c r="C93" s="174"/>
      <c r="D93" s="174"/>
      <c r="E93" s="174"/>
      <c r="F93" s="174"/>
      <c r="G93" s="174"/>
      <c r="H93" s="174"/>
      <c r="I93" s="172"/>
      <c r="J93" s="174"/>
    </row>
    <row r="94" spans="3:10" ht="15.75">
      <c r="C94" s="174"/>
      <c r="D94" s="174"/>
      <c r="E94" s="174"/>
      <c r="F94" s="174"/>
      <c r="G94" s="174"/>
      <c r="H94" s="174"/>
      <c r="I94" s="172"/>
      <c r="J94" s="174"/>
    </row>
    <row r="95" spans="3:10" ht="15.75">
      <c r="C95" s="174"/>
      <c r="D95" s="174"/>
      <c r="E95" s="174"/>
      <c r="F95" s="174"/>
      <c r="G95" s="174"/>
      <c r="H95" s="174"/>
      <c r="I95" s="172"/>
      <c r="J95" s="174"/>
    </row>
    <row r="96" spans="3:10" ht="15.75">
      <c r="C96" s="174"/>
      <c r="D96" s="174"/>
      <c r="E96" s="174"/>
      <c r="F96" s="174"/>
      <c r="G96" s="174"/>
      <c r="H96" s="174"/>
      <c r="I96" s="172"/>
      <c r="J96" s="174"/>
    </row>
    <row r="97" spans="3:10" ht="15.75">
      <c r="C97" s="174"/>
      <c r="D97" s="174"/>
      <c r="E97" s="174"/>
      <c r="F97" s="174"/>
      <c r="G97" s="174"/>
      <c r="H97" s="174"/>
      <c r="I97" s="172"/>
      <c r="J97" s="174"/>
    </row>
    <row r="98" spans="3:10" ht="15.75">
      <c r="C98" s="174"/>
      <c r="D98" s="174"/>
      <c r="E98" s="174"/>
      <c r="F98" s="174"/>
      <c r="G98" s="174"/>
      <c r="H98" s="174"/>
      <c r="I98" s="172"/>
      <c r="J98" s="174"/>
    </row>
    <row r="99" spans="3:10" ht="15.75">
      <c r="C99" s="174"/>
      <c r="D99" s="174"/>
      <c r="E99" s="174"/>
      <c r="F99" s="174"/>
      <c r="G99" s="174"/>
      <c r="H99" s="174"/>
      <c r="I99" s="172"/>
      <c r="J99" s="174"/>
    </row>
    <row r="100" spans="3:10" ht="15.75">
      <c r="C100" s="174"/>
      <c r="D100" s="174"/>
      <c r="E100" s="174"/>
      <c r="F100" s="174"/>
      <c r="G100" s="174"/>
      <c r="H100" s="174"/>
      <c r="I100" s="172"/>
      <c r="J100" s="174"/>
    </row>
    <row r="101" spans="3:10" ht="15.75">
      <c r="C101" s="174"/>
      <c r="D101" s="174"/>
      <c r="E101" s="174"/>
      <c r="F101" s="174"/>
      <c r="G101" s="174"/>
      <c r="H101" s="174"/>
      <c r="I101" s="172"/>
      <c r="J101" s="174"/>
    </row>
    <row r="102" spans="3:10" ht="15.75">
      <c r="C102" s="174"/>
      <c r="D102" s="174"/>
      <c r="E102" s="174"/>
      <c r="F102" s="174"/>
      <c r="G102" s="174"/>
      <c r="H102" s="174"/>
      <c r="I102" s="172"/>
      <c r="J102" s="174"/>
    </row>
    <row r="103" spans="3:10" ht="15.75">
      <c r="C103" s="174"/>
      <c r="D103" s="174"/>
      <c r="E103" s="174"/>
      <c r="F103" s="174"/>
      <c r="G103" s="174"/>
      <c r="H103" s="174"/>
      <c r="I103" s="172"/>
      <c r="J103" s="174"/>
    </row>
    <row r="104" spans="3:10" ht="15.75">
      <c r="C104" s="174"/>
      <c r="D104" s="174"/>
      <c r="E104" s="174"/>
      <c r="F104" s="174"/>
      <c r="G104" s="174"/>
      <c r="H104" s="174"/>
      <c r="I104" s="172"/>
      <c r="J104" s="174"/>
    </row>
    <row r="105" spans="3:10" ht="15.75">
      <c r="C105" s="174"/>
      <c r="D105" s="174"/>
      <c r="E105" s="174"/>
      <c r="F105" s="174"/>
      <c r="G105" s="174"/>
      <c r="H105" s="174"/>
      <c r="I105" s="172"/>
      <c r="J105" s="174"/>
    </row>
    <row r="106" spans="3:10" ht="15.75">
      <c r="C106" s="174"/>
      <c r="D106" s="174"/>
      <c r="E106" s="174"/>
      <c r="F106" s="174"/>
      <c r="G106" s="174"/>
      <c r="H106" s="174"/>
      <c r="I106" s="172"/>
      <c r="J106" s="174"/>
    </row>
    <row r="107" spans="3:10" ht="15.75">
      <c r="C107" s="174"/>
      <c r="D107" s="174"/>
      <c r="E107" s="174"/>
      <c r="F107" s="174"/>
      <c r="G107" s="174"/>
      <c r="H107" s="174"/>
      <c r="I107" s="172"/>
      <c r="J107" s="174"/>
    </row>
    <row r="108" spans="3:10" ht="15.75">
      <c r="C108" s="174"/>
      <c r="D108" s="174"/>
      <c r="E108" s="174"/>
      <c r="F108" s="174"/>
      <c r="G108" s="174"/>
      <c r="H108" s="174"/>
      <c r="I108" s="172"/>
      <c r="J108" s="174"/>
    </row>
    <row r="109" spans="3:10" ht="15.75">
      <c r="C109" s="174"/>
      <c r="D109" s="174"/>
      <c r="E109" s="174"/>
      <c r="F109" s="174"/>
      <c r="G109" s="174"/>
      <c r="H109" s="174"/>
      <c r="I109" s="172"/>
      <c r="J109" s="174"/>
    </row>
    <row r="110" spans="3:10" ht="15.75">
      <c r="C110" s="174"/>
      <c r="D110" s="174"/>
      <c r="E110" s="174"/>
      <c r="F110" s="174"/>
      <c r="G110" s="174"/>
      <c r="H110" s="174"/>
      <c r="I110" s="172"/>
      <c r="J110" s="174"/>
    </row>
    <row r="111" spans="3:10" ht="15.75">
      <c r="C111" s="174"/>
      <c r="D111" s="174"/>
      <c r="E111" s="174"/>
      <c r="F111" s="174"/>
      <c r="G111" s="174"/>
      <c r="H111" s="174"/>
      <c r="I111" s="172"/>
      <c r="J111" s="174"/>
    </row>
    <row r="112" spans="3:10" ht="15.75">
      <c r="C112" s="174"/>
      <c r="D112" s="174"/>
      <c r="E112" s="174"/>
      <c r="F112" s="174"/>
      <c r="G112" s="174"/>
      <c r="H112" s="174"/>
      <c r="I112" s="172"/>
      <c r="J112" s="174"/>
    </row>
    <row r="113" spans="3:10" ht="15.75">
      <c r="C113" s="174"/>
      <c r="D113" s="174"/>
      <c r="E113" s="174"/>
      <c r="F113" s="174"/>
      <c r="G113" s="174"/>
      <c r="H113" s="174"/>
      <c r="I113" s="172"/>
      <c r="J113" s="174"/>
    </row>
    <row r="114" spans="3:10" ht="15.75">
      <c r="C114" s="174"/>
      <c r="D114" s="174"/>
      <c r="E114" s="174"/>
      <c r="F114" s="174"/>
      <c r="G114" s="174"/>
      <c r="H114" s="174"/>
      <c r="I114" s="172"/>
      <c r="J114" s="174"/>
    </row>
    <row r="115" spans="3:10" ht="15.75">
      <c r="C115" s="174"/>
      <c r="D115" s="174"/>
      <c r="E115" s="174"/>
      <c r="F115" s="174"/>
      <c r="G115" s="174"/>
      <c r="H115" s="174"/>
      <c r="I115" s="172"/>
      <c r="J115" s="174"/>
    </row>
    <row r="116" spans="3:10" ht="15.75">
      <c r="C116" s="174"/>
      <c r="D116" s="174"/>
      <c r="E116" s="174"/>
      <c r="F116" s="174"/>
      <c r="G116" s="174"/>
      <c r="H116" s="174"/>
      <c r="I116" s="172"/>
      <c r="J116" s="174"/>
    </row>
    <row r="117" spans="3:10" ht="15.75">
      <c r="C117" s="174"/>
      <c r="D117" s="174"/>
      <c r="E117" s="174"/>
      <c r="F117" s="174"/>
      <c r="G117" s="174"/>
      <c r="H117" s="174"/>
      <c r="I117" s="172"/>
      <c r="J117" s="174"/>
    </row>
    <row r="118" spans="3:10" ht="15.75">
      <c r="C118" s="174"/>
      <c r="D118" s="174"/>
      <c r="E118" s="174"/>
      <c r="F118" s="174"/>
      <c r="G118" s="174"/>
      <c r="H118" s="174"/>
      <c r="I118" s="172"/>
      <c r="J118" s="174"/>
    </row>
    <row r="119" spans="3:10" ht="15.75">
      <c r="C119" s="174"/>
      <c r="D119" s="174"/>
      <c r="E119" s="174"/>
      <c r="F119" s="174"/>
      <c r="G119" s="174"/>
      <c r="H119" s="174"/>
      <c r="I119" s="172"/>
      <c r="J119" s="174"/>
    </row>
    <row r="120" spans="3:10" ht="15.75">
      <c r="C120" s="174"/>
      <c r="D120" s="174"/>
      <c r="E120" s="174"/>
      <c r="F120" s="174"/>
      <c r="G120" s="174"/>
      <c r="H120" s="174"/>
      <c r="I120" s="172"/>
      <c r="J120" s="174"/>
    </row>
    <row r="121" spans="3:10" ht="15.75">
      <c r="C121" s="174"/>
      <c r="D121" s="174"/>
      <c r="E121" s="174"/>
      <c r="F121" s="174"/>
      <c r="G121" s="174"/>
      <c r="H121" s="174"/>
      <c r="I121" s="172"/>
      <c r="J121" s="174"/>
    </row>
    <row r="122" spans="3:10" ht="15.75">
      <c r="C122" s="174"/>
      <c r="D122" s="174"/>
      <c r="E122" s="174"/>
      <c r="F122" s="174"/>
      <c r="G122" s="174"/>
      <c r="H122" s="174"/>
      <c r="I122" s="172"/>
      <c r="J122" s="174"/>
    </row>
    <row r="123" spans="3:10" ht="15.75">
      <c r="C123" s="174"/>
      <c r="D123" s="174"/>
      <c r="E123" s="174"/>
      <c r="F123" s="174"/>
      <c r="G123" s="174"/>
      <c r="H123" s="174"/>
      <c r="I123" s="172"/>
      <c r="J123" s="174"/>
    </row>
    <row r="124" spans="3:10" ht="15.75">
      <c r="C124" s="174"/>
      <c r="D124" s="174"/>
      <c r="E124" s="174"/>
      <c r="F124" s="174"/>
      <c r="G124" s="174"/>
      <c r="H124" s="174"/>
      <c r="I124" s="172"/>
      <c r="J124" s="174"/>
    </row>
    <row r="125" spans="3:10" ht="15.75">
      <c r="C125" s="174"/>
      <c r="D125" s="174"/>
      <c r="E125" s="174"/>
      <c r="F125" s="174"/>
      <c r="G125" s="174"/>
      <c r="H125" s="174"/>
      <c r="I125" s="172"/>
      <c r="J125" s="174"/>
    </row>
    <row r="126" spans="3:10" ht="15.75">
      <c r="C126" s="174"/>
      <c r="D126" s="174"/>
      <c r="E126" s="174"/>
      <c r="F126" s="174"/>
      <c r="G126" s="174"/>
      <c r="H126" s="174"/>
      <c r="I126" s="172"/>
      <c r="J126" s="174"/>
    </row>
    <row r="127" spans="3:10" ht="15.75">
      <c r="C127" s="174"/>
      <c r="D127" s="174"/>
      <c r="E127" s="174"/>
      <c r="F127" s="174"/>
      <c r="G127" s="174"/>
      <c r="H127" s="174"/>
      <c r="I127" s="172"/>
      <c r="J127" s="174"/>
    </row>
    <row r="128" spans="3:10" ht="15.75">
      <c r="C128" s="174"/>
      <c r="D128" s="174"/>
      <c r="E128" s="174"/>
      <c r="F128" s="174"/>
      <c r="G128" s="174"/>
      <c r="H128" s="174"/>
      <c r="I128" s="172"/>
      <c r="J128" s="174"/>
    </row>
    <row r="129" spans="3:10" ht="15.75">
      <c r="C129" s="174"/>
      <c r="D129" s="174"/>
      <c r="E129" s="174"/>
      <c r="F129" s="174"/>
      <c r="G129" s="174"/>
      <c r="H129" s="174"/>
      <c r="I129" s="172"/>
      <c r="J129" s="174"/>
    </row>
    <row r="130" spans="3:10" ht="15.75">
      <c r="C130" s="174"/>
      <c r="D130" s="174"/>
      <c r="E130" s="174"/>
      <c r="F130" s="174"/>
      <c r="G130" s="174"/>
      <c r="H130" s="174"/>
      <c r="I130" s="172"/>
      <c r="J130" s="174"/>
    </row>
    <row r="131" spans="3:10" ht="15.75">
      <c r="C131" s="174"/>
      <c r="D131" s="174"/>
      <c r="E131" s="174"/>
      <c r="F131" s="174"/>
      <c r="G131" s="174"/>
      <c r="H131" s="174"/>
      <c r="I131" s="172"/>
      <c r="J131" s="174"/>
    </row>
    <row r="132" spans="3:10" ht="15.75">
      <c r="C132" s="174"/>
      <c r="D132" s="174"/>
      <c r="E132" s="174"/>
      <c r="F132" s="174"/>
      <c r="G132" s="174"/>
      <c r="H132" s="174"/>
      <c r="I132" s="172"/>
      <c r="J132" s="174"/>
    </row>
    <row r="133" spans="3:10" ht="15.75">
      <c r="C133" s="174"/>
      <c r="D133" s="174"/>
      <c r="E133" s="174"/>
      <c r="F133" s="174"/>
      <c r="G133" s="174"/>
      <c r="H133" s="174"/>
      <c r="I133" s="172"/>
      <c r="J133" s="174"/>
    </row>
    <row r="134" spans="3:10" ht="15.75">
      <c r="C134" s="174"/>
      <c r="D134" s="174"/>
      <c r="E134" s="174"/>
      <c r="F134" s="174"/>
      <c r="G134" s="174"/>
      <c r="H134" s="174"/>
      <c r="I134" s="172"/>
      <c r="J134" s="174"/>
    </row>
    <row r="135" spans="3:10" ht="15.75">
      <c r="C135" s="174"/>
      <c r="D135" s="174"/>
      <c r="E135" s="174"/>
      <c r="F135" s="174"/>
      <c r="G135" s="174"/>
      <c r="H135" s="174"/>
      <c r="I135" s="172"/>
      <c r="J135" s="174"/>
    </row>
    <row r="136" spans="3:10" ht="15.75">
      <c r="C136" s="174"/>
      <c r="D136" s="174"/>
      <c r="E136" s="174"/>
      <c r="F136" s="174"/>
      <c r="G136" s="174"/>
      <c r="H136" s="174"/>
      <c r="I136" s="172"/>
      <c r="J136" s="174"/>
    </row>
    <row r="137" spans="3:10" ht="15.75">
      <c r="C137" s="174"/>
      <c r="D137" s="174"/>
      <c r="E137" s="174"/>
      <c r="F137" s="174"/>
      <c r="G137" s="174"/>
      <c r="H137" s="174"/>
      <c r="I137" s="172"/>
      <c r="J137" s="174"/>
    </row>
    <row r="138" spans="3:10" ht="15.75">
      <c r="C138" s="174"/>
      <c r="D138" s="174"/>
      <c r="E138" s="174"/>
      <c r="F138" s="174"/>
      <c r="G138" s="174"/>
      <c r="H138" s="174"/>
      <c r="I138" s="172"/>
      <c r="J138" s="174"/>
    </row>
    <row r="139" spans="3:10" ht="15.75">
      <c r="C139" s="174"/>
      <c r="D139" s="174"/>
      <c r="E139" s="174"/>
      <c r="F139" s="174"/>
      <c r="G139" s="174"/>
      <c r="H139" s="174"/>
      <c r="I139" s="172"/>
      <c r="J139" s="174"/>
    </row>
    <row r="140" spans="3:10" ht="15.75">
      <c r="C140" s="174"/>
      <c r="D140" s="174"/>
      <c r="E140" s="174"/>
      <c r="F140" s="174"/>
      <c r="G140" s="174"/>
      <c r="H140" s="174"/>
      <c r="I140" s="172"/>
      <c r="J140" s="174"/>
    </row>
    <row r="141" spans="3:10" ht="15.75">
      <c r="C141" s="174"/>
      <c r="D141" s="174"/>
      <c r="E141" s="174"/>
      <c r="F141" s="174"/>
      <c r="G141" s="174"/>
      <c r="H141" s="174"/>
      <c r="I141" s="172"/>
      <c r="J141" s="174"/>
    </row>
    <row r="142" spans="3:10" ht="15.75">
      <c r="C142" s="174"/>
      <c r="D142" s="174"/>
      <c r="E142" s="174"/>
      <c r="F142" s="174"/>
      <c r="G142" s="174"/>
      <c r="H142" s="174"/>
      <c r="I142" s="172"/>
      <c r="J142" s="174"/>
    </row>
    <row r="143" spans="3:10" ht="15.75">
      <c r="C143" s="174"/>
      <c r="D143" s="174"/>
      <c r="E143" s="174"/>
      <c r="F143" s="174"/>
      <c r="G143" s="174"/>
      <c r="H143" s="174"/>
      <c r="I143" s="172"/>
      <c r="J143" s="174"/>
    </row>
    <row r="144" spans="3:10" ht="15.75">
      <c r="C144" s="174"/>
      <c r="D144" s="174"/>
      <c r="E144" s="174"/>
      <c r="F144" s="174"/>
      <c r="G144" s="174"/>
      <c r="H144" s="174"/>
      <c r="I144" s="172"/>
      <c r="J144" s="174"/>
    </row>
    <row r="145" spans="3:10" ht="15.75">
      <c r="C145" s="174"/>
      <c r="D145" s="174"/>
      <c r="E145" s="174"/>
      <c r="F145" s="174"/>
      <c r="G145" s="174"/>
      <c r="H145" s="174"/>
      <c r="I145" s="172"/>
      <c r="J145" s="174"/>
    </row>
    <row r="146" spans="3:10" ht="15.75">
      <c r="C146" s="174"/>
      <c r="D146" s="174"/>
      <c r="E146" s="174"/>
      <c r="F146" s="174"/>
      <c r="G146" s="174"/>
      <c r="H146" s="174"/>
      <c r="I146" s="172"/>
      <c r="J146" s="174"/>
    </row>
    <row r="147" spans="3:10" ht="15.75">
      <c r="C147" s="174"/>
      <c r="D147" s="174"/>
      <c r="E147" s="174"/>
      <c r="F147" s="174"/>
      <c r="G147" s="174"/>
      <c r="H147" s="174"/>
      <c r="I147" s="172"/>
      <c r="J147" s="174"/>
    </row>
    <row r="148" spans="3:10" ht="15.75">
      <c r="C148" s="174"/>
      <c r="D148" s="174"/>
      <c r="E148" s="174"/>
      <c r="F148" s="174"/>
      <c r="G148" s="174"/>
      <c r="H148" s="174"/>
      <c r="I148" s="172"/>
      <c r="J148" s="174"/>
    </row>
    <row r="149" spans="3:10" ht="15.75">
      <c r="C149" s="174"/>
      <c r="D149" s="174"/>
      <c r="E149" s="174"/>
      <c r="F149" s="174"/>
      <c r="G149" s="174"/>
      <c r="H149" s="174"/>
      <c r="I149" s="172"/>
      <c r="J149" s="174"/>
    </row>
    <row r="150" spans="3:10" ht="15.75">
      <c r="C150" s="174"/>
      <c r="D150" s="174"/>
      <c r="E150" s="174"/>
      <c r="F150" s="174"/>
      <c r="G150" s="174"/>
      <c r="H150" s="174"/>
      <c r="I150" s="172"/>
      <c r="J150" s="174"/>
    </row>
    <row r="151" spans="3:10" ht="15.75">
      <c r="C151" s="174"/>
      <c r="D151" s="174"/>
      <c r="E151" s="174"/>
      <c r="F151" s="174"/>
      <c r="G151" s="174"/>
      <c r="H151" s="174"/>
      <c r="I151" s="172"/>
      <c r="J151" s="174"/>
    </row>
    <row r="152" spans="3:10" ht="15.75">
      <c r="C152" s="174"/>
      <c r="D152" s="174"/>
      <c r="E152" s="174"/>
      <c r="F152" s="174"/>
      <c r="G152" s="174"/>
      <c r="H152" s="174"/>
      <c r="I152" s="172"/>
      <c r="J152" s="174"/>
    </row>
    <row r="153" spans="3:10" ht="15.75">
      <c r="C153" s="174"/>
      <c r="D153" s="174"/>
      <c r="E153" s="174"/>
      <c r="F153" s="174"/>
      <c r="G153" s="174"/>
      <c r="H153" s="174"/>
      <c r="I153" s="172"/>
      <c r="J153" s="174"/>
    </row>
    <row r="154" spans="3:10" ht="15.75">
      <c r="C154" s="174"/>
      <c r="D154" s="174"/>
      <c r="E154" s="174"/>
      <c r="F154" s="174"/>
      <c r="G154" s="174"/>
      <c r="H154" s="174"/>
      <c r="I154" s="172"/>
      <c r="J154" s="174"/>
    </row>
    <row r="155" spans="3:10" ht="15.75">
      <c r="C155" s="174"/>
      <c r="D155" s="174"/>
      <c r="E155" s="174"/>
      <c r="F155" s="174"/>
      <c r="G155" s="174"/>
      <c r="H155" s="174"/>
      <c r="I155" s="172"/>
      <c r="J155" s="174"/>
    </row>
    <row r="156" spans="3:10" ht="15.75">
      <c r="C156" s="174"/>
      <c r="D156" s="174"/>
      <c r="E156" s="174"/>
      <c r="F156" s="174"/>
      <c r="G156" s="174"/>
      <c r="H156" s="174"/>
      <c r="I156" s="172"/>
      <c r="J156" s="174"/>
    </row>
    <row r="157" spans="3:10" ht="15.75">
      <c r="C157" s="174"/>
      <c r="D157" s="174"/>
      <c r="E157" s="174"/>
      <c r="F157" s="174"/>
      <c r="G157" s="174"/>
      <c r="H157" s="174"/>
      <c r="I157" s="172"/>
      <c r="J157" s="174"/>
    </row>
    <row r="158" spans="3:10" ht="15.75">
      <c r="C158" s="174"/>
      <c r="D158" s="174"/>
      <c r="E158" s="174"/>
      <c r="F158" s="174"/>
      <c r="G158" s="174"/>
      <c r="H158" s="174"/>
      <c r="I158" s="172"/>
      <c r="J158" s="174"/>
    </row>
    <row r="159" spans="3:10" ht="15.75">
      <c r="C159" s="174"/>
      <c r="D159" s="174"/>
      <c r="E159" s="174"/>
      <c r="F159" s="174"/>
      <c r="G159" s="174"/>
      <c r="H159" s="174"/>
      <c r="I159" s="172"/>
      <c r="J159" s="174"/>
    </row>
    <row r="160" spans="3:10" ht="15.75">
      <c r="C160" s="174"/>
      <c r="D160" s="174"/>
      <c r="E160" s="174"/>
      <c r="F160" s="174"/>
      <c r="G160" s="174"/>
      <c r="H160" s="174"/>
      <c r="I160" s="172"/>
      <c r="J160" s="174"/>
    </row>
    <row r="161" spans="3:10" ht="15.75">
      <c r="C161" s="174"/>
      <c r="D161" s="174"/>
      <c r="E161" s="174"/>
      <c r="F161" s="174"/>
      <c r="G161" s="174"/>
      <c r="H161" s="174"/>
      <c r="I161" s="172"/>
      <c r="J161" s="174"/>
    </row>
    <row r="162" spans="3:10" ht="15.75">
      <c r="C162" s="174"/>
      <c r="D162" s="174"/>
      <c r="E162" s="174"/>
      <c r="F162" s="174"/>
      <c r="G162" s="174"/>
      <c r="H162" s="174"/>
      <c r="I162" s="172"/>
      <c r="J162" s="174"/>
    </row>
    <row r="163" spans="3:10" ht="15.75">
      <c r="C163" s="174"/>
      <c r="D163" s="174"/>
      <c r="E163" s="174"/>
      <c r="F163" s="174"/>
      <c r="G163" s="174"/>
      <c r="H163" s="174"/>
      <c r="I163" s="172"/>
      <c r="J163" s="174"/>
    </row>
    <row r="164" spans="3:10" ht="15.75">
      <c r="C164" s="174"/>
      <c r="D164" s="174"/>
      <c r="E164" s="174"/>
      <c r="F164" s="174"/>
      <c r="G164" s="174"/>
      <c r="H164" s="174"/>
      <c r="I164" s="172"/>
      <c r="J164" s="174"/>
    </row>
    <row r="165" spans="3:10" ht="15.75">
      <c r="C165" s="174"/>
      <c r="D165" s="174"/>
      <c r="E165" s="174"/>
      <c r="F165" s="174"/>
      <c r="G165" s="174"/>
      <c r="H165" s="174"/>
      <c r="I165" s="172"/>
      <c r="J165" s="174"/>
    </row>
    <row r="166" spans="3:10" ht="15.75">
      <c r="C166" s="174"/>
      <c r="D166" s="174"/>
      <c r="E166" s="174"/>
      <c r="F166" s="174"/>
      <c r="G166" s="174"/>
      <c r="H166" s="174"/>
      <c r="I166" s="172"/>
      <c r="J166" s="174"/>
    </row>
    <row r="167" spans="3:10" ht="15.75">
      <c r="C167" s="174"/>
      <c r="D167" s="174"/>
      <c r="E167" s="174"/>
      <c r="F167" s="174"/>
      <c r="G167" s="174"/>
      <c r="H167" s="174"/>
      <c r="I167" s="172"/>
      <c r="J167" s="174"/>
    </row>
    <row r="168" spans="3:10" ht="15.75">
      <c r="C168" s="174"/>
      <c r="D168" s="174"/>
      <c r="E168" s="174"/>
      <c r="F168" s="174"/>
      <c r="G168" s="174"/>
      <c r="H168" s="174"/>
      <c r="I168" s="172"/>
      <c r="J168" s="174"/>
    </row>
    <row r="169" spans="3:10" ht="15.75">
      <c r="C169" s="174"/>
      <c r="D169" s="174"/>
      <c r="E169" s="174"/>
      <c r="F169" s="174"/>
      <c r="G169" s="174"/>
      <c r="H169" s="174"/>
      <c r="I169" s="172"/>
      <c r="J169" s="174"/>
    </row>
    <row r="170" spans="3:10" ht="15.75">
      <c r="C170" s="174"/>
      <c r="D170" s="174"/>
      <c r="E170" s="174"/>
      <c r="F170" s="174"/>
      <c r="G170" s="174"/>
      <c r="H170" s="174"/>
      <c r="I170" s="172"/>
      <c r="J170" s="174"/>
    </row>
    <row r="171" spans="3:10" ht="15.75">
      <c r="C171" s="174"/>
      <c r="D171" s="174"/>
      <c r="E171" s="174"/>
      <c r="F171" s="174"/>
      <c r="G171" s="174"/>
      <c r="H171" s="174"/>
      <c r="I171" s="172"/>
      <c r="J171" s="174"/>
    </row>
    <row r="172" spans="3:10" ht="15.75">
      <c r="C172" s="174"/>
      <c r="D172" s="174"/>
      <c r="E172" s="174"/>
      <c r="F172" s="174"/>
      <c r="G172" s="174"/>
      <c r="H172" s="174"/>
      <c r="I172" s="172"/>
      <c r="J172" s="174"/>
    </row>
    <row r="173" spans="3:10" ht="15.75">
      <c r="C173" s="174"/>
      <c r="D173" s="174"/>
      <c r="E173" s="174"/>
      <c r="F173" s="174"/>
      <c r="G173" s="174"/>
      <c r="H173" s="174"/>
      <c r="I173" s="172"/>
      <c r="J173" s="174"/>
    </row>
    <row r="174" spans="3:10" ht="15.75">
      <c r="C174" s="174"/>
      <c r="D174" s="174"/>
      <c r="E174" s="174"/>
      <c r="F174" s="174"/>
      <c r="G174" s="174"/>
      <c r="H174" s="174"/>
      <c r="I174" s="172"/>
      <c r="J174" s="174"/>
    </row>
    <row r="175" spans="3:10" ht="15.75">
      <c r="C175" s="174"/>
      <c r="D175" s="174"/>
      <c r="E175" s="174"/>
      <c r="F175" s="174"/>
      <c r="G175" s="174"/>
      <c r="H175" s="174"/>
      <c r="I175" s="172"/>
      <c r="J175" s="174"/>
    </row>
    <row r="176" spans="3:10" ht="15.75">
      <c r="C176" s="174"/>
      <c r="D176" s="174"/>
      <c r="E176" s="174"/>
      <c r="F176" s="174"/>
      <c r="G176" s="174"/>
      <c r="H176" s="174"/>
      <c r="I176" s="172"/>
      <c r="J176" s="174"/>
    </row>
    <row r="177" spans="3:10" ht="15.75">
      <c r="C177" s="174"/>
      <c r="D177" s="174"/>
      <c r="E177" s="174"/>
      <c r="F177" s="174"/>
      <c r="G177" s="174"/>
      <c r="H177" s="174"/>
      <c r="I177" s="172"/>
      <c r="J177" s="174"/>
    </row>
    <row r="178" spans="3:10" ht="15.75">
      <c r="C178" s="174"/>
      <c r="D178" s="174"/>
      <c r="E178" s="174"/>
      <c r="F178" s="174"/>
      <c r="G178" s="174"/>
      <c r="H178" s="174"/>
      <c r="I178" s="172"/>
      <c r="J178" s="174"/>
    </row>
    <row r="179" spans="3:10" ht="15.75">
      <c r="C179" s="174"/>
      <c r="D179" s="174"/>
      <c r="E179" s="174"/>
      <c r="F179" s="174"/>
      <c r="G179" s="174"/>
      <c r="H179" s="174"/>
      <c r="I179" s="172"/>
      <c r="J179" s="174"/>
    </row>
    <row r="180" spans="3:10" ht="15.75">
      <c r="C180" s="174"/>
      <c r="D180" s="174"/>
      <c r="E180" s="174"/>
      <c r="F180" s="174"/>
      <c r="G180" s="174"/>
      <c r="H180" s="174"/>
      <c r="I180" s="172"/>
      <c r="J180" s="174"/>
    </row>
    <row r="181" spans="3:10" ht="15.75">
      <c r="C181" s="174"/>
      <c r="D181" s="174"/>
      <c r="E181" s="174"/>
      <c r="F181" s="174"/>
      <c r="G181" s="174"/>
      <c r="H181" s="174"/>
      <c r="I181" s="172"/>
      <c r="J181" s="174"/>
    </row>
    <row r="182" spans="3:10" ht="15.75">
      <c r="C182" s="174"/>
      <c r="D182" s="174"/>
      <c r="E182" s="174"/>
      <c r="F182" s="174"/>
      <c r="G182" s="174"/>
      <c r="H182" s="174"/>
      <c r="I182" s="172"/>
      <c r="J182" s="174"/>
    </row>
    <row r="183" spans="3:10" ht="15.75">
      <c r="C183" s="174"/>
      <c r="D183" s="174"/>
      <c r="E183" s="174"/>
      <c r="F183" s="174"/>
      <c r="G183" s="174"/>
      <c r="H183" s="174"/>
      <c r="I183" s="172"/>
      <c r="J183" s="174"/>
    </row>
    <row r="184" spans="3:10" ht="15.75">
      <c r="C184" s="174"/>
      <c r="D184" s="174"/>
      <c r="E184" s="174"/>
      <c r="F184" s="174"/>
      <c r="G184" s="174"/>
      <c r="H184" s="174"/>
      <c r="I184" s="172"/>
      <c r="J184" s="174"/>
    </row>
    <row r="185" spans="3:10" ht="15.75">
      <c r="C185" s="174"/>
      <c r="D185" s="174"/>
      <c r="E185" s="174"/>
      <c r="F185" s="174"/>
      <c r="G185" s="174"/>
      <c r="H185" s="174"/>
      <c r="I185" s="172"/>
      <c r="J185" s="174"/>
    </row>
    <row r="186" spans="3:10" ht="15.75">
      <c r="C186" s="174"/>
      <c r="D186" s="174"/>
      <c r="E186" s="174"/>
      <c r="F186" s="174"/>
      <c r="G186" s="174"/>
      <c r="H186" s="174"/>
      <c r="I186" s="172"/>
      <c r="J186" s="174"/>
    </row>
    <row r="187" spans="3:10" ht="15.75">
      <c r="C187" s="174"/>
      <c r="D187" s="174"/>
      <c r="E187" s="174"/>
      <c r="F187" s="174"/>
      <c r="G187" s="174"/>
      <c r="H187" s="174"/>
      <c r="I187" s="172"/>
      <c r="J187" s="174"/>
    </row>
    <row r="188" spans="3:10" ht="15.75">
      <c r="C188" s="174"/>
      <c r="D188" s="174"/>
      <c r="E188" s="174"/>
      <c r="F188" s="174"/>
      <c r="G188" s="174"/>
      <c r="H188" s="174"/>
      <c r="I188" s="172"/>
      <c r="J188" s="174"/>
    </row>
    <row r="189" spans="3:10" ht="15.75">
      <c r="C189" s="174"/>
      <c r="D189" s="174"/>
      <c r="E189" s="174"/>
      <c r="F189" s="174"/>
      <c r="G189" s="174"/>
      <c r="H189" s="174"/>
      <c r="I189" s="172"/>
      <c r="J189" s="174"/>
    </row>
    <row r="190" spans="3:10" ht="15.75">
      <c r="C190" s="174"/>
      <c r="D190" s="174"/>
      <c r="E190" s="174"/>
      <c r="F190" s="174"/>
      <c r="G190" s="174"/>
      <c r="H190" s="174"/>
      <c r="I190" s="172"/>
      <c r="J190" s="174"/>
    </row>
    <row r="191" spans="3:10" ht="15.75">
      <c r="C191" s="174"/>
      <c r="D191" s="174"/>
      <c r="E191" s="174"/>
      <c r="F191" s="174"/>
      <c r="G191" s="174"/>
      <c r="H191" s="174"/>
      <c r="I191" s="172"/>
      <c r="J191" s="174"/>
    </row>
    <row r="192" spans="3:10" ht="15.75">
      <c r="C192" s="174"/>
      <c r="D192" s="174"/>
      <c r="E192" s="174"/>
      <c r="F192" s="174"/>
      <c r="G192" s="174"/>
      <c r="H192" s="174"/>
      <c r="I192" s="172"/>
      <c r="J192" s="174"/>
    </row>
    <row r="193" spans="3:10" ht="15.75">
      <c r="C193" s="174"/>
      <c r="D193" s="174"/>
      <c r="E193" s="174"/>
      <c r="F193" s="174"/>
      <c r="G193" s="174"/>
      <c r="H193" s="174"/>
      <c r="I193" s="172"/>
      <c r="J193" s="174"/>
    </row>
    <row r="194" spans="3:10" ht="15.75">
      <c r="C194" s="174"/>
      <c r="D194" s="174"/>
      <c r="E194" s="174"/>
      <c r="F194" s="174"/>
      <c r="G194" s="174"/>
      <c r="H194" s="174"/>
      <c r="I194" s="172"/>
      <c r="J194" s="174"/>
    </row>
    <row r="195" spans="3:10" ht="15.75">
      <c r="C195" s="174"/>
      <c r="D195" s="174"/>
      <c r="E195" s="174"/>
      <c r="F195" s="174"/>
      <c r="G195" s="174"/>
      <c r="H195" s="174"/>
      <c r="I195" s="172"/>
      <c r="J195" s="174"/>
    </row>
    <row r="196" spans="3:10" ht="15.75">
      <c r="C196" s="174"/>
      <c r="D196" s="174"/>
      <c r="E196" s="174"/>
      <c r="F196" s="174"/>
      <c r="G196" s="174"/>
      <c r="H196" s="174"/>
      <c r="I196" s="172"/>
      <c r="J196" s="174"/>
    </row>
    <row r="197" spans="3:10" ht="15.75">
      <c r="C197" s="174"/>
      <c r="D197" s="174"/>
      <c r="E197" s="174"/>
      <c r="F197" s="174"/>
      <c r="G197" s="174"/>
      <c r="H197" s="174"/>
      <c r="I197" s="172"/>
      <c r="J197" s="174"/>
    </row>
    <row r="198" spans="3:10" ht="15.75">
      <c r="C198" s="174"/>
      <c r="D198" s="174"/>
      <c r="E198" s="174"/>
      <c r="F198" s="174"/>
      <c r="G198" s="174"/>
      <c r="H198" s="174"/>
      <c r="I198" s="172"/>
      <c r="J198" s="174"/>
    </row>
    <row r="199" spans="3:10" ht="15.75">
      <c r="C199" s="174"/>
      <c r="D199" s="174"/>
      <c r="E199" s="174"/>
      <c r="F199" s="174"/>
      <c r="G199" s="174"/>
      <c r="H199" s="174"/>
      <c r="I199" s="172"/>
      <c r="J199" s="174"/>
    </row>
    <row r="200" spans="3:10" ht="15.75">
      <c r="C200" s="174"/>
      <c r="D200" s="174"/>
      <c r="E200" s="174"/>
      <c r="F200" s="174"/>
      <c r="G200" s="174"/>
      <c r="H200" s="174"/>
      <c r="I200" s="172"/>
      <c r="J200" s="174"/>
    </row>
    <row r="201" spans="3:10" ht="15.75">
      <c r="C201" s="174"/>
      <c r="D201" s="174"/>
      <c r="E201" s="174"/>
      <c r="F201" s="174"/>
      <c r="G201" s="174"/>
      <c r="H201" s="174"/>
      <c r="I201" s="172"/>
      <c r="J201" s="174"/>
    </row>
    <row r="202" spans="3:10" ht="15.75">
      <c r="C202" s="174"/>
      <c r="D202" s="174"/>
      <c r="E202" s="174"/>
      <c r="F202" s="174"/>
      <c r="G202" s="174"/>
      <c r="H202" s="174"/>
      <c r="I202" s="172"/>
      <c r="J202" s="174"/>
    </row>
    <row r="203" spans="3:10" ht="15.75">
      <c r="C203" s="174"/>
      <c r="D203" s="174"/>
      <c r="E203" s="174"/>
      <c r="F203" s="174"/>
      <c r="G203" s="174"/>
      <c r="H203" s="174"/>
      <c r="I203" s="172"/>
      <c r="J203" s="174"/>
    </row>
    <row r="204" spans="3:10" ht="15.75">
      <c r="C204" s="174"/>
      <c r="D204" s="174"/>
      <c r="E204" s="174"/>
      <c r="F204" s="174"/>
      <c r="G204" s="174"/>
      <c r="H204" s="174"/>
      <c r="I204" s="172"/>
      <c r="J204" s="174"/>
    </row>
    <row r="205" spans="3:10" ht="15.75">
      <c r="C205" s="174"/>
      <c r="D205" s="174"/>
      <c r="E205" s="174"/>
      <c r="F205" s="174"/>
      <c r="G205" s="174"/>
      <c r="H205" s="174"/>
      <c r="I205" s="172"/>
      <c r="J205" s="174"/>
    </row>
    <row r="206" spans="3:10" ht="15.75">
      <c r="C206" s="174"/>
      <c r="D206" s="174"/>
      <c r="E206" s="174"/>
      <c r="F206" s="174"/>
      <c r="G206" s="174"/>
      <c r="H206" s="174"/>
      <c r="I206" s="172"/>
      <c r="J206" s="174"/>
    </row>
    <row r="207" spans="3:10" ht="15.75">
      <c r="C207" s="174"/>
      <c r="D207" s="174"/>
      <c r="E207" s="174"/>
      <c r="F207" s="174"/>
      <c r="G207" s="174"/>
      <c r="H207" s="174"/>
      <c r="I207" s="172"/>
      <c r="J207" s="174"/>
    </row>
    <row r="208" spans="3:10" ht="15.75">
      <c r="C208" s="174"/>
      <c r="D208" s="174"/>
      <c r="E208" s="174"/>
      <c r="F208" s="174"/>
      <c r="G208" s="174"/>
      <c r="H208" s="174"/>
      <c r="I208" s="172"/>
      <c r="J208" s="174"/>
    </row>
    <row r="209" spans="3:10" ht="15.75">
      <c r="C209" s="174"/>
      <c r="D209" s="174"/>
      <c r="E209" s="174"/>
      <c r="F209" s="174"/>
      <c r="G209" s="174"/>
      <c r="H209" s="174"/>
      <c r="I209" s="172"/>
      <c r="J209" s="174"/>
    </row>
    <row r="210" spans="3:10" ht="15.75">
      <c r="C210" s="174"/>
      <c r="D210" s="174"/>
      <c r="E210" s="174"/>
      <c r="F210" s="174"/>
      <c r="G210" s="174"/>
      <c r="H210" s="174"/>
      <c r="I210" s="172"/>
      <c r="J210" s="174"/>
    </row>
    <row r="211" spans="3:10" ht="15.75">
      <c r="C211" s="174"/>
      <c r="D211" s="174"/>
      <c r="E211" s="174"/>
      <c r="F211" s="174"/>
      <c r="G211" s="174"/>
      <c r="H211" s="174"/>
      <c r="I211" s="172"/>
      <c r="J211" s="174"/>
    </row>
    <row r="212" spans="3:10" ht="15.75">
      <c r="C212" s="174"/>
      <c r="D212" s="174"/>
      <c r="E212" s="174"/>
      <c r="F212" s="174"/>
      <c r="G212" s="174"/>
      <c r="H212" s="174"/>
      <c r="I212" s="172"/>
      <c r="J212" s="174"/>
    </row>
    <row r="213" spans="3:10" ht="15.75">
      <c r="C213" s="174"/>
      <c r="D213" s="174"/>
      <c r="E213" s="174"/>
      <c r="F213" s="174"/>
      <c r="G213" s="174"/>
      <c r="H213" s="174"/>
      <c r="I213" s="172"/>
      <c r="J213" s="174"/>
    </row>
    <row r="214" spans="3:10" ht="15.75">
      <c r="C214" s="174"/>
      <c r="D214" s="174"/>
      <c r="E214" s="174"/>
      <c r="F214" s="174"/>
      <c r="G214" s="174"/>
      <c r="H214" s="174"/>
      <c r="I214" s="172"/>
      <c r="J214" s="174"/>
    </row>
    <row r="215" spans="3:10" ht="15.75">
      <c r="C215" s="174"/>
      <c r="D215" s="174"/>
      <c r="E215" s="174"/>
      <c r="F215" s="174"/>
      <c r="G215" s="174"/>
      <c r="H215" s="174"/>
      <c r="I215" s="172"/>
      <c r="J215" s="174"/>
    </row>
    <row r="216" spans="3:10" ht="15.75">
      <c r="C216" s="174"/>
      <c r="D216" s="174"/>
      <c r="E216" s="174"/>
      <c r="F216" s="174"/>
      <c r="G216" s="174"/>
      <c r="H216" s="174"/>
      <c r="I216" s="172"/>
      <c r="J216" s="174"/>
    </row>
    <row r="217" spans="3:10" ht="15.75">
      <c r="C217" s="174"/>
      <c r="D217" s="174"/>
      <c r="E217" s="174"/>
      <c r="F217" s="174"/>
      <c r="G217" s="174"/>
      <c r="H217" s="174"/>
      <c r="I217" s="172"/>
      <c r="J217" s="174"/>
    </row>
    <row r="218" spans="3:10" ht="15.75">
      <c r="C218" s="174"/>
      <c r="D218" s="174"/>
      <c r="E218" s="174"/>
      <c r="F218" s="174"/>
      <c r="G218" s="174"/>
      <c r="H218" s="174"/>
      <c r="I218" s="172"/>
      <c r="J218" s="174"/>
    </row>
    <row r="219" spans="3:10" ht="15.75">
      <c r="C219" s="174"/>
      <c r="D219" s="174"/>
      <c r="E219" s="174"/>
      <c r="F219" s="174"/>
      <c r="G219" s="174"/>
      <c r="H219" s="174"/>
      <c r="I219" s="172"/>
      <c r="J219" s="174"/>
    </row>
    <row r="220" spans="3:10" ht="15.75">
      <c r="C220" s="174"/>
      <c r="D220" s="174"/>
      <c r="E220" s="174"/>
      <c r="F220" s="174"/>
      <c r="G220" s="174"/>
      <c r="H220" s="174"/>
      <c r="I220" s="172"/>
      <c r="J220" s="174"/>
    </row>
    <row r="221" spans="3:10" ht="15.75">
      <c r="C221" s="174"/>
      <c r="D221" s="174"/>
      <c r="E221" s="174"/>
      <c r="F221" s="174"/>
      <c r="G221" s="174"/>
      <c r="H221" s="174"/>
      <c r="I221" s="172"/>
      <c r="J221" s="174"/>
    </row>
    <row r="222" spans="3:10" ht="15.75">
      <c r="C222" s="174"/>
      <c r="D222" s="174"/>
      <c r="E222" s="174"/>
      <c r="F222" s="174"/>
      <c r="G222" s="174"/>
      <c r="H222" s="174"/>
      <c r="I222" s="172"/>
      <c r="J222" s="174"/>
    </row>
    <row r="223" spans="3:10" ht="15.75">
      <c r="C223" s="174"/>
      <c r="D223" s="174"/>
      <c r="E223" s="174"/>
      <c r="F223" s="174"/>
      <c r="G223" s="174"/>
      <c r="H223" s="174"/>
      <c r="I223" s="172"/>
      <c r="J223" s="174"/>
    </row>
    <row r="224" spans="3:10" ht="15.75">
      <c r="C224" s="174"/>
      <c r="D224" s="174"/>
      <c r="E224" s="174"/>
      <c r="F224" s="174"/>
      <c r="G224" s="174"/>
      <c r="H224" s="174"/>
      <c r="I224" s="172"/>
      <c r="J224" s="174"/>
    </row>
    <row r="225" spans="3:10" ht="15.75">
      <c r="C225" s="174"/>
      <c r="D225" s="174"/>
      <c r="E225" s="174"/>
      <c r="F225" s="174"/>
      <c r="G225" s="174"/>
      <c r="H225" s="174"/>
      <c r="I225" s="172"/>
      <c r="J225" s="174"/>
    </row>
    <row r="226" spans="3:10" ht="15.75">
      <c r="C226" s="174"/>
      <c r="D226" s="174"/>
      <c r="E226" s="174"/>
      <c r="F226" s="174"/>
      <c r="G226" s="174"/>
      <c r="H226" s="174"/>
      <c r="I226" s="172"/>
      <c r="J226" s="174"/>
    </row>
    <row r="227" spans="3:10" ht="15.75">
      <c r="C227" s="174"/>
      <c r="D227" s="174"/>
      <c r="E227" s="174"/>
      <c r="F227" s="174"/>
      <c r="G227" s="174"/>
      <c r="H227" s="174"/>
      <c r="I227" s="172"/>
      <c r="J227" s="174"/>
    </row>
    <row r="228" spans="3:10" ht="15.75">
      <c r="C228" s="174"/>
      <c r="D228" s="174"/>
      <c r="E228" s="174"/>
      <c r="F228" s="174"/>
      <c r="G228" s="174"/>
      <c r="H228" s="174"/>
      <c r="I228" s="172"/>
      <c r="J228" s="174"/>
    </row>
    <row r="229" spans="3:10" ht="15.75">
      <c r="C229" s="174"/>
      <c r="D229" s="174"/>
      <c r="E229" s="174"/>
      <c r="F229" s="174"/>
      <c r="G229" s="174"/>
      <c r="H229" s="174"/>
      <c r="I229" s="172"/>
      <c r="J229" s="174"/>
    </row>
    <row r="230" spans="3:10" ht="15.75">
      <c r="C230" s="174"/>
      <c r="D230" s="174"/>
      <c r="E230" s="174"/>
      <c r="F230" s="174"/>
      <c r="G230" s="174"/>
      <c r="H230" s="174"/>
      <c r="I230" s="172"/>
      <c r="J230" s="174"/>
    </row>
    <row r="231" spans="3:10" ht="15.75">
      <c r="C231" s="174"/>
      <c r="D231" s="174"/>
      <c r="E231" s="174"/>
      <c r="F231" s="174"/>
      <c r="G231" s="174"/>
      <c r="H231" s="174"/>
      <c r="I231" s="172"/>
      <c r="J231" s="174"/>
    </row>
    <row r="232" spans="3:10" ht="15.75">
      <c r="C232" s="174"/>
      <c r="D232" s="174"/>
      <c r="E232" s="174"/>
      <c r="F232" s="174"/>
      <c r="G232" s="174"/>
      <c r="H232" s="174"/>
      <c r="I232" s="172"/>
      <c r="J232" s="174"/>
    </row>
    <row r="233" spans="3:10" ht="15.75">
      <c r="C233" s="174"/>
      <c r="D233" s="174"/>
      <c r="E233" s="174"/>
      <c r="F233" s="174"/>
      <c r="G233" s="174"/>
      <c r="H233" s="174"/>
      <c r="I233" s="172"/>
      <c r="J233" s="174"/>
    </row>
    <row r="234" spans="3:10" ht="15.75">
      <c r="C234" s="174"/>
      <c r="D234" s="174"/>
      <c r="E234" s="174"/>
      <c r="F234" s="174"/>
      <c r="G234" s="174"/>
      <c r="H234" s="174"/>
      <c r="I234" s="172"/>
      <c r="J234" s="174"/>
    </row>
    <row r="235" spans="3:10" ht="15.75">
      <c r="C235" s="174"/>
      <c r="D235" s="174"/>
      <c r="E235" s="174"/>
      <c r="F235" s="174"/>
      <c r="G235" s="174"/>
      <c r="H235" s="174"/>
      <c r="I235" s="172"/>
      <c r="J235" s="174"/>
    </row>
    <row r="236" spans="3:10" ht="15.75">
      <c r="C236" s="174"/>
      <c r="D236" s="174"/>
      <c r="E236" s="174"/>
      <c r="F236" s="174"/>
      <c r="G236" s="174"/>
      <c r="H236" s="174"/>
      <c r="I236" s="172"/>
      <c r="J236" s="174"/>
    </row>
    <row r="237" spans="3:10" ht="15.75">
      <c r="C237" s="174"/>
      <c r="D237" s="174"/>
      <c r="E237" s="174"/>
      <c r="F237" s="174"/>
      <c r="G237" s="174"/>
      <c r="H237" s="174"/>
      <c r="I237" s="172"/>
      <c r="J237" s="174"/>
    </row>
    <row r="238" spans="3:10" ht="15.75">
      <c r="C238" s="174"/>
      <c r="D238" s="174"/>
      <c r="E238" s="174"/>
      <c r="F238" s="174"/>
      <c r="G238" s="174"/>
      <c r="H238" s="174"/>
      <c r="I238" s="172"/>
      <c r="J238" s="174"/>
    </row>
    <row r="239" spans="3:10" ht="15.75">
      <c r="C239" s="174"/>
      <c r="D239" s="174"/>
      <c r="E239" s="174"/>
      <c r="F239" s="174"/>
      <c r="G239" s="174"/>
      <c r="H239" s="174"/>
      <c r="I239" s="172"/>
      <c r="J239" s="174"/>
    </row>
    <row r="240" spans="3:10" ht="15.75">
      <c r="C240" s="174"/>
      <c r="D240" s="174"/>
      <c r="E240" s="174"/>
      <c r="F240" s="174"/>
      <c r="G240" s="174"/>
      <c r="H240" s="174"/>
      <c r="I240" s="172"/>
      <c r="J240" s="174"/>
    </row>
    <row r="241" spans="3:10" ht="15.75">
      <c r="C241" s="174"/>
      <c r="D241" s="174"/>
      <c r="E241" s="174"/>
      <c r="F241" s="174"/>
      <c r="G241" s="174"/>
      <c r="H241" s="174"/>
      <c r="I241" s="172"/>
      <c r="J241" s="174"/>
    </row>
    <row r="242" spans="3:10" ht="15.75">
      <c r="C242" s="174"/>
      <c r="D242" s="174"/>
      <c r="E242" s="174"/>
      <c r="F242" s="174"/>
      <c r="G242" s="174"/>
      <c r="H242" s="174"/>
      <c r="I242" s="172"/>
      <c r="J242" s="174"/>
    </row>
    <row r="243" spans="3:10" ht="15.75">
      <c r="C243" s="174"/>
      <c r="D243" s="174"/>
      <c r="E243" s="174"/>
      <c r="F243" s="174"/>
      <c r="G243" s="174"/>
      <c r="H243" s="174"/>
      <c r="I243" s="172"/>
      <c r="J243" s="174"/>
    </row>
    <row r="244" spans="3:10" ht="15.75">
      <c r="C244" s="174"/>
      <c r="D244" s="174"/>
      <c r="E244" s="174"/>
      <c r="F244" s="174"/>
      <c r="G244" s="174"/>
      <c r="H244" s="174"/>
      <c r="I244" s="172"/>
      <c r="J244" s="174"/>
    </row>
    <row r="245" spans="3:10" ht="15.75">
      <c r="C245" s="174"/>
      <c r="D245" s="174"/>
      <c r="E245" s="174"/>
      <c r="F245" s="174"/>
      <c r="G245" s="174"/>
      <c r="H245" s="174"/>
      <c r="I245" s="172"/>
      <c r="J245" s="174"/>
    </row>
    <row r="246" spans="3:10" ht="15.75">
      <c r="C246" s="174"/>
      <c r="D246" s="174"/>
      <c r="E246" s="174"/>
      <c r="F246" s="174"/>
      <c r="G246" s="174"/>
      <c r="H246" s="174"/>
      <c r="I246" s="172"/>
      <c r="J246" s="174"/>
    </row>
    <row r="247" spans="3:10" ht="15.75">
      <c r="C247" s="174"/>
      <c r="D247" s="174"/>
      <c r="E247" s="174"/>
      <c r="F247" s="174"/>
      <c r="G247" s="174"/>
      <c r="H247" s="174"/>
      <c r="I247" s="172"/>
      <c r="J247" s="174"/>
    </row>
    <row r="248" spans="3:10" ht="15.75">
      <c r="C248" s="174"/>
      <c r="D248" s="174"/>
      <c r="E248" s="174"/>
      <c r="F248" s="174"/>
      <c r="G248" s="174"/>
      <c r="H248" s="174"/>
      <c r="I248" s="172"/>
      <c r="J248" s="174"/>
    </row>
    <row r="249" spans="3:10" ht="15.75">
      <c r="C249" s="174"/>
      <c r="D249" s="174"/>
      <c r="E249" s="174"/>
      <c r="F249" s="174"/>
      <c r="G249" s="174"/>
      <c r="H249" s="174"/>
      <c r="I249" s="172"/>
      <c r="J249" s="174"/>
    </row>
    <row r="250" spans="3:10" ht="15.75">
      <c r="C250" s="174"/>
      <c r="D250" s="174"/>
      <c r="E250" s="174"/>
      <c r="F250" s="174"/>
      <c r="G250" s="174"/>
      <c r="H250" s="174"/>
      <c r="I250" s="172"/>
      <c r="J250" s="174"/>
    </row>
    <row r="251" spans="3:10" ht="15.75">
      <c r="C251" s="174"/>
      <c r="D251" s="174"/>
      <c r="E251" s="174"/>
      <c r="F251" s="174"/>
      <c r="G251" s="174"/>
      <c r="H251" s="174"/>
      <c r="I251" s="172"/>
      <c r="J251" s="174"/>
    </row>
    <row r="252" spans="3:10" ht="15.75">
      <c r="C252" s="174"/>
      <c r="D252" s="174"/>
      <c r="E252" s="174"/>
      <c r="F252" s="174"/>
      <c r="G252" s="174"/>
      <c r="H252" s="174"/>
      <c r="I252" s="172"/>
      <c r="J252" s="174"/>
    </row>
    <row r="253" spans="3:10" ht="15.75">
      <c r="C253" s="174"/>
      <c r="D253" s="174"/>
      <c r="E253" s="174"/>
      <c r="F253" s="174"/>
      <c r="G253" s="174"/>
      <c r="H253" s="174"/>
      <c r="I253" s="172"/>
      <c r="J253" s="174"/>
    </row>
    <row r="254" spans="3:10" ht="15.75">
      <c r="C254" s="174"/>
      <c r="D254" s="174"/>
      <c r="E254" s="174"/>
      <c r="F254" s="174"/>
      <c r="G254" s="174"/>
      <c r="H254" s="174"/>
      <c r="I254" s="172"/>
      <c r="J254" s="174"/>
    </row>
    <row r="255" spans="3:10" ht="15.75">
      <c r="C255" s="174"/>
      <c r="D255" s="174"/>
      <c r="E255" s="174"/>
      <c r="F255" s="174"/>
      <c r="G255" s="174"/>
      <c r="H255" s="174"/>
      <c r="I255" s="172"/>
      <c r="J255" s="174"/>
    </row>
    <row r="256" spans="3:10" ht="15.75">
      <c r="C256" s="174"/>
      <c r="D256" s="174"/>
      <c r="E256" s="174"/>
      <c r="F256" s="174"/>
      <c r="G256" s="174"/>
      <c r="H256" s="174"/>
      <c r="I256" s="172"/>
      <c r="J256" s="174"/>
    </row>
    <row r="257" spans="3:10" ht="15.75">
      <c r="C257" s="174"/>
      <c r="D257" s="174"/>
      <c r="E257" s="174"/>
      <c r="F257" s="174"/>
      <c r="G257" s="174"/>
      <c r="H257" s="174"/>
      <c r="I257" s="172"/>
      <c r="J257" s="174"/>
    </row>
    <row r="258" spans="3:10" ht="15.75">
      <c r="C258" s="174"/>
      <c r="D258" s="174"/>
      <c r="E258" s="174"/>
      <c r="F258" s="174"/>
      <c r="G258" s="174"/>
      <c r="H258" s="174"/>
      <c r="I258" s="172"/>
      <c r="J258" s="174"/>
    </row>
    <row r="259" spans="3:10" ht="15.75">
      <c r="C259" s="174"/>
      <c r="D259" s="174"/>
      <c r="E259" s="174"/>
      <c r="F259" s="174"/>
      <c r="G259" s="174"/>
      <c r="H259" s="174"/>
      <c r="I259" s="172"/>
      <c r="J259" s="174"/>
    </row>
    <row r="260" spans="3:10" ht="15.75">
      <c r="C260" s="174"/>
      <c r="D260" s="174"/>
      <c r="E260" s="174"/>
      <c r="F260" s="174"/>
      <c r="G260" s="174"/>
      <c r="H260" s="174"/>
      <c r="I260" s="172"/>
      <c r="J260" s="174"/>
    </row>
    <row r="261" spans="3:10" ht="15.75">
      <c r="C261" s="174"/>
      <c r="D261" s="174"/>
      <c r="E261" s="174"/>
      <c r="F261" s="174"/>
      <c r="G261" s="174"/>
      <c r="H261" s="174"/>
      <c r="I261" s="172"/>
      <c r="J261" s="174"/>
    </row>
    <row r="262" spans="3:10" ht="15.75">
      <c r="C262" s="174"/>
      <c r="D262" s="174"/>
      <c r="E262" s="174"/>
      <c r="F262" s="174"/>
      <c r="G262" s="174"/>
      <c r="H262" s="174"/>
      <c r="I262" s="172"/>
      <c r="J262" s="174"/>
    </row>
    <row r="263" spans="3:10" ht="15.75">
      <c r="C263" s="174"/>
      <c r="D263" s="174"/>
      <c r="E263" s="174"/>
      <c r="F263" s="174"/>
      <c r="G263" s="174"/>
      <c r="H263" s="174"/>
      <c r="I263" s="172"/>
      <c r="J263" s="174"/>
    </row>
    <row r="264" spans="3:10" ht="15.75">
      <c r="C264" s="174"/>
      <c r="D264" s="174"/>
      <c r="E264" s="174"/>
      <c r="F264" s="174"/>
      <c r="G264" s="174"/>
      <c r="H264" s="174"/>
      <c r="I264" s="172"/>
      <c r="J264" s="174"/>
    </row>
    <row r="265" spans="3:10" ht="15.75">
      <c r="C265" s="174"/>
      <c r="D265" s="174"/>
      <c r="E265" s="174"/>
      <c r="F265" s="174"/>
      <c r="G265" s="174"/>
      <c r="H265" s="174"/>
      <c r="I265" s="172"/>
      <c r="J265" s="174"/>
    </row>
    <row r="266" spans="3:10" ht="15.75">
      <c r="C266" s="174"/>
      <c r="D266" s="174"/>
      <c r="E266" s="174"/>
      <c r="F266" s="174"/>
      <c r="G266" s="174"/>
      <c r="H266" s="174"/>
      <c r="I266" s="172"/>
      <c r="J266" s="174"/>
    </row>
    <row r="267" spans="3:10" ht="15.75">
      <c r="C267" s="174"/>
      <c r="D267" s="174"/>
      <c r="E267" s="174"/>
      <c r="F267" s="174"/>
      <c r="G267" s="174"/>
      <c r="H267" s="174"/>
      <c r="I267" s="172"/>
      <c r="J267" s="174"/>
    </row>
    <row r="268" spans="3:10" ht="15.75">
      <c r="C268" s="174"/>
      <c r="D268" s="174"/>
      <c r="E268" s="174"/>
      <c r="F268" s="174"/>
      <c r="G268" s="174"/>
      <c r="H268" s="174"/>
      <c r="I268" s="172"/>
      <c r="J268" s="174"/>
    </row>
    <row r="269" spans="3:10" ht="15.75">
      <c r="C269" s="174"/>
      <c r="D269" s="174"/>
      <c r="E269" s="174"/>
      <c r="F269" s="174"/>
      <c r="G269" s="174"/>
      <c r="H269" s="174"/>
      <c r="I269" s="172"/>
      <c r="J269" s="174"/>
    </row>
    <row r="270" spans="3:10" ht="15.75">
      <c r="C270" s="174"/>
      <c r="D270" s="174"/>
      <c r="E270" s="174"/>
      <c r="F270" s="174"/>
      <c r="G270" s="174"/>
      <c r="H270" s="174"/>
      <c r="I270" s="172"/>
      <c r="J270" s="174"/>
    </row>
    <row r="271" spans="3:10" ht="15.75">
      <c r="C271" s="174"/>
      <c r="D271" s="174"/>
      <c r="E271" s="174"/>
      <c r="F271" s="174"/>
      <c r="G271" s="174"/>
      <c r="H271" s="174"/>
      <c r="I271" s="172"/>
      <c r="J271" s="174"/>
    </row>
    <row r="272" spans="3:10" ht="15.75">
      <c r="C272" s="174"/>
      <c r="D272" s="174"/>
      <c r="E272" s="174"/>
      <c r="F272" s="174"/>
      <c r="G272" s="174"/>
      <c r="H272" s="174"/>
      <c r="I272" s="172"/>
      <c r="J272" s="174"/>
    </row>
    <row r="273" spans="3:10" ht="15.75">
      <c r="C273" s="174"/>
      <c r="D273" s="174"/>
      <c r="E273" s="174"/>
      <c r="F273" s="174"/>
      <c r="G273" s="174"/>
      <c r="H273" s="174"/>
      <c r="I273" s="172"/>
      <c r="J273" s="174"/>
    </row>
    <row r="274" spans="3:10" ht="15.75">
      <c r="C274" s="174"/>
      <c r="D274" s="174"/>
      <c r="E274" s="174"/>
      <c r="F274" s="174"/>
      <c r="G274" s="174"/>
      <c r="H274" s="174"/>
      <c r="I274" s="172"/>
      <c r="J274" s="174"/>
    </row>
    <row r="275" spans="3:10" ht="15.75">
      <c r="C275" s="174"/>
      <c r="D275" s="174"/>
      <c r="E275" s="174"/>
      <c r="F275" s="174"/>
      <c r="G275" s="174"/>
      <c r="H275" s="174"/>
      <c r="I275" s="172"/>
      <c r="J275" s="174"/>
    </row>
    <row r="276" spans="3:10" ht="15.75">
      <c r="C276" s="174"/>
      <c r="D276" s="174"/>
      <c r="E276" s="174"/>
      <c r="F276" s="174"/>
      <c r="G276" s="174"/>
      <c r="H276" s="174"/>
      <c r="I276" s="172"/>
      <c r="J276" s="174"/>
    </row>
    <row r="277" spans="3:10" ht="15.75">
      <c r="C277" s="174"/>
      <c r="D277" s="174"/>
      <c r="E277" s="174"/>
      <c r="F277" s="174"/>
      <c r="G277" s="174"/>
      <c r="H277" s="174"/>
      <c r="I277" s="172"/>
      <c r="J277" s="174"/>
    </row>
    <row r="278" spans="3:10" ht="15.75">
      <c r="C278" s="174"/>
      <c r="D278" s="174"/>
      <c r="E278" s="174"/>
      <c r="F278" s="174"/>
      <c r="G278" s="174"/>
      <c r="H278" s="174"/>
      <c r="I278" s="172"/>
      <c r="J278" s="174"/>
    </row>
    <row r="279" spans="3:10" ht="15.75">
      <c r="C279" s="174"/>
      <c r="D279" s="174"/>
      <c r="E279" s="174"/>
      <c r="F279" s="174"/>
      <c r="G279" s="174"/>
      <c r="H279" s="174"/>
      <c r="I279" s="172"/>
      <c r="J279" s="174"/>
    </row>
    <row r="280" spans="3:10" ht="15.75">
      <c r="C280" s="174"/>
      <c r="D280" s="174"/>
      <c r="E280" s="174"/>
      <c r="F280" s="174"/>
      <c r="G280" s="174"/>
      <c r="H280" s="174"/>
      <c r="I280" s="172"/>
      <c r="J280" s="174"/>
    </row>
    <row r="281" spans="3:10" ht="15.75">
      <c r="C281" s="174"/>
      <c r="D281" s="174"/>
      <c r="E281" s="174"/>
      <c r="F281" s="174"/>
      <c r="G281" s="174"/>
      <c r="H281" s="174"/>
      <c r="I281" s="172"/>
      <c r="J281" s="174"/>
    </row>
    <row r="282" spans="3:10" ht="15.75">
      <c r="C282" s="174"/>
      <c r="D282" s="174"/>
      <c r="E282" s="174"/>
      <c r="F282" s="174"/>
      <c r="G282" s="174"/>
      <c r="H282" s="174"/>
      <c r="I282" s="172"/>
      <c r="J282" s="174"/>
    </row>
    <row r="283" spans="3:10" ht="15.75">
      <c r="C283" s="174"/>
      <c r="D283" s="174"/>
      <c r="E283" s="174"/>
      <c r="F283" s="174"/>
      <c r="G283" s="174"/>
      <c r="H283" s="174"/>
      <c r="I283" s="172"/>
      <c r="J283" s="174"/>
    </row>
    <row r="284" spans="3:10" ht="15.75">
      <c r="C284" s="174"/>
      <c r="D284" s="174"/>
      <c r="E284" s="174"/>
      <c r="F284" s="174"/>
      <c r="G284" s="174"/>
      <c r="H284" s="174"/>
      <c r="I284" s="172"/>
      <c r="J284" s="174"/>
    </row>
    <row r="285" spans="3:10" ht="15.75">
      <c r="C285" s="174"/>
      <c r="D285" s="174"/>
      <c r="E285" s="174"/>
      <c r="F285" s="174"/>
      <c r="G285" s="174"/>
      <c r="H285" s="174"/>
      <c r="I285" s="172"/>
      <c r="J285" s="174"/>
    </row>
    <row r="286" spans="3:10" ht="15.75">
      <c r="C286" s="174"/>
      <c r="D286" s="174"/>
      <c r="E286" s="174"/>
      <c r="F286" s="174"/>
      <c r="G286" s="174"/>
      <c r="H286" s="174"/>
      <c r="I286" s="172"/>
      <c r="J286" s="174"/>
    </row>
    <row r="287" spans="3:10" ht="15.75">
      <c r="C287" s="174"/>
      <c r="D287" s="174"/>
      <c r="E287" s="174"/>
      <c r="F287" s="174"/>
      <c r="G287" s="174"/>
      <c r="H287" s="174"/>
      <c r="I287" s="172"/>
      <c r="J287" s="174"/>
    </row>
    <row r="288" ht="15.75">
      <c r="I288" s="172"/>
    </row>
    <row r="289" ht="15.75">
      <c r="I289" s="172"/>
    </row>
    <row r="290" ht="15.75">
      <c r="I290" s="172"/>
    </row>
    <row r="291" ht="15.75">
      <c r="I291" s="172"/>
    </row>
    <row r="292" ht="15.75">
      <c r="I292" s="172"/>
    </row>
    <row r="293" ht="15.75">
      <c r="I293" s="172"/>
    </row>
    <row r="294" ht="15.75">
      <c r="I294" s="172"/>
    </row>
    <row r="295" ht="15.75">
      <c r="I295" s="172"/>
    </row>
    <row r="296" ht="15.75">
      <c r="I296" s="172"/>
    </row>
    <row r="297" ht="15.75">
      <c r="I297" s="172"/>
    </row>
    <row r="298" ht="15.75">
      <c r="I298" s="172"/>
    </row>
    <row r="299" ht="15.75">
      <c r="I299" s="172"/>
    </row>
    <row r="300" ht="15.75">
      <c r="I300" s="172"/>
    </row>
    <row r="301" ht="15.75">
      <c r="I301" s="172"/>
    </row>
    <row r="302" ht="15.75">
      <c r="I302" s="172"/>
    </row>
    <row r="303" ht="15.75">
      <c r="I303" s="172"/>
    </row>
    <row r="304" ht="15.75">
      <c r="I304" s="172"/>
    </row>
    <row r="305" ht="15.75">
      <c r="I305" s="172"/>
    </row>
    <row r="306" ht="15.75">
      <c r="I306" s="172"/>
    </row>
    <row r="307" ht="15.75">
      <c r="I307" s="172"/>
    </row>
    <row r="308" ht="15.75">
      <c r="I308" s="172"/>
    </row>
    <row r="309" ht="15.75">
      <c r="I309" s="172"/>
    </row>
    <row r="310" ht="15.75">
      <c r="I310" s="172"/>
    </row>
    <row r="311" ht="15.75">
      <c r="I311" s="172"/>
    </row>
    <row r="312" ht="15.75">
      <c r="I312" s="172"/>
    </row>
    <row r="313" ht="15.75">
      <c r="I313" s="172"/>
    </row>
    <row r="314" ht="15.75">
      <c r="I314" s="172"/>
    </row>
    <row r="315" ht="15.75">
      <c r="I315" s="172"/>
    </row>
    <row r="316" ht="15.75">
      <c r="I316" s="172"/>
    </row>
    <row r="317" ht="15.75">
      <c r="I317" s="172"/>
    </row>
    <row r="318" ht="15.75">
      <c r="I318" s="172"/>
    </row>
    <row r="319" ht="15.75">
      <c r="I319" s="172"/>
    </row>
    <row r="320" ht="15.75">
      <c r="I320" s="172"/>
    </row>
    <row r="321" ht="15.75">
      <c r="I321" s="172"/>
    </row>
    <row r="322" ht="15.75">
      <c r="I322" s="172"/>
    </row>
    <row r="323" ht="15.75">
      <c r="I323" s="172"/>
    </row>
    <row r="324" ht="15.75">
      <c r="I324" s="172"/>
    </row>
    <row r="325" ht="15.75">
      <c r="I325" s="172"/>
    </row>
    <row r="326" ht="15.75">
      <c r="I326" s="172"/>
    </row>
    <row r="327" ht="15.75">
      <c r="I327" s="172"/>
    </row>
    <row r="328" ht="15.75">
      <c r="I328" s="172"/>
    </row>
    <row r="329" ht="15.75">
      <c r="I329" s="172"/>
    </row>
    <row r="330" ht="15.75">
      <c r="I330" s="172"/>
    </row>
    <row r="331" ht="15.75">
      <c r="I331" s="172"/>
    </row>
    <row r="332" ht="15.75">
      <c r="I332" s="172"/>
    </row>
    <row r="333" ht="15.75">
      <c r="I333" s="172"/>
    </row>
    <row r="334" ht="15.75">
      <c r="I334" s="172"/>
    </row>
    <row r="335" ht="15.75">
      <c r="I335" s="172"/>
    </row>
    <row r="336" ht="15.75">
      <c r="I336" s="172"/>
    </row>
    <row r="337" ht="15.75">
      <c r="I337" s="172"/>
    </row>
    <row r="338" ht="15.75">
      <c r="I338" s="172"/>
    </row>
    <row r="339" ht="15.75">
      <c r="I339" s="172"/>
    </row>
    <row r="340" ht="15.75">
      <c r="I340" s="172"/>
    </row>
    <row r="341" ht="15.75">
      <c r="I341" s="172"/>
    </row>
    <row r="342" ht="15.75">
      <c r="I342" s="172"/>
    </row>
    <row r="343" ht="15.75">
      <c r="I343" s="172"/>
    </row>
    <row r="344" ht="15.75">
      <c r="I344" s="172"/>
    </row>
    <row r="345" ht="15.75">
      <c r="I345" s="172"/>
    </row>
    <row r="346" ht="15.75">
      <c r="I346" s="172"/>
    </row>
    <row r="347" ht="15.75">
      <c r="I347" s="172"/>
    </row>
    <row r="348" ht="15.75">
      <c r="I348" s="172"/>
    </row>
    <row r="349" ht="15.75">
      <c r="I349" s="172"/>
    </row>
    <row r="350" ht="15.75">
      <c r="I350" s="172"/>
    </row>
    <row r="351" ht="15.75">
      <c r="I351" s="172"/>
    </row>
    <row r="352" ht="15.75">
      <c r="I352" s="172"/>
    </row>
    <row r="353" ht="15.75">
      <c r="I353" s="172"/>
    </row>
    <row r="354" ht="15.75">
      <c r="I354" s="172"/>
    </row>
    <row r="355" ht="15.75">
      <c r="I355" s="172"/>
    </row>
    <row r="356" ht="15.75">
      <c r="I356" s="172"/>
    </row>
    <row r="357" ht="15.75">
      <c r="I357" s="172"/>
    </row>
    <row r="358" ht="15.75">
      <c r="I358" s="172"/>
    </row>
    <row r="359" ht="15.75">
      <c r="I359" s="172"/>
    </row>
    <row r="360" ht="15.75">
      <c r="I360" s="172"/>
    </row>
    <row r="361" ht="15.75">
      <c r="I361" s="172"/>
    </row>
    <row r="362" ht="15.75">
      <c r="I362" s="172"/>
    </row>
    <row r="363" ht="15.75">
      <c r="I363" s="172"/>
    </row>
    <row r="364" ht="15.75">
      <c r="I364" s="172"/>
    </row>
    <row r="365" ht="15.75">
      <c r="I365" s="172"/>
    </row>
    <row r="366" ht="15.75">
      <c r="I366" s="172"/>
    </row>
    <row r="367" ht="15.75">
      <c r="I367" s="172"/>
    </row>
    <row r="368" ht="15.75">
      <c r="I368" s="172"/>
    </row>
    <row r="369" ht="15.75">
      <c r="I369" s="172"/>
    </row>
    <row r="370" ht="15.75">
      <c r="I370" s="172"/>
    </row>
    <row r="371" ht="15.75">
      <c r="I371" s="172"/>
    </row>
    <row r="372" ht="15.75">
      <c r="I372" s="172"/>
    </row>
    <row r="373" ht="15.75">
      <c r="I373" s="172"/>
    </row>
    <row r="374" ht="15.75">
      <c r="I374" s="172"/>
    </row>
    <row r="375" ht="15.75">
      <c r="I375" s="172"/>
    </row>
    <row r="376" ht="15.75">
      <c r="I376" s="172"/>
    </row>
    <row r="377" ht="15.75">
      <c r="I377" s="172"/>
    </row>
    <row r="378" ht="15.75">
      <c r="I378" s="172"/>
    </row>
    <row r="379" ht="15.75">
      <c r="I379" s="172"/>
    </row>
    <row r="380" ht="15.75">
      <c r="I380" s="172"/>
    </row>
    <row r="381" ht="15.75">
      <c r="I381" s="172"/>
    </row>
    <row r="382" ht="15.75">
      <c r="I382" s="172"/>
    </row>
    <row r="383" ht="15.75">
      <c r="I383" s="172"/>
    </row>
    <row r="384" ht="15.75">
      <c r="I384" s="172"/>
    </row>
    <row r="385" ht="15.75">
      <c r="I385" s="172"/>
    </row>
    <row r="386" ht="15.75">
      <c r="I386" s="172"/>
    </row>
    <row r="387" ht="15.75">
      <c r="I387" s="172"/>
    </row>
    <row r="388" ht="15.75">
      <c r="I388" s="172"/>
    </row>
    <row r="389" ht="15.75">
      <c r="I389" s="172"/>
    </row>
    <row r="390" ht="15.75">
      <c r="I390" s="172"/>
    </row>
    <row r="391" ht="15.75">
      <c r="I391" s="172"/>
    </row>
    <row r="392" ht="15.75">
      <c r="I392" s="172"/>
    </row>
    <row r="393" ht="15.75">
      <c r="I393" s="172"/>
    </row>
    <row r="394" ht="15.75">
      <c r="I394" s="172"/>
    </row>
    <row r="395" ht="15.75">
      <c r="I395" s="172"/>
    </row>
    <row r="396" ht="15.75">
      <c r="I396" s="172"/>
    </row>
    <row r="397" ht="15.75">
      <c r="I397" s="172"/>
    </row>
    <row r="398" ht="15.75">
      <c r="I398" s="172"/>
    </row>
    <row r="399" ht="15.75">
      <c r="I399" s="172"/>
    </row>
    <row r="400" ht="15.75">
      <c r="I400" s="172"/>
    </row>
    <row r="401" ht="15.75">
      <c r="I401" s="172"/>
    </row>
    <row r="402" ht="15.75">
      <c r="I402" s="172"/>
    </row>
    <row r="403" ht="15.75">
      <c r="I403" s="172"/>
    </row>
    <row r="404" ht="15.75">
      <c r="I404" s="172"/>
    </row>
    <row r="405" ht="15.75">
      <c r="I405" s="172"/>
    </row>
    <row r="406" ht="15.75">
      <c r="I406" s="172"/>
    </row>
    <row r="407" ht="15.75">
      <c r="I407" s="172"/>
    </row>
    <row r="408" ht="15.75">
      <c r="I408" s="172"/>
    </row>
    <row r="409" ht="15.75">
      <c r="I409" s="172"/>
    </row>
    <row r="410" ht="15.75">
      <c r="I410" s="172"/>
    </row>
    <row r="411" ht="15.75">
      <c r="I411" s="172"/>
    </row>
    <row r="412" ht="15.75">
      <c r="I412" s="172"/>
    </row>
    <row r="413" ht="15.75">
      <c r="I413" s="172"/>
    </row>
    <row r="414" ht="15.75">
      <c r="I414" s="172"/>
    </row>
    <row r="415" ht="15.75">
      <c r="I415" s="172"/>
    </row>
    <row r="416" ht="15.75">
      <c r="I416" s="172"/>
    </row>
    <row r="417" ht="15.75">
      <c r="I417" s="172"/>
    </row>
    <row r="418" ht="15.75">
      <c r="I418" s="172"/>
    </row>
    <row r="419" ht="15.75">
      <c r="I419" s="172"/>
    </row>
    <row r="420" ht="15.75">
      <c r="I420" s="172"/>
    </row>
    <row r="421" ht="15.75">
      <c r="I421" s="172"/>
    </row>
    <row r="422" ht="15.75">
      <c r="I422" s="172"/>
    </row>
    <row r="423" ht="15.75">
      <c r="I423" s="172"/>
    </row>
    <row r="424" ht="15.75">
      <c r="I424" s="172"/>
    </row>
    <row r="425" ht="15.75">
      <c r="I425" s="172"/>
    </row>
    <row r="426" ht="15.75">
      <c r="I426" s="172"/>
    </row>
    <row r="427" ht="15.75">
      <c r="I427" s="172"/>
    </row>
    <row r="428" ht="15.75">
      <c r="I428" s="172"/>
    </row>
    <row r="429" ht="15.75">
      <c r="I429" s="172"/>
    </row>
    <row r="430" ht="15.75">
      <c r="I430" s="172"/>
    </row>
    <row r="431" ht="15.75">
      <c r="I431" s="172"/>
    </row>
    <row r="432" ht="15.75">
      <c r="I432" s="172"/>
    </row>
    <row r="433" ht="15.75">
      <c r="I433" s="172"/>
    </row>
    <row r="434" ht="15.75">
      <c r="I434" s="172"/>
    </row>
    <row r="435" ht="15.75">
      <c r="I435" s="172"/>
    </row>
    <row r="436" ht="15.75">
      <c r="I436" s="172"/>
    </row>
    <row r="437" ht="15.75">
      <c r="I437" s="172"/>
    </row>
    <row r="438" ht="15.75">
      <c r="I438" s="172"/>
    </row>
    <row r="439" ht="15.75">
      <c r="I439" s="172"/>
    </row>
    <row r="440" ht="15.75">
      <c r="I440" s="172"/>
    </row>
    <row r="441" ht="15.75">
      <c r="I441" s="172"/>
    </row>
    <row r="442" ht="15.75">
      <c r="I442" s="172"/>
    </row>
    <row r="443" ht="15.75">
      <c r="I443" s="172"/>
    </row>
    <row r="444" ht="15.75">
      <c r="I444" s="172"/>
    </row>
    <row r="445" ht="15.75">
      <c r="I445" s="172"/>
    </row>
  </sheetData>
  <sheetProtection/>
  <mergeCells count="5">
    <mergeCell ref="A6:L6"/>
    <mergeCell ref="B10:I10"/>
    <mergeCell ref="A1:L1"/>
    <mergeCell ref="A2:L2"/>
    <mergeCell ref="A3:L3"/>
  </mergeCells>
  <printOptions horizontalCentered="1"/>
  <pageMargins left="0.46" right="0.42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465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38.75390625" style="159" customWidth="1"/>
    <col min="2" max="2" width="7.625" style="159" customWidth="1"/>
    <col min="3" max="3" width="6.875" style="159" customWidth="1"/>
    <col min="4" max="4" width="6.00390625" style="159" customWidth="1"/>
    <col min="5" max="5" width="6.125" style="159" customWidth="1"/>
    <col min="6" max="6" width="5.125" style="159" customWidth="1"/>
    <col min="7" max="7" width="7.375" style="159" customWidth="1"/>
    <col min="8" max="8" width="9.875" style="159" customWidth="1"/>
    <col min="9" max="9" width="18.25390625" style="159" customWidth="1"/>
    <col min="10" max="10" width="18.375" style="160" customWidth="1"/>
    <col min="11" max="11" width="15.00390625" style="159" customWidth="1"/>
    <col min="12" max="16384" width="9.125" style="159" customWidth="1"/>
  </cols>
  <sheetData>
    <row r="1" spans="1:11" ht="15.75">
      <c r="A1" s="366" t="s">
        <v>864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5.75">
      <c r="A2" s="366" t="s">
        <v>797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5.75">
      <c r="A3" s="366" t="s">
        <v>949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2:9" ht="15.75">
      <c r="B4" s="64"/>
      <c r="C4" s="64"/>
      <c r="D4" s="64"/>
      <c r="E4" s="64"/>
      <c r="F4" s="64"/>
      <c r="G4" s="64"/>
      <c r="H4" s="64"/>
      <c r="I4" s="64"/>
    </row>
    <row r="5" spans="1:9" ht="15.75">
      <c r="A5" s="216"/>
      <c r="B5" s="216"/>
      <c r="C5" s="216"/>
      <c r="D5" s="216"/>
      <c r="E5" s="216"/>
      <c r="F5" s="216"/>
      <c r="G5" s="216"/>
      <c r="H5" s="216"/>
      <c r="I5" s="216"/>
    </row>
    <row r="6" spans="1:11" ht="90.75" customHeight="1">
      <c r="A6" s="377" t="s">
        <v>575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9" ht="18.75">
      <c r="A7" s="158"/>
      <c r="B7" s="158"/>
      <c r="C7" s="158"/>
      <c r="D7" s="158"/>
      <c r="E7" s="158"/>
      <c r="F7" s="158"/>
      <c r="G7" s="158"/>
      <c r="H7" s="158"/>
      <c r="I7" s="158"/>
    </row>
    <row r="8" ht="15.75">
      <c r="K8" s="161" t="s">
        <v>503</v>
      </c>
    </row>
    <row r="9" spans="1:9" ht="15.75">
      <c r="A9" s="162"/>
      <c r="B9" s="163"/>
      <c r="C9" s="163"/>
      <c r="D9" s="163"/>
      <c r="E9" s="163"/>
      <c r="F9" s="163"/>
      <c r="G9" s="163"/>
      <c r="H9" s="163"/>
      <c r="I9" s="164"/>
    </row>
    <row r="10" spans="1:11" ht="105.75" customHeight="1">
      <c r="A10" s="238" t="s">
        <v>811</v>
      </c>
      <c r="B10" s="165" t="s">
        <v>504</v>
      </c>
      <c r="C10" s="165" t="s">
        <v>505</v>
      </c>
      <c r="D10" s="165" t="s">
        <v>506</v>
      </c>
      <c r="E10" s="165" t="s">
        <v>507</v>
      </c>
      <c r="F10" s="165" t="s">
        <v>508</v>
      </c>
      <c r="G10" s="165" t="s">
        <v>509</v>
      </c>
      <c r="H10" s="165" t="s">
        <v>510</v>
      </c>
      <c r="I10" s="23" t="s">
        <v>805</v>
      </c>
      <c r="J10" s="23" t="s">
        <v>804</v>
      </c>
      <c r="K10" s="195" t="s">
        <v>801</v>
      </c>
    </row>
    <row r="11" spans="1:11" ht="32.25" customHeight="1">
      <c r="A11" s="217" t="s">
        <v>511</v>
      </c>
      <c r="B11" s="218" t="s">
        <v>869</v>
      </c>
      <c r="C11" s="218" t="s">
        <v>874</v>
      </c>
      <c r="D11" s="218" t="s">
        <v>910</v>
      </c>
      <c r="E11" s="218" t="s">
        <v>910</v>
      </c>
      <c r="F11" s="218" t="s">
        <v>910</v>
      </c>
      <c r="G11" s="218" t="s">
        <v>512</v>
      </c>
      <c r="H11" s="218" t="s">
        <v>513</v>
      </c>
      <c r="I11" s="219">
        <f>I12</f>
        <v>59872400</v>
      </c>
      <c r="J11" s="219">
        <f>J12</f>
        <v>0</v>
      </c>
      <c r="K11" s="245">
        <f>ROUND(J11/I11*100,2)</f>
        <v>0</v>
      </c>
    </row>
    <row r="12" spans="1:11" ht="52.5" customHeight="1">
      <c r="A12" s="220" t="s">
        <v>514</v>
      </c>
      <c r="B12" s="221" t="s">
        <v>869</v>
      </c>
      <c r="C12" s="221" t="s">
        <v>874</v>
      </c>
      <c r="D12" s="221" t="s">
        <v>910</v>
      </c>
      <c r="E12" s="221" t="s">
        <v>910</v>
      </c>
      <c r="F12" s="221" t="s">
        <v>910</v>
      </c>
      <c r="G12" s="221" t="s">
        <v>512</v>
      </c>
      <c r="H12" s="221" t="s">
        <v>682</v>
      </c>
      <c r="I12" s="222">
        <f>I13</f>
        <v>59872400</v>
      </c>
      <c r="J12" s="222">
        <f>J13</f>
        <v>0</v>
      </c>
      <c r="K12" s="245">
        <f aca="true" t="shared" si="0" ref="K12:K38">ROUND(J12/I12*100,2)</f>
        <v>0</v>
      </c>
    </row>
    <row r="13" spans="1:11" ht="79.5" customHeight="1">
      <c r="A13" s="220" t="s">
        <v>515</v>
      </c>
      <c r="B13" s="221" t="s">
        <v>869</v>
      </c>
      <c r="C13" s="221" t="s">
        <v>874</v>
      </c>
      <c r="D13" s="221" t="s">
        <v>910</v>
      </c>
      <c r="E13" s="221" t="s">
        <v>910</v>
      </c>
      <c r="F13" s="221" t="s">
        <v>879</v>
      </c>
      <c r="G13" s="221" t="s">
        <v>512</v>
      </c>
      <c r="H13" s="221" t="s">
        <v>516</v>
      </c>
      <c r="I13" s="222">
        <f>59458300+414100</f>
        <v>59872400</v>
      </c>
      <c r="J13" s="222">
        <v>0</v>
      </c>
      <c r="K13" s="245">
        <f t="shared" si="0"/>
        <v>0</v>
      </c>
    </row>
    <row r="14" spans="1:11" ht="50.25" customHeight="1">
      <c r="A14" s="217" t="s">
        <v>517</v>
      </c>
      <c r="B14" s="218" t="s">
        <v>869</v>
      </c>
      <c r="C14" s="218" t="s">
        <v>876</v>
      </c>
      <c r="D14" s="218" t="s">
        <v>910</v>
      </c>
      <c r="E14" s="218" t="s">
        <v>910</v>
      </c>
      <c r="F14" s="218" t="s">
        <v>910</v>
      </c>
      <c r="G14" s="218" t="s">
        <v>512</v>
      </c>
      <c r="H14" s="218" t="s">
        <v>513</v>
      </c>
      <c r="I14" s="223">
        <f>I16-I18</f>
        <v>-19927000</v>
      </c>
      <c r="J14" s="223">
        <f>J16-J18</f>
        <v>-19927000</v>
      </c>
      <c r="K14" s="245">
        <f t="shared" si="0"/>
        <v>100</v>
      </c>
    </row>
    <row r="15" spans="1:11" ht="65.25" customHeight="1">
      <c r="A15" s="217" t="s">
        <v>518</v>
      </c>
      <c r="B15" s="218" t="s">
        <v>869</v>
      </c>
      <c r="C15" s="218" t="s">
        <v>876</v>
      </c>
      <c r="D15" s="218" t="s">
        <v>869</v>
      </c>
      <c r="E15" s="218" t="s">
        <v>910</v>
      </c>
      <c r="F15" s="218" t="s">
        <v>910</v>
      </c>
      <c r="G15" s="218" t="s">
        <v>512</v>
      </c>
      <c r="H15" s="218" t="s">
        <v>513</v>
      </c>
      <c r="I15" s="223">
        <f>-I18</f>
        <v>-19927000</v>
      </c>
      <c r="J15" s="223">
        <f>-J18</f>
        <v>-19927000</v>
      </c>
      <c r="K15" s="245">
        <f t="shared" si="0"/>
        <v>100</v>
      </c>
    </row>
    <row r="16" spans="1:11" ht="75.75" customHeight="1">
      <c r="A16" s="220" t="s">
        <v>519</v>
      </c>
      <c r="B16" s="221" t="s">
        <v>869</v>
      </c>
      <c r="C16" s="221" t="s">
        <v>876</v>
      </c>
      <c r="D16" s="221" t="s">
        <v>869</v>
      </c>
      <c r="E16" s="221" t="s">
        <v>910</v>
      </c>
      <c r="F16" s="221" t="s">
        <v>910</v>
      </c>
      <c r="G16" s="221" t="s">
        <v>512</v>
      </c>
      <c r="H16" s="221" t="s">
        <v>682</v>
      </c>
      <c r="I16" s="224">
        <f>I17</f>
        <v>0</v>
      </c>
      <c r="J16" s="224">
        <f>J17</f>
        <v>0</v>
      </c>
      <c r="K16" s="245">
        <v>0</v>
      </c>
    </row>
    <row r="17" spans="1:11" ht="83.25" customHeight="1">
      <c r="A17" s="220" t="s">
        <v>520</v>
      </c>
      <c r="B17" s="221" t="s">
        <v>869</v>
      </c>
      <c r="C17" s="221" t="s">
        <v>876</v>
      </c>
      <c r="D17" s="221" t="s">
        <v>869</v>
      </c>
      <c r="E17" s="221" t="s">
        <v>910</v>
      </c>
      <c r="F17" s="221" t="s">
        <v>879</v>
      </c>
      <c r="G17" s="221" t="s">
        <v>512</v>
      </c>
      <c r="H17" s="221" t="s">
        <v>516</v>
      </c>
      <c r="I17" s="224">
        <v>0</v>
      </c>
      <c r="J17" s="224">
        <v>0</v>
      </c>
      <c r="K17" s="245">
        <v>0</v>
      </c>
    </row>
    <row r="18" spans="1:11" ht="72" customHeight="1">
      <c r="A18" s="220" t="s">
        <v>521</v>
      </c>
      <c r="B18" s="221" t="s">
        <v>869</v>
      </c>
      <c r="C18" s="221" t="s">
        <v>876</v>
      </c>
      <c r="D18" s="221" t="s">
        <v>869</v>
      </c>
      <c r="E18" s="221" t="s">
        <v>910</v>
      </c>
      <c r="F18" s="221" t="s">
        <v>910</v>
      </c>
      <c r="G18" s="221" t="s">
        <v>512</v>
      </c>
      <c r="H18" s="221" t="s">
        <v>683</v>
      </c>
      <c r="I18" s="222">
        <f>I19</f>
        <v>19927000</v>
      </c>
      <c r="J18" s="222">
        <f>J19</f>
        <v>19927000</v>
      </c>
      <c r="K18" s="245">
        <f t="shared" si="0"/>
        <v>100</v>
      </c>
    </row>
    <row r="19" spans="1:11" ht="87.75" customHeight="1">
      <c r="A19" s="220" t="s">
        <v>522</v>
      </c>
      <c r="B19" s="221" t="s">
        <v>869</v>
      </c>
      <c r="C19" s="221" t="s">
        <v>876</v>
      </c>
      <c r="D19" s="221" t="s">
        <v>869</v>
      </c>
      <c r="E19" s="221" t="s">
        <v>910</v>
      </c>
      <c r="F19" s="221" t="s">
        <v>879</v>
      </c>
      <c r="G19" s="221" t="s">
        <v>512</v>
      </c>
      <c r="H19" s="221" t="s">
        <v>684</v>
      </c>
      <c r="I19" s="222">
        <v>19927000</v>
      </c>
      <c r="J19" s="222">
        <v>19927000</v>
      </c>
      <c r="K19" s="245">
        <f t="shared" si="0"/>
        <v>100</v>
      </c>
    </row>
    <row r="20" spans="1:11" s="166" customFormat="1" ht="57.75" customHeight="1" hidden="1">
      <c r="A20" s="217" t="s">
        <v>523</v>
      </c>
      <c r="B20" s="218" t="s">
        <v>869</v>
      </c>
      <c r="C20" s="218" t="s">
        <v>870</v>
      </c>
      <c r="D20" s="218" t="s">
        <v>910</v>
      </c>
      <c r="E20" s="218" t="s">
        <v>910</v>
      </c>
      <c r="F20" s="218" t="s">
        <v>910</v>
      </c>
      <c r="G20" s="218" t="s">
        <v>512</v>
      </c>
      <c r="H20" s="218" t="s">
        <v>513</v>
      </c>
      <c r="I20" s="219">
        <f>I21</f>
        <v>0</v>
      </c>
      <c r="J20" s="240"/>
      <c r="K20" s="245" t="e">
        <f t="shared" si="0"/>
        <v>#DIV/0!</v>
      </c>
    </row>
    <row r="21" spans="1:11" s="166" customFormat="1" ht="57.75" customHeight="1" hidden="1">
      <c r="A21" s="220" t="s">
        <v>524</v>
      </c>
      <c r="B21" s="221" t="s">
        <v>869</v>
      </c>
      <c r="C21" s="221" t="s">
        <v>870</v>
      </c>
      <c r="D21" s="221" t="s">
        <v>871</v>
      </c>
      <c r="E21" s="221" t="s">
        <v>910</v>
      </c>
      <c r="F21" s="221" t="s">
        <v>910</v>
      </c>
      <c r="G21" s="221" t="s">
        <v>512</v>
      </c>
      <c r="H21" s="221" t="s">
        <v>513</v>
      </c>
      <c r="I21" s="222">
        <f>I22</f>
        <v>0</v>
      </c>
      <c r="J21" s="240"/>
      <c r="K21" s="245" t="e">
        <f t="shared" si="0"/>
        <v>#DIV/0!</v>
      </c>
    </row>
    <row r="22" spans="1:11" ht="58.5" customHeight="1" hidden="1">
      <c r="A22" s="220" t="s">
        <v>525</v>
      </c>
      <c r="B22" s="221" t="s">
        <v>869</v>
      </c>
      <c r="C22" s="221" t="s">
        <v>870</v>
      </c>
      <c r="D22" s="221" t="s">
        <v>871</v>
      </c>
      <c r="E22" s="221" t="s">
        <v>910</v>
      </c>
      <c r="F22" s="221" t="s">
        <v>910</v>
      </c>
      <c r="G22" s="221" t="s">
        <v>512</v>
      </c>
      <c r="H22" s="221" t="s">
        <v>685</v>
      </c>
      <c r="I22" s="222">
        <f>I23</f>
        <v>0</v>
      </c>
      <c r="J22" s="239"/>
      <c r="K22" s="245" t="e">
        <f t="shared" si="0"/>
        <v>#DIV/0!</v>
      </c>
    </row>
    <row r="23" spans="1:11" ht="67.5" customHeight="1" hidden="1">
      <c r="A23" s="220" t="s">
        <v>526</v>
      </c>
      <c r="B23" s="221" t="s">
        <v>869</v>
      </c>
      <c r="C23" s="221" t="s">
        <v>870</v>
      </c>
      <c r="D23" s="221" t="s">
        <v>871</v>
      </c>
      <c r="E23" s="221" t="s">
        <v>869</v>
      </c>
      <c r="F23" s="221" t="s">
        <v>910</v>
      </c>
      <c r="G23" s="221" t="s">
        <v>512</v>
      </c>
      <c r="H23" s="221" t="s">
        <v>527</v>
      </c>
      <c r="I23" s="222">
        <f>I24</f>
        <v>0</v>
      </c>
      <c r="J23" s="239"/>
      <c r="K23" s="245" t="e">
        <f t="shared" si="0"/>
        <v>#DIV/0!</v>
      </c>
    </row>
    <row r="24" spans="1:11" ht="86.25" customHeight="1" hidden="1">
      <c r="A24" s="220" t="s">
        <v>528</v>
      </c>
      <c r="B24" s="221" t="s">
        <v>869</v>
      </c>
      <c r="C24" s="221" t="s">
        <v>870</v>
      </c>
      <c r="D24" s="221" t="s">
        <v>871</v>
      </c>
      <c r="E24" s="221" t="s">
        <v>869</v>
      </c>
      <c r="F24" s="221" t="s">
        <v>879</v>
      </c>
      <c r="G24" s="221" t="s">
        <v>512</v>
      </c>
      <c r="H24" s="221" t="s">
        <v>527</v>
      </c>
      <c r="I24" s="222">
        <v>0</v>
      </c>
      <c r="J24" s="239"/>
      <c r="K24" s="245" t="e">
        <f t="shared" si="0"/>
        <v>#DIV/0!</v>
      </c>
    </row>
    <row r="25" spans="1:11" s="168" customFormat="1" ht="35.25" customHeight="1">
      <c r="A25" s="225" t="s">
        <v>529</v>
      </c>
      <c r="B25" s="226" t="s">
        <v>869</v>
      </c>
      <c r="C25" s="226" t="s">
        <v>871</v>
      </c>
      <c r="D25" s="226" t="s">
        <v>910</v>
      </c>
      <c r="E25" s="226" t="s">
        <v>910</v>
      </c>
      <c r="F25" s="226" t="s">
        <v>910</v>
      </c>
      <c r="G25" s="226" t="s">
        <v>512</v>
      </c>
      <c r="H25" s="226" t="s">
        <v>513</v>
      </c>
      <c r="I25" s="227">
        <f>I30-I26</f>
        <v>196678903.5400002</v>
      </c>
      <c r="J25" s="227">
        <f>J30-J26</f>
        <v>59409457.49000001</v>
      </c>
      <c r="K25" s="245">
        <f t="shared" si="0"/>
        <v>30.21</v>
      </c>
    </row>
    <row r="26" spans="1:11" s="168" customFormat="1" ht="31.5">
      <c r="A26" s="225" t="s">
        <v>530</v>
      </c>
      <c r="B26" s="226" t="s">
        <v>869</v>
      </c>
      <c r="C26" s="226" t="s">
        <v>871</v>
      </c>
      <c r="D26" s="226" t="s">
        <v>910</v>
      </c>
      <c r="E26" s="226" t="s">
        <v>910</v>
      </c>
      <c r="F26" s="226" t="s">
        <v>910</v>
      </c>
      <c r="G26" s="226" t="s">
        <v>512</v>
      </c>
      <c r="H26" s="226" t="s">
        <v>531</v>
      </c>
      <c r="I26" s="227">
        <f aca="true" t="shared" si="1" ref="I26:J28">I27</f>
        <v>2079628599.95</v>
      </c>
      <c r="J26" s="227">
        <f t="shared" si="1"/>
        <v>2051393255.28</v>
      </c>
      <c r="K26" s="245">
        <f t="shared" si="0"/>
        <v>98.64</v>
      </c>
    </row>
    <row r="27" spans="1:11" s="168" customFormat="1" ht="31.5">
      <c r="A27" s="228" t="s">
        <v>532</v>
      </c>
      <c r="B27" s="229" t="s">
        <v>869</v>
      </c>
      <c r="C27" s="229" t="s">
        <v>871</v>
      </c>
      <c r="D27" s="229" t="s">
        <v>874</v>
      </c>
      <c r="E27" s="229" t="s">
        <v>910</v>
      </c>
      <c r="F27" s="229" t="s">
        <v>910</v>
      </c>
      <c r="G27" s="229" t="s">
        <v>512</v>
      </c>
      <c r="H27" s="229" t="s">
        <v>531</v>
      </c>
      <c r="I27" s="230">
        <f t="shared" si="1"/>
        <v>2079628599.95</v>
      </c>
      <c r="J27" s="230">
        <f t="shared" si="1"/>
        <v>2051393255.28</v>
      </c>
      <c r="K27" s="245">
        <f t="shared" si="0"/>
        <v>98.64</v>
      </c>
    </row>
    <row r="28" spans="1:11" s="168" customFormat="1" ht="31.5">
      <c r="A28" s="228" t="s">
        <v>533</v>
      </c>
      <c r="B28" s="229" t="s">
        <v>869</v>
      </c>
      <c r="C28" s="229" t="s">
        <v>871</v>
      </c>
      <c r="D28" s="229" t="s">
        <v>874</v>
      </c>
      <c r="E28" s="229" t="s">
        <v>869</v>
      </c>
      <c r="F28" s="229" t="s">
        <v>910</v>
      </c>
      <c r="G28" s="229" t="s">
        <v>512</v>
      </c>
      <c r="H28" s="229" t="s">
        <v>534</v>
      </c>
      <c r="I28" s="230">
        <f t="shared" si="1"/>
        <v>2079628599.95</v>
      </c>
      <c r="J28" s="230">
        <f t="shared" si="1"/>
        <v>2051393255.28</v>
      </c>
      <c r="K28" s="245">
        <f t="shared" si="0"/>
        <v>98.64</v>
      </c>
    </row>
    <row r="29" spans="1:11" s="168" customFormat="1" ht="47.25">
      <c r="A29" s="228" t="s">
        <v>535</v>
      </c>
      <c r="B29" s="229" t="s">
        <v>869</v>
      </c>
      <c r="C29" s="229" t="s">
        <v>871</v>
      </c>
      <c r="D29" s="229" t="s">
        <v>874</v>
      </c>
      <c r="E29" s="229" t="s">
        <v>869</v>
      </c>
      <c r="F29" s="229" t="s">
        <v>879</v>
      </c>
      <c r="G29" s="229" t="s">
        <v>512</v>
      </c>
      <c r="H29" s="229" t="s">
        <v>534</v>
      </c>
      <c r="I29" s="231">
        <f>2019756199.95+I17+I13</f>
        <v>2079628599.95</v>
      </c>
      <c r="J29" s="231">
        <f>2051393255.28+J17+J13</f>
        <v>2051393255.28</v>
      </c>
      <c r="K29" s="245">
        <f t="shared" si="0"/>
        <v>98.64</v>
      </c>
    </row>
    <row r="30" spans="1:11" s="168" customFormat="1" ht="31.5">
      <c r="A30" s="225" t="s">
        <v>536</v>
      </c>
      <c r="B30" s="226" t="s">
        <v>869</v>
      </c>
      <c r="C30" s="226" t="s">
        <v>871</v>
      </c>
      <c r="D30" s="226" t="s">
        <v>910</v>
      </c>
      <c r="E30" s="226" t="s">
        <v>910</v>
      </c>
      <c r="F30" s="226" t="s">
        <v>910</v>
      </c>
      <c r="G30" s="226" t="s">
        <v>512</v>
      </c>
      <c r="H30" s="226" t="s">
        <v>685</v>
      </c>
      <c r="I30" s="227">
        <f aca="true" t="shared" si="2" ref="I30:J32">I31</f>
        <v>2276307503.4900002</v>
      </c>
      <c r="J30" s="227">
        <f t="shared" si="2"/>
        <v>2110802712.77</v>
      </c>
      <c r="K30" s="245">
        <f t="shared" si="0"/>
        <v>92.73</v>
      </c>
    </row>
    <row r="31" spans="1:11" s="168" customFormat="1" ht="31.5">
      <c r="A31" s="228" t="s">
        <v>537</v>
      </c>
      <c r="B31" s="229" t="s">
        <v>869</v>
      </c>
      <c r="C31" s="229" t="s">
        <v>871</v>
      </c>
      <c r="D31" s="229" t="s">
        <v>874</v>
      </c>
      <c r="E31" s="229" t="s">
        <v>910</v>
      </c>
      <c r="F31" s="229" t="s">
        <v>910</v>
      </c>
      <c r="G31" s="229" t="s">
        <v>512</v>
      </c>
      <c r="H31" s="229" t="s">
        <v>685</v>
      </c>
      <c r="I31" s="230">
        <f t="shared" si="2"/>
        <v>2276307503.4900002</v>
      </c>
      <c r="J31" s="230">
        <f t="shared" si="2"/>
        <v>2110802712.77</v>
      </c>
      <c r="K31" s="245">
        <f t="shared" si="0"/>
        <v>92.73</v>
      </c>
    </row>
    <row r="32" spans="1:11" s="168" customFormat="1" ht="31.5">
      <c r="A32" s="228" t="s">
        <v>538</v>
      </c>
      <c r="B32" s="229" t="s">
        <v>869</v>
      </c>
      <c r="C32" s="229" t="s">
        <v>871</v>
      </c>
      <c r="D32" s="229" t="s">
        <v>874</v>
      </c>
      <c r="E32" s="229" t="s">
        <v>869</v>
      </c>
      <c r="F32" s="229" t="s">
        <v>910</v>
      </c>
      <c r="G32" s="229" t="s">
        <v>512</v>
      </c>
      <c r="H32" s="229" t="s">
        <v>686</v>
      </c>
      <c r="I32" s="230">
        <f t="shared" si="2"/>
        <v>2276307503.4900002</v>
      </c>
      <c r="J32" s="230">
        <f t="shared" si="2"/>
        <v>2110802712.77</v>
      </c>
      <c r="K32" s="245">
        <f t="shared" si="0"/>
        <v>92.73</v>
      </c>
    </row>
    <row r="33" spans="1:11" s="168" customFormat="1" ht="47.25">
      <c r="A33" s="228" t="s">
        <v>539</v>
      </c>
      <c r="B33" s="229" t="s">
        <v>869</v>
      </c>
      <c r="C33" s="229" t="s">
        <v>871</v>
      </c>
      <c r="D33" s="229" t="s">
        <v>874</v>
      </c>
      <c r="E33" s="229" t="s">
        <v>869</v>
      </c>
      <c r="F33" s="229" t="s">
        <v>879</v>
      </c>
      <c r="G33" s="229" t="s">
        <v>512</v>
      </c>
      <c r="H33" s="229" t="s">
        <v>686</v>
      </c>
      <c r="I33" s="230">
        <f>прил_4!D56+I19</f>
        <v>2276307503.4900002</v>
      </c>
      <c r="J33" s="230">
        <f>прил_4!E56+J19</f>
        <v>2110802712.77</v>
      </c>
      <c r="K33" s="245">
        <f t="shared" si="0"/>
        <v>92.73</v>
      </c>
    </row>
    <row r="34" spans="1:11" s="169" customFormat="1" ht="47.25" hidden="1">
      <c r="A34" s="217" t="s">
        <v>523</v>
      </c>
      <c r="B34" s="232" t="s">
        <v>869</v>
      </c>
      <c r="C34" s="232" t="s">
        <v>870</v>
      </c>
      <c r="D34" s="232" t="s">
        <v>910</v>
      </c>
      <c r="E34" s="232" t="s">
        <v>910</v>
      </c>
      <c r="F34" s="232" t="s">
        <v>910</v>
      </c>
      <c r="G34" s="232" t="s">
        <v>512</v>
      </c>
      <c r="H34" s="232" t="s">
        <v>513</v>
      </c>
      <c r="I34" s="233">
        <f>I35</f>
        <v>0</v>
      </c>
      <c r="J34" s="242"/>
      <c r="K34" s="245" t="e">
        <f t="shared" si="0"/>
        <v>#DIV/0!</v>
      </c>
    </row>
    <row r="35" spans="1:11" s="169" customFormat="1" ht="47.25" hidden="1">
      <c r="A35" s="217" t="s">
        <v>540</v>
      </c>
      <c r="B35" s="232" t="s">
        <v>869</v>
      </c>
      <c r="C35" s="232" t="s">
        <v>870</v>
      </c>
      <c r="D35" s="232" t="s">
        <v>879</v>
      </c>
      <c r="E35" s="232" t="s">
        <v>910</v>
      </c>
      <c r="F35" s="232" t="s">
        <v>910</v>
      </c>
      <c r="G35" s="232" t="s">
        <v>512</v>
      </c>
      <c r="H35" s="232" t="s">
        <v>513</v>
      </c>
      <c r="I35" s="234">
        <f>I36</f>
        <v>0</v>
      </c>
      <c r="J35" s="242"/>
      <c r="K35" s="245" t="e">
        <f t="shared" si="0"/>
        <v>#DIV/0!</v>
      </c>
    </row>
    <row r="36" spans="1:11" s="168" customFormat="1" ht="174" customHeight="1" hidden="1">
      <c r="A36" s="228" t="s">
        <v>542</v>
      </c>
      <c r="B36" s="229" t="s">
        <v>869</v>
      </c>
      <c r="C36" s="229" t="s">
        <v>870</v>
      </c>
      <c r="D36" s="229" t="s">
        <v>879</v>
      </c>
      <c r="E36" s="229" t="s">
        <v>910</v>
      </c>
      <c r="F36" s="229" t="s">
        <v>910</v>
      </c>
      <c r="G36" s="229" t="s">
        <v>512</v>
      </c>
      <c r="H36" s="229" t="s">
        <v>683</v>
      </c>
      <c r="I36" s="235">
        <f>I37</f>
        <v>0</v>
      </c>
      <c r="J36" s="241"/>
      <c r="K36" s="245" t="e">
        <f t="shared" si="0"/>
        <v>#DIV/0!</v>
      </c>
    </row>
    <row r="37" spans="1:11" s="168" customFormat="1" ht="165.75" customHeight="1" hidden="1">
      <c r="A37" s="228" t="s">
        <v>543</v>
      </c>
      <c r="B37" s="229" t="s">
        <v>869</v>
      </c>
      <c r="C37" s="229" t="s">
        <v>870</v>
      </c>
      <c r="D37" s="229" t="s">
        <v>879</v>
      </c>
      <c r="E37" s="229" t="s">
        <v>910</v>
      </c>
      <c r="F37" s="229" t="s">
        <v>879</v>
      </c>
      <c r="G37" s="229" t="s">
        <v>512</v>
      </c>
      <c r="H37" s="229" t="s">
        <v>684</v>
      </c>
      <c r="I37" s="236">
        <v>0</v>
      </c>
      <c r="J37" s="241"/>
      <c r="K37" s="245" t="e">
        <f t="shared" si="0"/>
        <v>#DIV/0!</v>
      </c>
    </row>
    <row r="38" spans="1:11" s="168" customFormat="1" ht="57.75" customHeight="1">
      <c r="A38" s="237" t="s">
        <v>541</v>
      </c>
      <c r="B38" s="226" t="s">
        <v>869</v>
      </c>
      <c r="C38" s="226" t="s">
        <v>910</v>
      </c>
      <c r="D38" s="226" t="s">
        <v>910</v>
      </c>
      <c r="E38" s="226" t="s">
        <v>910</v>
      </c>
      <c r="F38" s="226" t="s">
        <v>910</v>
      </c>
      <c r="G38" s="226" t="s">
        <v>512</v>
      </c>
      <c r="H38" s="226" t="s">
        <v>513</v>
      </c>
      <c r="I38" s="227">
        <f>I11+I25+I34+I14+I20</f>
        <v>236624303.5400002</v>
      </c>
      <c r="J38" s="227">
        <f>J11+J25+J34+J14+J20</f>
        <v>39482457.49000001</v>
      </c>
      <c r="K38" s="245">
        <f t="shared" si="0"/>
        <v>16.69</v>
      </c>
    </row>
    <row r="39" spans="2:10" s="168" customFormat="1" ht="15.75">
      <c r="B39" s="170"/>
      <c r="C39" s="170"/>
      <c r="D39" s="170"/>
      <c r="E39" s="170"/>
      <c r="F39" s="170"/>
      <c r="G39" s="170"/>
      <c r="H39" s="170"/>
      <c r="I39" s="171"/>
      <c r="J39" s="167"/>
    </row>
    <row r="40" spans="2:9" ht="15.75">
      <c r="B40" s="172"/>
      <c r="C40" s="172"/>
      <c r="D40" s="172"/>
      <c r="E40" s="172"/>
      <c r="F40" s="172"/>
      <c r="G40" s="172"/>
      <c r="H40" s="172"/>
      <c r="I40" s="173"/>
    </row>
    <row r="41" spans="2:9" ht="15.75">
      <c r="B41" s="172"/>
      <c r="C41" s="172"/>
      <c r="D41" s="172"/>
      <c r="E41" s="172"/>
      <c r="F41" s="172"/>
      <c r="G41" s="172"/>
      <c r="H41" s="172"/>
      <c r="I41" s="173"/>
    </row>
    <row r="42" spans="2:9" ht="15.75">
      <c r="B42" s="172"/>
      <c r="C42" s="172"/>
      <c r="D42" s="172"/>
      <c r="E42" s="172"/>
      <c r="F42" s="172"/>
      <c r="G42" s="172"/>
      <c r="H42" s="172"/>
      <c r="I42" s="173"/>
    </row>
    <row r="43" spans="2:9" ht="15.75">
      <c r="B43" s="172"/>
      <c r="C43" s="172"/>
      <c r="D43" s="172"/>
      <c r="E43" s="172"/>
      <c r="F43" s="172"/>
      <c r="G43" s="172"/>
      <c r="H43" s="172"/>
      <c r="I43" s="173"/>
    </row>
    <row r="44" spans="2:9" ht="15.75">
      <c r="B44" s="172"/>
      <c r="C44" s="172"/>
      <c r="D44" s="172"/>
      <c r="E44" s="172"/>
      <c r="F44" s="172"/>
      <c r="G44" s="172"/>
      <c r="H44" s="172"/>
      <c r="I44" s="173"/>
    </row>
    <row r="45" spans="2:9" ht="15.75">
      <c r="B45" s="172"/>
      <c r="C45" s="172"/>
      <c r="D45" s="172"/>
      <c r="E45" s="172"/>
      <c r="F45" s="172"/>
      <c r="G45" s="172"/>
      <c r="H45" s="172"/>
      <c r="I45" s="174"/>
    </row>
    <row r="46" spans="2:9" ht="15.75">
      <c r="B46" s="174"/>
      <c r="C46" s="174"/>
      <c r="D46" s="174"/>
      <c r="E46" s="174"/>
      <c r="F46" s="174"/>
      <c r="G46" s="174"/>
      <c r="H46" s="172"/>
      <c r="I46" s="173"/>
    </row>
    <row r="47" spans="2:9" ht="15.75">
      <c r="B47" s="174"/>
      <c r="C47" s="174"/>
      <c r="D47" s="174"/>
      <c r="E47" s="174"/>
      <c r="F47" s="174"/>
      <c r="G47" s="174"/>
      <c r="H47" s="172"/>
      <c r="I47" s="174"/>
    </row>
    <row r="48" spans="2:9" ht="15.75">
      <c r="B48" s="174"/>
      <c r="C48" s="174"/>
      <c r="D48" s="174"/>
      <c r="E48" s="174"/>
      <c r="F48" s="174"/>
      <c r="G48" s="174"/>
      <c r="H48" s="172"/>
      <c r="I48" s="174"/>
    </row>
    <row r="49" spans="2:9" ht="15.75">
      <c r="B49" s="174"/>
      <c r="C49" s="174"/>
      <c r="D49" s="174"/>
      <c r="E49" s="174"/>
      <c r="F49" s="174"/>
      <c r="G49" s="174"/>
      <c r="H49" s="172"/>
      <c r="I49" s="174"/>
    </row>
    <row r="50" spans="2:9" ht="15.75">
      <c r="B50" s="174"/>
      <c r="C50" s="174"/>
      <c r="D50" s="174"/>
      <c r="E50" s="174"/>
      <c r="F50" s="174"/>
      <c r="G50" s="174"/>
      <c r="H50" s="172"/>
      <c r="I50" s="174"/>
    </row>
    <row r="51" spans="2:9" ht="15.75">
      <c r="B51" s="174"/>
      <c r="C51" s="174"/>
      <c r="D51" s="174"/>
      <c r="E51" s="174"/>
      <c r="F51" s="174"/>
      <c r="G51" s="174"/>
      <c r="H51" s="172"/>
      <c r="I51" s="174"/>
    </row>
    <row r="52" spans="2:9" ht="15.75">
      <c r="B52" s="174"/>
      <c r="C52" s="174"/>
      <c r="D52" s="174"/>
      <c r="E52" s="174"/>
      <c r="F52" s="174"/>
      <c r="G52" s="174"/>
      <c r="H52" s="172"/>
      <c r="I52" s="174"/>
    </row>
    <row r="53" spans="2:9" ht="15.75">
      <c r="B53" s="174"/>
      <c r="C53" s="174"/>
      <c r="D53" s="174"/>
      <c r="E53" s="174"/>
      <c r="F53" s="174"/>
      <c r="G53" s="174"/>
      <c r="H53" s="172"/>
      <c r="I53" s="174"/>
    </row>
    <row r="54" spans="2:9" ht="15.75">
      <c r="B54" s="174"/>
      <c r="C54" s="174"/>
      <c r="D54" s="174"/>
      <c r="E54" s="174"/>
      <c r="F54" s="174"/>
      <c r="G54" s="174"/>
      <c r="H54" s="172"/>
      <c r="I54" s="174"/>
    </row>
    <row r="55" spans="2:9" ht="15.75">
      <c r="B55" s="174"/>
      <c r="C55" s="174"/>
      <c r="D55" s="174"/>
      <c r="E55" s="174"/>
      <c r="F55" s="174"/>
      <c r="G55" s="174"/>
      <c r="H55" s="172"/>
      <c r="I55" s="174"/>
    </row>
    <row r="56" spans="2:9" ht="15.75">
      <c r="B56" s="174"/>
      <c r="C56" s="174"/>
      <c r="D56" s="174"/>
      <c r="E56" s="174"/>
      <c r="F56" s="174"/>
      <c r="G56" s="174"/>
      <c r="H56" s="172"/>
      <c r="I56" s="174"/>
    </row>
    <row r="57" spans="2:9" ht="15.75">
      <c r="B57" s="174"/>
      <c r="C57" s="174"/>
      <c r="D57" s="174"/>
      <c r="E57" s="174"/>
      <c r="F57" s="174"/>
      <c r="G57" s="174"/>
      <c r="H57" s="172"/>
      <c r="I57" s="174"/>
    </row>
    <row r="58" spans="2:9" ht="15.75">
      <c r="B58" s="174"/>
      <c r="C58" s="174"/>
      <c r="D58" s="174"/>
      <c r="E58" s="174"/>
      <c r="F58" s="174"/>
      <c r="G58" s="174"/>
      <c r="H58" s="172"/>
      <c r="I58" s="174"/>
    </row>
    <row r="59" spans="2:9" ht="15.75">
      <c r="B59" s="174"/>
      <c r="C59" s="174"/>
      <c r="D59" s="174"/>
      <c r="E59" s="174"/>
      <c r="F59" s="174"/>
      <c r="G59" s="174"/>
      <c r="H59" s="172"/>
      <c r="I59" s="174"/>
    </row>
    <row r="60" spans="2:9" ht="15.75">
      <c r="B60" s="174"/>
      <c r="C60" s="174"/>
      <c r="D60" s="174"/>
      <c r="E60" s="174"/>
      <c r="F60" s="174"/>
      <c r="G60" s="174"/>
      <c r="H60" s="172"/>
      <c r="I60" s="174"/>
    </row>
    <row r="61" spans="2:9" ht="15.75">
      <c r="B61" s="174"/>
      <c r="C61" s="174"/>
      <c r="D61" s="174"/>
      <c r="E61" s="174"/>
      <c r="F61" s="174"/>
      <c r="G61" s="174"/>
      <c r="H61" s="172"/>
      <c r="I61" s="174"/>
    </row>
    <row r="62" spans="2:9" ht="15.75">
      <c r="B62" s="174"/>
      <c r="C62" s="174"/>
      <c r="D62" s="174"/>
      <c r="E62" s="174"/>
      <c r="F62" s="174"/>
      <c r="G62" s="174"/>
      <c r="H62" s="172"/>
      <c r="I62" s="174"/>
    </row>
    <row r="63" spans="2:9" ht="15.75">
      <c r="B63" s="174"/>
      <c r="C63" s="174"/>
      <c r="D63" s="174"/>
      <c r="E63" s="174"/>
      <c r="F63" s="174"/>
      <c r="G63" s="174"/>
      <c r="H63" s="172"/>
      <c r="I63" s="174"/>
    </row>
    <row r="64" spans="2:9" ht="15.75">
      <c r="B64" s="174"/>
      <c r="C64" s="174"/>
      <c r="D64" s="174"/>
      <c r="E64" s="174"/>
      <c r="F64" s="174"/>
      <c r="G64" s="174"/>
      <c r="H64" s="172"/>
      <c r="I64" s="174"/>
    </row>
    <row r="65" spans="2:9" ht="15.75">
      <c r="B65" s="174"/>
      <c r="C65" s="174"/>
      <c r="D65" s="174"/>
      <c r="E65" s="174"/>
      <c r="F65" s="174"/>
      <c r="G65" s="174"/>
      <c r="H65" s="172"/>
      <c r="I65" s="174"/>
    </row>
    <row r="66" spans="2:9" ht="15.75">
      <c r="B66" s="174"/>
      <c r="C66" s="174"/>
      <c r="D66" s="174"/>
      <c r="E66" s="174"/>
      <c r="F66" s="174"/>
      <c r="G66" s="174"/>
      <c r="H66" s="172"/>
      <c r="I66" s="174"/>
    </row>
    <row r="67" spans="2:9" ht="15.75">
      <c r="B67" s="174"/>
      <c r="C67" s="174"/>
      <c r="D67" s="174"/>
      <c r="E67" s="174"/>
      <c r="F67" s="174"/>
      <c r="G67" s="174"/>
      <c r="H67" s="172"/>
      <c r="I67" s="174"/>
    </row>
    <row r="68" spans="2:9" ht="15.75">
      <c r="B68" s="174"/>
      <c r="C68" s="174"/>
      <c r="D68" s="174"/>
      <c r="E68" s="174"/>
      <c r="F68" s="174"/>
      <c r="G68" s="174"/>
      <c r="H68" s="172"/>
      <c r="I68" s="174"/>
    </row>
    <row r="69" spans="2:9" ht="15.75">
      <c r="B69" s="174"/>
      <c r="C69" s="174"/>
      <c r="D69" s="174"/>
      <c r="E69" s="174"/>
      <c r="F69" s="174"/>
      <c r="G69" s="174"/>
      <c r="H69" s="172"/>
      <c r="I69" s="174"/>
    </row>
    <row r="70" spans="2:9" ht="15.75">
      <c r="B70" s="174"/>
      <c r="C70" s="174"/>
      <c r="D70" s="174"/>
      <c r="E70" s="174"/>
      <c r="F70" s="174"/>
      <c r="G70" s="174"/>
      <c r="H70" s="172"/>
      <c r="I70" s="174"/>
    </row>
    <row r="71" spans="2:9" ht="15.75">
      <c r="B71" s="174"/>
      <c r="C71" s="174"/>
      <c r="D71" s="174"/>
      <c r="E71" s="174"/>
      <c r="F71" s="174"/>
      <c r="G71" s="174"/>
      <c r="H71" s="172"/>
      <c r="I71" s="174"/>
    </row>
    <row r="72" spans="2:9" ht="15.75">
      <c r="B72" s="174"/>
      <c r="C72" s="174"/>
      <c r="D72" s="174"/>
      <c r="E72" s="174"/>
      <c r="F72" s="174"/>
      <c r="G72" s="174"/>
      <c r="H72" s="172"/>
      <c r="I72" s="174"/>
    </row>
    <row r="73" spans="2:9" ht="15.75">
      <c r="B73" s="174"/>
      <c r="C73" s="174"/>
      <c r="D73" s="174"/>
      <c r="E73" s="174"/>
      <c r="F73" s="174"/>
      <c r="G73" s="174"/>
      <c r="H73" s="172"/>
      <c r="I73" s="174"/>
    </row>
    <row r="74" spans="2:9" ht="15.75">
      <c r="B74" s="174"/>
      <c r="C74" s="174"/>
      <c r="D74" s="174"/>
      <c r="E74" s="174"/>
      <c r="F74" s="174"/>
      <c r="G74" s="174"/>
      <c r="H74" s="172"/>
      <c r="I74" s="174"/>
    </row>
    <row r="75" spans="2:9" ht="15.75">
      <c r="B75" s="174"/>
      <c r="C75" s="174"/>
      <c r="D75" s="174"/>
      <c r="E75" s="174"/>
      <c r="F75" s="174"/>
      <c r="G75" s="174"/>
      <c r="H75" s="172"/>
      <c r="I75" s="174"/>
    </row>
    <row r="76" spans="2:9" ht="15.75">
      <c r="B76" s="174"/>
      <c r="C76" s="174"/>
      <c r="D76" s="174"/>
      <c r="E76" s="174"/>
      <c r="F76" s="174"/>
      <c r="G76" s="174"/>
      <c r="H76" s="172"/>
      <c r="I76" s="174"/>
    </row>
    <row r="77" spans="2:9" ht="15.75">
      <c r="B77" s="174"/>
      <c r="C77" s="174"/>
      <c r="D77" s="174"/>
      <c r="E77" s="174"/>
      <c r="F77" s="174"/>
      <c r="G77" s="174"/>
      <c r="H77" s="172"/>
      <c r="I77" s="174"/>
    </row>
    <row r="78" spans="2:9" ht="15.75">
      <c r="B78" s="174"/>
      <c r="C78" s="174"/>
      <c r="D78" s="174"/>
      <c r="E78" s="174"/>
      <c r="F78" s="174"/>
      <c r="G78" s="174"/>
      <c r="H78" s="172"/>
      <c r="I78" s="174"/>
    </row>
    <row r="79" spans="2:9" ht="15.75">
      <c r="B79" s="174"/>
      <c r="C79" s="174"/>
      <c r="D79" s="174"/>
      <c r="E79" s="174"/>
      <c r="F79" s="174"/>
      <c r="G79" s="174"/>
      <c r="H79" s="172"/>
      <c r="I79" s="174"/>
    </row>
    <row r="80" spans="2:9" ht="15.75">
      <c r="B80" s="174"/>
      <c r="C80" s="174"/>
      <c r="D80" s="174"/>
      <c r="E80" s="174"/>
      <c r="F80" s="174"/>
      <c r="G80" s="174"/>
      <c r="H80" s="172"/>
      <c r="I80" s="174"/>
    </row>
    <row r="81" spans="2:9" ht="15.75">
      <c r="B81" s="174"/>
      <c r="C81" s="174"/>
      <c r="D81" s="174"/>
      <c r="E81" s="174"/>
      <c r="F81" s="174"/>
      <c r="G81" s="174"/>
      <c r="H81" s="172"/>
      <c r="I81" s="174"/>
    </row>
    <row r="82" spans="2:9" ht="15.75">
      <c r="B82" s="174"/>
      <c r="C82" s="174"/>
      <c r="D82" s="174"/>
      <c r="E82" s="174"/>
      <c r="F82" s="174"/>
      <c r="G82" s="174"/>
      <c r="H82" s="172"/>
      <c r="I82" s="174"/>
    </row>
    <row r="83" spans="2:9" ht="15.75">
      <c r="B83" s="174"/>
      <c r="C83" s="174"/>
      <c r="D83" s="174"/>
      <c r="E83" s="174"/>
      <c r="F83" s="174"/>
      <c r="G83" s="174"/>
      <c r="H83" s="172"/>
      <c r="I83" s="174"/>
    </row>
    <row r="84" spans="2:9" ht="15.75">
      <c r="B84" s="174"/>
      <c r="C84" s="174"/>
      <c r="D84" s="174"/>
      <c r="E84" s="174"/>
      <c r="F84" s="174"/>
      <c r="G84" s="174"/>
      <c r="H84" s="172"/>
      <c r="I84" s="174"/>
    </row>
    <row r="85" spans="2:9" ht="15.75">
      <c r="B85" s="174"/>
      <c r="C85" s="174"/>
      <c r="D85" s="174"/>
      <c r="E85" s="174"/>
      <c r="F85" s="174"/>
      <c r="G85" s="174"/>
      <c r="H85" s="172"/>
      <c r="I85" s="174"/>
    </row>
    <row r="86" spans="2:9" ht="15.75">
      <c r="B86" s="174"/>
      <c r="C86" s="174"/>
      <c r="D86" s="174"/>
      <c r="E86" s="174"/>
      <c r="F86" s="174"/>
      <c r="G86" s="174"/>
      <c r="H86" s="172"/>
      <c r="I86" s="174"/>
    </row>
    <row r="87" spans="2:9" ht="15.75">
      <c r="B87" s="174"/>
      <c r="C87" s="174"/>
      <c r="D87" s="174"/>
      <c r="E87" s="174"/>
      <c r="F87" s="174"/>
      <c r="G87" s="174"/>
      <c r="H87" s="172"/>
      <c r="I87" s="174"/>
    </row>
    <row r="88" spans="2:9" ht="15.75">
      <c r="B88" s="174"/>
      <c r="C88" s="174"/>
      <c r="D88" s="174"/>
      <c r="E88" s="174"/>
      <c r="F88" s="174"/>
      <c r="G88" s="174"/>
      <c r="H88" s="172"/>
      <c r="I88" s="174"/>
    </row>
    <row r="89" spans="2:9" ht="15.75">
      <c r="B89" s="174"/>
      <c r="C89" s="174"/>
      <c r="D89" s="174"/>
      <c r="E89" s="174"/>
      <c r="F89" s="174"/>
      <c r="G89" s="174"/>
      <c r="H89" s="172"/>
      <c r="I89" s="174"/>
    </row>
    <row r="90" spans="2:9" ht="15.75">
      <c r="B90" s="174"/>
      <c r="C90" s="174"/>
      <c r="D90" s="174"/>
      <c r="E90" s="174"/>
      <c r="F90" s="174"/>
      <c r="G90" s="174"/>
      <c r="H90" s="172"/>
      <c r="I90" s="174"/>
    </row>
    <row r="91" spans="2:9" ht="15.75">
      <c r="B91" s="174"/>
      <c r="C91" s="174"/>
      <c r="D91" s="174"/>
      <c r="E91" s="174"/>
      <c r="F91" s="174"/>
      <c r="G91" s="174"/>
      <c r="H91" s="172"/>
      <c r="I91" s="174"/>
    </row>
    <row r="92" spans="2:9" ht="15.75">
      <c r="B92" s="174"/>
      <c r="C92" s="174"/>
      <c r="D92" s="174"/>
      <c r="E92" s="174"/>
      <c r="F92" s="174"/>
      <c r="G92" s="174"/>
      <c r="H92" s="172"/>
      <c r="I92" s="174"/>
    </row>
    <row r="93" spans="2:9" ht="15.75">
      <c r="B93" s="174"/>
      <c r="C93" s="174"/>
      <c r="D93" s="174"/>
      <c r="E93" s="174"/>
      <c r="F93" s="174"/>
      <c r="G93" s="174"/>
      <c r="H93" s="172"/>
      <c r="I93" s="174"/>
    </row>
    <row r="94" spans="2:9" ht="15.75">
      <c r="B94" s="174"/>
      <c r="C94" s="174"/>
      <c r="D94" s="174"/>
      <c r="E94" s="174"/>
      <c r="F94" s="174"/>
      <c r="G94" s="174"/>
      <c r="H94" s="172"/>
      <c r="I94" s="174"/>
    </row>
    <row r="95" spans="2:9" ht="15.75">
      <c r="B95" s="174"/>
      <c r="C95" s="174"/>
      <c r="D95" s="174"/>
      <c r="E95" s="174"/>
      <c r="F95" s="174"/>
      <c r="G95" s="174"/>
      <c r="H95" s="172"/>
      <c r="I95" s="174"/>
    </row>
    <row r="96" spans="2:9" ht="15.75">
      <c r="B96" s="174"/>
      <c r="C96" s="174"/>
      <c r="D96" s="174"/>
      <c r="E96" s="174"/>
      <c r="F96" s="174"/>
      <c r="G96" s="174"/>
      <c r="H96" s="172"/>
      <c r="I96" s="174"/>
    </row>
    <row r="97" spans="2:9" ht="15.75">
      <c r="B97" s="174"/>
      <c r="C97" s="174"/>
      <c r="D97" s="174"/>
      <c r="E97" s="174"/>
      <c r="F97" s="174"/>
      <c r="G97" s="174"/>
      <c r="H97" s="172"/>
      <c r="I97" s="174"/>
    </row>
    <row r="98" spans="2:9" ht="15.75">
      <c r="B98" s="174"/>
      <c r="C98" s="174"/>
      <c r="D98" s="174"/>
      <c r="E98" s="174"/>
      <c r="F98" s="174"/>
      <c r="G98" s="174"/>
      <c r="H98" s="172"/>
      <c r="I98" s="174"/>
    </row>
    <row r="99" spans="2:9" ht="15.75">
      <c r="B99" s="174"/>
      <c r="C99" s="174"/>
      <c r="D99" s="174"/>
      <c r="E99" s="174"/>
      <c r="F99" s="174"/>
      <c r="G99" s="174"/>
      <c r="H99" s="172"/>
      <c r="I99" s="174"/>
    </row>
    <row r="100" spans="2:9" ht="15.75">
      <c r="B100" s="174"/>
      <c r="C100" s="174"/>
      <c r="D100" s="174"/>
      <c r="E100" s="174"/>
      <c r="F100" s="174"/>
      <c r="G100" s="174"/>
      <c r="H100" s="172"/>
      <c r="I100" s="174"/>
    </row>
    <row r="101" spans="2:9" ht="15.75">
      <c r="B101" s="174"/>
      <c r="C101" s="174"/>
      <c r="D101" s="174"/>
      <c r="E101" s="174"/>
      <c r="F101" s="174"/>
      <c r="G101" s="174"/>
      <c r="H101" s="172"/>
      <c r="I101" s="174"/>
    </row>
    <row r="102" spans="2:9" ht="15.75">
      <c r="B102" s="174"/>
      <c r="C102" s="174"/>
      <c r="D102" s="174"/>
      <c r="E102" s="174"/>
      <c r="F102" s="174"/>
      <c r="G102" s="174"/>
      <c r="H102" s="172"/>
      <c r="I102" s="174"/>
    </row>
    <row r="103" spans="2:9" ht="15.75">
      <c r="B103" s="174"/>
      <c r="C103" s="174"/>
      <c r="D103" s="174"/>
      <c r="E103" s="174"/>
      <c r="F103" s="174"/>
      <c r="G103" s="174"/>
      <c r="H103" s="172"/>
      <c r="I103" s="174"/>
    </row>
    <row r="104" spans="2:9" ht="15.75">
      <c r="B104" s="174"/>
      <c r="C104" s="174"/>
      <c r="D104" s="174"/>
      <c r="E104" s="174"/>
      <c r="F104" s="174"/>
      <c r="G104" s="174"/>
      <c r="H104" s="172"/>
      <c r="I104" s="174"/>
    </row>
    <row r="105" spans="2:9" ht="15.75">
      <c r="B105" s="174"/>
      <c r="C105" s="174"/>
      <c r="D105" s="174"/>
      <c r="E105" s="174"/>
      <c r="F105" s="174"/>
      <c r="G105" s="174"/>
      <c r="H105" s="172"/>
      <c r="I105" s="174"/>
    </row>
    <row r="106" spans="2:9" ht="15.75">
      <c r="B106" s="174"/>
      <c r="C106" s="174"/>
      <c r="D106" s="174"/>
      <c r="E106" s="174"/>
      <c r="F106" s="174"/>
      <c r="G106" s="174"/>
      <c r="H106" s="172"/>
      <c r="I106" s="174"/>
    </row>
    <row r="107" spans="2:9" ht="15.75">
      <c r="B107" s="174"/>
      <c r="C107" s="174"/>
      <c r="D107" s="174"/>
      <c r="E107" s="174"/>
      <c r="F107" s="174"/>
      <c r="G107" s="174"/>
      <c r="H107" s="172"/>
      <c r="I107" s="174"/>
    </row>
    <row r="108" spans="2:9" ht="15.75">
      <c r="B108" s="174"/>
      <c r="C108" s="174"/>
      <c r="D108" s="174"/>
      <c r="E108" s="174"/>
      <c r="F108" s="174"/>
      <c r="G108" s="174"/>
      <c r="H108" s="172"/>
      <c r="I108" s="174"/>
    </row>
    <row r="109" spans="2:9" ht="15.75">
      <c r="B109" s="174"/>
      <c r="C109" s="174"/>
      <c r="D109" s="174"/>
      <c r="E109" s="174"/>
      <c r="F109" s="174"/>
      <c r="G109" s="174"/>
      <c r="H109" s="172"/>
      <c r="I109" s="174"/>
    </row>
    <row r="110" spans="2:9" ht="15.75">
      <c r="B110" s="174"/>
      <c r="C110" s="174"/>
      <c r="D110" s="174"/>
      <c r="E110" s="174"/>
      <c r="F110" s="174"/>
      <c r="G110" s="174"/>
      <c r="H110" s="172"/>
      <c r="I110" s="174"/>
    </row>
    <row r="111" spans="2:9" ht="15.75">
      <c r="B111" s="174"/>
      <c r="C111" s="174"/>
      <c r="D111" s="174"/>
      <c r="E111" s="174"/>
      <c r="F111" s="174"/>
      <c r="G111" s="174"/>
      <c r="H111" s="172"/>
      <c r="I111" s="174"/>
    </row>
    <row r="112" spans="2:9" ht="15.75">
      <c r="B112" s="174"/>
      <c r="C112" s="174"/>
      <c r="D112" s="174"/>
      <c r="E112" s="174"/>
      <c r="F112" s="174"/>
      <c r="G112" s="174"/>
      <c r="H112" s="172"/>
      <c r="I112" s="174"/>
    </row>
    <row r="113" spans="2:9" ht="15.75">
      <c r="B113" s="174"/>
      <c r="C113" s="174"/>
      <c r="D113" s="174"/>
      <c r="E113" s="174"/>
      <c r="F113" s="174"/>
      <c r="G113" s="174"/>
      <c r="H113" s="172"/>
      <c r="I113" s="174"/>
    </row>
    <row r="114" spans="2:9" ht="15.75">
      <c r="B114" s="174"/>
      <c r="C114" s="174"/>
      <c r="D114" s="174"/>
      <c r="E114" s="174"/>
      <c r="F114" s="174"/>
      <c r="G114" s="174"/>
      <c r="H114" s="172"/>
      <c r="I114" s="174"/>
    </row>
    <row r="115" spans="2:9" ht="15.75">
      <c r="B115" s="174"/>
      <c r="C115" s="174"/>
      <c r="D115" s="174"/>
      <c r="E115" s="174"/>
      <c r="F115" s="174"/>
      <c r="G115" s="174"/>
      <c r="H115" s="172"/>
      <c r="I115" s="174"/>
    </row>
    <row r="116" spans="2:9" ht="15.75">
      <c r="B116" s="174"/>
      <c r="C116" s="174"/>
      <c r="D116" s="174"/>
      <c r="E116" s="174"/>
      <c r="F116" s="174"/>
      <c r="G116" s="174"/>
      <c r="H116" s="172"/>
      <c r="I116" s="174"/>
    </row>
    <row r="117" spans="2:9" ht="15.75">
      <c r="B117" s="174"/>
      <c r="C117" s="174"/>
      <c r="D117" s="174"/>
      <c r="E117" s="174"/>
      <c r="F117" s="174"/>
      <c r="G117" s="174"/>
      <c r="H117" s="172"/>
      <c r="I117" s="174"/>
    </row>
    <row r="118" spans="2:9" ht="15.75">
      <c r="B118" s="174"/>
      <c r="C118" s="174"/>
      <c r="D118" s="174"/>
      <c r="E118" s="174"/>
      <c r="F118" s="174"/>
      <c r="G118" s="174"/>
      <c r="H118" s="172"/>
      <c r="I118" s="174"/>
    </row>
    <row r="119" spans="2:9" ht="15.75">
      <c r="B119" s="174"/>
      <c r="C119" s="174"/>
      <c r="D119" s="174"/>
      <c r="E119" s="174"/>
      <c r="F119" s="174"/>
      <c r="G119" s="174"/>
      <c r="H119" s="172"/>
      <c r="I119" s="174"/>
    </row>
    <row r="120" spans="2:9" ht="15.75">
      <c r="B120" s="174"/>
      <c r="C120" s="174"/>
      <c r="D120" s="174"/>
      <c r="E120" s="174"/>
      <c r="F120" s="174"/>
      <c r="G120" s="174"/>
      <c r="H120" s="172"/>
      <c r="I120" s="174"/>
    </row>
    <row r="121" spans="2:9" ht="15.75">
      <c r="B121" s="174"/>
      <c r="C121" s="174"/>
      <c r="D121" s="174"/>
      <c r="E121" s="174"/>
      <c r="F121" s="174"/>
      <c r="G121" s="174"/>
      <c r="H121" s="172"/>
      <c r="I121" s="174"/>
    </row>
    <row r="122" spans="2:9" ht="15.75">
      <c r="B122" s="174"/>
      <c r="C122" s="174"/>
      <c r="D122" s="174"/>
      <c r="E122" s="174"/>
      <c r="F122" s="174"/>
      <c r="G122" s="174"/>
      <c r="H122" s="172"/>
      <c r="I122" s="174"/>
    </row>
    <row r="123" spans="2:9" ht="15.75">
      <c r="B123" s="174"/>
      <c r="C123" s="174"/>
      <c r="D123" s="174"/>
      <c r="E123" s="174"/>
      <c r="F123" s="174"/>
      <c r="G123" s="174"/>
      <c r="H123" s="172"/>
      <c r="I123" s="174"/>
    </row>
    <row r="124" spans="2:9" ht="15.75">
      <c r="B124" s="174"/>
      <c r="C124" s="174"/>
      <c r="D124" s="174"/>
      <c r="E124" s="174"/>
      <c r="F124" s="174"/>
      <c r="G124" s="174"/>
      <c r="H124" s="172"/>
      <c r="I124" s="174"/>
    </row>
    <row r="125" spans="2:9" ht="15.75">
      <c r="B125" s="174"/>
      <c r="C125" s="174"/>
      <c r="D125" s="174"/>
      <c r="E125" s="174"/>
      <c r="F125" s="174"/>
      <c r="G125" s="174"/>
      <c r="H125" s="172"/>
      <c r="I125" s="174"/>
    </row>
    <row r="126" spans="2:9" ht="15.75">
      <c r="B126" s="174"/>
      <c r="C126" s="174"/>
      <c r="D126" s="174"/>
      <c r="E126" s="174"/>
      <c r="F126" s="174"/>
      <c r="G126" s="174"/>
      <c r="H126" s="172"/>
      <c r="I126" s="174"/>
    </row>
    <row r="127" spans="2:9" ht="15.75">
      <c r="B127" s="174"/>
      <c r="C127" s="174"/>
      <c r="D127" s="174"/>
      <c r="E127" s="174"/>
      <c r="F127" s="174"/>
      <c r="G127" s="174"/>
      <c r="H127" s="172"/>
      <c r="I127" s="174"/>
    </row>
    <row r="128" spans="2:9" ht="15.75">
      <c r="B128" s="174"/>
      <c r="C128" s="174"/>
      <c r="D128" s="174"/>
      <c r="E128" s="174"/>
      <c r="F128" s="174"/>
      <c r="G128" s="174"/>
      <c r="H128" s="172"/>
      <c r="I128" s="174"/>
    </row>
    <row r="129" spans="2:9" ht="15.75">
      <c r="B129" s="174"/>
      <c r="C129" s="174"/>
      <c r="D129" s="174"/>
      <c r="E129" s="174"/>
      <c r="F129" s="174"/>
      <c r="G129" s="174"/>
      <c r="H129" s="172"/>
      <c r="I129" s="174"/>
    </row>
    <row r="130" spans="2:9" ht="15.75">
      <c r="B130" s="174"/>
      <c r="C130" s="174"/>
      <c r="D130" s="174"/>
      <c r="E130" s="174"/>
      <c r="F130" s="174"/>
      <c r="G130" s="174"/>
      <c r="H130" s="172"/>
      <c r="I130" s="174"/>
    </row>
    <row r="131" spans="2:9" ht="15.75">
      <c r="B131" s="174"/>
      <c r="C131" s="174"/>
      <c r="D131" s="174"/>
      <c r="E131" s="174"/>
      <c r="F131" s="174"/>
      <c r="G131" s="174"/>
      <c r="H131" s="172"/>
      <c r="I131" s="174"/>
    </row>
    <row r="132" spans="2:9" ht="15.75">
      <c r="B132" s="174"/>
      <c r="C132" s="174"/>
      <c r="D132" s="174"/>
      <c r="E132" s="174"/>
      <c r="F132" s="174"/>
      <c r="G132" s="174"/>
      <c r="H132" s="172"/>
      <c r="I132" s="174"/>
    </row>
    <row r="133" spans="2:9" ht="15.75">
      <c r="B133" s="174"/>
      <c r="C133" s="174"/>
      <c r="D133" s="174"/>
      <c r="E133" s="174"/>
      <c r="F133" s="174"/>
      <c r="G133" s="174"/>
      <c r="H133" s="172"/>
      <c r="I133" s="174"/>
    </row>
    <row r="134" spans="2:9" ht="15.75">
      <c r="B134" s="174"/>
      <c r="C134" s="174"/>
      <c r="D134" s="174"/>
      <c r="E134" s="174"/>
      <c r="F134" s="174"/>
      <c r="G134" s="174"/>
      <c r="H134" s="172"/>
      <c r="I134" s="174"/>
    </row>
    <row r="135" spans="2:9" ht="15.75">
      <c r="B135" s="174"/>
      <c r="C135" s="174"/>
      <c r="D135" s="174"/>
      <c r="E135" s="174"/>
      <c r="F135" s="174"/>
      <c r="G135" s="174"/>
      <c r="H135" s="172"/>
      <c r="I135" s="174"/>
    </row>
    <row r="136" spans="2:9" ht="15.75">
      <c r="B136" s="174"/>
      <c r="C136" s="174"/>
      <c r="D136" s="174"/>
      <c r="E136" s="174"/>
      <c r="F136" s="174"/>
      <c r="G136" s="174"/>
      <c r="H136" s="172"/>
      <c r="I136" s="174"/>
    </row>
    <row r="137" spans="2:9" ht="15.75">
      <c r="B137" s="174"/>
      <c r="C137" s="174"/>
      <c r="D137" s="174"/>
      <c r="E137" s="174"/>
      <c r="F137" s="174"/>
      <c r="G137" s="174"/>
      <c r="H137" s="172"/>
      <c r="I137" s="174"/>
    </row>
    <row r="138" spans="2:9" ht="15.75">
      <c r="B138" s="174"/>
      <c r="C138" s="174"/>
      <c r="D138" s="174"/>
      <c r="E138" s="174"/>
      <c r="F138" s="174"/>
      <c r="G138" s="174"/>
      <c r="H138" s="172"/>
      <c r="I138" s="174"/>
    </row>
    <row r="139" spans="2:9" ht="15.75">
      <c r="B139" s="174"/>
      <c r="C139" s="174"/>
      <c r="D139" s="174"/>
      <c r="E139" s="174"/>
      <c r="F139" s="174"/>
      <c r="G139" s="174"/>
      <c r="H139" s="172"/>
      <c r="I139" s="174"/>
    </row>
    <row r="140" spans="2:9" ht="15.75">
      <c r="B140" s="174"/>
      <c r="C140" s="174"/>
      <c r="D140" s="174"/>
      <c r="E140" s="174"/>
      <c r="F140" s="174"/>
      <c r="G140" s="174"/>
      <c r="H140" s="172"/>
      <c r="I140" s="174"/>
    </row>
    <row r="141" spans="2:9" ht="15.75">
      <c r="B141" s="174"/>
      <c r="C141" s="174"/>
      <c r="D141" s="174"/>
      <c r="E141" s="174"/>
      <c r="F141" s="174"/>
      <c r="G141" s="174"/>
      <c r="H141" s="172"/>
      <c r="I141" s="174"/>
    </row>
    <row r="142" spans="2:9" ht="15.75">
      <c r="B142" s="174"/>
      <c r="C142" s="174"/>
      <c r="D142" s="174"/>
      <c r="E142" s="174"/>
      <c r="F142" s="174"/>
      <c r="G142" s="174"/>
      <c r="H142" s="172"/>
      <c r="I142" s="174"/>
    </row>
    <row r="143" spans="2:9" ht="15.75">
      <c r="B143" s="174"/>
      <c r="C143" s="174"/>
      <c r="D143" s="174"/>
      <c r="E143" s="174"/>
      <c r="F143" s="174"/>
      <c r="G143" s="174"/>
      <c r="H143" s="172"/>
      <c r="I143" s="174"/>
    </row>
    <row r="144" spans="2:9" ht="15.75">
      <c r="B144" s="174"/>
      <c r="C144" s="174"/>
      <c r="D144" s="174"/>
      <c r="E144" s="174"/>
      <c r="F144" s="174"/>
      <c r="G144" s="174"/>
      <c r="H144" s="172"/>
      <c r="I144" s="174"/>
    </row>
    <row r="145" spans="2:9" ht="15.75">
      <c r="B145" s="174"/>
      <c r="C145" s="174"/>
      <c r="D145" s="174"/>
      <c r="E145" s="174"/>
      <c r="F145" s="174"/>
      <c r="G145" s="174"/>
      <c r="H145" s="172"/>
      <c r="I145" s="174"/>
    </row>
    <row r="146" spans="2:9" ht="15.75">
      <c r="B146" s="174"/>
      <c r="C146" s="174"/>
      <c r="D146" s="174"/>
      <c r="E146" s="174"/>
      <c r="F146" s="174"/>
      <c r="G146" s="174"/>
      <c r="H146" s="172"/>
      <c r="I146" s="174"/>
    </row>
    <row r="147" spans="2:9" ht="15.75">
      <c r="B147" s="174"/>
      <c r="C147" s="174"/>
      <c r="D147" s="174"/>
      <c r="E147" s="174"/>
      <c r="F147" s="174"/>
      <c r="G147" s="174"/>
      <c r="H147" s="172"/>
      <c r="I147" s="174"/>
    </row>
    <row r="148" spans="2:9" ht="15.75">
      <c r="B148" s="174"/>
      <c r="C148" s="174"/>
      <c r="D148" s="174"/>
      <c r="E148" s="174"/>
      <c r="F148" s="174"/>
      <c r="G148" s="174"/>
      <c r="H148" s="172"/>
      <c r="I148" s="174"/>
    </row>
    <row r="149" spans="2:9" ht="15.75">
      <c r="B149" s="174"/>
      <c r="C149" s="174"/>
      <c r="D149" s="174"/>
      <c r="E149" s="174"/>
      <c r="F149" s="174"/>
      <c r="G149" s="174"/>
      <c r="H149" s="172"/>
      <c r="I149" s="174"/>
    </row>
    <row r="150" spans="2:9" ht="15.75">
      <c r="B150" s="174"/>
      <c r="C150" s="174"/>
      <c r="D150" s="174"/>
      <c r="E150" s="174"/>
      <c r="F150" s="174"/>
      <c r="G150" s="174"/>
      <c r="H150" s="172"/>
      <c r="I150" s="174"/>
    </row>
    <row r="151" spans="2:9" ht="15.75">
      <c r="B151" s="174"/>
      <c r="C151" s="174"/>
      <c r="D151" s="174"/>
      <c r="E151" s="174"/>
      <c r="F151" s="174"/>
      <c r="G151" s="174"/>
      <c r="H151" s="172"/>
      <c r="I151" s="174"/>
    </row>
    <row r="152" spans="2:9" ht="15.75">
      <c r="B152" s="174"/>
      <c r="C152" s="174"/>
      <c r="D152" s="174"/>
      <c r="E152" s="174"/>
      <c r="F152" s="174"/>
      <c r="G152" s="174"/>
      <c r="H152" s="172"/>
      <c r="I152" s="174"/>
    </row>
    <row r="153" spans="2:9" ht="15.75">
      <c r="B153" s="174"/>
      <c r="C153" s="174"/>
      <c r="D153" s="174"/>
      <c r="E153" s="174"/>
      <c r="F153" s="174"/>
      <c r="G153" s="174"/>
      <c r="H153" s="172"/>
      <c r="I153" s="174"/>
    </row>
    <row r="154" spans="2:9" ht="15.75">
      <c r="B154" s="174"/>
      <c r="C154" s="174"/>
      <c r="D154" s="174"/>
      <c r="E154" s="174"/>
      <c r="F154" s="174"/>
      <c r="G154" s="174"/>
      <c r="H154" s="172"/>
      <c r="I154" s="174"/>
    </row>
    <row r="155" spans="2:9" ht="15.75">
      <c r="B155" s="174"/>
      <c r="C155" s="174"/>
      <c r="D155" s="174"/>
      <c r="E155" s="174"/>
      <c r="F155" s="174"/>
      <c r="G155" s="174"/>
      <c r="H155" s="172"/>
      <c r="I155" s="174"/>
    </row>
    <row r="156" spans="2:9" ht="15.75">
      <c r="B156" s="174"/>
      <c r="C156" s="174"/>
      <c r="D156" s="174"/>
      <c r="E156" s="174"/>
      <c r="F156" s="174"/>
      <c r="G156" s="174"/>
      <c r="H156" s="172"/>
      <c r="I156" s="174"/>
    </row>
    <row r="157" spans="2:9" ht="15.75">
      <c r="B157" s="174"/>
      <c r="C157" s="174"/>
      <c r="D157" s="174"/>
      <c r="E157" s="174"/>
      <c r="F157" s="174"/>
      <c r="G157" s="174"/>
      <c r="H157" s="172"/>
      <c r="I157" s="174"/>
    </row>
    <row r="158" spans="2:9" ht="15.75">
      <c r="B158" s="174"/>
      <c r="C158" s="174"/>
      <c r="D158" s="174"/>
      <c r="E158" s="174"/>
      <c r="F158" s="174"/>
      <c r="G158" s="174"/>
      <c r="H158" s="172"/>
      <c r="I158" s="174"/>
    </row>
    <row r="159" spans="2:9" ht="15.75">
      <c r="B159" s="174"/>
      <c r="C159" s="174"/>
      <c r="D159" s="174"/>
      <c r="E159" s="174"/>
      <c r="F159" s="174"/>
      <c r="G159" s="174"/>
      <c r="H159" s="172"/>
      <c r="I159" s="174"/>
    </row>
    <row r="160" spans="2:9" ht="15.75">
      <c r="B160" s="174"/>
      <c r="C160" s="174"/>
      <c r="D160" s="174"/>
      <c r="E160" s="174"/>
      <c r="F160" s="174"/>
      <c r="G160" s="174"/>
      <c r="H160" s="172"/>
      <c r="I160" s="174"/>
    </row>
    <row r="161" spans="2:9" ht="15.75">
      <c r="B161" s="174"/>
      <c r="C161" s="174"/>
      <c r="D161" s="174"/>
      <c r="E161" s="174"/>
      <c r="F161" s="174"/>
      <c r="G161" s="174"/>
      <c r="H161" s="172"/>
      <c r="I161" s="174"/>
    </row>
    <row r="162" spans="2:9" ht="15.75">
      <c r="B162" s="174"/>
      <c r="C162" s="174"/>
      <c r="D162" s="174"/>
      <c r="E162" s="174"/>
      <c r="F162" s="174"/>
      <c r="G162" s="174"/>
      <c r="H162" s="172"/>
      <c r="I162" s="174"/>
    </row>
    <row r="163" spans="2:9" ht="15.75">
      <c r="B163" s="174"/>
      <c r="C163" s="174"/>
      <c r="D163" s="174"/>
      <c r="E163" s="174"/>
      <c r="F163" s="174"/>
      <c r="G163" s="174"/>
      <c r="H163" s="172"/>
      <c r="I163" s="174"/>
    </row>
    <row r="164" spans="2:9" ht="15.75">
      <c r="B164" s="174"/>
      <c r="C164" s="174"/>
      <c r="D164" s="174"/>
      <c r="E164" s="174"/>
      <c r="F164" s="174"/>
      <c r="G164" s="174"/>
      <c r="H164" s="172"/>
      <c r="I164" s="174"/>
    </row>
    <row r="165" spans="2:9" ht="15.75">
      <c r="B165" s="174"/>
      <c r="C165" s="174"/>
      <c r="D165" s="174"/>
      <c r="E165" s="174"/>
      <c r="F165" s="174"/>
      <c r="G165" s="174"/>
      <c r="H165" s="172"/>
      <c r="I165" s="174"/>
    </row>
    <row r="166" spans="2:9" ht="15.75">
      <c r="B166" s="174"/>
      <c r="C166" s="174"/>
      <c r="D166" s="174"/>
      <c r="E166" s="174"/>
      <c r="F166" s="174"/>
      <c r="G166" s="174"/>
      <c r="H166" s="172"/>
      <c r="I166" s="174"/>
    </row>
    <row r="167" spans="2:9" ht="15.75">
      <c r="B167" s="174"/>
      <c r="C167" s="174"/>
      <c r="D167" s="174"/>
      <c r="E167" s="174"/>
      <c r="F167" s="174"/>
      <c r="G167" s="174"/>
      <c r="H167" s="172"/>
      <c r="I167" s="174"/>
    </row>
    <row r="168" spans="2:9" ht="15.75">
      <c r="B168" s="174"/>
      <c r="C168" s="174"/>
      <c r="D168" s="174"/>
      <c r="E168" s="174"/>
      <c r="F168" s="174"/>
      <c r="G168" s="174"/>
      <c r="H168" s="172"/>
      <c r="I168" s="174"/>
    </row>
    <row r="169" spans="2:9" ht="15.75">
      <c r="B169" s="174"/>
      <c r="C169" s="174"/>
      <c r="D169" s="174"/>
      <c r="E169" s="174"/>
      <c r="F169" s="174"/>
      <c r="G169" s="174"/>
      <c r="H169" s="172"/>
      <c r="I169" s="174"/>
    </row>
    <row r="170" spans="2:9" ht="15.75">
      <c r="B170" s="174"/>
      <c r="C170" s="174"/>
      <c r="D170" s="174"/>
      <c r="E170" s="174"/>
      <c r="F170" s="174"/>
      <c r="G170" s="174"/>
      <c r="H170" s="172"/>
      <c r="I170" s="174"/>
    </row>
    <row r="171" spans="2:9" ht="15.75">
      <c r="B171" s="174"/>
      <c r="C171" s="174"/>
      <c r="D171" s="174"/>
      <c r="E171" s="174"/>
      <c r="F171" s="174"/>
      <c r="G171" s="174"/>
      <c r="H171" s="172"/>
      <c r="I171" s="174"/>
    </row>
    <row r="172" spans="2:9" ht="15.75">
      <c r="B172" s="174"/>
      <c r="C172" s="174"/>
      <c r="D172" s="174"/>
      <c r="E172" s="174"/>
      <c r="F172" s="174"/>
      <c r="G172" s="174"/>
      <c r="H172" s="172"/>
      <c r="I172" s="174"/>
    </row>
    <row r="173" spans="2:9" ht="15.75">
      <c r="B173" s="174"/>
      <c r="C173" s="174"/>
      <c r="D173" s="174"/>
      <c r="E173" s="174"/>
      <c r="F173" s="174"/>
      <c r="G173" s="174"/>
      <c r="H173" s="172"/>
      <c r="I173" s="174"/>
    </row>
    <row r="174" spans="2:9" ht="15.75">
      <c r="B174" s="174"/>
      <c r="C174" s="174"/>
      <c r="D174" s="174"/>
      <c r="E174" s="174"/>
      <c r="F174" s="174"/>
      <c r="G174" s="174"/>
      <c r="H174" s="172"/>
      <c r="I174" s="174"/>
    </row>
    <row r="175" spans="2:9" ht="15.75">
      <c r="B175" s="174"/>
      <c r="C175" s="174"/>
      <c r="D175" s="174"/>
      <c r="E175" s="174"/>
      <c r="F175" s="174"/>
      <c r="G175" s="174"/>
      <c r="H175" s="172"/>
      <c r="I175" s="174"/>
    </row>
    <row r="176" spans="2:9" ht="15.75">
      <c r="B176" s="174"/>
      <c r="C176" s="174"/>
      <c r="D176" s="174"/>
      <c r="E176" s="174"/>
      <c r="F176" s="174"/>
      <c r="G176" s="174"/>
      <c r="H176" s="172"/>
      <c r="I176" s="174"/>
    </row>
    <row r="177" spans="2:9" ht="15.75">
      <c r="B177" s="174"/>
      <c r="C177" s="174"/>
      <c r="D177" s="174"/>
      <c r="E177" s="174"/>
      <c r="F177" s="174"/>
      <c r="G177" s="174"/>
      <c r="H177" s="172"/>
      <c r="I177" s="174"/>
    </row>
    <row r="178" spans="2:9" ht="15.75">
      <c r="B178" s="174"/>
      <c r="C178" s="174"/>
      <c r="D178" s="174"/>
      <c r="E178" s="174"/>
      <c r="F178" s="174"/>
      <c r="G178" s="174"/>
      <c r="H178" s="172"/>
      <c r="I178" s="174"/>
    </row>
    <row r="179" spans="2:9" ht="15.75">
      <c r="B179" s="174"/>
      <c r="C179" s="174"/>
      <c r="D179" s="174"/>
      <c r="E179" s="174"/>
      <c r="F179" s="174"/>
      <c r="G179" s="174"/>
      <c r="H179" s="172"/>
      <c r="I179" s="174"/>
    </row>
    <row r="180" spans="2:9" ht="15.75">
      <c r="B180" s="174"/>
      <c r="C180" s="174"/>
      <c r="D180" s="174"/>
      <c r="E180" s="174"/>
      <c r="F180" s="174"/>
      <c r="G180" s="174"/>
      <c r="H180" s="172"/>
      <c r="I180" s="174"/>
    </row>
    <row r="181" spans="2:9" ht="15.75">
      <c r="B181" s="174"/>
      <c r="C181" s="174"/>
      <c r="D181" s="174"/>
      <c r="E181" s="174"/>
      <c r="F181" s="174"/>
      <c r="G181" s="174"/>
      <c r="H181" s="172"/>
      <c r="I181" s="174"/>
    </row>
    <row r="182" spans="2:9" ht="15.75">
      <c r="B182" s="174"/>
      <c r="C182" s="174"/>
      <c r="D182" s="174"/>
      <c r="E182" s="174"/>
      <c r="F182" s="174"/>
      <c r="G182" s="174"/>
      <c r="H182" s="172"/>
      <c r="I182" s="174"/>
    </row>
    <row r="183" spans="2:9" ht="15.75">
      <c r="B183" s="174"/>
      <c r="C183" s="174"/>
      <c r="D183" s="174"/>
      <c r="E183" s="174"/>
      <c r="F183" s="174"/>
      <c r="G183" s="174"/>
      <c r="H183" s="172"/>
      <c r="I183" s="174"/>
    </row>
    <row r="184" spans="2:9" ht="15.75">
      <c r="B184" s="174"/>
      <c r="C184" s="174"/>
      <c r="D184" s="174"/>
      <c r="E184" s="174"/>
      <c r="F184" s="174"/>
      <c r="G184" s="174"/>
      <c r="H184" s="172"/>
      <c r="I184" s="174"/>
    </row>
    <row r="185" spans="2:9" ht="15.75">
      <c r="B185" s="174"/>
      <c r="C185" s="174"/>
      <c r="D185" s="174"/>
      <c r="E185" s="174"/>
      <c r="F185" s="174"/>
      <c r="G185" s="174"/>
      <c r="H185" s="172"/>
      <c r="I185" s="174"/>
    </row>
    <row r="186" spans="2:9" ht="15.75">
      <c r="B186" s="174"/>
      <c r="C186" s="174"/>
      <c r="D186" s="174"/>
      <c r="E186" s="174"/>
      <c r="F186" s="174"/>
      <c r="G186" s="174"/>
      <c r="H186" s="172"/>
      <c r="I186" s="174"/>
    </row>
    <row r="187" spans="2:9" ht="15.75">
      <c r="B187" s="174"/>
      <c r="C187" s="174"/>
      <c r="D187" s="174"/>
      <c r="E187" s="174"/>
      <c r="F187" s="174"/>
      <c r="G187" s="174"/>
      <c r="H187" s="172"/>
      <c r="I187" s="174"/>
    </row>
    <row r="188" spans="2:9" ht="15.75">
      <c r="B188" s="174"/>
      <c r="C188" s="174"/>
      <c r="D188" s="174"/>
      <c r="E188" s="174"/>
      <c r="F188" s="174"/>
      <c r="G188" s="174"/>
      <c r="H188" s="172"/>
      <c r="I188" s="174"/>
    </row>
    <row r="189" spans="2:9" ht="15.75">
      <c r="B189" s="174"/>
      <c r="C189" s="174"/>
      <c r="D189" s="174"/>
      <c r="E189" s="174"/>
      <c r="F189" s="174"/>
      <c r="G189" s="174"/>
      <c r="H189" s="172"/>
      <c r="I189" s="174"/>
    </row>
    <row r="190" spans="2:9" ht="15.75">
      <c r="B190" s="174"/>
      <c r="C190" s="174"/>
      <c r="D190" s="174"/>
      <c r="E190" s="174"/>
      <c r="F190" s="174"/>
      <c r="G190" s="174"/>
      <c r="H190" s="172"/>
      <c r="I190" s="174"/>
    </row>
    <row r="191" spans="2:9" ht="15.75">
      <c r="B191" s="174"/>
      <c r="C191" s="174"/>
      <c r="D191" s="174"/>
      <c r="E191" s="174"/>
      <c r="F191" s="174"/>
      <c r="G191" s="174"/>
      <c r="H191" s="172"/>
      <c r="I191" s="174"/>
    </row>
    <row r="192" spans="2:9" ht="15.75">
      <c r="B192" s="174"/>
      <c r="C192" s="174"/>
      <c r="D192" s="174"/>
      <c r="E192" s="174"/>
      <c r="F192" s="174"/>
      <c r="G192" s="174"/>
      <c r="H192" s="172"/>
      <c r="I192" s="174"/>
    </row>
    <row r="193" spans="2:9" ht="15.75">
      <c r="B193" s="174"/>
      <c r="C193" s="174"/>
      <c r="D193" s="174"/>
      <c r="E193" s="174"/>
      <c r="F193" s="174"/>
      <c r="G193" s="174"/>
      <c r="H193" s="172"/>
      <c r="I193" s="174"/>
    </row>
    <row r="194" spans="2:9" ht="15.75">
      <c r="B194" s="174"/>
      <c r="C194" s="174"/>
      <c r="D194" s="174"/>
      <c r="E194" s="174"/>
      <c r="F194" s="174"/>
      <c r="G194" s="174"/>
      <c r="H194" s="172"/>
      <c r="I194" s="174"/>
    </row>
    <row r="195" spans="2:9" ht="15.75">
      <c r="B195" s="174"/>
      <c r="C195" s="174"/>
      <c r="D195" s="174"/>
      <c r="E195" s="174"/>
      <c r="F195" s="174"/>
      <c r="G195" s="174"/>
      <c r="H195" s="172"/>
      <c r="I195" s="174"/>
    </row>
    <row r="196" spans="2:9" ht="15.75">
      <c r="B196" s="174"/>
      <c r="C196" s="174"/>
      <c r="D196" s="174"/>
      <c r="E196" s="174"/>
      <c r="F196" s="174"/>
      <c r="G196" s="174"/>
      <c r="H196" s="172"/>
      <c r="I196" s="174"/>
    </row>
    <row r="197" spans="2:9" ht="15.75">
      <c r="B197" s="174"/>
      <c r="C197" s="174"/>
      <c r="D197" s="174"/>
      <c r="E197" s="174"/>
      <c r="F197" s="174"/>
      <c r="G197" s="174"/>
      <c r="H197" s="172"/>
      <c r="I197" s="174"/>
    </row>
    <row r="198" spans="2:9" ht="15.75">
      <c r="B198" s="174"/>
      <c r="C198" s="174"/>
      <c r="D198" s="174"/>
      <c r="E198" s="174"/>
      <c r="F198" s="174"/>
      <c r="G198" s="174"/>
      <c r="H198" s="172"/>
      <c r="I198" s="174"/>
    </row>
    <row r="199" spans="2:9" ht="15.75">
      <c r="B199" s="174"/>
      <c r="C199" s="174"/>
      <c r="D199" s="174"/>
      <c r="E199" s="174"/>
      <c r="F199" s="174"/>
      <c r="G199" s="174"/>
      <c r="H199" s="172"/>
      <c r="I199" s="174"/>
    </row>
    <row r="200" spans="2:9" ht="15.75">
      <c r="B200" s="174"/>
      <c r="C200" s="174"/>
      <c r="D200" s="174"/>
      <c r="E200" s="174"/>
      <c r="F200" s="174"/>
      <c r="G200" s="174"/>
      <c r="H200" s="172"/>
      <c r="I200" s="174"/>
    </row>
    <row r="201" spans="2:9" ht="15.75">
      <c r="B201" s="174"/>
      <c r="C201" s="174"/>
      <c r="D201" s="174"/>
      <c r="E201" s="174"/>
      <c r="F201" s="174"/>
      <c r="G201" s="174"/>
      <c r="H201" s="172"/>
      <c r="I201" s="174"/>
    </row>
    <row r="202" spans="2:9" ht="15.75">
      <c r="B202" s="174"/>
      <c r="C202" s="174"/>
      <c r="D202" s="174"/>
      <c r="E202" s="174"/>
      <c r="F202" s="174"/>
      <c r="G202" s="174"/>
      <c r="H202" s="172"/>
      <c r="I202" s="174"/>
    </row>
    <row r="203" spans="2:9" ht="15.75">
      <c r="B203" s="174"/>
      <c r="C203" s="174"/>
      <c r="D203" s="174"/>
      <c r="E203" s="174"/>
      <c r="F203" s="174"/>
      <c r="G203" s="174"/>
      <c r="H203" s="172"/>
      <c r="I203" s="174"/>
    </row>
    <row r="204" spans="2:9" ht="15.75">
      <c r="B204" s="174"/>
      <c r="C204" s="174"/>
      <c r="D204" s="174"/>
      <c r="E204" s="174"/>
      <c r="F204" s="174"/>
      <c r="G204" s="174"/>
      <c r="H204" s="172"/>
      <c r="I204" s="174"/>
    </row>
    <row r="205" spans="2:9" ht="15.75">
      <c r="B205" s="174"/>
      <c r="C205" s="174"/>
      <c r="D205" s="174"/>
      <c r="E205" s="174"/>
      <c r="F205" s="174"/>
      <c r="G205" s="174"/>
      <c r="H205" s="172"/>
      <c r="I205" s="174"/>
    </row>
    <row r="206" spans="2:9" ht="15.75">
      <c r="B206" s="174"/>
      <c r="C206" s="174"/>
      <c r="D206" s="174"/>
      <c r="E206" s="174"/>
      <c r="F206" s="174"/>
      <c r="G206" s="174"/>
      <c r="H206" s="172"/>
      <c r="I206" s="174"/>
    </row>
    <row r="207" spans="2:9" ht="15.75">
      <c r="B207" s="174"/>
      <c r="C207" s="174"/>
      <c r="D207" s="174"/>
      <c r="E207" s="174"/>
      <c r="F207" s="174"/>
      <c r="G207" s="174"/>
      <c r="H207" s="172"/>
      <c r="I207" s="174"/>
    </row>
    <row r="208" spans="2:9" ht="15.75">
      <c r="B208" s="174"/>
      <c r="C208" s="174"/>
      <c r="D208" s="174"/>
      <c r="E208" s="174"/>
      <c r="F208" s="174"/>
      <c r="G208" s="174"/>
      <c r="H208" s="172"/>
      <c r="I208" s="174"/>
    </row>
    <row r="209" spans="2:9" ht="15.75">
      <c r="B209" s="174"/>
      <c r="C209" s="174"/>
      <c r="D209" s="174"/>
      <c r="E209" s="174"/>
      <c r="F209" s="174"/>
      <c r="G209" s="174"/>
      <c r="H209" s="172"/>
      <c r="I209" s="174"/>
    </row>
    <row r="210" spans="2:9" ht="15.75">
      <c r="B210" s="174"/>
      <c r="C210" s="174"/>
      <c r="D210" s="174"/>
      <c r="E210" s="174"/>
      <c r="F210" s="174"/>
      <c r="G210" s="174"/>
      <c r="H210" s="172"/>
      <c r="I210" s="174"/>
    </row>
    <row r="211" spans="2:9" ht="15.75">
      <c r="B211" s="174"/>
      <c r="C211" s="174"/>
      <c r="D211" s="174"/>
      <c r="E211" s="174"/>
      <c r="F211" s="174"/>
      <c r="G211" s="174"/>
      <c r="H211" s="172"/>
      <c r="I211" s="174"/>
    </row>
    <row r="212" spans="2:9" ht="15.75">
      <c r="B212" s="174"/>
      <c r="C212" s="174"/>
      <c r="D212" s="174"/>
      <c r="E212" s="174"/>
      <c r="F212" s="174"/>
      <c r="G212" s="174"/>
      <c r="H212" s="172"/>
      <c r="I212" s="174"/>
    </row>
    <row r="213" spans="2:9" ht="15.75">
      <c r="B213" s="174"/>
      <c r="C213" s="174"/>
      <c r="D213" s="174"/>
      <c r="E213" s="174"/>
      <c r="F213" s="174"/>
      <c r="G213" s="174"/>
      <c r="H213" s="172"/>
      <c r="I213" s="174"/>
    </row>
    <row r="214" spans="2:9" ht="15.75">
      <c r="B214" s="174"/>
      <c r="C214" s="174"/>
      <c r="D214" s="174"/>
      <c r="E214" s="174"/>
      <c r="F214" s="174"/>
      <c r="G214" s="174"/>
      <c r="H214" s="172"/>
      <c r="I214" s="174"/>
    </row>
    <row r="215" spans="2:9" ht="15.75">
      <c r="B215" s="174"/>
      <c r="C215" s="174"/>
      <c r="D215" s="174"/>
      <c r="E215" s="174"/>
      <c r="F215" s="174"/>
      <c r="G215" s="174"/>
      <c r="H215" s="172"/>
      <c r="I215" s="174"/>
    </row>
    <row r="216" spans="2:9" ht="15.75">
      <c r="B216" s="174"/>
      <c r="C216" s="174"/>
      <c r="D216" s="174"/>
      <c r="E216" s="174"/>
      <c r="F216" s="174"/>
      <c r="G216" s="174"/>
      <c r="H216" s="172"/>
      <c r="I216" s="174"/>
    </row>
    <row r="217" spans="2:9" ht="15.75">
      <c r="B217" s="174"/>
      <c r="C217" s="174"/>
      <c r="D217" s="174"/>
      <c r="E217" s="174"/>
      <c r="F217" s="174"/>
      <c r="G217" s="174"/>
      <c r="H217" s="172"/>
      <c r="I217" s="174"/>
    </row>
    <row r="218" spans="2:9" ht="15.75">
      <c r="B218" s="174"/>
      <c r="C218" s="174"/>
      <c r="D218" s="174"/>
      <c r="E218" s="174"/>
      <c r="F218" s="174"/>
      <c r="G218" s="174"/>
      <c r="H218" s="172"/>
      <c r="I218" s="174"/>
    </row>
    <row r="219" spans="2:9" ht="15.75">
      <c r="B219" s="174"/>
      <c r="C219" s="174"/>
      <c r="D219" s="174"/>
      <c r="E219" s="174"/>
      <c r="F219" s="174"/>
      <c r="G219" s="174"/>
      <c r="H219" s="172"/>
      <c r="I219" s="174"/>
    </row>
    <row r="220" spans="2:9" ht="15.75">
      <c r="B220" s="174"/>
      <c r="C220" s="174"/>
      <c r="D220" s="174"/>
      <c r="E220" s="174"/>
      <c r="F220" s="174"/>
      <c r="G220" s="174"/>
      <c r="H220" s="172"/>
      <c r="I220" s="174"/>
    </row>
    <row r="221" spans="2:9" ht="15.75">
      <c r="B221" s="174"/>
      <c r="C221" s="174"/>
      <c r="D221" s="174"/>
      <c r="E221" s="174"/>
      <c r="F221" s="174"/>
      <c r="G221" s="174"/>
      <c r="H221" s="172"/>
      <c r="I221" s="174"/>
    </row>
    <row r="222" spans="2:9" ht="15.75">
      <c r="B222" s="174"/>
      <c r="C222" s="174"/>
      <c r="D222" s="174"/>
      <c r="E222" s="174"/>
      <c r="F222" s="174"/>
      <c r="G222" s="174"/>
      <c r="H222" s="172"/>
      <c r="I222" s="174"/>
    </row>
    <row r="223" spans="2:9" ht="15.75">
      <c r="B223" s="174"/>
      <c r="C223" s="174"/>
      <c r="D223" s="174"/>
      <c r="E223" s="174"/>
      <c r="F223" s="174"/>
      <c r="G223" s="174"/>
      <c r="H223" s="172"/>
      <c r="I223" s="174"/>
    </row>
    <row r="224" spans="2:9" ht="15.75">
      <c r="B224" s="174"/>
      <c r="C224" s="174"/>
      <c r="D224" s="174"/>
      <c r="E224" s="174"/>
      <c r="F224" s="174"/>
      <c r="G224" s="174"/>
      <c r="H224" s="172"/>
      <c r="I224" s="174"/>
    </row>
    <row r="225" spans="2:9" ht="15.75">
      <c r="B225" s="174"/>
      <c r="C225" s="174"/>
      <c r="D225" s="174"/>
      <c r="E225" s="174"/>
      <c r="F225" s="174"/>
      <c r="G225" s="174"/>
      <c r="H225" s="172"/>
      <c r="I225" s="174"/>
    </row>
    <row r="226" spans="2:9" ht="15.75">
      <c r="B226" s="174"/>
      <c r="C226" s="174"/>
      <c r="D226" s="174"/>
      <c r="E226" s="174"/>
      <c r="F226" s="174"/>
      <c r="G226" s="174"/>
      <c r="H226" s="172"/>
      <c r="I226" s="174"/>
    </row>
    <row r="227" spans="2:9" ht="15.75">
      <c r="B227" s="174"/>
      <c r="C227" s="174"/>
      <c r="D227" s="174"/>
      <c r="E227" s="174"/>
      <c r="F227" s="174"/>
      <c r="G227" s="174"/>
      <c r="H227" s="172"/>
      <c r="I227" s="174"/>
    </row>
    <row r="228" spans="2:9" ht="15.75">
      <c r="B228" s="174"/>
      <c r="C228" s="174"/>
      <c r="D228" s="174"/>
      <c r="E228" s="174"/>
      <c r="F228" s="174"/>
      <c r="G228" s="174"/>
      <c r="H228" s="172"/>
      <c r="I228" s="174"/>
    </row>
    <row r="229" spans="2:9" ht="15.75">
      <c r="B229" s="174"/>
      <c r="C229" s="174"/>
      <c r="D229" s="174"/>
      <c r="E229" s="174"/>
      <c r="F229" s="174"/>
      <c r="G229" s="174"/>
      <c r="H229" s="172"/>
      <c r="I229" s="174"/>
    </row>
    <row r="230" spans="2:9" ht="15.75">
      <c r="B230" s="174"/>
      <c r="C230" s="174"/>
      <c r="D230" s="174"/>
      <c r="E230" s="174"/>
      <c r="F230" s="174"/>
      <c r="G230" s="174"/>
      <c r="H230" s="172"/>
      <c r="I230" s="174"/>
    </row>
    <row r="231" spans="2:9" ht="15.75">
      <c r="B231" s="174"/>
      <c r="C231" s="174"/>
      <c r="D231" s="174"/>
      <c r="E231" s="174"/>
      <c r="F231" s="174"/>
      <c r="G231" s="174"/>
      <c r="H231" s="172"/>
      <c r="I231" s="174"/>
    </row>
    <row r="232" spans="2:9" ht="15.75">
      <c r="B232" s="174"/>
      <c r="C232" s="174"/>
      <c r="D232" s="174"/>
      <c r="E232" s="174"/>
      <c r="F232" s="174"/>
      <c r="G232" s="174"/>
      <c r="H232" s="172"/>
      <c r="I232" s="174"/>
    </row>
    <row r="233" spans="2:9" ht="15.75">
      <c r="B233" s="174"/>
      <c r="C233" s="174"/>
      <c r="D233" s="174"/>
      <c r="E233" s="174"/>
      <c r="F233" s="174"/>
      <c r="G233" s="174"/>
      <c r="H233" s="172"/>
      <c r="I233" s="174"/>
    </row>
    <row r="234" spans="2:9" ht="15.75">
      <c r="B234" s="174"/>
      <c r="C234" s="174"/>
      <c r="D234" s="174"/>
      <c r="E234" s="174"/>
      <c r="F234" s="174"/>
      <c r="G234" s="174"/>
      <c r="H234" s="172"/>
      <c r="I234" s="174"/>
    </row>
    <row r="235" spans="2:9" ht="15.75">
      <c r="B235" s="174"/>
      <c r="C235" s="174"/>
      <c r="D235" s="174"/>
      <c r="E235" s="174"/>
      <c r="F235" s="174"/>
      <c r="G235" s="174"/>
      <c r="H235" s="172"/>
      <c r="I235" s="174"/>
    </row>
    <row r="236" spans="2:9" ht="15.75">
      <c r="B236" s="174"/>
      <c r="C236" s="174"/>
      <c r="D236" s="174"/>
      <c r="E236" s="174"/>
      <c r="F236" s="174"/>
      <c r="G236" s="174"/>
      <c r="H236" s="172"/>
      <c r="I236" s="174"/>
    </row>
    <row r="237" spans="2:9" ht="15.75">
      <c r="B237" s="174"/>
      <c r="C237" s="174"/>
      <c r="D237" s="174"/>
      <c r="E237" s="174"/>
      <c r="F237" s="174"/>
      <c r="G237" s="174"/>
      <c r="H237" s="172"/>
      <c r="I237" s="174"/>
    </row>
    <row r="238" spans="2:9" ht="15.75">
      <c r="B238" s="174"/>
      <c r="C238" s="174"/>
      <c r="D238" s="174"/>
      <c r="E238" s="174"/>
      <c r="F238" s="174"/>
      <c r="G238" s="174"/>
      <c r="H238" s="172"/>
      <c r="I238" s="174"/>
    </row>
    <row r="239" spans="2:9" ht="15.75">
      <c r="B239" s="174"/>
      <c r="C239" s="174"/>
      <c r="D239" s="174"/>
      <c r="E239" s="174"/>
      <c r="F239" s="174"/>
      <c r="G239" s="174"/>
      <c r="H239" s="172"/>
      <c r="I239" s="174"/>
    </row>
    <row r="240" spans="2:9" ht="15.75">
      <c r="B240" s="174"/>
      <c r="C240" s="174"/>
      <c r="D240" s="174"/>
      <c r="E240" s="174"/>
      <c r="F240" s="174"/>
      <c r="G240" s="174"/>
      <c r="H240" s="172"/>
      <c r="I240" s="174"/>
    </row>
    <row r="241" spans="2:9" ht="15.75">
      <c r="B241" s="174"/>
      <c r="C241" s="174"/>
      <c r="D241" s="174"/>
      <c r="E241" s="174"/>
      <c r="F241" s="174"/>
      <c r="G241" s="174"/>
      <c r="H241" s="172"/>
      <c r="I241" s="174"/>
    </row>
    <row r="242" spans="2:9" ht="15.75">
      <c r="B242" s="174"/>
      <c r="C242" s="174"/>
      <c r="D242" s="174"/>
      <c r="E242" s="174"/>
      <c r="F242" s="174"/>
      <c r="G242" s="174"/>
      <c r="H242" s="172"/>
      <c r="I242" s="174"/>
    </row>
    <row r="243" spans="2:9" ht="15.75">
      <c r="B243" s="174"/>
      <c r="C243" s="174"/>
      <c r="D243" s="174"/>
      <c r="E243" s="174"/>
      <c r="F243" s="174"/>
      <c r="G243" s="174"/>
      <c r="H243" s="172"/>
      <c r="I243" s="174"/>
    </row>
    <row r="244" spans="2:9" ht="15.75">
      <c r="B244" s="174"/>
      <c r="C244" s="174"/>
      <c r="D244" s="174"/>
      <c r="E244" s="174"/>
      <c r="F244" s="174"/>
      <c r="G244" s="174"/>
      <c r="H244" s="172"/>
      <c r="I244" s="174"/>
    </row>
    <row r="245" spans="2:9" ht="15.75">
      <c r="B245" s="174"/>
      <c r="C245" s="174"/>
      <c r="D245" s="174"/>
      <c r="E245" s="174"/>
      <c r="F245" s="174"/>
      <c r="G245" s="174"/>
      <c r="H245" s="172"/>
      <c r="I245" s="174"/>
    </row>
    <row r="246" spans="2:9" ht="15.75">
      <c r="B246" s="174"/>
      <c r="C246" s="174"/>
      <c r="D246" s="174"/>
      <c r="E246" s="174"/>
      <c r="F246" s="174"/>
      <c r="G246" s="174"/>
      <c r="H246" s="172"/>
      <c r="I246" s="174"/>
    </row>
    <row r="247" spans="2:9" ht="15.75">
      <c r="B247" s="174"/>
      <c r="C247" s="174"/>
      <c r="D247" s="174"/>
      <c r="E247" s="174"/>
      <c r="F247" s="174"/>
      <c r="G247" s="174"/>
      <c r="H247" s="172"/>
      <c r="I247" s="174"/>
    </row>
    <row r="248" spans="2:9" ht="15.75">
      <c r="B248" s="174"/>
      <c r="C248" s="174"/>
      <c r="D248" s="174"/>
      <c r="E248" s="174"/>
      <c r="F248" s="174"/>
      <c r="G248" s="174"/>
      <c r="H248" s="172"/>
      <c r="I248" s="174"/>
    </row>
    <row r="249" spans="2:9" ht="15.75">
      <c r="B249" s="174"/>
      <c r="C249" s="174"/>
      <c r="D249" s="174"/>
      <c r="E249" s="174"/>
      <c r="F249" s="174"/>
      <c r="G249" s="174"/>
      <c r="H249" s="172"/>
      <c r="I249" s="174"/>
    </row>
    <row r="250" spans="2:9" ht="15.75">
      <c r="B250" s="174"/>
      <c r="C250" s="174"/>
      <c r="D250" s="174"/>
      <c r="E250" s="174"/>
      <c r="F250" s="174"/>
      <c r="G250" s="174"/>
      <c r="H250" s="172"/>
      <c r="I250" s="174"/>
    </row>
    <row r="251" spans="2:9" ht="15.75">
      <c r="B251" s="174"/>
      <c r="C251" s="174"/>
      <c r="D251" s="174"/>
      <c r="E251" s="174"/>
      <c r="F251" s="174"/>
      <c r="G251" s="174"/>
      <c r="H251" s="172"/>
      <c r="I251" s="174"/>
    </row>
    <row r="252" spans="2:9" ht="15.75">
      <c r="B252" s="174"/>
      <c r="C252" s="174"/>
      <c r="D252" s="174"/>
      <c r="E252" s="174"/>
      <c r="F252" s="174"/>
      <c r="G252" s="174"/>
      <c r="H252" s="172"/>
      <c r="I252" s="174"/>
    </row>
    <row r="253" spans="2:9" ht="15.75">
      <c r="B253" s="174"/>
      <c r="C253" s="174"/>
      <c r="D253" s="174"/>
      <c r="E253" s="174"/>
      <c r="F253" s="174"/>
      <c r="G253" s="174"/>
      <c r="H253" s="172"/>
      <c r="I253" s="174"/>
    </row>
    <row r="254" spans="2:9" ht="15.75">
      <c r="B254" s="174"/>
      <c r="C254" s="174"/>
      <c r="D254" s="174"/>
      <c r="E254" s="174"/>
      <c r="F254" s="174"/>
      <c r="G254" s="174"/>
      <c r="H254" s="172"/>
      <c r="I254" s="174"/>
    </row>
    <row r="255" spans="2:9" ht="15.75">
      <c r="B255" s="174"/>
      <c r="C255" s="174"/>
      <c r="D255" s="174"/>
      <c r="E255" s="174"/>
      <c r="F255" s="174"/>
      <c r="G255" s="174"/>
      <c r="H255" s="172"/>
      <c r="I255" s="174"/>
    </row>
    <row r="256" spans="2:9" ht="15.75">
      <c r="B256" s="174"/>
      <c r="C256" s="174"/>
      <c r="D256" s="174"/>
      <c r="E256" s="174"/>
      <c r="F256" s="174"/>
      <c r="G256" s="174"/>
      <c r="H256" s="172"/>
      <c r="I256" s="174"/>
    </row>
    <row r="257" spans="2:9" ht="15.75">
      <c r="B257" s="174"/>
      <c r="C257" s="174"/>
      <c r="D257" s="174"/>
      <c r="E257" s="174"/>
      <c r="F257" s="174"/>
      <c r="G257" s="174"/>
      <c r="H257" s="172"/>
      <c r="I257" s="174"/>
    </row>
    <row r="258" spans="2:9" ht="15.75">
      <c r="B258" s="174"/>
      <c r="C258" s="174"/>
      <c r="D258" s="174"/>
      <c r="E258" s="174"/>
      <c r="F258" s="174"/>
      <c r="G258" s="174"/>
      <c r="H258" s="172"/>
      <c r="I258" s="174"/>
    </row>
    <row r="259" spans="2:9" ht="15.75">
      <c r="B259" s="174"/>
      <c r="C259" s="174"/>
      <c r="D259" s="174"/>
      <c r="E259" s="174"/>
      <c r="F259" s="174"/>
      <c r="G259" s="174"/>
      <c r="H259" s="172"/>
      <c r="I259" s="174"/>
    </row>
    <row r="260" spans="2:9" ht="15.75">
      <c r="B260" s="174"/>
      <c r="C260" s="174"/>
      <c r="D260" s="174"/>
      <c r="E260" s="174"/>
      <c r="F260" s="174"/>
      <c r="G260" s="174"/>
      <c r="H260" s="172"/>
      <c r="I260" s="174"/>
    </row>
    <row r="261" spans="2:9" ht="15.75">
      <c r="B261" s="174"/>
      <c r="C261" s="174"/>
      <c r="D261" s="174"/>
      <c r="E261" s="174"/>
      <c r="F261" s="174"/>
      <c r="G261" s="174"/>
      <c r="H261" s="172"/>
      <c r="I261" s="174"/>
    </row>
    <row r="262" spans="2:9" ht="15.75">
      <c r="B262" s="174"/>
      <c r="C262" s="174"/>
      <c r="D262" s="174"/>
      <c r="E262" s="174"/>
      <c r="F262" s="174"/>
      <c r="G262" s="174"/>
      <c r="H262" s="172"/>
      <c r="I262" s="174"/>
    </row>
    <row r="263" spans="2:9" ht="15.75">
      <c r="B263" s="174"/>
      <c r="C263" s="174"/>
      <c r="D263" s="174"/>
      <c r="E263" s="174"/>
      <c r="F263" s="174"/>
      <c r="G263" s="174"/>
      <c r="H263" s="172"/>
      <c r="I263" s="174"/>
    </row>
    <row r="264" spans="2:9" ht="15.75">
      <c r="B264" s="174"/>
      <c r="C264" s="174"/>
      <c r="D264" s="174"/>
      <c r="E264" s="174"/>
      <c r="F264" s="174"/>
      <c r="G264" s="174"/>
      <c r="H264" s="172"/>
      <c r="I264" s="174"/>
    </row>
    <row r="265" spans="2:9" ht="15.75">
      <c r="B265" s="174"/>
      <c r="C265" s="174"/>
      <c r="D265" s="174"/>
      <c r="E265" s="174"/>
      <c r="F265" s="174"/>
      <c r="G265" s="174"/>
      <c r="H265" s="172"/>
      <c r="I265" s="174"/>
    </row>
    <row r="266" spans="2:9" ht="15.75">
      <c r="B266" s="174"/>
      <c r="C266" s="174"/>
      <c r="D266" s="174"/>
      <c r="E266" s="174"/>
      <c r="F266" s="174"/>
      <c r="G266" s="174"/>
      <c r="H266" s="172"/>
      <c r="I266" s="174"/>
    </row>
    <row r="267" spans="2:9" ht="15.75">
      <c r="B267" s="174"/>
      <c r="C267" s="174"/>
      <c r="D267" s="174"/>
      <c r="E267" s="174"/>
      <c r="F267" s="174"/>
      <c r="G267" s="174"/>
      <c r="H267" s="172"/>
      <c r="I267" s="174"/>
    </row>
    <row r="268" spans="2:9" ht="15.75">
      <c r="B268" s="174"/>
      <c r="C268" s="174"/>
      <c r="D268" s="174"/>
      <c r="E268" s="174"/>
      <c r="F268" s="174"/>
      <c r="G268" s="174"/>
      <c r="H268" s="172"/>
      <c r="I268" s="174"/>
    </row>
    <row r="269" spans="2:9" ht="15.75">
      <c r="B269" s="174"/>
      <c r="C269" s="174"/>
      <c r="D269" s="174"/>
      <c r="E269" s="174"/>
      <c r="F269" s="174"/>
      <c r="G269" s="174"/>
      <c r="H269" s="172"/>
      <c r="I269" s="174"/>
    </row>
    <row r="270" spans="2:9" ht="15.75">
      <c r="B270" s="174"/>
      <c r="C270" s="174"/>
      <c r="D270" s="174"/>
      <c r="E270" s="174"/>
      <c r="F270" s="174"/>
      <c r="G270" s="174"/>
      <c r="H270" s="172"/>
      <c r="I270" s="174"/>
    </row>
    <row r="271" spans="2:9" ht="15.75">
      <c r="B271" s="174"/>
      <c r="C271" s="174"/>
      <c r="D271" s="174"/>
      <c r="E271" s="174"/>
      <c r="F271" s="174"/>
      <c r="G271" s="174"/>
      <c r="H271" s="172"/>
      <c r="I271" s="174"/>
    </row>
    <row r="272" spans="2:9" ht="15.75">
      <c r="B272" s="174"/>
      <c r="C272" s="174"/>
      <c r="D272" s="174"/>
      <c r="E272" s="174"/>
      <c r="F272" s="174"/>
      <c r="G272" s="174"/>
      <c r="H272" s="172"/>
      <c r="I272" s="174"/>
    </row>
    <row r="273" spans="2:9" ht="15.75">
      <c r="B273" s="174"/>
      <c r="C273" s="174"/>
      <c r="D273" s="174"/>
      <c r="E273" s="174"/>
      <c r="F273" s="174"/>
      <c r="G273" s="174"/>
      <c r="H273" s="172"/>
      <c r="I273" s="174"/>
    </row>
    <row r="274" spans="2:9" ht="15.75">
      <c r="B274" s="174"/>
      <c r="C274" s="174"/>
      <c r="D274" s="174"/>
      <c r="E274" s="174"/>
      <c r="F274" s="174"/>
      <c r="G274" s="174"/>
      <c r="H274" s="172"/>
      <c r="I274" s="174"/>
    </row>
    <row r="275" spans="2:9" ht="15.75">
      <c r="B275" s="174"/>
      <c r="C275" s="174"/>
      <c r="D275" s="174"/>
      <c r="E275" s="174"/>
      <c r="F275" s="174"/>
      <c r="G275" s="174"/>
      <c r="H275" s="172"/>
      <c r="I275" s="174"/>
    </row>
    <row r="276" spans="2:9" ht="15.75">
      <c r="B276" s="174"/>
      <c r="C276" s="174"/>
      <c r="D276" s="174"/>
      <c r="E276" s="174"/>
      <c r="F276" s="174"/>
      <c r="G276" s="174"/>
      <c r="H276" s="172"/>
      <c r="I276" s="174"/>
    </row>
    <row r="277" spans="2:9" ht="15.75">
      <c r="B277" s="174"/>
      <c r="C277" s="174"/>
      <c r="D277" s="174"/>
      <c r="E277" s="174"/>
      <c r="F277" s="174"/>
      <c r="G277" s="174"/>
      <c r="H277" s="172"/>
      <c r="I277" s="174"/>
    </row>
    <row r="278" spans="2:9" ht="15.75">
      <c r="B278" s="174"/>
      <c r="C278" s="174"/>
      <c r="D278" s="174"/>
      <c r="E278" s="174"/>
      <c r="F278" s="174"/>
      <c r="G278" s="174"/>
      <c r="H278" s="172"/>
      <c r="I278" s="174"/>
    </row>
    <row r="279" spans="2:9" ht="15.75">
      <c r="B279" s="174"/>
      <c r="C279" s="174"/>
      <c r="D279" s="174"/>
      <c r="E279" s="174"/>
      <c r="F279" s="174"/>
      <c r="G279" s="174"/>
      <c r="H279" s="172"/>
      <c r="I279" s="174"/>
    </row>
    <row r="280" spans="2:9" ht="15.75">
      <c r="B280" s="174"/>
      <c r="C280" s="174"/>
      <c r="D280" s="174"/>
      <c r="E280" s="174"/>
      <c r="F280" s="174"/>
      <c r="G280" s="174"/>
      <c r="H280" s="172"/>
      <c r="I280" s="174"/>
    </row>
    <row r="281" spans="2:9" ht="15.75">
      <c r="B281" s="174"/>
      <c r="C281" s="174"/>
      <c r="D281" s="174"/>
      <c r="E281" s="174"/>
      <c r="F281" s="174"/>
      <c r="G281" s="174"/>
      <c r="H281" s="172"/>
      <c r="I281" s="174"/>
    </row>
    <row r="282" spans="2:9" ht="15.75">
      <c r="B282" s="174"/>
      <c r="C282" s="174"/>
      <c r="D282" s="174"/>
      <c r="E282" s="174"/>
      <c r="F282" s="174"/>
      <c r="G282" s="174"/>
      <c r="H282" s="172"/>
      <c r="I282" s="174"/>
    </row>
    <row r="283" spans="2:9" ht="15.75">
      <c r="B283" s="174"/>
      <c r="C283" s="174"/>
      <c r="D283" s="174"/>
      <c r="E283" s="174"/>
      <c r="F283" s="174"/>
      <c r="G283" s="174"/>
      <c r="H283" s="172"/>
      <c r="I283" s="174"/>
    </row>
    <row r="284" spans="2:9" ht="15.75">
      <c r="B284" s="174"/>
      <c r="C284" s="174"/>
      <c r="D284" s="174"/>
      <c r="E284" s="174"/>
      <c r="F284" s="174"/>
      <c r="G284" s="174"/>
      <c r="H284" s="172"/>
      <c r="I284" s="174"/>
    </row>
    <row r="285" spans="2:9" ht="15.75">
      <c r="B285" s="174"/>
      <c r="C285" s="174"/>
      <c r="D285" s="174"/>
      <c r="E285" s="174"/>
      <c r="F285" s="174"/>
      <c r="G285" s="174"/>
      <c r="H285" s="172"/>
      <c r="I285" s="174"/>
    </row>
    <row r="286" spans="2:9" ht="15.75">
      <c r="B286" s="174"/>
      <c r="C286" s="174"/>
      <c r="D286" s="174"/>
      <c r="E286" s="174"/>
      <c r="F286" s="174"/>
      <c r="G286" s="174"/>
      <c r="H286" s="172"/>
      <c r="I286" s="174"/>
    </row>
    <row r="287" spans="2:9" ht="15.75">
      <c r="B287" s="174"/>
      <c r="C287" s="174"/>
      <c r="D287" s="174"/>
      <c r="E287" s="174"/>
      <c r="F287" s="174"/>
      <c r="G287" s="174"/>
      <c r="H287" s="172"/>
      <c r="I287" s="174"/>
    </row>
    <row r="288" spans="2:9" ht="15.75">
      <c r="B288" s="174"/>
      <c r="C288" s="174"/>
      <c r="D288" s="174"/>
      <c r="E288" s="174"/>
      <c r="F288" s="174"/>
      <c r="G288" s="174"/>
      <c r="H288" s="172"/>
      <c r="I288" s="174"/>
    </row>
    <row r="289" spans="2:9" ht="15.75">
      <c r="B289" s="174"/>
      <c r="C289" s="174"/>
      <c r="D289" s="174"/>
      <c r="E289" s="174"/>
      <c r="F289" s="174"/>
      <c r="G289" s="174"/>
      <c r="H289" s="172"/>
      <c r="I289" s="174"/>
    </row>
    <row r="290" spans="2:9" ht="15.75">
      <c r="B290" s="174"/>
      <c r="C290" s="174"/>
      <c r="D290" s="174"/>
      <c r="E290" s="174"/>
      <c r="F290" s="174"/>
      <c r="G290" s="174"/>
      <c r="H290" s="172"/>
      <c r="I290" s="174"/>
    </row>
    <row r="291" spans="2:9" ht="15.75">
      <c r="B291" s="174"/>
      <c r="C291" s="174"/>
      <c r="D291" s="174"/>
      <c r="E291" s="174"/>
      <c r="F291" s="174"/>
      <c r="G291" s="174"/>
      <c r="H291" s="172"/>
      <c r="I291" s="174"/>
    </row>
    <row r="292" spans="2:9" ht="15.75">
      <c r="B292" s="174"/>
      <c r="C292" s="174"/>
      <c r="D292" s="174"/>
      <c r="E292" s="174"/>
      <c r="F292" s="174"/>
      <c r="G292" s="174"/>
      <c r="H292" s="172"/>
      <c r="I292" s="174"/>
    </row>
    <row r="293" spans="2:9" ht="15.75">
      <c r="B293" s="174"/>
      <c r="C293" s="174"/>
      <c r="D293" s="174"/>
      <c r="E293" s="174"/>
      <c r="F293" s="174"/>
      <c r="G293" s="174"/>
      <c r="H293" s="172"/>
      <c r="I293" s="174"/>
    </row>
    <row r="294" spans="2:9" ht="15.75">
      <c r="B294" s="174"/>
      <c r="C294" s="174"/>
      <c r="D294" s="174"/>
      <c r="E294" s="174"/>
      <c r="F294" s="174"/>
      <c r="G294" s="174"/>
      <c r="H294" s="172"/>
      <c r="I294" s="174"/>
    </row>
    <row r="295" spans="2:9" ht="15.75">
      <c r="B295" s="174"/>
      <c r="C295" s="174"/>
      <c r="D295" s="174"/>
      <c r="E295" s="174"/>
      <c r="F295" s="174"/>
      <c r="G295" s="174"/>
      <c r="H295" s="172"/>
      <c r="I295" s="174"/>
    </row>
    <row r="296" spans="2:9" ht="15.75">
      <c r="B296" s="174"/>
      <c r="C296" s="174"/>
      <c r="D296" s="174"/>
      <c r="E296" s="174"/>
      <c r="F296" s="174"/>
      <c r="G296" s="174"/>
      <c r="H296" s="172"/>
      <c r="I296" s="174"/>
    </row>
    <row r="297" spans="2:9" ht="15.75">
      <c r="B297" s="174"/>
      <c r="C297" s="174"/>
      <c r="D297" s="174"/>
      <c r="E297" s="174"/>
      <c r="F297" s="174"/>
      <c r="G297" s="174"/>
      <c r="H297" s="172"/>
      <c r="I297" s="174"/>
    </row>
    <row r="298" spans="2:9" ht="15.75">
      <c r="B298" s="174"/>
      <c r="C298" s="174"/>
      <c r="D298" s="174"/>
      <c r="E298" s="174"/>
      <c r="F298" s="174"/>
      <c r="G298" s="174"/>
      <c r="H298" s="172"/>
      <c r="I298" s="174"/>
    </row>
    <row r="299" spans="2:9" ht="15.75">
      <c r="B299" s="174"/>
      <c r="C299" s="174"/>
      <c r="D299" s="174"/>
      <c r="E299" s="174"/>
      <c r="F299" s="174"/>
      <c r="G299" s="174"/>
      <c r="H299" s="172"/>
      <c r="I299" s="174"/>
    </row>
    <row r="300" spans="2:9" ht="15.75">
      <c r="B300" s="174"/>
      <c r="C300" s="174"/>
      <c r="D300" s="174"/>
      <c r="E300" s="174"/>
      <c r="F300" s="174"/>
      <c r="G300" s="174"/>
      <c r="H300" s="172"/>
      <c r="I300" s="174"/>
    </row>
    <row r="301" spans="2:9" ht="15.75">
      <c r="B301" s="174"/>
      <c r="C301" s="174"/>
      <c r="D301" s="174"/>
      <c r="E301" s="174"/>
      <c r="F301" s="174"/>
      <c r="G301" s="174"/>
      <c r="H301" s="172"/>
      <c r="I301" s="174"/>
    </row>
    <row r="302" spans="2:9" ht="15.75">
      <c r="B302" s="174"/>
      <c r="C302" s="174"/>
      <c r="D302" s="174"/>
      <c r="E302" s="174"/>
      <c r="F302" s="174"/>
      <c r="G302" s="174"/>
      <c r="H302" s="172"/>
      <c r="I302" s="174"/>
    </row>
    <row r="303" spans="2:9" ht="15.75">
      <c r="B303" s="174"/>
      <c r="C303" s="174"/>
      <c r="D303" s="174"/>
      <c r="E303" s="174"/>
      <c r="F303" s="174"/>
      <c r="G303" s="174"/>
      <c r="H303" s="172"/>
      <c r="I303" s="174"/>
    </row>
    <row r="304" spans="2:9" ht="15.75">
      <c r="B304" s="174"/>
      <c r="C304" s="174"/>
      <c r="D304" s="174"/>
      <c r="E304" s="174"/>
      <c r="F304" s="174"/>
      <c r="G304" s="174"/>
      <c r="H304" s="172"/>
      <c r="I304" s="174"/>
    </row>
    <row r="305" spans="2:9" ht="15.75">
      <c r="B305" s="174"/>
      <c r="C305" s="174"/>
      <c r="D305" s="174"/>
      <c r="E305" s="174"/>
      <c r="F305" s="174"/>
      <c r="G305" s="174"/>
      <c r="H305" s="172"/>
      <c r="I305" s="174"/>
    </row>
    <row r="306" spans="2:9" ht="15.75">
      <c r="B306" s="174"/>
      <c r="C306" s="174"/>
      <c r="D306" s="174"/>
      <c r="E306" s="174"/>
      <c r="F306" s="174"/>
      <c r="G306" s="174"/>
      <c r="H306" s="172"/>
      <c r="I306" s="174"/>
    </row>
    <row r="307" spans="2:9" ht="15.75">
      <c r="B307" s="174"/>
      <c r="C307" s="174"/>
      <c r="D307" s="174"/>
      <c r="E307" s="174"/>
      <c r="F307" s="174"/>
      <c r="G307" s="174"/>
      <c r="H307" s="172"/>
      <c r="I307" s="174"/>
    </row>
    <row r="308" ht="15.75">
      <c r="H308" s="172"/>
    </row>
    <row r="309" ht="15.75">
      <c r="H309" s="172"/>
    </row>
    <row r="310" ht="15.75">
      <c r="H310" s="172"/>
    </row>
    <row r="311" ht="15.75">
      <c r="H311" s="172"/>
    </row>
    <row r="312" ht="15.75">
      <c r="H312" s="172"/>
    </row>
    <row r="313" ht="15.75">
      <c r="H313" s="172"/>
    </row>
    <row r="314" ht="15.75">
      <c r="H314" s="172"/>
    </row>
    <row r="315" ht="15.75">
      <c r="H315" s="172"/>
    </row>
    <row r="316" ht="15.75">
      <c r="H316" s="172"/>
    </row>
    <row r="317" ht="15.75">
      <c r="H317" s="172"/>
    </row>
    <row r="318" ht="15.75">
      <c r="H318" s="172"/>
    </row>
    <row r="319" ht="15.75">
      <c r="H319" s="172"/>
    </row>
    <row r="320" ht="15.75">
      <c r="H320" s="172"/>
    </row>
    <row r="321" ht="15.75">
      <c r="H321" s="172"/>
    </row>
    <row r="322" ht="15.75">
      <c r="H322" s="172"/>
    </row>
    <row r="323" ht="15.75">
      <c r="H323" s="172"/>
    </row>
    <row r="324" ht="15.75">
      <c r="H324" s="172"/>
    </row>
    <row r="325" ht="15.75">
      <c r="H325" s="172"/>
    </row>
    <row r="326" ht="15.75">
      <c r="H326" s="172"/>
    </row>
    <row r="327" ht="15.75">
      <c r="H327" s="172"/>
    </row>
    <row r="328" ht="15.75">
      <c r="H328" s="172"/>
    </row>
    <row r="329" ht="15.75">
      <c r="H329" s="172"/>
    </row>
    <row r="330" ht="15.75">
      <c r="H330" s="172"/>
    </row>
    <row r="331" ht="15.75">
      <c r="H331" s="172"/>
    </row>
    <row r="332" ht="15.75">
      <c r="H332" s="172"/>
    </row>
    <row r="333" ht="15.75">
      <c r="H333" s="172"/>
    </row>
    <row r="334" ht="15.75">
      <c r="H334" s="172"/>
    </row>
    <row r="335" ht="15.75">
      <c r="H335" s="172"/>
    </row>
    <row r="336" ht="15.75">
      <c r="H336" s="172"/>
    </row>
    <row r="337" ht="15.75">
      <c r="H337" s="172"/>
    </row>
    <row r="338" ht="15.75">
      <c r="H338" s="172"/>
    </row>
    <row r="339" ht="15.75">
      <c r="H339" s="172"/>
    </row>
    <row r="340" ht="15.75">
      <c r="H340" s="172"/>
    </row>
    <row r="341" ht="15.75">
      <c r="H341" s="172"/>
    </row>
    <row r="342" ht="15.75">
      <c r="H342" s="172"/>
    </row>
    <row r="343" ht="15.75">
      <c r="H343" s="172"/>
    </row>
    <row r="344" ht="15.75">
      <c r="H344" s="172"/>
    </row>
    <row r="345" ht="15.75">
      <c r="H345" s="172"/>
    </row>
    <row r="346" ht="15.75">
      <c r="H346" s="172"/>
    </row>
    <row r="347" ht="15.75">
      <c r="H347" s="172"/>
    </row>
    <row r="348" ht="15.75">
      <c r="H348" s="172"/>
    </row>
    <row r="349" ht="15.75">
      <c r="H349" s="172"/>
    </row>
    <row r="350" ht="15.75">
      <c r="H350" s="172"/>
    </row>
    <row r="351" ht="15.75">
      <c r="H351" s="172"/>
    </row>
    <row r="352" ht="15.75">
      <c r="H352" s="172"/>
    </row>
    <row r="353" ht="15.75">
      <c r="H353" s="172"/>
    </row>
    <row r="354" ht="15.75">
      <c r="H354" s="172"/>
    </row>
    <row r="355" ht="15.75">
      <c r="H355" s="172"/>
    </row>
    <row r="356" ht="15.75">
      <c r="H356" s="172"/>
    </row>
    <row r="357" ht="15.75">
      <c r="H357" s="172"/>
    </row>
    <row r="358" ht="15.75">
      <c r="H358" s="172"/>
    </row>
    <row r="359" ht="15.75">
      <c r="H359" s="172"/>
    </row>
    <row r="360" ht="15.75">
      <c r="H360" s="172"/>
    </row>
    <row r="361" ht="15.75">
      <c r="H361" s="172"/>
    </row>
    <row r="362" ht="15.75">
      <c r="H362" s="172"/>
    </row>
    <row r="363" ht="15.75">
      <c r="H363" s="172"/>
    </row>
    <row r="364" ht="15.75">
      <c r="H364" s="172"/>
    </row>
    <row r="365" ht="15.75">
      <c r="H365" s="172"/>
    </row>
    <row r="366" ht="15.75">
      <c r="H366" s="172"/>
    </row>
    <row r="367" ht="15.75">
      <c r="H367" s="172"/>
    </row>
    <row r="368" ht="15.75">
      <c r="H368" s="172"/>
    </row>
    <row r="369" ht="15.75">
      <c r="H369" s="172"/>
    </row>
    <row r="370" ht="15.75">
      <c r="H370" s="172"/>
    </row>
    <row r="371" ht="15.75">
      <c r="H371" s="172"/>
    </row>
    <row r="372" ht="15.75">
      <c r="H372" s="172"/>
    </row>
    <row r="373" ht="15.75">
      <c r="H373" s="172"/>
    </row>
    <row r="374" ht="15.75">
      <c r="H374" s="172"/>
    </row>
    <row r="375" ht="15.75">
      <c r="H375" s="172"/>
    </row>
    <row r="376" ht="15.75">
      <c r="H376" s="172"/>
    </row>
    <row r="377" ht="15.75">
      <c r="H377" s="172"/>
    </row>
    <row r="378" ht="15.75">
      <c r="H378" s="172"/>
    </row>
    <row r="379" ht="15.75">
      <c r="H379" s="172"/>
    </row>
    <row r="380" ht="15.75">
      <c r="H380" s="172"/>
    </row>
    <row r="381" ht="15.75">
      <c r="H381" s="172"/>
    </row>
    <row r="382" ht="15.75">
      <c r="H382" s="172"/>
    </row>
    <row r="383" ht="15.75">
      <c r="H383" s="172"/>
    </row>
    <row r="384" ht="15.75">
      <c r="H384" s="172"/>
    </row>
    <row r="385" ht="15.75">
      <c r="H385" s="172"/>
    </row>
    <row r="386" ht="15.75">
      <c r="H386" s="172"/>
    </row>
    <row r="387" ht="15.75">
      <c r="H387" s="172"/>
    </row>
    <row r="388" ht="15.75">
      <c r="H388" s="172"/>
    </row>
    <row r="389" ht="15.75">
      <c r="H389" s="172"/>
    </row>
    <row r="390" ht="15.75">
      <c r="H390" s="172"/>
    </row>
    <row r="391" ht="15.75">
      <c r="H391" s="172"/>
    </row>
    <row r="392" ht="15.75">
      <c r="H392" s="172"/>
    </row>
    <row r="393" ht="15.75">
      <c r="H393" s="172"/>
    </row>
    <row r="394" ht="15.75">
      <c r="H394" s="172"/>
    </row>
    <row r="395" ht="15.75">
      <c r="H395" s="172"/>
    </row>
    <row r="396" ht="15.75">
      <c r="H396" s="172"/>
    </row>
    <row r="397" ht="15.75">
      <c r="H397" s="172"/>
    </row>
    <row r="398" ht="15.75">
      <c r="H398" s="172"/>
    </row>
    <row r="399" ht="15.75">
      <c r="H399" s="172"/>
    </row>
    <row r="400" ht="15.75">
      <c r="H400" s="172"/>
    </row>
    <row r="401" ht="15.75">
      <c r="H401" s="172"/>
    </row>
    <row r="402" ht="15.75">
      <c r="H402" s="172"/>
    </row>
    <row r="403" ht="15.75">
      <c r="H403" s="172"/>
    </row>
    <row r="404" ht="15.75">
      <c r="H404" s="172"/>
    </row>
    <row r="405" ht="15.75">
      <c r="H405" s="172"/>
    </row>
    <row r="406" ht="15.75">
      <c r="H406" s="172"/>
    </row>
    <row r="407" ht="15.75">
      <c r="H407" s="172"/>
    </row>
    <row r="408" ht="15.75">
      <c r="H408" s="172"/>
    </row>
    <row r="409" ht="15.75">
      <c r="H409" s="172"/>
    </row>
    <row r="410" ht="15.75">
      <c r="H410" s="172"/>
    </row>
    <row r="411" ht="15.75">
      <c r="H411" s="172"/>
    </row>
    <row r="412" ht="15.75">
      <c r="H412" s="172"/>
    </row>
    <row r="413" ht="15.75">
      <c r="H413" s="172"/>
    </row>
    <row r="414" ht="15.75">
      <c r="H414" s="172"/>
    </row>
    <row r="415" ht="15.75">
      <c r="H415" s="172"/>
    </row>
    <row r="416" ht="15.75">
      <c r="H416" s="172"/>
    </row>
    <row r="417" ht="15.75">
      <c r="H417" s="172"/>
    </row>
    <row r="418" ht="15.75">
      <c r="H418" s="172"/>
    </row>
    <row r="419" ht="15.75">
      <c r="H419" s="172"/>
    </row>
    <row r="420" ht="15.75">
      <c r="H420" s="172"/>
    </row>
    <row r="421" ht="15.75">
      <c r="H421" s="172"/>
    </row>
    <row r="422" ht="15.75">
      <c r="H422" s="172"/>
    </row>
    <row r="423" ht="15.75">
      <c r="H423" s="172"/>
    </row>
    <row r="424" ht="15.75">
      <c r="H424" s="172"/>
    </row>
    <row r="425" ht="15.75">
      <c r="H425" s="172"/>
    </row>
    <row r="426" ht="15.75">
      <c r="H426" s="172"/>
    </row>
    <row r="427" ht="15.75">
      <c r="H427" s="172"/>
    </row>
    <row r="428" ht="15.75">
      <c r="H428" s="172"/>
    </row>
    <row r="429" ht="15.75">
      <c r="H429" s="172"/>
    </row>
    <row r="430" ht="15.75">
      <c r="H430" s="172"/>
    </row>
    <row r="431" ht="15.75">
      <c r="H431" s="172"/>
    </row>
    <row r="432" ht="15.75">
      <c r="H432" s="172"/>
    </row>
    <row r="433" ht="15.75">
      <c r="H433" s="172"/>
    </row>
    <row r="434" ht="15.75">
      <c r="H434" s="172"/>
    </row>
    <row r="435" ht="15.75">
      <c r="H435" s="172"/>
    </row>
    <row r="436" ht="15.75">
      <c r="H436" s="172"/>
    </row>
    <row r="437" ht="15.75">
      <c r="H437" s="172"/>
    </row>
    <row r="438" ht="15.75">
      <c r="H438" s="172"/>
    </row>
    <row r="439" ht="15.75">
      <c r="H439" s="172"/>
    </row>
    <row r="440" ht="15.75">
      <c r="H440" s="172"/>
    </row>
    <row r="441" ht="15.75">
      <c r="H441" s="172"/>
    </row>
    <row r="442" ht="15.75">
      <c r="H442" s="172"/>
    </row>
    <row r="443" ht="15.75">
      <c r="H443" s="172"/>
    </row>
    <row r="444" ht="15.75">
      <c r="H444" s="172"/>
    </row>
    <row r="445" ht="15.75">
      <c r="H445" s="172"/>
    </row>
    <row r="446" ht="15.75">
      <c r="H446" s="172"/>
    </row>
    <row r="447" ht="15.75">
      <c r="H447" s="172"/>
    </row>
    <row r="448" ht="15.75">
      <c r="H448" s="172"/>
    </row>
    <row r="449" ht="15.75">
      <c r="H449" s="172"/>
    </row>
    <row r="450" ht="15.75">
      <c r="H450" s="172"/>
    </row>
    <row r="451" ht="15.75">
      <c r="H451" s="172"/>
    </row>
    <row r="452" ht="15.75">
      <c r="H452" s="172"/>
    </row>
    <row r="453" ht="15.75">
      <c r="H453" s="172"/>
    </row>
    <row r="454" ht="15.75">
      <c r="H454" s="172"/>
    </row>
    <row r="455" ht="15.75">
      <c r="H455" s="172"/>
    </row>
    <row r="456" ht="15.75">
      <c r="H456" s="172"/>
    </row>
    <row r="457" ht="15.75">
      <c r="H457" s="172"/>
    </row>
    <row r="458" ht="15.75">
      <c r="H458" s="172"/>
    </row>
    <row r="459" ht="15.75">
      <c r="H459" s="172"/>
    </row>
    <row r="460" ht="15.75">
      <c r="H460" s="172"/>
    </row>
    <row r="461" ht="15.75">
      <c r="H461" s="172"/>
    </row>
    <row r="462" ht="15.75">
      <c r="H462" s="172"/>
    </row>
    <row r="463" ht="15.75">
      <c r="H463" s="172"/>
    </row>
    <row r="464" ht="15.75">
      <c r="H464" s="172"/>
    </row>
    <row r="465" ht="15.75">
      <c r="H465" s="172"/>
    </row>
  </sheetData>
  <sheetProtection/>
  <mergeCells count="4">
    <mergeCell ref="A6:K6"/>
    <mergeCell ref="A1:K1"/>
    <mergeCell ref="A2:K2"/>
    <mergeCell ref="A3:K3"/>
  </mergeCells>
  <printOptions horizontalCentered="1"/>
  <pageMargins left="0.7874015748031497" right="0.17" top="0.29" bottom="0.52" header="0.5118110236220472" footer="0.52"/>
  <pageSetup fitToHeight="2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33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7.75390625" style="73" customWidth="1"/>
    <col min="2" max="2" width="11.25390625" style="73" customWidth="1"/>
    <col min="3" max="3" width="51.625" style="74" customWidth="1"/>
    <col min="4" max="4" width="22.125" style="108" customWidth="1"/>
    <col min="5" max="5" width="22.625" style="102" customWidth="1"/>
    <col min="6" max="6" width="20.75390625" style="102" customWidth="1"/>
    <col min="7" max="7" width="21.375" style="102" customWidth="1"/>
    <col min="8" max="8" width="17.25390625" style="74" customWidth="1"/>
    <col min="9" max="16384" width="9.125" style="74" customWidth="1"/>
  </cols>
  <sheetData>
    <row r="1" spans="1:7" s="71" customFormat="1" ht="15.75">
      <c r="A1" s="366" t="s">
        <v>865</v>
      </c>
      <c r="B1" s="366"/>
      <c r="C1" s="366"/>
      <c r="D1" s="366"/>
      <c r="E1" s="366"/>
      <c r="F1" s="366"/>
      <c r="G1" s="109"/>
    </row>
    <row r="2" spans="1:7" s="71" customFormat="1" ht="15.75">
      <c r="A2" s="366" t="s">
        <v>797</v>
      </c>
      <c r="B2" s="366"/>
      <c r="C2" s="366"/>
      <c r="D2" s="366"/>
      <c r="E2" s="366"/>
      <c r="F2" s="366"/>
      <c r="G2" s="109"/>
    </row>
    <row r="3" spans="1:7" s="72" customFormat="1" ht="15.75">
      <c r="A3" s="366" t="s">
        <v>949</v>
      </c>
      <c r="B3" s="366"/>
      <c r="C3" s="366"/>
      <c r="D3" s="366"/>
      <c r="E3" s="366"/>
      <c r="F3" s="366"/>
      <c r="G3" s="110"/>
    </row>
    <row r="4" spans="1:7" s="72" customFormat="1" ht="15.75">
      <c r="A4" s="368"/>
      <c r="B4" s="368"/>
      <c r="C4" s="368"/>
      <c r="D4" s="368"/>
      <c r="E4" s="64"/>
      <c r="F4" s="110"/>
      <c r="G4" s="110"/>
    </row>
    <row r="5" spans="1:7" s="72" customFormat="1" ht="15.75">
      <c r="A5" s="368"/>
      <c r="B5" s="368"/>
      <c r="C5" s="368"/>
      <c r="D5" s="368"/>
      <c r="E5" s="47"/>
      <c r="F5" s="43"/>
      <c r="G5" s="110"/>
    </row>
    <row r="6" spans="1:6" ht="18.75">
      <c r="A6" s="381" t="s">
        <v>26</v>
      </c>
      <c r="B6" s="381"/>
      <c r="C6" s="381"/>
      <c r="D6" s="381"/>
      <c r="E6" s="381"/>
      <c r="F6" s="381"/>
    </row>
    <row r="7" spans="1:6" ht="18.75">
      <c r="A7" s="381" t="s">
        <v>576</v>
      </c>
      <c r="B7" s="381"/>
      <c r="C7" s="381"/>
      <c r="D7" s="381"/>
      <c r="E7" s="381"/>
      <c r="F7" s="381"/>
    </row>
    <row r="8" spans="1:6" ht="18.75">
      <c r="A8" s="381" t="s">
        <v>799</v>
      </c>
      <c r="B8" s="381"/>
      <c r="C8" s="381"/>
      <c r="D8" s="381"/>
      <c r="E8" s="381"/>
      <c r="F8" s="381"/>
    </row>
    <row r="9" spans="1:6" ht="18.75">
      <c r="A9" s="381"/>
      <c r="B9" s="381"/>
      <c r="C9" s="381"/>
      <c r="D9" s="381"/>
      <c r="E9" s="381"/>
      <c r="F9" s="381"/>
    </row>
    <row r="10" spans="1:6" ht="18.75">
      <c r="A10" s="77"/>
      <c r="B10" s="77"/>
      <c r="C10" s="72"/>
      <c r="E10" s="117"/>
      <c r="F10" s="103" t="s">
        <v>911</v>
      </c>
    </row>
    <row r="11" spans="1:7" s="80" customFormat="1" ht="47.25">
      <c r="A11" s="78" t="s">
        <v>27</v>
      </c>
      <c r="B11" s="78" t="s">
        <v>887</v>
      </c>
      <c r="C11" s="79" t="s">
        <v>28</v>
      </c>
      <c r="D11" s="23" t="s">
        <v>802</v>
      </c>
      <c r="E11" s="23" t="s">
        <v>800</v>
      </c>
      <c r="F11" s="23" t="s">
        <v>801</v>
      </c>
      <c r="G11" s="93"/>
    </row>
    <row r="12" spans="1:7" s="80" customFormat="1" ht="18.75">
      <c r="A12" s="81">
        <v>1</v>
      </c>
      <c r="B12" s="81">
        <v>2</v>
      </c>
      <c r="C12" s="82">
        <v>3</v>
      </c>
      <c r="D12" s="104">
        <v>4</v>
      </c>
      <c r="E12" s="104">
        <v>5</v>
      </c>
      <c r="F12" s="104">
        <v>6</v>
      </c>
      <c r="G12" s="93"/>
    </row>
    <row r="13" spans="1:7" s="198" customFormat="1" ht="18.75" customHeight="1">
      <c r="A13" s="385" t="s">
        <v>569</v>
      </c>
      <c r="B13" s="386"/>
      <c r="C13" s="386"/>
      <c r="D13" s="196">
        <f>D14+D16+D20+D21+D22</f>
        <v>155000710.46</v>
      </c>
      <c r="E13" s="196">
        <f>E14+E16+E20+E21+E22</f>
        <v>94515019.66</v>
      </c>
      <c r="F13" s="196">
        <f>ROUND(E13/D13*100,2)</f>
        <v>60.98</v>
      </c>
      <c r="G13" s="197"/>
    </row>
    <row r="14" spans="1:7" s="80" customFormat="1" ht="54" customHeight="1">
      <c r="A14" s="81">
        <v>1</v>
      </c>
      <c r="B14" s="387" t="s">
        <v>570</v>
      </c>
      <c r="C14" s="388"/>
      <c r="D14" s="140">
        <f>D15</f>
        <v>29610656.3</v>
      </c>
      <c r="E14" s="140">
        <f>E15</f>
        <v>29228736.36</v>
      </c>
      <c r="F14" s="140">
        <f aca="true" t="shared" si="0" ref="F14:F67">ROUND(E14/D14*100,2)</f>
        <v>98.71</v>
      </c>
      <c r="G14" s="111"/>
    </row>
    <row r="15" spans="1:7" s="80" customFormat="1" ht="78.75">
      <c r="A15" s="81"/>
      <c r="B15" s="146" t="s">
        <v>845</v>
      </c>
      <c r="C15" s="138" t="s">
        <v>571</v>
      </c>
      <c r="D15" s="139">
        <v>29610656.3</v>
      </c>
      <c r="E15" s="139">
        <f>27206100.63+302495.3+1720140.43</f>
        <v>29228736.36</v>
      </c>
      <c r="F15" s="140">
        <f t="shared" si="0"/>
        <v>98.71</v>
      </c>
      <c r="G15" s="93"/>
    </row>
    <row r="16" spans="1:7" s="83" customFormat="1" ht="62.25" customHeight="1">
      <c r="A16" s="141">
        <v>2</v>
      </c>
      <c r="B16" s="387" t="s">
        <v>572</v>
      </c>
      <c r="C16" s="388"/>
      <c r="D16" s="142">
        <f>D17+D18+D19</f>
        <v>13594366.99</v>
      </c>
      <c r="E16" s="142">
        <f>E17+E18+E19</f>
        <v>13558521.19</v>
      </c>
      <c r="F16" s="142">
        <f t="shared" si="0"/>
        <v>99.74</v>
      </c>
      <c r="G16" s="94"/>
    </row>
    <row r="17" spans="1:7" s="148" customFormat="1" ht="47.25">
      <c r="A17" s="145"/>
      <c r="B17" s="146" t="s">
        <v>830</v>
      </c>
      <c r="C17" s="138" t="s">
        <v>577</v>
      </c>
      <c r="D17" s="139">
        <v>11305288.56</v>
      </c>
      <c r="E17" s="139">
        <f>10733205.11+552920.45</f>
        <v>11286125.559999999</v>
      </c>
      <c r="F17" s="140">
        <f t="shared" si="0"/>
        <v>99.83</v>
      </c>
      <c r="G17" s="147"/>
    </row>
    <row r="18" spans="1:7" s="148" customFormat="1" ht="47.25">
      <c r="A18" s="145"/>
      <c r="B18" s="146" t="s">
        <v>867</v>
      </c>
      <c r="C18" s="138" t="s">
        <v>866</v>
      </c>
      <c r="D18" s="139">
        <v>550428.43</v>
      </c>
      <c r="E18" s="139">
        <v>533745.63</v>
      </c>
      <c r="F18" s="140">
        <f t="shared" si="0"/>
        <v>96.97</v>
      </c>
      <c r="G18" s="147"/>
    </row>
    <row r="19" spans="1:7" s="148" customFormat="1" ht="31.5">
      <c r="A19" s="145"/>
      <c r="B19" s="146" t="s">
        <v>450</v>
      </c>
      <c r="C19" s="138" t="s">
        <v>449</v>
      </c>
      <c r="D19" s="139">
        <v>1738650</v>
      </c>
      <c r="E19" s="139">
        <v>1738650</v>
      </c>
      <c r="F19" s="140">
        <f t="shared" si="0"/>
        <v>100</v>
      </c>
      <c r="G19" s="147"/>
    </row>
    <row r="20" spans="1:7" s="148" customFormat="1" ht="63">
      <c r="A20" s="81">
        <v>3</v>
      </c>
      <c r="B20" s="146" t="s">
        <v>830</v>
      </c>
      <c r="C20" s="151" t="s">
        <v>578</v>
      </c>
      <c r="D20" s="140">
        <v>13005203.78</v>
      </c>
      <c r="E20" s="140">
        <f>12533124.62+452170.16</f>
        <v>12985294.78</v>
      </c>
      <c r="F20" s="140">
        <f t="shared" si="0"/>
        <v>99.85</v>
      </c>
      <c r="G20" s="147"/>
    </row>
    <row r="21" spans="1:7" s="80" customFormat="1" ht="63">
      <c r="A21" s="141">
        <v>4</v>
      </c>
      <c r="B21" s="134" t="s">
        <v>639</v>
      </c>
      <c r="C21" s="150" t="s">
        <v>579</v>
      </c>
      <c r="D21" s="140">
        <v>7361522</v>
      </c>
      <c r="E21" s="140">
        <v>7352668.14</v>
      </c>
      <c r="F21" s="140">
        <f t="shared" si="0"/>
        <v>99.88</v>
      </c>
      <c r="G21" s="93"/>
    </row>
    <row r="22" spans="1:7" s="80" customFormat="1" ht="58.5" customHeight="1">
      <c r="A22" s="141">
        <v>5</v>
      </c>
      <c r="B22" s="387" t="s">
        <v>580</v>
      </c>
      <c r="C22" s="388"/>
      <c r="D22" s="140">
        <f>D23+D24+D26+D25</f>
        <v>91428961.39</v>
      </c>
      <c r="E22" s="140">
        <f>E23+E24+E26+E25</f>
        <v>31389799.189999998</v>
      </c>
      <c r="F22" s="140">
        <f t="shared" si="0"/>
        <v>34.33</v>
      </c>
      <c r="G22" s="93"/>
    </row>
    <row r="23" spans="1:7" s="84" customFormat="1" ht="31.5">
      <c r="A23" s="143"/>
      <c r="B23" s="149" t="s">
        <v>639</v>
      </c>
      <c r="C23" s="138" t="s">
        <v>581</v>
      </c>
      <c r="D23" s="144">
        <v>10039824.95</v>
      </c>
      <c r="E23" s="144">
        <v>9873062.75</v>
      </c>
      <c r="F23" s="140">
        <f t="shared" si="0"/>
        <v>98.34</v>
      </c>
      <c r="G23" s="112"/>
    </row>
    <row r="24" spans="1:7" s="84" customFormat="1" ht="31.5">
      <c r="A24" s="143"/>
      <c r="B24" s="149" t="s">
        <v>460</v>
      </c>
      <c r="C24" s="138" t="s">
        <v>661</v>
      </c>
      <c r="D24" s="144">
        <v>1589736.44</v>
      </c>
      <c r="E24" s="144">
        <v>1589736.44</v>
      </c>
      <c r="F24" s="140">
        <f t="shared" si="0"/>
        <v>100</v>
      </c>
      <c r="G24" s="112"/>
    </row>
    <row r="25" spans="1:7" s="84" customFormat="1" ht="47.25">
      <c r="A25" s="143"/>
      <c r="B25" s="149"/>
      <c r="C25" s="138" t="s">
        <v>515</v>
      </c>
      <c r="D25" s="144">
        <v>59872400</v>
      </c>
      <c r="E25" s="144">
        <v>0</v>
      </c>
      <c r="F25" s="140">
        <f t="shared" si="0"/>
        <v>0</v>
      </c>
      <c r="G25" s="112"/>
    </row>
    <row r="26" spans="1:7" s="84" customFormat="1" ht="78.75">
      <c r="A26" s="143"/>
      <c r="B26" s="149"/>
      <c r="C26" s="138" t="s">
        <v>582</v>
      </c>
      <c r="D26" s="144">
        <v>19927000</v>
      </c>
      <c r="E26" s="144">
        <v>19927000</v>
      </c>
      <c r="F26" s="140">
        <f t="shared" si="0"/>
        <v>100</v>
      </c>
      <c r="G26" s="112"/>
    </row>
    <row r="27" spans="1:7" s="83" customFormat="1" ht="18.75">
      <c r="A27" s="389" t="s">
        <v>463</v>
      </c>
      <c r="B27" s="390"/>
      <c r="C27" s="390"/>
      <c r="D27" s="196">
        <f>D28+D29+D30+D31+D32+D33+D34+D35+D36+D37+D38+D39+D40+D41+D42+D43+D44+D45+D46+D47+D48+D49+D50+D51+D52</f>
        <v>1273881629.5699997</v>
      </c>
      <c r="E27" s="196">
        <f>E28+E29+E30+E31+E32+E33+E34+E35+E36+E37+E38+E39+E40+E41+E42+E43+E44+E45+E46+E47+E48+E49+E50+E51+E52</f>
        <v>1271245257.6599998</v>
      </c>
      <c r="F27" s="196">
        <f t="shared" si="0"/>
        <v>99.79</v>
      </c>
      <c r="G27" s="94"/>
    </row>
    <row r="28" spans="1:7" s="83" customFormat="1" ht="47.25">
      <c r="A28" s="141">
        <v>6</v>
      </c>
      <c r="B28" s="134" t="s">
        <v>820</v>
      </c>
      <c r="C28" s="135" t="s">
        <v>819</v>
      </c>
      <c r="D28" s="142">
        <v>6678280</v>
      </c>
      <c r="E28" s="142">
        <v>6538178.99</v>
      </c>
      <c r="F28" s="140">
        <f t="shared" si="0"/>
        <v>97.9</v>
      </c>
      <c r="G28" s="94"/>
    </row>
    <row r="29" spans="1:7" s="83" customFormat="1" ht="78.75">
      <c r="A29" s="141">
        <v>7</v>
      </c>
      <c r="B29" s="134" t="s">
        <v>832</v>
      </c>
      <c r="C29" s="135" t="s">
        <v>831</v>
      </c>
      <c r="D29" s="142">
        <v>18516094</v>
      </c>
      <c r="E29" s="142">
        <v>18516094</v>
      </c>
      <c r="F29" s="140">
        <f t="shared" si="0"/>
        <v>100</v>
      </c>
      <c r="G29" s="94"/>
    </row>
    <row r="30" spans="1:7" s="83" customFormat="1" ht="78.75">
      <c r="A30" s="141">
        <v>8</v>
      </c>
      <c r="B30" s="134" t="s">
        <v>817</v>
      </c>
      <c r="C30" s="135" t="s">
        <v>818</v>
      </c>
      <c r="D30" s="142">
        <v>31142609.73</v>
      </c>
      <c r="E30" s="142">
        <v>30481613.69</v>
      </c>
      <c r="F30" s="140">
        <f t="shared" si="0"/>
        <v>97.88</v>
      </c>
      <c r="G30" s="94"/>
    </row>
    <row r="31" spans="1:7" s="83" customFormat="1" ht="78.75">
      <c r="A31" s="141">
        <v>9</v>
      </c>
      <c r="B31" s="134" t="s">
        <v>821</v>
      </c>
      <c r="C31" s="135" t="s">
        <v>583</v>
      </c>
      <c r="D31" s="142">
        <v>31922718.91</v>
      </c>
      <c r="E31" s="142">
        <v>31902786.06</v>
      </c>
      <c r="F31" s="140">
        <f t="shared" si="0"/>
        <v>99.94</v>
      </c>
      <c r="G31" s="94"/>
    </row>
    <row r="32" spans="1:7" s="83" customFormat="1" ht="63">
      <c r="A32" s="141">
        <v>10</v>
      </c>
      <c r="B32" s="134" t="s">
        <v>823</v>
      </c>
      <c r="C32" s="135" t="s">
        <v>822</v>
      </c>
      <c r="D32" s="142">
        <v>33772800</v>
      </c>
      <c r="E32" s="142">
        <v>33772800</v>
      </c>
      <c r="F32" s="140">
        <f t="shared" si="0"/>
        <v>100</v>
      </c>
      <c r="G32" s="94"/>
    </row>
    <row r="33" spans="1:7" s="83" customFormat="1" ht="63">
      <c r="A33" s="141">
        <v>11</v>
      </c>
      <c r="B33" s="134" t="s">
        <v>828</v>
      </c>
      <c r="C33" s="135" t="s">
        <v>584</v>
      </c>
      <c r="D33" s="142">
        <v>8526500</v>
      </c>
      <c r="E33" s="142">
        <v>8319272.08</v>
      </c>
      <c r="F33" s="140">
        <f t="shared" si="0"/>
        <v>97.57</v>
      </c>
      <c r="G33" s="94"/>
    </row>
    <row r="34" spans="1:7" s="83" customFormat="1" ht="78.75">
      <c r="A34" s="141">
        <v>12</v>
      </c>
      <c r="B34" s="134" t="s">
        <v>833</v>
      </c>
      <c r="C34" s="135" t="s">
        <v>585</v>
      </c>
      <c r="D34" s="142">
        <v>7716818.7</v>
      </c>
      <c r="E34" s="142">
        <v>7680726.12</v>
      </c>
      <c r="F34" s="140">
        <f t="shared" si="0"/>
        <v>99.53</v>
      </c>
      <c r="G34" s="94"/>
    </row>
    <row r="35" spans="1:8" s="83" customFormat="1" ht="63">
      <c r="A35" s="141">
        <v>13</v>
      </c>
      <c r="B35" s="134" t="s">
        <v>835</v>
      </c>
      <c r="C35" s="135" t="s">
        <v>834</v>
      </c>
      <c r="D35" s="142">
        <v>28986737.97</v>
      </c>
      <c r="E35" s="142">
        <v>28393592.8</v>
      </c>
      <c r="F35" s="140">
        <f t="shared" si="0"/>
        <v>97.95</v>
      </c>
      <c r="G35" s="94"/>
      <c r="H35" s="94"/>
    </row>
    <row r="36" spans="1:8" s="83" customFormat="1" ht="63">
      <c r="A36" s="141">
        <v>14</v>
      </c>
      <c r="B36" s="134" t="s">
        <v>840</v>
      </c>
      <c r="C36" s="135" t="s">
        <v>839</v>
      </c>
      <c r="D36" s="142">
        <v>2721020</v>
      </c>
      <c r="E36" s="142">
        <v>2711912.73</v>
      </c>
      <c r="F36" s="140">
        <f t="shared" si="0"/>
        <v>99.67</v>
      </c>
      <c r="G36" s="94"/>
      <c r="H36" s="94"/>
    </row>
    <row r="37" spans="1:8" s="83" customFormat="1" ht="78.75">
      <c r="A37" s="141">
        <v>15</v>
      </c>
      <c r="B37" s="134" t="s">
        <v>837</v>
      </c>
      <c r="C37" s="135" t="s">
        <v>836</v>
      </c>
      <c r="D37" s="142">
        <v>53259211.42</v>
      </c>
      <c r="E37" s="142">
        <v>53144685.39</v>
      </c>
      <c r="F37" s="140">
        <f t="shared" si="0"/>
        <v>99.78</v>
      </c>
      <c r="G37" s="94"/>
      <c r="H37" s="94"/>
    </row>
    <row r="38" spans="1:8" s="83" customFormat="1" ht="63">
      <c r="A38" s="141">
        <v>16</v>
      </c>
      <c r="B38" s="134" t="s">
        <v>842</v>
      </c>
      <c r="C38" s="135" t="s">
        <v>841</v>
      </c>
      <c r="D38" s="142">
        <v>34691095.39</v>
      </c>
      <c r="E38" s="142">
        <v>34284197.46</v>
      </c>
      <c r="F38" s="140">
        <f t="shared" si="0"/>
        <v>98.83</v>
      </c>
      <c r="G38" s="94"/>
      <c r="H38" s="94"/>
    </row>
    <row r="39" spans="1:8" s="83" customFormat="1" ht="63">
      <c r="A39" s="141">
        <v>17</v>
      </c>
      <c r="B39" s="134" t="s">
        <v>844</v>
      </c>
      <c r="C39" s="135" t="s">
        <v>843</v>
      </c>
      <c r="D39" s="142">
        <v>28490253.63</v>
      </c>
      <c r="E39" s="142">
        <v>28478258.89</v>
      </c>
      <c r="F39" s="140">
        <f t="shared" si="0"/>
        <v>99.96</v>
      </c>
      <c r="G39" s="94"/>
      <c r="H39" s="94"/>
    </row>
    <row r="40" spans="1:8" s="83" customFormat="1" ht="47.25">
      <c r="A40" s="141">
        <v>18</v>
      </c>
      <c r="B40" s="134" t="s">
        <v>735</v>
      </c>
      <c r="C40" s="135" t="s">
        <v>734</v>
      </c>
      <c r="D40" s="142">
        <v>428119237.04</v>
      </c>
      <c r="E40" s="142">
        <v>427961139.37</v>
      </c>
      <c r="F40" s="140">
        <f t="shared" si="0"/>
        <v>99.96</v>
      </c>
      <c r="G40" s="94"/>
      <c r="H40" s="94"/>
    </row>
    <row r="41" spans="1:8" s="83" customFormat="1" ht="78.75">
      <c r="A41" s="141">
        <v>19</v>
      </c>
      <c r="B41" s="134" t="s">
        <v>737</v>
      </c>
      <c r="C41" s="135" t="s">
        <v>736</v>
      </c>
      <c r="D41" s="142">
        <v>278541638.87</v>
      </c>
      <c r="E41" s="142">
        <v>278525615.73</v>
      </c>
      <c r="F41" s="140">
        <f t="shared" si="0"/>
        <v>99.99</v>
      </c>
      <c r="G41" s="94"/>
      <c r="H41" s="94"/>
    </row>
    <row r="42" spans="1:8" s="83" customFormat="1" ht="63">
      <c r="A42" s="141">
        <v>20</v>
      </c>
      <c r="B42" s="6" t="s">
        <v>747</v>
      </c>
      <c r="C42" s="135" t="s">
        <v>746</v>
      </c>
      <c r="D42" s="142">
        <v>133108809.21</v>
      </c>
      <c r="E42" s="142">
        <v>132954749.13</v>
      </c>
      <c r="F42" s="140">
        <f t="shared" si="0"/>
        <v>99.88</v>
      </c>
      <c r="G42" s="94"/>
      <c r="H42" s="94"/>
    </row>
    <row r="43" spans="1:8" s="83" customFormat="1" ht="63">
      <c r="A43" s="141">
        <v>21</v>
      </c>
      <c r="B43" s="134" t="s">
        <v>482</v>
      </c>
      <c r="C43" s="135" t="s">
        <v>481</v>
      </c>
      <c r="D43" s="142">
        <v>922000</v>
      </c>
      <c r="E43" s="142">
        <v>914644.6</v>
      </c>
      <c r="F43" s="140">
        <f t="shared" si="0"/>
        <v>99.2</v>
      </c>
      <c r="G43" s="94"/>
      <c r="H43" s="94"/>
    </row>
    <row r="44" spans="1:8" s="83" customFormat="1" ht="47.25">
      <c r="A44" s="141">
        <v>22</v>
      </c>
      <c r="B44" s="134" t="s">
        <v>480</v>
      </c>
      <c r="C44" s="135" t="s">
        <v>479</v>
      </c>
      <c r="D44" s="142">
        <v>14947514</v>
      </c>
      <c r="E44" s="142">
        <v>14946723.02</v>
      </c>
      <c r="F44" s="140">
        <f t="shared" si="0"/>
        <v>99.99</v>
      </c>
      <c r="G44" s="94"/>
      <c r="H44" s="94"/>
    </row>
    <row r="45" spans="1:8" s="83" customFormat="1" ht="63">
      <c r="A45" s="141">
        <v>23</v>
      </c>
      <c r="B45" s="134" t="s">
        <v>739</v>
      </c>
      <c r="C45" s="135" t="s">
        <v>738</v>
      </c>
      <c r="D45" s="142">
        <v>7714550</v>
      </c>
      <c r="E45" s="142">
        <v>7714550</v>
      </c>
      <c r="F45" s="140">
        <f t="shared" si="0"/>
        <v>100</v>
      </c>
      <c r="G45" s="94"/>
      <c r="H45" s="94"/>
    </row>
    <row r="46" spans="1:8" s="83" customFormat="1" ht="78.75">
      <c r="A46" s="141">
        <v>24</v>
      </c>
      <c r="B46" s="134" t="s">
        <v>741</v>
      </c>
      <c r="C46" s="135" t="s">
        <v>740</v>
      </c>
      <c r="D46" s="142">
        <v>23130985.09</v>
      </c>
      <c r="E46" s="142">
        <v>23130985.09</v>
      </c>
      <c r="F46" s="140">
        <f t="shared" si="0"/>
        <v>100</v>
      </c>
      <c r="G46" s="94"/>
      <c r="H46" s="94"/>
    </row>
    <row r="47" spans="1:8" s="83" customFormat="1" ht="63">
      <c r="A47" s="141">
        <v>25</v>
      </c>
      <c r="B47" s="134" t="s">
        <v>743</v>
      </c>
      <c r="C47" s="135" t="s">
        <v>742</v>
      </c>
      <c r="D47" s="142">
        <v>27127907</v>
      </c>
      <c r="E47" s="142">
        <v>27127907</v>
      </c>
      <c r="F47" s="140">
        <f t="shared" si="0"/>
        <v>100</v>
      </c>
      <c r="G47" s="94"/>
      <c r="H47" s="94"/>
    </row>
    <row r="48" spans="1:8" s="83" customFormat="1" ht="47.25">
      <c r="A48" s="141">
        <v>26</v>
      </c>
      <c r="B48" s="134" t="s">
        <v>745</v>
      </c>
      <c r="C48" s="135" t="s">
        <v>744</v>
      </c>
      <c r="D48" s="142">
        <v>8450922</v>
      </c>
      <c r="E48" s="142">
        <v>8450922</v>
      </c>
      <c r="F48" s="140">
        <f t="shared" si="0"/>
        <v>100</v>
      </c>
      <c r="G48" s="94"/>
      <c r="H48" s="94"/>
    </row>
    <row r="49" spans="1:8" s="83" customFormat="1" ht="47.25">
      <c r="A49" s="141">
        <v>27</v>
      </c>
      <c r="B49" s="134" t="s">
        <v>486</v>
      </c>
      <c r="C49" s="135" t="s">
        <v>485</v>
      </c>
      <c r="D49" s="142">
        <v>47510913</v>
      </c>
      <c r="E49" s="142">
        <v>47510911</v>
      </c>
      <c r="F49" s="140">
        <f t="shared" si="0"/>
        <v>100</v>
      </c>
      <c r="G49" s="94"/>
      <c r="H49" s="94"/>
    </row>
    <row r="50" spans="1:8" s="83" customFormat="1" ht="47.25">
      <c r="A50" s="141">
        <v>28</v>
      </c>
      <c r="B50" s="134" t="s">
        <v>484</v>
      </c>
      <c r="C50" s="135" t="s">
        <v>483</v>
      </c>
      <c r="D50" s="142">
        <v>10237407</v>
      </c>
      <c r="E50" s="142">
        <v>10237407</v>
      </c>
      <c r="F50" s="140">
        <f t="shared" si="0"/>
        <v>100</v>
      </c>
      <c r="G50" s="94"/>
      <c r="H50" s="94"/>
    </row>
    <row r="51" spans="1:8" s="83" customFormat="1" ht="47.25">
      <c r="A51" s="141">
        <v>29</v>
      </c>
      <c r="B51" s="134" t="s">
        <v>549</v>
      </c>
      <c r="C51" s="135" t="s">
        <v>548</v>
      </c>
      <c r="D51" s="142">
        <v>1579000</v>
      </c>
      <c r="E51" s="142">
        <v>1478978.91</v>
      </c>
      <c r="F51" s="140">
        <f t="shared" si="0"/>
        <v>93.67</v>
      </c>
      <c r="G51" s="94"/>
      <c r="H51" s="94"/>
    </row>
    <row r="52" spans="1:8" s="83" customFormat="1" ht="63">
      <c r="A52" s="141">
        <v>30</v>
      </c>
      <c r="B52" s="134" t="s">
        <v>827</v>
      </c>
      <c r="C52" s="3" t="s">
        <v>471</v>
      </c>
      <c r="D52" s="142">
        <v>6066606.61</v>
      </c>
      <c r="E52" s="142">
        <v>6066606.6</v>
      </c>
      <c r="F52" s="140">
        <f t="shared" si="0"/>
        <v>100</v>
      </c>
      <c r="G52" s="94"/>
      <c r="H52" s="94"/>
    </row>
    <row r="53" spans="1:8" s="83" customFormat="1" ht="18.75">
      <c r="A53" s="389" t="s">
        <v>554</v>
      </c>
      <c r="B53" s="390"/>
      <c r="C53" s="390"/>
      <c r="D53" s="199">
        <f>D54+D55+D56+D57+D58+D59+D60+D61+D62+D63+D64+D65+D66</f>
        <v>303847673.40000004</v>
      </c>
      <c r="E53" s="199">
        <f>E54+E55+E56+E57+E58+E59+E60+E61+E62+E63+E64+E65+E66</f>
        <v>189191368.89</v>
      </c>
      <c r="F53" s="199">
        <f t="shared" si="0"/>
        <v>62.27</v>
      </c>
      <c r="G53" s="94"/>
      <c r="H53" s="94"/>
    </row>
    <row r="54" spans="1:8" s="83" customFormat="1" ht="47.25">
      <c r="A54" s="141">
        <v>31</v>
      </c>
      <c r="B54" s="6" t="s">
        <v>756</v>
      </c>
      <c r="C54" s="135" t="s">
        <v>755</v>
      </c>
      <c r="D54" s="142">
        <v>3303829.62</v>
      </c>
      <c r="E54" s="142">
        <v>2109749.99</v>
      </c>
      <c r="F54" s="140">
        <f t="shared" si="0"/>
        <v>63.86</v>
      </c>
      <c r="G54" s="94"/>
      <c r="H54" s="94"/>
    </row>
    <row r="55" spans="1:8" s="83" customFormat="1" ht="63">
      <c r="A55" s="141">
        <v>32</v>
      </c>
      <c r="B55" s="134" t="s">
        <v>758</v>
      </c>
      <c r="C55" s="135" t="s">
        <v>757</v>
      </c>
      <c r="D55" s="142">
        <v>7035646.3</v>
      </c>
      <c r="E55" s="142">
        <v>6948188.3</v>
      </c>
      <c r="F55" s="140">
        <f t="shared" si="0"/>
        <v>98.76</v>
      </c>
      <c r="G55" s="94"/>
      <c r="H55" s="94"/>
    </row>
    <row r="56" spans="1:8" s="83" customFormat="1" ht="31.5">
      <c r="A56" s="141">
        <v>33</v>
      </c>
      <c r="B56" s="134" t="s">
        <v>764</v>
      </c>
      <c r="C56" s="135" t="s">
        <v>763</v>
      </c>
      <c r="D56" s="142">
        <v>545000</v>
      </c>
      <c r="E56" s="142">
        <v>542846.8</v>
      </c>
      <c r="F56" s="140">
        <f t="shared" si="0"/>
        <v>99.6</v>
      </c>
      <c r="G56" s="94"/>
      <c r="H56" s="94"/>
    </row>
    <row r="57" spans="1:8" s="83" customFormat="1" ht="63">
      <c r="A57" s="141">
        <v>34</v>
      </c>
      <c r="B57" s="134" t="s">
        <v>826</v>
      </c>
      <c r="C57" s="135" t="s">
        <v>825</v>
      </c>
      <c r="D57" s="142">
        <v>14762494.1</v>
      </c>
      <c r="E57" s="142">
        <v>14427017.26</v>
      </c>
      <c r="F57" s="140">
        <f t="shared" si="0"/>
        <v>97.73</v>
      </c>
      <c r="G57" s="94"/>
      <c r="H57" s="94"/>
    </row>
    <row r="58" spans="1:8" s="83" customFormat="1" ht="47.25">
      <c r="A58" s="141">
        <v>35</v>
      </c>
      <c r="B58" s="134" t="s">
        <v>766</v>
      </c>
      <c r="C58" s="135" t="s">
        <v>765</v>
      </c>
      <c r="D58" s="142">
        <v>52346838.34</v>
      </c>
      <c r="E58" s="142">
        <v>52206745.84</v>
      </c>
      <c r="F58" s="140">
        <f t="shared" si="0"/>
        <v>99.73</v>
      </c>
      <c r="G58" s="94"/>
      <c r="H58" s="94"/>
    </row>
    <row r="59" spans="1:8" s="83" customFormat="1" ht="63">
      <c r="A59" s="141">
        <v>36</v>
      </c>
      <c r="B59" s="134" t="s">
        <v>769</v>
      </c>
      <c r="C59" s="135" t="s">
        <v>767</v>
      </c>
      <c r="D59" s="142">
        <v>1231143.22</v>
      </c>
      <c r="E59" s="142">
        <v>1198141.56</v>
      </c>
      <c r="F59" s="140">
        <f t="shared" si="0"/>
        <v>97.32</v>
      </c>
      <c r="G59" s="94"/>
      <c r="H59" s="94"/>
    </row>
    <row r="60" spans="1:8" s="83" customFormat="1" ht="63">
      <c r="A60" s="141">
        <v>37</v>
      </c>
      <c r="B60" s="134" t="s">
        <v>779</v>
      </c>
      <c r="C60" s="135" t="s">
        <v>748</v>
      </c>
      <c r="D60" s="142">
        <v>10897228.59</v>
      </c>
      <c r="E60" s="142">
        <v>8576330.31</v>
      </c>
      <c r="F60" s="140">
        <f t="shared" si="0"/>
        <v>78.7</v>
      </c>
      <c r="G60" s="94"/>
      <c r="H60" s="94"/>
    </row>
    <row r="61" spans="1:8" s="83" customFormat="1" ht="47.25">
      <c r="A61" s="141">
        <v>38</v>
      </c>
      <c r="B61" s="134" t="s">
        <v>733</v>
      </c>
      <c r="C61" s="135" t="s">
        <v>909</v>
      </c>
      <c r="D61" s="142">
        <v>1718999</v>
      </c>
      <c r="E61" s="142">
        <v>1677291.5</v>
      </c>
      <c r="F61" s="140">
        <f t="shared" si="0"/>
        <v>97.57</v>
      </c>
      <c r="G61" s="94"/>
      <c r="H61" s="94"/>
    </row>
    <row r="62" spans="1:8" s="83" customFormat="1" ht="63">
      <c r="A62" s="141">
        <v>39</v>
      </c>
      <c r="B62" s="134" t="s">
        <v>778</v>
      </c>
      <c r="C62" s="135" t="s">
        <v>777</v>
      </c>
      <c r="D62" s="142">
        <v>28268164.61</v>
      </c>
      <c r="E62" s="142">
        <v>25581106.22</v>
      </c>
      <c r="F62" s="140">
        <f t="shared" si="0"/>
        <v>90.49</v>
      </c>
      <c r="G62" s="94"/>
      <c r="H62" s="94"/>
    </row>
    <row r="63" spans="1:8" s="83" customFormat="1" ht="63">
      <c r="A63" s="141">
        <v>40</v>
      </c>
      <c r="B63" s="134" t="s">
        <v>772</v>
      </c>
      <c r="C63" s="135" t="s">
        <v>771</v>
      </c>
      <c r="D63" s="142">
        <v>86779.17</v>
      </c>
      <c r="E63" s="142">
        <v>40500</v>
      </c>
      <c r="F63" s="140">
        <f t="shared" si="0"/>
        <v>46.67</v>
      </c>
      <c r="G63" s="94"/>
      <c r="H63" s="94"/>
    </row>
    <row r="64" spans="1:8" s="83" customFormat="1" ht="63">
      <c r="A64" s="141">
        <v>41</v>
      </c>
      <c r="B64" s="134" t="s">
        <v>774</v>
      </c>
      <c r="C64" s="135" t="s">
        <v>773</v>
      </c>
      <c r="D64" s="142">
        <v>6242341.5</v>
      </c>
      <c r="E64" s="142">
        <v>6201173.09</v>
      </c>
      <c r="F64" s="140">
        <f t="shared" si="0"/>
        <v>99.34</v>
      </c>
      <c r="G64" s="94"/>
      <c r="H64" s="94"/>
    </row>
    <row r="65" spans="1:8" s="83" customFormat="1" ht="47.25">
      <c r="A65" s="141">
        <v>42</v>
      </c>
      <c r="B65" s="134" t="s">
        <v>750</v>
      </c>
      <c r="C65" s="153" t="s">
        <v>749</v>
      </c>
      <c r="D65" s="142">
        <v>165831859.47</v>
      </c>
      <c r="E65" s="142">
        <v>58115885.16</v>
      </c>
      <c r="F65" s="140">
        <f t="shared" si="0"/>
        <v>35.05</v>
      </c>
      <c r="G65" s="94"/>
      <c r="H65" s="94"/>
    </row>
    <row r="66" spans="1:8" s="83" customFormat="1" ht="78.75">
      <c r="A66" s="141">
        <v>43</v>
      </c>
      <c r="B66" s="134" t="s">
        <v>478</v>
      </c>
      <c r="C66" s="153" t="s">
        <v>477</v>
      </c>
      <c r="D66" s="142">
        <v>11577349.48</v>
      </c>
      <c r="E66" s="142">
        <v>11566392.86</v>
      </c>
      <c r="F66" s="140">
        <f t="shared" si="0"/>
        <v>99.91</v>
      </c>
      <c r="G66" s="94"/>
      <c r="H66" s="94"/>
    </row>
    <row r="67" spans="1:7" s="83" customFormat="1" ht="18.75">
      <c r="A67" s="382" t="s">
        <v>29</v>
      </c>
      <c r="B67" s="383"/>
      <c r="C67" s="384"/>
      <c r="D67" s="105">
        <f>D13+D27+D53</f>
        <v>1732730013.4299998</v>
      </c>
      <c r="E67" s="105">
        <f>E13+E27+E53</f>
        <v>1554951646.21</v>
      </c>
      <c r="F67" s="105">
        <f t="shared" si="0"/>
        <v>89.74</v>
      </c>
      <c r="G67" s="94"/>
    </row>
    <row r="68" spans="3:7" s="83" customFormat="1" ht="24" customHeight="1">
      <c r="C68" s="85"/>
      <c r="D68" s="106"/>
      <c r="E68" s="94"/>
      <c r="F68" s="94"/>
      <c r="G68" s="94"/>
    </row>
    <row r="69" spans="1:7" s="83" customFormat="1" ht="24" customHeight="1">
      <c r="A69" s="85"/>
      <c r="B69" s="85"/>
      <c r="C69" s="86"/>
      <c r="D69" s="120"/>
      <c r="E69" s="94"/>
      <c r="F69" s="94"/>
      <c r="G69" s="94"/>
    </row>
    <row r="70" spans="1:7" s="83" customFormat="1" ht="18.75">
      <c r="A70" s="85"/>
      <c r="B70" s="85"/>
      <c r="C70" s="155"/>
      <c r="D70" s="121"/>
      <c r="E70" s="94"/>
      <c r="F70" s="94"/>
      <c r="G70" s="94"/>
    </row>
    <row r="71" spans="3:7" s="83" customFormat="1" ht="18.75">
      <c r="C71" s="156"/>
      <c r="D71" s="121"/>
      <c r="E71" s="94"/>
      <c r="F71" s="94"/>
      <c r="G71" s="94"/>
    </row>
    <row r="72" spans="3:7" s="83" customFormat="1" ht="18.75">
      <c r="C72" s="156"/>
      <c r="D72" s="121"/>
      <c r="E72" s="94"/>
      <c r="F72" s="94"/>
      <c r="G72" s="94"/>
    </row>
    <row r="73" spans="4:7" s="83" customFormat="1" ht="18.75">
      <c r="D73" s="121"/>
      <c r="E73" s="94"/>
      <c r="F73" s="94"/>
      <c r="G73" s="94"/>
    </row>
    <row r="74" spans="3:7" s="83" customFormat="1" ht="18.75">
      <c r="C74" s="87"/>
      <c r="D74" s="121"/>
      <c r="E74" s="94"/>
      <c r="F74" s="94"/>
      <c r="G74" s="94"/>
    </row>
    <row r="75" spans="4:7" s="83" customFormat="1" ht="18.75">
      <c r="D75" s="121"/>
      <c r="E75" s="94"/>
      <c r="F75" s="94"/>
      <c r="G75" s="94"/>
    </row>
    <row r="76" spans="4:7" s="83" customFormat="1" ht="18.75">
      <c r="D76" s="121"/>
      <c r="E76" s="94"/>
      <c r="F76" s="94"/>
      <c r="G76" s="94"/>
    </row>
    <row r="77" spans="4:7" s="83" customFormat="1" ht="18.75">
      <c r="D77" s="121"/>
      <c r="E77" s="94"/>
      <c r="F77" s="94"/>
      <c r="G77" s="94"/>
    </row>
    <row r="78" spans="3:7" s="83" customFormat="1" ht="18.75">
      <c r="C78" s="87"/>
      <c r="D78" s="180"/>
      <c r="E78" s="94"/>
      <c r="F78" s="94"/>
      <c r="G78" s="94"/>
    </row>
    <row r="79" spans="3:7" s="83" customFormat="1" ht="18.75">
      <c r="C79" s="87"/>
      <c r="D79" s="180"/>
      <c r="E79" s="94"/>
      <c r="F79" s="94"/>
      <c r="G79" s="94"/>
    </row>
    <row r="80" spans="3:7" s="83" customFormat="1" ht="18.75">
      <c r="C80" s="87"/>
      <c r="D80" s="180"/>
      <c r="E80" s="94"/>
      <c r="F80" s="94"/>
      <c r="G80" s="94"/>
    </row>
    <row r="81" spans="4:7" s="83" customFormat="1" ht="18.75">
      <c r="D81" s="180"/>
      <c r="E81" s="94"/>
      <c r="F81" s="94"/>
      <c r="G81" s="94"/>
    </row>
    <row r="82" spans="4:7" s="83" customFormat="1" ht="18.75">
      <c r="D82" s="107"/>
      <c r="E82" s="94"/>
      <c r="F82" s="94"/>
      <c r="G82" s="94"/>
    </row>
    <row r="83" spans="4:7" s="83" customFormat="1" ht="18.75">
      <c r="D83" s="107"/>
      <c r="E83" s="94"/>
      <c r="F83" s="94"/>
      <c r="G83" s="94"/>
    </row>
    <row r="84" spans="4:7" s="83" customFormat="1" ht="18.75">
      <c r="D84" s="107"/>
      <c r="E84" s="94"/>
      <c r="F84" s="94"/>
      <c r="G84" s="94"/>
    </row>
    <row r="85" spans="4:7" s="83" customFormat="1" ht="18.75">
      <c r="D85" s="107"/>
      <c r="E85" s="94"/>
      <c r="F85" s="94"/>
      <c r="G85" s="94"/>
    </row>
    <row r="86" spans="4:7" s="83" customFormat="1" ht="18.75">
      <c r="D86" s="107"/>
      <c r="E86" s="94"/>
      <c r="F86" s="94"/>
      <c r="G86" s="94"/>
    </row>
    <row r="87" spans="4:7" s="83" customFormat="1" ht="18.75">
      <c r="D87" s="107"/>
      <c r="E87" s="94"/>
      <c r="F87" s="94"/>
      <c r="G87" s="94"/>
    </row>
    <row r="88" spans="4:7" s="83" customFormat="1" ht="18.75">
      <c r="D88" s="107"/>
      <c r="E88" s="94"/>
      <c r="F88" s="94"/>
      <c r="G88" s="94"/>
    </row>
    <row r="89" spans="4:7" s="83" customFormat="1" ht="18.75">
      <c r="D89" s="107"/>
      <c r="E89" s="94"/>
      <c r="F89" s="94"/>
      <c r="G89" s="94"/>
    </row>
    <row r="90" spans="4:7" s="83" customFormat="1" ht="18.75">
      <c r="D90" s="107"/>
      <c r="E90" s="94"/>
      <c r="F90" s="94"/>
      <c r="G90" s="94"/>
    </row>
    <row r="91" spans="4:7" s="83" customFormat="1" ht="18.75">
      <c r="D91" s="107"/>
      <c r="E91" s="94"/>
      <c r="F91" s="94"/>
      <c r="G91" s="94"/>
    </row>
    <row r="92" spans="4:7" s="83" customFormat="1" ht="18.75">
      <c r="D92" s="107"/>
      <c r="E92" s="94"/>
      <c r="F92" s="94"/>
      <c r="G92" s="94"/>
    </row>
    <row r="93" spans="4:7" s="83" customFormat="1" ht="18.75">
      <c r="D93" s="107"/>
      <c r="E93" s="94"/>
      <c r="F93" s="94"/>
      <c r="G93" s="94"/>
    </row>
    <row r="94" spans="4:7" s="83" customFormat="1" ht="18.75">
      <c r="D94" s="107"/>
      <c r="E94" s="94"/>
      <c r="F94" s="94"/>
      <c r="G94" s="94"/>
    </row>
    <row r="95" spans="4:7" s="83" customFormat="1" ht="18.75">
      <c r="D95" s="107"/>
      <c r="E95" s="94"/>
      <c r="F95" s="94"/>
      <c r="G95" s="94"/>
    </row>
    <row r="96" spans="4:7" s="83" customFormat="1" ht="18.75">
      <c r="D96" s="107"/>
      <c r="E96" s="94"/>
      <c r="F96" s="94"/>
      <c r="G96" s="94"/>
    </row>
    <row r="97" spans="4:7" s="83" customFormat="1" ht="18.75">
      <c r="D97" s="107"/>
      <c r="E97" s="94"/>
      <c r="F97" s="94"/>
      <c r="G97" s="94"/>
    </row>
    <row r="98" spans="4:7" s="83" customFormat="1" ht="18.75">
      <c r="D98" s="107"/>
      <c r="E98" s="94"/>
      <c r="F98" s="94"/>
      <c r="G98" s="94"/>
    </row>
    <row r="99" spans="4:7" s="83" customFormat="1" ht="18.75">
      <c r="D99" s="107"/>
      <c r="E99" s="94"/>
      <c r="F99" s="94"/>
      <c r="G99" s="94"/>
    </row>
    <row r="100" spans="4:7" s="83" customFormat="1" ht="18.75">
      <c r="D100" s="107"/>
      <c r="E100" s="94"/>
      <c r="F100" s="94"/>
      <c r="G100" s="94"/>
    </row>
    <row r="101" spans="4:7" s="83" customFormat="1" ht="18.75">
      <c r="D101" s="107"/>
      <c r="E101" s="94"/>
      <c r="F101" s="94"/>
      <c r="G101" s="94"/>
    </row>
    <row r="102" spans="4:7" s="83" customFormat="1" ht="18.75">
      <c r="D102" s="107"/>
      <c r="E102" s="94"/>
      <c r="F102" s="94"/>
      <c r="G102" s="94"/>
    </row>
    <row r="103" spans="4:7" s="83" customFormat="1" ht="18.75">
      <c r="D103" s="107"/>
      <c r="E103" s="94"/>
      <c r="F103" s="94"/>
      <c r="G103" s="94"/>
    </row>
    <row r="104" spans="4:7" s="83" customFormat="1" ht="18.75">
      <c r="D104" s="107"/>
      <c r="E104" s="94"/>
      <c r="F104" s="94"/>
      <c r="G104" s="94"/>
    </row>
    <row r="105" spans="4:7" s="83" customFormat="1" ht="18.75">
      <c r="D105" s="107"/>
      <c r="E105" s="94"/>
      <c r="F105" s="94"/>
      <c r="G105" s="94"/>
    </row>
    <row r="106" spans="4:7" s="83" customFormat="1" ht="18.75">
      <c r="D106" s="107"/>
      <c r="E106" s="94"/>
      <c r="F106" s="94"/>
      <c r="G106" s="94"/>
    </row>
    <row r="107" spans="4:7" s="83" customFormat="1" ht="18.75">
      <c r="D107" s="107"/>
      <c r="E107" s="94"/>
      <c r="F107" s="94"/>
      <c r="G107" s="94"/>
    </row>
    <row r="108" spans="4:7" s="83" customFormat="1" ht="18.75">
      <c r="D108" s="107"/>
      <c r="E108" s="94"/>
      <c r="F108" s="94"/>
      <c r="G108" s="94"/>
    </row>
    <row r="109" spans="4:7" s="83" customFormat="1" ht="18.75">
      <c r="D109" s="107"/>
      <c r="E109" s="94"/>
      <c r="F109" s="94"/>
      <c r="G109" s="94"/>
    </row>
    <row r="110" spans="4:7" s="83" customFormat="1" ht="18.75">
      <c r="D110" s="107"/>
      <c r="E110" s="94"/>
      <c r="F110" s="94"/>
      <c r="G110" s="94"/>
    </row>
    <row r="111" spans="4:7" s="83" customFormat="1" ht="18.75">
      <c r="D111" s="107"/>
      <c r="E111" s="94"/>
      <c r="F111" s="94"/>
      <c r="G111" s="94"/>
    </row>
    <row r="112" spans="4:7" s="83" customFormat="1" ht="18.75">
      <c r="D112" s="107"/>
      <c r="E112" s="94"/>
      <c r="F112" s="94"/>
      <c r="G112" s="94"/>
    </row>
    <row r="113" spans="4:7" s="83" customFormat="1" ht="18.75">
      <c r="D113" s="107"/>
      <c r="E113" s="94"/>
      <c r="F113" s="94"/>
      <c r="G113" s="94"/>
    </row>
    <row r="114" spans="4:7" s="83" customFormat="1" ht="18.75">
      <c r="D114" s="107"/>
      <c r="E114" s="94"/>
      <c r="F114" s="94"/>
      <c r="G114" s="94"/>
    </row>
    <row r="115" spans="4:7" s="83" customFormat="1" ht="18.75">
      <c r="D115" s="107"/>
      <c r="E115" s="94"/>
      <c r="F115" s="94"/>
      <c r="G115" s="94"/>
    </row>
    <row r="116" spans="4:7" s="83" customFormat="1" ht="18.75">
      <c r="D116" s="107"/>
      <c r="E116" s="94"/>
      <c r="F116" s="94"/>
      <c r="G116" s="94"/>
    </row>
    <row r="117" spans="4:7" s="83" customFormat="1" ht="18.75">
      <c r="D117" s="107"/>
      <c r="E117" s="94"/>
      <c r="F117" s="94"/>
      <c r="G117" s="94"/>
    </row>
    <row r="118" spans="4:7" s="83" customFormat="1" ht="18.75">
      <c r="D118" s="107"/>
      <c r="E118" s="94"/>
      <c r="F118" s="94"/>
      <c r="G118" s="94"/>
    </row>
    <row r="119" spans="4:7" s="83" customFormat="1" ht="18.75">
      <c r="D119" s="107"/>
      <c r="E119" s="94"/>
      <c r="F119" s="94"/>
      <c r="G119" s="94"/>
    </row>
    <row r="120" spans="4:7" s="83" customFormat="1" ht="18.75">
      <c r="D120" s="107"/>
      <c r="E120" s="94"/>
      <c r="F120" s="94"/>
      <c r="G120" s="94"/>
    </row>
    <row r="121" spans="4:7" s="83" customFormat="1" ht="18.75">
      <c r="D121" s="107"/>
      <c r="E121" s="94"/>
      <c r="F121" s="94"/>
      <c r="G121" s="94"/>
    </row>
    <row r="122" spans="4:7" s="83" customFormat="1" ht="18.75">
      <c r="D122" s="107"/>
      <c r="E122" s="94"/>
      <c r="F122" s="94"/>
      <c r="G122" s="94"/>
    </row>
    <row r="123" spans="4:7" s="83" customFormat="1" ht="18.75">
      <c r="D123" s="107"/>
      <c r="E123" s="94"/>
      <c r="F123" s="94"/>
      <c r="G123" s="94"/>
    </row>
    <row r="124" spans="4:7" s="83" customFormat="1" ht="18.75">
      <c r="D124" s="107"/>
      <c r="E124" s="94"/>
      <c r="F124" s="94"/>
      <c r="G124" s="94"/>
    </row>
    <row r="125" spans="4:7" s="83" customFormat="1" ht="18.75">
      <c r="D125" s="107"/>
      <c r="E125" s="94"/>
      <c r="F125" s="94"/>
      <c r="G125" s="94"/>
    </row>
    <row r="126" spans="4:7" s="83" customFormat="1" ht="18.75">
      <c r="D126" s="107"/>
      <c r="E126" s="94"/>
      <c r="F126" s="94"/>
      <c r="G126" s="94"/>
    </row>
    <row r="127" spans="4:7" s="83" customFormat="1" ht="18.75">
      <c r="D127" s="107"/>
      <c r="E127" s="94"/>
      <c r="F127" s="94"/>
      <c r="G127" s="94"/>
    </row>
    <row r="128" spans="4:7" s="83" customFormat="1" ht="18.75">
      <c r="D128" s="107"/>
      <c r="E128" s="94"/>
      <c r="F128" s="94"/>
      <c r="G128" s="94"/>
    </row>
    <row r="129" spans="4:7" s="83" customFormat="1" ht="18.75">
      <c r="D129" s="107"/>
      <c r="E129" s="94"/>
      <c r="F129" s="94"/>
      <c r="G129" s="94"/>
    </row>
    <row r="130" spans="4:7" s="83" customFormat="1" ht="18.75">
      <c r="D130" s="107"/>
      <c r="E130" s="94"/>
      <c r="F130" s="94"/>
      <c r="G130" s="94"/>
    </row>
    <row r="131" spans="4:7" s="83" customFormat="1" ht="18.75">
      <c r="D131" s="107"/>
      <c r="E131" s="94"/>
      <c r="F131" s="94"/>
      <c r="G131" s="94"/>
    </row>
    <row r="132" spans="4:7" s="83" customFormat="1" ht="18.75">
      <c r="D132" s="107"/>
      <c r="E132" s="94"/>
      <c r="F132" s="94"/>
      <c r="G132" s="94"/>
    </row>
    <row r="133" spans="4:7" s="83" customFormat="1" ht="18.75">
      <c r="D133" s="107"/>
      <c r="E133" s="94"/>
      <c r="F133" s="94"/>
      <c r="G133" s="94"/>
    </row>
  </sheetData>
  <sheetProtection/>
  <mergeCells count="16">
    <mergeCell ref="A67:C67"/>
    <mergeCell ref="A7:F7"/>
    <mergeCell ref="A8:F8"/>
    <mergeCell ref="A9:F9"/>
    <mergeCell ref="A13:C13"/>
    <mergeCell ref="B14:C14"/>
    <mergeCell ref="B16:C16"/>
    <mergeCell ref="B22:C22"/>
    <mergeCell ref="A27:C27"/>
    <mergeCell ref="A53:C53"/>
    <mergeCell ref="A3:F3"/>
    <mergeCell ref="A1:F1"/>
    <mergeCell ref="A2:F2"/>
    <mergeCell ref="A6:F6"/>
    <mergeCell ref="A4:D4"/>
    <mergeCell ref="A5:D5"/>
  </mergeCells>
  <printOptions horizontalCentered="1"/>
  <pageMargins left="0.7874015748031497" right="0.16" top="0.31" bottom="0.26" header="0.5118110236220472" footer="0.31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Никандрова Александра Александровна</cp:lastModifiedBy>
  <cp:lastPrinted>2014-03-31T10:29:04Z</cp:lastPrinted>
  <dcterms:created xsi:type="dcterms:W3CDTF">2003-08-14T15:25:08Z</dcterms:created>
  <dcterms:modified xsi:type="dcterms:W3CDTF">2014-05-15T06:15:52Z</dcterms:modified>
  <cp:category/>
  <cp:version/>
  <cp:contentType/>
  <cp:contentStatus/>
</cp:coreProperties>
</file>