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11520" tabRatio="905" activeTab="0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<sst xmlns="http://schemas.openxmlformats.org/spreadsheetml/2006/main" count="1296" uniqueCount="290">
  <si>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</si>
  <si>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</si>
  <si>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</si>
  <si>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</si>
  <si>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</si>
  <si>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</si>
  <si>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</si>
  <si>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</si>
  <si>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</si>
  <si>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</si>
  <si>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</si>
  <si>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</si>
  <si>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</si>
  <si>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</si>
  <si>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</si>
  <si>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</si>
  <si>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</si>
  <si>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</si>
  <si>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</si>
  <si>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</si>
  <si>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</si>
  <si>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</si>
  <si>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</si>
  <si>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</si>
  <si>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</si>
  <si>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</si>
  <si>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</si>
  <si>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</si>
  <si>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</si>
  <si>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</si>
  <si>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</si>
  <si>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</si>
  <si>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</si>
  <si>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</si>
  <si>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</si>
  <si>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</si>
  <si>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</si>
  <si>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</si>
  <si>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</si>
  <si>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</si>
  <si>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</si>
  <si>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</si>
  <si>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</si>
  <si>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</si>
  <si>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</si>
  <si>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</si>
  <si>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</si>
  <si>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</si>
  <si>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</si>
  <si>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</si>
  <si>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</si>
  <si>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</si>
  <si>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</si>
  <si>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</si>
  <si>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</si>
  <si>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</si>
  <si>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</si>
  <si>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</si>
  <si>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</si>
  <si>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</si>
  <si>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</si>
  <si>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</si>
  <si>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</si>
  <si>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</si>
  <si>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</si>
  <si>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</si>
  <si>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</si>
  <si>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</si>
  <si>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</si>
  <si>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</si>
  <si>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</si>
  <si>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</si>
  <si>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</si>
  <si>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</si>
  <si>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</si>
  <si>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</si>
  <si>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</si>
  <si>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</si>
  <si>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</si>
  <si>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</si>
  <si>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</si>
  <si>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</si>
  <si>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</si>
  <si>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</si>
  <si>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</si>
  <si>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</si>
  <si>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</si>
  <si>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</si>
  <si>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</si>
  <si>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</si>
  <si>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</si>
  <si>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</si>
  <si>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</si>
  <si>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</si>
  <si>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</si>
  <si>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</si>
  <si>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</si>
  <si>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</si>
  <si>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</si>
  <si>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</si>
  <si>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</si>
  <si>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</si>
  <si>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</si>
  <si>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</si>
  <si>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</si>
  <si>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</si>
  <si>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</si>
  <si>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</si>
  <si>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</si>
  <si>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</si>
  <si>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</si>
  <si>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</si>
  <si>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</si>
  <si>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</si>
  <si>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</si>
  <si>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</si>
  <si>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</si>
  <si>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</si>
  <si>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</si>
  <si>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</si>
  <si>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</si>
  <si>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</si>
  <si>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</si>
  <si>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</si>
  <si>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</si>
  <si>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</si>
  <si>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</si>
  <si>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</si>
  <si>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</si>
  <si>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</si>
  <si>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</si>
  <si>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</si>
  <si>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</si>
  <si>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</si>
  <si>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</si>
  <si>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</si>
  <si>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</si>
  <si>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</si>
  <si>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</si>
  <si>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</si>
  <si>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</si>
  <si>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</si>
  <si>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</si>
  <si>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</si>
  <si>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</si>
  <si>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</si>
  <si>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</si>
  <si>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</si>
  <si>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</si>
  <si>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</si>
  <si>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</si>
  <si>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</si>
  <si>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</si>
  <si>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</si>
  <si>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</si>
  <si>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</si>
  <si>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</si>
  <si>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</si>
  <si>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</si>
  <si>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</si>
  <si>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</si>
  <si>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</si>
  <si>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</si>
  <si>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</si>
  <si>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</si>
  <si>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</si>
  <si>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</si>
  <si>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</si>
  <si>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</si>
  <si>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</si>
  <si>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</si>
  <si>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</si>
  <si>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</si>
  <si>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</si>
  <si>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</si>
  <si>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</si>
  <si>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</si>
  <si>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</si>
  <si>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</si>
  <si>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</si>
  <si>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</si>
  <si>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</si>
  <si>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</si>
  <si>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</si>
  <si>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</si>
  <si>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</si>
  <si>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</si>
  <si>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</si>
  <si>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</si>
  <si>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</si>
  <si>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</si>
  <si>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</si>
  <si>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</si>
  <si>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</si>
  <si>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</si>
  <si>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</si>
  <si>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</si>
  <si>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</si>
  <si>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</si>
  <si>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</si>
  <si>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</si>
  <si>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</si>
  <si>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</si>
  <si>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</si>
  <si>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</si>
  <si>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</si>
  <si>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</si>
  <si>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</si>
  <si>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</si>
  <si>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</si>
  <si>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</si>
  <si>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</si>
  <si>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</si>
  <si>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</si>
  <si>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</si>
  <si>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</si>
  <si>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</si>
  <si>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</si>
  <si>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</si>
  <si>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</si>
  <si>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</si>
  <si>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</si>
  <si>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</si>
  <si>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</si>
  <si>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</si>
  <si>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</si>
  <si>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</si>
  <si>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</si>
  <si>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</si>
  <si>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</si>
  <si>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</si>
  <si>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</si>
  <si>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</si>
  <si>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</si>
  <si>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</si>
  <si>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</si>
  <si>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</si>
  <si>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</si>
  <si>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</si>
  <si>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</si>
  <si>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</si>
  <si>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</si>
  <si>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</si>
  <si>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</si>
  <si>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</si>
  <si>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</si>
  <si>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</si>
  <si>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</si>
  <si>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</si>
  <si>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</si>
  <si>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</si>
  <si>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</si>
  <si>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</si>
  <si>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</si>
  <si>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</si>
  <si>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</si>
  <si>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</si>
  <si>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</si>
  <si>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</si>
  <si>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</si>
  <si>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</si>
  <si>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</si>
  <si>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</si>
  <si>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</si>
  <si>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</si>
  <si>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</si>
  <si>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</si>
  <si>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</si>
  <si>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</si>
  <si>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</si>
  <si>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</si>
  <si>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</si>
  <si>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</si>
  <si>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Приложение № 1
к постановлению администрации
ЗАТО Александровск
от « 12 » декабря 2017 г.        № 2360</t>
  </si>
  <si>
    <t>Приложение № 2
к постановлению администрации
ЗАТО Александровск
от « 12 » декабря 2017 г.        № 2360</t>
  </si>
  <si>
    <t>Приложение № 3
к постановлению администрации
ЗАТО Александровск
от « 12 » декабря 2017 г.        № 2360</t>
  </si>
  <si>
    <t>Приложение № 4
к постановлению администрации
ЗАТО Александровск
от « 12 » декабря 2017 г.        № 2360</t>
  </si>
  <si>
    <t>Приложение № 5
к постановлению администрации
ЗАТО Александровск
от « 12 » декабря 2017 г.        № 2360</t>
  </si>
  <si>
    <t>Приложение № 6
к постановлению администрации
ЗАТО Александровск
от « 12 » декабря 2017 г.        № 2360</t>
  </si>
  <si>
    <t>Приложение № 7
к постановлению администрации
ЗАТО Александровск
от « 12 » декабря 2017 г.        № 2360</t>
  </si>
  <si>
    <t>Приложение № 8
к постановлению администрации
ЗАТО Александровск
от « 12 » декабря 2017 г.        № 2360</t>
  </si>
  <si>
    <t>Приложение № 9
к постановлению администрации
ЗАТО Александровск
от « 12 » декабря 2017 г.        № 2360</t>
  </si>
  <si>
    <t>Приложение № 10
к постановлению администрации
ЗАТО Александровск
от « 12 » декабря 2017 г.        № 2360</t>
  </si>
  <si>
    <t>Приложение № 11
к постановлению администрации
ЗАТО Александровск
от « 12 » декабря 2017 г.        № 2360</t>
  </si>
  <si>
    <t>Приложение № 12
к постановлению администрации
ЗАТО Александровск
от « 12 » декабря 2017 г.        № 2360</t>
  </si>
  <si>
    <t>Приложение № 13
к постановлению администрации
ЗАТО Александровск
от « 12 » декабря 2017 г.        № 2360</t>
  </si>
  <si>
    <t>Приложение № 14
к постановлению администрации
ЗАТО Александровск
от « 12 » декабря 2017 г.        № 2360</t>
  </si>
  <si>
    <t>Приложение № 15
к постановлению администрации
ЗАТО Александровск
от « 12 » декабря 2017 г.        № 2360</t>
  </si>
  <si>
    <t>Приложение № 16
к постановлению администрации
ЗАТО Александровск
от « 12 » декабря 2017 г.        № 2360</t>
  </si>
  <si>
    <t>Приложение № 17
к постановлению администрации
ЗАТО Александровск
от « 12 » декабря 2017 г.        № 2360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</si>
</sst>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5" fillId="0" borderId="10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171" fontId="0" fillId="0" borderId="0" xfId="64" applyFont="1" applyFill="1" applyAlignment="1">
      <alignment/>
    </xf>
    <xf numFmtId="4" fontId="8" fillId="3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1" fontId="1" fillId="0" borderId="0" xfId="64" applyFont="1" applyFill="1" applyAlignment="1">
      <alignment horizontal="center"/>
    </xf>
    <xf numFmtId="49" fontId="66" fillId="0" borderId="0" xfId="0" applyNumberFormat="1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SheetLayoutView="115" workbookViewId="0" topLeftCell="E1">
      <selection activeCell="G1" sqref="G1:I1"/>
    </sheetView>
  </sheetViews>
  <sheetFormatPr defaultColWidth="9.140625" defaultRowHeight="15"/>
  <cols>
    <col min="1" max="1" width="35.421875" style="92" customWidth="1"/>
    <col min="2" max="2" width="19.42187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78" t="s">
        <v>273</v>
      </c>
      <c r="H1" s="179"/>
      <c r="I1" s="179"/>
      <c r="J1" s="129"/>
    </row>
    <row r="2" spans="2:9" ht="18.75">
      <c r="B2" s="174"/>
      <c r="E2" s="99"/>
      <c r="F2" s="174"/>
      <c r="G2" s="152"/>
      <c r="H2" s="132" t="s">
        <v>267</v>
      </c>
      <c r="I2" s="113"/>
    </row>
    <row r="3" spans="1:9" ht="30" customHeight="1">
      <c r="A3" s="183" t="s">
        <v>60</v>
      </c>
      <c r="B3" s="183"/>
      <c r="C3" s="183"/>
      <c r="D3" s="183"/>
      <c r="E3" s="183"/>
      <c r="F3" s="183"/>
      <c r="G3" s="183"/>
      <c r="H3" s="183"/>
      <c r="I3" s="183"/>
    </row>
    <row r="4" spans="1:9" ht="16.5" customHeight="1">
      <c r="A4" s="184" t="s">
        <v>103</v>
      </c>
      <c r="B4" s="186" t="s">
        <v>104</v>
      </c>
      <c r="C4" s="188" t="s">
        <v>105</v>
      </c>
      <c r="D4" s="188"/>
      <c r="E4" s="188"/>
      <c r="F4" s="188"/>
      <c r="G4" s="188"/>
      <c r="H4" s="188"/>
      <c r="I4" s="188"/>
    </row>
    <row r="5" spans="1:10" ht="16.5" customHeight="1">
      <c r="A5" s="185"/>
      <c r="B5" s="187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76</v>
      </c>
      <c r="B7" s="117">
        <f>'таб 2(1)'!B8+'таб 2(2)'!B7+'таб 2(3)'!B8+'таб 2(4)'!B8+'таб 2(5)'!B8+'таб 2(6)'!B8+'таб 2(7)'!B8+'таб 2(8)'!B8</f>
        <v>10712050767.06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1515840698.4200003</v>
      </c>
      <c r="G7" s="117">
        <f>'таб 2(1)'!G8+'таб 2(2)'!G7+'таб 2(3)'!G8+'таб 2(4)'!G8+'таб 2(5)'!G8+'таб 2(6)'!G8+'таб 2(7)'!G8+'таб 2(8)'!G8</f>
        <v>1492401169.7900002</v>
      </c>
      <c r="H7" s="117">
        <f>'таб 2(1)'!H8+'таб 2(2)'!H7+'таб 2(3)'!H8+'таб 2(4)'!H8+'таб 2(5)'!H8+'таб 2(6)'!H8+'таб 2(7)'!H8+'таб 2(8)'!H8</f>
        <v>1493015856.6700003</v>
      </c>
      <c r="I7" s="118">
        <f>'таб 2(1)'!I8+'таб 2(2)'!I7+'таб 2(3)'!I8+'таб 2(4)'!I8+'таб 2(5)'!I8+'таб 2(6)'!I8+'таб 2(7)'!I8+'таб 2(8)'!I8</f>
        <v>1432282967.3</v>
      </c>
      <c r="J7" s="170"/>
    </row>
    <row r="8" spans="1:11" ht="16.5" customHeight="1">
      <c r="A8" s="180" t="s">
        <v>106</v>
      </c>
      <c r="B8" s="181"/>
      <c r="C8" s="181"/>
      <c r="D8" s="181"/>
      <c r="E8" s="181"/>
      <c r="F8" s="181"/>
      <c r="G8" s="181"/>
      <c r="H8" s="181"/>
      <c r="I8" s="182"/>
      <c r="J8" s="120"/>
      <c r="K8" s="121"/>
    </row>
    <row r="9" spans="1:13" ht="16.5" customHeight="1">
      <c r="A9" s="87" t="s">
        <v>107</v>
      </c>
      <c r="B9" s="122">
        <f>B16+B23</f>
        <v>4495214371.92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627843705.6199999</v>
      </c>
      <c r="G9" s="122">
        <f t="shared" si="0"/>
        <v>583008844.2199999</v>
      </c>
      <c r="H9" s="122">
        <f t="shared" si="0"/>
        <v>591517942.6700001</v>
      </c>
      <c r="I9" s="122">
        <f t="shared" si="0"/>
        <v>536242203.67</v>
      </c>
      <c r="J9" s="97"/>
      <c r="K9" s="97"/>
      <c r="L9" s="97"/>
      <c r="M9" s="97"/>
    </row>
    <row r="10" spans="1:12" ht="16.5" customHeight="1">
      <c r="A10" s="87" t="s">
        <v>108</v>
      </c>
      <c r="B10" s="122">
        <f>B17+B24</f>
        <v>5222059740.849999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774477425.65</v>
      </c>
      <c r="G10" s="122">
        <f t="shared" si="1"/>
        <v>798424921.5699999</v>
      </c>
      <c r="H10" s="122">
        <f t="shared" si="1"/>
        <v>790530510</v>
      </c>
      <c r="I10" s="122">
        <f t="shared" si="1"/>
        <v>785073359.63</v>
      </c>
      <c r="J10" s="97"/>
      <c r="K10" s="97"/>
      <c r="L10" s="97"/>
    </row>
    <row r="11" spans="1:12" ht="16.5" customHeight="1">
      <c r="A11" s="87" t="s">
        <v>109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110</v>
      </c>
      <c r="B12" s="122">
        <f>B19+B26</f>
        <v>772205770.1099999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113519567.15</v>
      </c>
      <c r="G12" s="122">
        <f t="shared" si="3"/>
        <v>110967404</v>
      </c>
      <c r="H12" s="122">
        <f t="shared" si="3"/>
        <v>110967404</v>
      </c>
      <c r="I12" s="122">
        <f t="shared" si="3"/>
        <v>110967404</v>
      </c>
    </row>
    <row r="13" spans="1:9" ht="39.75" customHeight="1">
      <c r="A13" s="189" t="s">
        <v>111</v>
      </c>
      <c r="B13" s="190"/>
      <c r="C13" s="190"/>
      <c r="D13" s="190"/>
      <c r="E13" s="190"/>
      <c r="F13" s="190"/>
      <c r="G13" s="190"/>
      <c r="H13" s="190"/>
      <c r="I13" s="191"/>
    </row>
    <row r="14" spans="1:12" ht="26.25">
      <c r="A14" s="95" t="s">
        <v>118</v>
      </c>
      <c r="B14" s="86">
        <f>SUM(B16:B19)</f>
        <v>10065924064.64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1514803284.69</v>
      </c>
      <c r="G14" s="86">
        <f t="shared" si="4"/>
        <v>1492401169.79</v>
      </c>
      <c r="H14" s="86">
        <f t="shared" si="4"/>
        <v>1493015856.67</v>
      </c>
      <c r="I14" s="86">
        <f t="shared" si="4"/>
        <v>1432282967.3</v>
      </c>
      <c r="J14" s="97"/>
      <c r="K14" s="170"/>
      <c r="L14" s="97"/>
    </row>
    <row r="15" spans="1:12" ht="16.5" customHeight="1">
      <c r="A15" s="180" t="s">
        <v>106</v>
      </c>
      <c r="B15" s="181"/>
      <c r="C15" s="181"/>
      <c r="D15" s="181"/>
      <c r="E15" s="181"/>
      <c r="F15" s="181"/>
      <c r="G15" s="181"/>
      <c r="H15" s="181"/>
      <c r="I15" s="182"/>
      <c r="J15" s="97"/>
      <c r="K15" s="170"/>
      <c r="L15" s="97"/>
    </row>
    <row r="16" spans="1:12" ht="16.5" customHeight="1">
      <c r="A16" s="87" t="s">
        <v>107</v>
      </c>
      <c r="B16" s="24">
        <f>'таб 2(1)'!B17+'таб 2(2)'!B16+'таб 2(3)'!B17+'таб 2(4)'!B17+'таб 2(5)'!B17+'таб 2(6)'!B17+'таб 2(7)'!B17+'таб 2(8)'!B17</f>
        <v>4102433067.41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627580805.6199999</v>
      </c>
      <c r="G16" s="24">
        <f>'таб 2(1)'!G17+'таб 2(2)'!G16+'таб 2(3)'!G17+'таб 2(4)'!G17+'таб 2(5)'!G17+'таб 2(6)'!G17+'таб 2(7)'!G17+'таб 2(8)'!G17</f>
        <v>583008844.2199999</v>
      </c>
      <c r="H16" s="24">
        <f>'таб 2(1)'!H17+'таб 2(2)'!H16+'таб 2(3)'!H17+'таб 2(4)'!H17+'таб 2(5)'!H17+'таб 2(6)'!H17+'таб 2(7)'!H17+'таб 2(8)'!H17</f>
        <v>591517942.6700001</v>
      </c>
      <c r="I16" s="24">
        <f>'таб 2(1)'!I17+'таб 2(2)'!I16+'таб 2(3)'!I17+'таб 2(4)'!I17+'таб 2(5)'!I17+'таб 2(6)'!I17+'таб 2(7)'!I17+'таб 2(8)'!I17</f>
        <v>536242203.67</v>
      </c>
      <c r="J16" s="161"/>
      <c r="K16" s="170"/>
      <c r="L16" s="97"/>
    </row>
    <row r="17" spans="1:12" ht="16.5" customHeight="1">
      <c r="A17" s="87" t="s">
        <v>108</v>
      </c>
      <c r="B17" s="24">
        <f>'таб 2(1)'!B18+'таб 2(2)'!B17+'таб 2(3)'!B18+'таб 2(4)'!B18+'таб 2(5)'!B18+'таб 2(6)'!B18+'таб 2(7)'!B18+'таб 2(8)'!B18</f>
        <v>5191285227.12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773702911.92</v>
      </c>
      <c r="G17" s="24">
        <f>'таб 2(1)'!G18+'таб 2(2)'!G17+'таб 2(3)'!G18+'таб 2(4)'!G18+'таб 2(5)'!G18+'таб 2(6)'!G18+'таб 2(7)'!G18+'таб 2(8)'!G18</f>
        <v>798424921.5699999</v>
      </c>
      <c r="H17" s="24">
        <f>'таб 2(1)'!H18+'таб 2(2)'!H17+'таб 2(3)'!H18+'таб 2(4)'!H18+'таб 2(5)'!H18+'таб 2(6)'!H18+'таб 2(7)'!H18+'таб 2(8)'!H18</f>
        <v>790530510</v>
      </c>
      <c r="I17" s="24">
        <f>'таб 2(1)'!I18+'таб 2(2)'!I17+'таб 2(3)'!I18+'таб 2(4)'!I18+'таб 2(5)'!I18+'таб 2(6)'!I18+'таб 2(7)'!I18+'таб 2(8)'!I18</f>
        <v>785073359.63</v>
      </c>
      <c r="J17" s="170"/>
      <c r="K17" s="170"/>
      <c r="L17" s="97"/>
    </row>
    <row r="18" spans="1:12" ht="16.5" customHeight="1">
      <c r="A18" s="87" t="s">
        <v>109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70"/>
      <c r="L18" s="97"/>
    </row>
    <row r="19" spans="1:12" ht="15">
      <c r="A19" s="87" t="s">
        <v>110</v>
      </c>
      <c r="B19" s="24">
        <f>'таб 2(1)'!B20+'таб 2(2)'!B19+'таб 2(3)'!B20+'таб 2(4)'!B20+'таб 2(5)'!B20+'таб 2(6)'!B20+'таб 2(7)'!B20+'таб 2(8)'!B20</f>
        <v>772205770.1099999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113519567.15</v>
      </c>
      <c r="G19" s="24">
        <f>'таб 2(1)'!G20+'таб 2(2)'!G19+'таб 2(3)'!G20+'таб 2(4)'!G20+'таб 2(5)'!G20+'таб 2(6)'!G20+'таб 2(7)'!G20+'таб 2(8)'!G20</f>
        <v>110967404</v>
      </c>
      <c r="H19" s="24">
        <f>'таб 2(1)'!H20+'таб 2(2)'!H19+'таб 2(3)'!H20+'таб 2(4)'!H20+'таб 2(5)'!H20+'таб 2(6)'!H20+'таб 2(7)'!H20+'таб 2(8)'!H20</f>
        <v>110967404</v>
      </c>
      <c r="I19" s="24">
        <f>'таб 2(1)'!I20+'таб 2(2)'!I19+'таб 2(3)'!I20+'таб 2(4)'!I20+'таб 2(5)'!I20+'таб 2(6)'!I20+'таб 2(7)'!I20+'таб 2(8)'!I20</f>
        <v>110967404</v>
      </c>
      <c r="J19" s="170"/>
      <c r="K19" s="170"/>
      <c r="L19" s="97"/>
    </row>
    <row r="20" spans="1:9" ht="39.75" customHeight="1">
      <c r="A20" s="4" t="s">
        <v>112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184</v>
      </c>
      <c r="B21" s="86">
        <f>SUM(B23:B26)</f>
        <v>646126702.4200001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0</v>
      </c>
      <c r="H21" s="86">
        <f t="shared" si="5"/>
        <v>0</v>
      </c>
      <c r="I21" s="86">
        <f t="shared" si="5"/>
        <v>0</v>
      </c>
    </row>
    <row r="22" spans="1:9" ht="16.5" customHeight="1">
      <c r="A22" s="180" t="s">
        <v>106</v>
      </c>
      <c r="B22" s="181"/>
      <c r="C22" s="181"/>
      <c r="D22" s="181"/>
      <c r="E22" s="181"/>
      <c r="F22" s="181"/>
      <c r="G22" s="181"/>
      <c r="H22" s="181"/>
      <c r="I22" s="182"/>
    </row>
    <row r="23" spans="1:9" ht="16.5" customHeight="1">
      <c r="A23" s="87" t="s">
        <v>107</v>
      </c>
      <c r="B23" s="24">
        <f>'таб 2(8)'!B24</f>
        <v>392781304.51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108</v>
      </c>
      <c r="B24" s="24">
        <f>'таб 2(8)'!B25</f>
        <v>30774513.73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109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110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112</v>
      </c>
      <c r="B27" s="24">
        <f>'таб 2(8)'!B28</f>
        <v>646126702.4200001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12" ht="15">
      <c r="C32" s="176"/>
      <c r="D32" s="176"/>
      <c r="E32" s="177"/>
      <c r="F32" s="177"/>
      <c r="G32" s="164"/>
      <c r="H32" s="98"/>
      <c r="I32" s="177"/>
      <c r="J32" s="177"/>
      <c r="K32" s="177"/>
      <c r="L32" s="177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C4:I4"/>
    <mergeCell ref="A8:I8"/>
    <mergeCell ref="A13:I13"/>
    <mergeCell ref="C32:D32"/>
    <mergeCell ref="E32:F32"/>
    <mergeCell ref="I32:J32"/>
    <mergeCell ref="K32:L32"/>
    <mergeCell ref="G1:I1"/>
    <mergeCell ref="A15:I15"/>
    <mergeCell ref="A22:I22"/>
    <mergeCell ref="A3:I3"/>
    <mergeCell ref="A4:A5"/>
    <mergeCell ref="B4:B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293" t="s">
        <v>282</v>
      </c>
      <c r="G1" s="293"/>
      <c r="H1" s="293"/>
      <c r="I1" s="293"/>
    </row>
    <row r="2" spans="5:10" ht="18.75" customHeight="1">
      <c r="E2" s="131"/>
      <c r="G2" s="106"/>
      <c r="H2" s="132" t="s">
        <v>231</v>
      </c>
      <c r="J2" s="106"/>
    </row>
    <row r="4" spans="1:9" ht="36.75" customHeight="1">
      <c r="A4" s="198" t="s">
        <v>232</v>
      </c>
      <c r="B4" s="198"/>
      <c r="C4" s="198"/>
      <c r="D4" s="198"/>
      <c r="E4" s="198"/>
      <c r="F4" s="198"/>
      <c r="G4" s="198"/>
      <c r="H4" s="198"/>
      <c r="I4" s="198"/>
    </row>
    <row r="5" spans="1:9" ht="30" customHeight="1">
      <c r="A5" s="199" t="s">
        <v>103</v>
      </c>
      <c r="B5" s="201" t="s">
        <v>104</v>
      </c>
      <c r="C5" s="203" t="s">
        <v>105</v>
      </c>
      <c r="D5" s="203"/>
      <c r="E5" s="203"/>
      <c r="F5" s="203"/>
      <c r="G5" s="203"/>
      <c r="H5" s="203"/>
      <c r="I5" s="203"/>
    </row>
    <row r="6" spans="1:9" ht="16.5" customHeight="1">
      <c r="A6" s="200"/>
      <c r="B6" s="202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233</v>
      </c>
      <c r="B8" s="137">
        <f>B10+B11+B12+B13</f>
        <v>175570914.52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28789310.18</v>
      </c>
      <c r="G8" s="137">
        <f t="shared" si="0"/>
        <v>29457943.12</v>
      </c>
      <c r="H8" s="137">
        <f t="shared" si="0"/>
        <v>29475104.09</v>
      </c>
      <c r="I8" s="137">
        <f t="shared" si="0"/>
        <v>2488000</v>
      </c>
    </row>
    <row r="9" spans="1:9" ht="16.5" customHeight="1">
      <c r="A9" s="192" t="s">
        <v>106</v>
      </c>
      <c r="B9" s="193"/>
      <c r="C9" s="193"/>
      <c r="D9" s="193"/>
      <c r="E9" s="193"/>
      <c r="F9" s="193"/>
      <c r="G9" s="193"/>
      <c r="H9" s="193"/>
      <c r="I9" s="194"/>
    </row>
    <row r="10" spans="1:9" ht="16.5" customHeight="1">
      <c r="A10" s="138" t="s">
        <v>107</v>
      </c>
      <c r="B10" s="137">
        <f>C10+D10+E10+F10+G10+H10+I10</f>
        <v>164287597.87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28135196.18</v>
      </c>
      <c r="G10" s="139">
        <f t="shared" si="1"/>
        <v>26969943.12</v>
      </c>
      <c r="H10" s="139">
        <f t="shared" si="1"/>
        <v>26987104.09</v>
      </c>
      <c r="I10" s="139">
        <f t="shared" si="1"/>
        <v>0</v>
      </c>
    </row>
    <row r="11" spans="1:9" ht="16.5" customHeight="1">
      <c r="A11" s="138" t="s">
        <v>20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110</v>
      </c>
      <c r="B13" s="137">
        <f>C13+D13+E13+F13+G13+H13+I13</f>
        <v>11283316.65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654114</v>
      </c>
      <c r="G13" s="139">
        <f t="shared" si="2"/>
        <v>2488000</v>
      </c>
      <c r="H13" s="139">
        <f t="shared" si="2"/>
        <v>2488000</v>
      </c>
      <c r="I13" s="139">
        <f t="shared" si="2"/>
        <v>2488000</v>
      </c>
    </row>
    <row r="14" spans="1:9" ht="16.5" customHeight="1">
      <c r="A14" s="195" t="s">
        <v>111</v>
      </c>
      <c r="B14" s="196"/>
      <c r="C14" s="196"/>
      <c r="D14" s="196"/>
      <c r="E14" s="196"/>
      <c r="F14" s="196"/>
      <c r="G14" s="196"/>
      <c r="H14" s="196"/>
      <c r="I14" s="197"/>
    </row>
    <row r="15" spans="1:9" ht="51" customHeight="1">
      <c r="A15" s="140" t="s">
        <v>118</v>
      </c>
      <c r="B15" s="137">
        <f>B17+B18+B19+B20</f>
        <v>175570914.52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28789310.18</v>
      </c>
      <c r="G15" s="137">
        <f t="shared" si="3"/>
        <v>29457943.12</v>
      </c>
      <c r="H15" s="137">
        <f t="shared" si="3"/>
        <v>29475104.09</v>
      </c>
      <c r="I15" s="137">
        <f t="shared" si="3"/>
        <v>2488000</v>
      </c>
    </row>
    <row r="16" spans="1:9" ht="16.5" customHeight="1">
      <c r="A16" s="192" t="s">
        <v>106</v>
      </c>
      <c r="B16" s="193"/>
      <c r="C16" s="193"/>
      <c r="D16" s="193"/>
      <c r="E16" s="193"/>
      <c r="F16" s="193"/>
      <c r="G16" s="193"/>
      <c r="H16" s="193"/>
      <c r="I16" s="194"/>
    </row>
    <row r="17" spans="1:9" ht="16.5" customHeight="1">
      <c r="A17" s="138" t="s">
        <v>107</v>
      </c>
      <c r="B17" s="137">
        <f>C17+D17+E17+F17+G17+H17+I17</f>
        <v>164287597.87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28135196.18</v>
      </c>
      <c r="G17" s="139">
        <f>'таб 3(5)'!J41</f>
        <v>26969943.12</v>
      </c>
      <c r="H17" s="139">
        <f>'таб 3(5)'!K41</f>
        <v>26987104.09</v>
      </c>
      <c r="I17" s="139">
        <f>'таб 3(5)'!L41</f>
        <v>0</v>
      </c>
    </row>
    <row r="18" spans="1:9" ht="16.5" customHeight="1">
      <c r="A18" s="138" t="s">
        <v>20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110</v>
      </c>
      <c r="B20" s="137">
        <f>C20+D20+E20+F20+G20+H20+I20</f>
        <v>11283316.65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654114</v>
      </c>
      <c r="G20" s="139">
        <f>'таб 3(5)'!J44</f>
        <v>2488000</v>
      </c>
      <c r="H20" s="139">
        <f>'таб 3(5)'!K44</f>
        <v>2488000</v>
      </c>
      <c r="I20" s="139">
        <f>'таб 3(5)'!L44</f>
        <v>2488000</v>
      </c>
    </row>
    <row r="21" spans="1:9" ht="31.5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293" t="s">
        <v>283</v>
      </c>
      <c r="P1" s="293"/>
      <c r="Q1" s="293"/>
      <c r="R1" s="293"/>
      <c r="S1" s="293"/>
      <c r="T1" s="293"/>
      <c r="U1" s="293"/>
    </row>
    <row r="2" spans="20:21" ht="27" customHeight="1">
      <c r="T2" s="100"/>
      <c r="U2" s="123" t="s">
        <v>234</v>
      </c>
    </row>
    <row r="3" spans="1:21" ht="15.75">
      <c r="A3" s="245" t="s">
        <v>235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31.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21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15" t="s">
        <v>236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22.5" customHeight="1">
      <c r="A8" s="21">
        <v>1</v>
      </c>
      <c r="B8" s="215" t="s">
        <v>237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2.75">
      <c r="A9" s="225" t="s">
        <v>125</v>
      </c>
      <c r="B9" s="289" t="s">
        <v>238</v>
      </c>
      <c r="C9" s="231" t="s">
        <v>82</v>
      </c>
      <c r="D9" s="22" t="s">
        <v>97</v>
      </c>
      <c r="E9" s="23">
        <f>E11+E12+E13+E14</f>
        <v>162547666.85000002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26686673.28</v>
      </c>
      <c r="K9" s="23">
        <f t="shared" si="0"/>
        <v>26703834.24</v>
      </c>
      <c r="L9" s="23">
        <f t="shared" si="0"/>
        <v>0</v>
      </c>
      <c r="M9" s="260" t="s">
        <v>239</v>
      </c>
      <c r="N9" s="296">
        <v>35</v>
      </c>
      <c r="O9" s="296">
        <v>35</v>
      </c>
      <c r="P9" s="296">
        <v>35</v>
      </c>
      <c r="Q9" s="296">
        <v>35</v>
      </c>
      <c r="R9" s="296">
        <v>35</v>
      </c>
      <c r="S9" s="296">
        <v>35</v>
      </c>
      <c r="T9" s="296">
        <v>35</v>
      </c>
      <c r="U9" s="260" t="s">
        <v>240</v>
      </c>
    </row>
    <row r="10" spans="1:21" ht="12.75">
      <c r="A10" s="225"/>
      <c r="B10" s="290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61"/>
      <c r="N10" s="297"/>
      <c r="O10" s="297"/>
      <c r="P10" s="297"/>
      <c r="Q10" s="297"/>
      <c r="R10" s="297"/>
      <c r="S10" s="297"/>
      <c r="T10" s="297"/>
      <c r="U10" s="261"/>
    </row>
    <row r="11" spans="1:21" ht="12.75">
      <c r="A11" s="225"/>
      <c r="B11" s="290"/>
      <c r="C11" s="232"/>
      <c r="D11" s="22" t="s">
        <v>95</v>
      </c>
      <c r="E11" s="23">
        <f>F11+G11+H11+I11+J11+K11+L11</f>
        <v>162547666.85000002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13441011.64+13245661.64</f>
        <v>26686673.28</v>
      </c>
      <c r="K11" s="23">
        <v>26703834.24</v>
      </c>
      <c r="L11" s="23">
        <v>0</v>
      </c>
      <c r="M11" s="261"/>
      <c r="N11" s="297"/>
      <c r="O11" s="297"/>
      <c r="P11" s="297"/>
      <c r="Q11" s="297"/>
      <c r="R11" s="297"/>
      <c r="S11" s="297"/>
      <c r="T11" s="297"/>
      <c r="U11" s="261"/>
    </row>
    <row r="12" spans="1:21" ht="12.75">
      <c r="A12" s="225"/>
      <c r="B12" s="290"/>
      <c r="C12" s="232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1"/>
      <c r="N12" s="297"/>
      <c r="O12" s="297"/>
      <c r="P12" s="297"/>
      <c r="Q12" s="297"/>
      <c r="R12" s="297"/>
      <c r="S12" s="297"/>
      <c r="T12" s="297"/>
      <c r="U12" s="261"/>
    </row>
    <row r="13" spans="1:21" ht="12.75">
      <c r="A13" s="225"/>
      <c r="B13" s="290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61"/>
      <c r="N13" s="297"/>
      <c r="O13" s="297"/>
      <c r="P13" s="297"/>
      <c r="Q13" s="297"/>
      <c r="R13" s="297"/>
      <c r="S13" s="297"/>
      <c r="T13" s="297"/>
      <c r="U13" s="261"/>
    </row>
    <row r="14" spans="1:21" ht="12.75">
      <c r="A14" s="225"/>
      <c r="B14" s="291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2"/>
      <c r="N14" s="298"/>
      <c r="O14" s="298"/>
      <c r="P14" s="298"/>
      <c r="Q14" s="298"/>
      <c r="R14" s="298"/>
      <c r="S14" s="298"/>
      <c r="T14" s="298"/>
      <c r="U14" s="262"/>
    </row>
    <row r="15" spans="1:21" ht="12.75">
      <c r="A15" s="225" t="s">
        <v>126</v>
      </c>
      <c r="B15" s="289" t="s">
        <v>241</v>
      </c>
      <c r="C15" s="231" t="s">
        <v>82</v>
      </c>
      <c r="D15" s="22" t="s">
        <v>97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0" t="s">
        <v>3</v>
      </c>
      <c r="N15" s="204">
        <v>1</v>
      </c>
      <c r="O15" s="204">
        <v>1</v>
      </c>
      <c r="P15" s="204">
        <v>1</v>
      </c>
      <c r="Q15" s="204">
        <v>1</v>
      </c>
      <c r="R15" s="204">
        <v>1</v>
      </c>
      <c r="S15" s="204">
        <v>1</v>
      </c>
      <c r="T15" s="204">
        <v>1</v>
      </c>
      <c r="U15" s="260" t="s">
        <v>240</v>
      </c>
    </row>
    <row r="16" spans="1:21" ht="12.75">
      <c r="A16" s="225"/>
      <c r="B16" s="290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61"/>
      <c r="N16" s="205"/>
      <c r="O16" s="205"/>
      <c r="P16" s="205"/>
      <c r="Q16" s="205"/>
      <c r="R16" s="205"/>
      <c r="S16" s="205"/>
      <c r="T16" s="205"/>
      <c r="U16" s="261"/>
    </row>
    <row r="17" spans="1:21" ht="12.75">
      <c r="A17" s="225"/>
      <c r="B17" s="290"/>
      <c r="C17" s="232"/>
      <c r="D17" s="22" t="s">
        <v>95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1"/>
      <c r="N17" s="205"/>
      <c r="O17" s="205"/>
      <c r="P17" s="205"/>
      <c r="Q17" s="205"/>
      <c r="R17" s="205"/>
      <c r="S17" s="205"/>
      <c r="T17" s="205"/>
      <c r="U17" s="261"/>
    </row>
    <row r="18" spans="1:21" ht="12.75">
      <c r="A18" s="225"/>
      <c r="B18" s="290"/>
      <c r="C18" s="232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1"/>
      <c r="N18" s="205"/>
      <c r="O18" s="205"/>
      <c r="P18" s="205"/>
      <c r="Q18" s="205"/>
      <c r="R18" s="205"/>
      <c r="S18" s="205"/>
      <c r="T18" s="205"/>
      <c r="U18" s="261"/>
    </row>
    <row r="19" spans="1:21" ht="12.75">
      <c r="A19" s="225"/>
      <c r="B19" s="290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1"/>
      <c r="N19" s="205"/>
      <c r="O19" s="205"/>
      <c r="P19" s="205"/>
      <c r="Q19" s="205"/>
      <c r="R19" s="205"/>
      <c r="S19" s="205"/>
      <c r="T19" s="205"/>
      <c r="U19" s="261"/>
    </row>
    <row r="20" spans="1:21" ht="12.75">
      <c r="A20" s="225"/>
      <c r="B20" s="291"/>
      <c r="C20" s="233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2"/>
      <c r="N20" s="206"/>
      <c r="O20" s="206"/>
      <c r="P20" s="206"/>
      <c r="Q20" s="206"/>
      <c r="R20" s="206"/>
      <c r="S20" s="206"/>
      <c r="T20" s="206"/>
      <c r="U20" s="262"/>
    </row>
    <row r="21" spans="1:21" ht="12.75">
      <c r="A21" s="225" t="s">
        <v>127</v>
      </c>
      <c r="B21" s="226" t="s">
        <v>186</v>
      </c>
      <c r="C21" s="231" t="s">
        <v>82</v>
      </c>
      <c r="D21" s="22" t="s">
        <v>97</v>
      </c>
      <c r="E21" s="23">
        <f>E23+E24+E25+E26</f>
        <v>1551582.94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355296.18</v>
      </c>
      <c r="J21" s="23">
        <f t="shared" si="2"/>
        <v>283269.84</v>
      </c>
      <c r="K21" s="23">
        <f t="shared" si="2"/>
        <v>283269.85</v>
      </c>
      <c r="L21" s="23">
        <f t="shared" si="2"/>
        <v>0</v>
      </c>
      <c r="M21" s="260" t="s">
        <v>198</v>
      </c>
      <c r="N21" s="204">
        <v>1</v>
      </c>
      <c r="O21" s="204">
        <v>1</v>
      </c>
      <c r="P21" s="204">
        <v>1</v>
      </c>
      <c r="Q21" s="204">
        <v>1</v>
      </c>
      <c r="R21" s="204">
        <v>1</v>
      </c>
      <c r="S21" s="204">
        <v>1</v>
      </c>
      <c r="T21" s="204">
        <v>1</v>
      </c>
      <c r="U21" s="260" t="s">
        <v>240</v>
      </c>
    </row>
    <row r="22" spans="1:21" ht="12.75">
      <c r="A22" s="225"/>
      <c r="B22" s="226"/>
      <c r="C22" s="232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261"/>
      <c r="N22" s="205"/>
      <c r="O22" s="205"/>
      <c r="P22" s="205"/>
      <c r="Q22" s="205"/>
      <c r="R22" s="205"/>
      <c r="S22" s="205"/>
      <c r="T22" s="205"/>
      <c r="U22" s="261"/>
    </row>
    <row r="23" spans="1:21" ht="12.75">
      <c r="A23" s="225"/>
      <c r="B23" s="226"/>
      <c r="C23" s="232"/>
      <c r="D23" s="22" t="s">
        <v>95</v>
      </c>
      <c r="E23" s="23">
        <f>F23+G23+H23+I23+J23+K23+L23</f>
        <v>1551582.94</v>
      </c>
      <c r="F23" s="23"/>
      <c r="G23" s="23">
        <v>301092.01</v>
      </c>
      <c r="H23" s="23">
        <f>295072.76+33582.3</f>
        <v>328655.06</v>
      </c>
      <c r="I23" s="23">
        <f>295072.76+60223.42</f>
        <v>355296.18</v>
      </c>
      <c r="J23" s="23">
        <f>141634.92+141634.92</f>
        <v>283269.84</v>
      </c>
      <c r="K23" s="23">
        <v>283269.85</v>
      </c>
      <c r="L23" s="23">
        <v>0</v>
      </c>
      <c r="M23" s="261"/>
      <c r="N23" s="205"/>
      <c r="O23" s="205"/>
      <c r="P23" s="205"/>
      <c r="Q23" s="205"/>
      <c r="R23" s="205"/>
      <c r="S23" s="205"/>
      <c r="T23" s="205"/>
      <c r="U23" s="261"/>
    </row>
    <row r="24" spans="1:21" ht="12.75">
      <c r="A24" s="225"/>
      <c r="B24" s="226"/>
      <c r="C24" s="232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1"/>
      <c r="N24" s="205"/>
      <c r="O24" s="205"/>
      <c r="P24" s="205"/>
      <c r="Q24" s="205"/>
      <c r="R24" s="205"/>
      <c r="S24" s="205"/>
      <c r="T24" s="205"/>
      <c r="U24" s="261"/>
    </row>
    <row r="25" spans="1:21" ht="12.75">
      <c r="A25" s="225"/>
      <c r="B25" s="226"/>
      <c r="C25" s="232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1"/>
      <c r="N25" s="205"/>
      <c r="O25" s="205"/>
      <c r="P25" s="205"/>
      <c r="Q25" s="205"/>
      <c r="R25" s="205"/>
      <c r="S25" s="205"/>
      <c r="T25" s="205"/>
      <c r="U25" s="261"/>
    </row>
    <row r="26" spans="1:21" ht="12.75">
      <c r="A26" s="225"/>
      <c r="B26" s="226"/>
      <c r="C26" s="233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2"/>
      <c r="N26" s="206"/>
      <c r="O26" s="206"/>
      <c r="P26" s="206"/>
      <c r="Q26" s="206"/>
      <c r="R26" s="206"/>
      <c r="S26" s="206"/>
      <c r="T26" s="206"/>
      <c r="U26" s="262"/>
    </row>
    <row r="27" spans="1:21" ht="12.75">
      <c r="A27" s="225" t="s">
        <v>128</v>
      </c>
      <c r="B27" s="289" t="s">
        <v>123</v>
      </c>
      <c r="C27" s="231" t="s">
        <v>82</v>
      </c>
      <c r="D27" s="22" t="s">
        <v>97</v>
      </c>
      <c r="E27" s="23">
        <f>E29+E30+E31+E32</f>
        <v>11283316.65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654114</v>
      </c>
      <c r="J27" s="23">
        <f t="shared" si="3"/>
        <v>2488000</v>
      </c>
      <c r="K27" s="23">
        <f t="shared" si="3"/>
        <v>2488000</v>
      </c>
      <c r="L27" s="23">
        <f t="shared" si="3"/>
        <v>2488000</v>
      </c>
      <c r="M27" s="260" t="s">
        <v>242</v>
      </c>
      <c r="N27" s="204">
        <v>1</v>
      </c>
      <c r="O27" s="204">
        <v>1</v>
      </c>
      <c r="P27" s="204">
        <v>1</v>
      </c>
      <c r="Q27" s="204">
        <v>1</v>
      </c>
      <c r="R27" s="204">
        <v>1</v>
      </c>
      <c r="S27" s="204">
        <v>1</v>
      </c>
      <c r="T27" s="204">
        <v>1</v>
      </c>
      <c r="U27" s="260" t="s">
        <v>240</v>
      </c>
    </row>
    <row r="28" spans="1:21" ht="12.75">
      <c r="A28" s="225"/>
      <c r="B28" s="290"/>
      <c r="C28" s="232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261"/>
      <c r="N28" s="205"/>
      <c r="O28" s="205"/>
      <c r="P28" s="205"/>
      <c r="Q28" s="205"/>
      <c r="R28" s="205"/>
      <c r="S28" s="205"/>
      <c r="T28" s="205"/>
      <c r="U28" s="261"/>
    </row>
    <row r="29" spans="1:21" ht="12.75">
      <c r="A29" s="225"/>
      <c r="B29" s="290"/>
      <c r="C29" s="232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1"/>
      <c r="N29" s="205"/>
      <c r="O29" s="205"/>
      <c r="P29" s="205"/>
      <c r="Q29" s="205"/>
      <c r="R29" s="205"/>
      <c r="S29" s="205"/>
      <c r="T29" s="205"/>
      <c r="U29" s="261"/>
    </row>
    <row r="30" spans="1:21" ht="12.75">
      <c r="A30" s="225"/>
      <c r="B30" s="290"/>
      <c r="C30" s="232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1"/>
      <c r="N30" s="205"/>
      <c r="O30" s="205"/>
      <c r="P30" s="205"/>
      <c r="Q30" s="205"/>
      <c r="R30" s="205"/>
      <c r="S30" s="205"/>
      <c r="T30" s="205"/>
      <c r="U30" s="261"/>
    </row>
    <row r="31" spans="1:21" ht="12.75">
      <c r="A31" s="225"/>
      <c r="B31" s="290"/>
      <c r="C31" s="232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1"/>
      <c r="N31" s="205"/>
      <c r="O31" s="205"/>
      <c r="P31" s="205"/>
      <c r="Q31" s="205"/>
      <c r="R31" s="205"/>
      <c r="S31" s="205"/>
      <c r="T31" s="205"/>
      <c r="U31" s="261"/>
    </row>
    <row r="32" spans="1:21" ht="12.75">
      <c r="A32" s="225"/>
      <c r="B32" s="291"/>
      <c r="C32" s="233"/>
      <c r="D32" s="22" t="s">
        <v>96</v>
      </c>
      <c r="E32" s="23">
        <f>F32+G32+H32+I32+J32+K32+L32</f>
        <v>11283316.65</v>
      </c>
      <c r="F32" s="23">
        <f>1700000-700000</f>
        <v>1000000</v>
      </c>
      <c r="G32" s="23">
        <v>1511088.65</v>
      </c>
      <c r="H32" s="23">
        <v>654114</v>
      </c>
      <c r="I32" s="23">
        <v>654114</v>
      </c>
      <c r="J32" s="23">
        <v>2488000</v>
      </c>
      <c r="K32" s="23">
        <v>2488000</v>
      </c>
      <c r="L32" s="23">
        <v>2488000</v>
      </c>
      <c r="M32" s="262"/>
      <c r="N32" s="206"/>
      <c r="O32" s="206"/>
      <c r="P32" s="206"/>
      <c r="Q32" s="206"/>
      <c r="R32" s="206"/>
      <c r="S32" s="206"/>
      <c r="T32" s="206"/>
      <c r="U32" s="262"/>
    </row>
    <row r="33" spans="1:21" ht="13.5">
      <c r="A33" s="236"/>
      <c r="B33" s="266" t="s">
        <v>157</v>
      </c>
      <c r="C33" s="236"/>
      <c r="D33" s="102" t="s">
        <v>97</v>
      </c>
      <c r="E33" s="103">
        <f aca="true" t="shared" si="4" ref="E33:L33">E35+E36+E37+E38</f>
        <v>175570914.52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28789310.18</v>
      </c>
      <c r="J33" s="103">
        <f t="shared" si="4"/>
        <v>29457943.12</v>
      </c>
      <c r="K33" s="103">
        <f t="shared" si="4"/>
        <v>29475104.09</v>
      </c>
      <c r="L33" s="103">
        <f t="shared" si="4"/>
        <v>2488000</v>
      </c>
      <c r="M33" s="238"/>
      <c r="N33" s="246"/>
      <c r="O33" s="246"/>
      <c r="P33" s="246"/>
      <c r="Q33" s="246"/>
      <c r="R33" s="246"/>
      <c r="S33" s="246"/>
      <c r="T33" s="246"/>
      <c r="U33" s="249"/>
    </row>
    <row r="34" spans="1:21" ht="12.75" customHeight="1">
      <c r="A34" s="236"/>
      <c r="B34" s="267"/>
      <c r="C34" s="236"/>
      <c r="D34" s="241" t="s">
        <v>117</v>
      </c>
      <c r="E34" s="242"/>
      <c r="F34" s="242"/>
      <c r="G34" s="242"/>
      <c r="H34" s="242"/>
      <c r="I34" s="242"/>
      <c r="J34" s="242"/>
      <c r="K34" s="242"/>
      <c r="L34" s="243"/>
      <c r="M34" s="239"/>
      <c r="N34" s="247"/>
      <c r="O34" s="247"/>
      <c r="P34" s="247"/>
      <c r="Q34" s="247"/>
      <c r="R34" s="247"/>
      <c r="S34" s="247"/>
      <c r="T34" s="247"/>
      <c r="U34" s="250"/>
    </row>
    <row r="35" spans="1:21" ht="13.5" customHeight="1">
      <c r="A35" s="236"/>
      <c r="B35" s="267"/>
      <c r="C35" s="236"/>
      <c r="D35" s="104" t="s">
        <v>95</v>
      </c>
      <c r="E35" s="103">
        <f>F35+G35+H35+I35+J35+K35+L35</f>
        <v>164287597.87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28135196.18</v>
      </c>
      <c r="J35" s="105">
        <f t="shared" si="5"/>
        <v>26969943.12</v>
      </c>
      <c r="K35" s="105">
        <f t="shared" si="5"/>
        <v>26987104.09</v>
      </c>
      <c r="L35" s="105">
        <f t="shared" si="5"/>
        <v>0</v>
      </c>
      <c r="M35" s="239"/>
      <c r="N35" s="247"/>
      <c r="O35" s="247"/>
      <c r="P35" s="247"/>
      <c r="Q35" s="247"/>
      <c r="R35" s="247"/>
      <c r="S35" s="247"/>
      <c r="T35" s="247"/>
      <c r="U35" s="250"/>
    </row>
    <row r="36" spans="1:21" ht="13.5" customHeight="1">
      <c r="A36" s="236"/>
      <c r="B36" s="267"/>
      <c r="C36" s="236"/>
      <c r="D36" s="104" t="s">
        <v>93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9"/>
      <c r="N36" s="247"/>
      <c r="O36" s="247"/>
      <c r="P36" s="247"/>
      <c r="Q36" s="247"/>
      <c r="R36" s="247"/>
      <c r="S36" s="247"/>
      <c r="T36" s="247"/>
      <c r="U36" s="250"/>
    </row>
    <row r="37" spans="1:21" ht="13.5" customHeight="1">
      <c r="A37" s="236"/>
      <c r="B37" s="267"/>
      <c r="C37" s="236"/>
      <c r="D37" s="104" t="s">
        <v>94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9"/>
      <c r="N37" s="247"/>
      <c r="O37" s="247"/>
      <c r="P37" s="247"/>
      <c r="Q37" s="247"/>
      <c r="R37" s="247"/>
      <c r="S37" s="247"/>
      <c r="T37" s="247"/>
      <c r="U37" s="250"/>
    </row>
    <row r="38" spans="1:21" ht="13.5" customHeight="1">
      <c r="A38" s="236"/>
      <c r="B38" s="268"/>
      <c r="C38" s="236"/>
      <c r="D38" s="104" t="s">
        <v>96</v>
      </c>
      <c r="E38" s="103">
        <f>F38+G38+H38+I38+J38+K38+L38</f>
        <v>11283316.65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654114</v>
      </c>
      <c r="J38" s="105">
        <f t="shared" si="6"/>
        <v>2488000</v>
      </c>
      <c r="K38" s="105">
        <f t="shared" si="6"/>
        <v>2488000</v>
      </c>
      <c r="L38" s="105">
        <f t="shared" si="6"/>
        <v>2488000</v>
      </c>
      <c r="M38" s="240"/>
      <c r="N38" s="248"/>
      <c r="O38" s="248"/>
      <c r="P38" s="248"/>
      <c r="Q38" s="248"/>
      <c r="R38" s="248"/>
      <c r="S38" s="248"/>
      <c r="T38" s="248"/>
      <c r="U38" s="251"/>
    </row>
    <row r="39" spans="1:21" ht="13.5" customHeight="1">
      <c r="A39" s="236"/>
      <c r="B39" s="266" t="s">
        <v>243</v>
      </c>
      <c r="C39" s="236"/>
      <c r="D39" s="102" t="s">
        <v>97</v>
      </c>
      <c r="E39" s="103">
        <f aca="true" t="shared" si="7" ref="E39:L39">E41+E42+E43+E44</f>
        <v>175570914.52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28789310.18</v>
      </c>
      <c r="J39" s="103">
        <f t="shared" si="7"/>
        <v>29457943.12</v>
      </c>
      <c r="K39" s="103">
        <f t="shared" si="7"/>
        <v>29475104.09</v>
      </c>
      <c r="L39" s="103">
        <f t="shared" si="7"/>
        <v>2488000</v>
      </c>
      <c r="M39" s="238"/>
      <c r="N39" s="246"/>
      <c r="O39" s="246"/>
      <c r="P39" s="246"/>
      <c r="Q39" s="246"/>
      <c r="R39" s="246"/>
      <c r="S39" s="246"/>
      <c r="T39" s="246"/>
      <c r="U39" s="249"/>
    </row>
    <row r="40" spans="1:21" ht="12.75" customHeight="1">
      <c r="A40" s="236"/>
      <c r="B40" s="267"/>
      <c r="C40" s="236"/>
      <c r="D40" s="241" t="s">
        <v>117</v>
      </c>
      <c r="E40" s="242"/>
      <c r="F40" s="242"/>
      <c r="G40" s="242"/>
      <c r="H40" s="242"/>
      <c r="I40" s="242"/>
      <c r="J40" s="242"/>
      <c r="K40" s="242"/>
      <c r="L40" s="243"/>
      <c r="M40" s="239"/>
      <c r="N40" s="247"/>
      <c r="O40" s="247"/>
      <c r="P40" s="247"/>
      <c r="Q40" s="247"/>
      <c r="R40" s="247"/>
      <c r="S40" s="247"/>
      <c r="T40" s="247"/>
      <c r="U40" s="250"/>
    </row>
    <row r="41" spans="1:21" ht="13.5" customHeight="1">
      <c r="A41" s="236"/>
      <c r="B41" s="267"/>
      <c r="C41" s="236"/>
      <c r="D41" s="104" t="s">
        <v>95</v>
      </c>
      <c r="E41" s="103">
        <f>F41+G41+H41+I41+J41+K41+L41</f>
        <v>164287597.87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28135196.18</v>
      </c>
      <c r="J41" s="105">
        <f t="shared" si="9"/>
        <v>26969943.12</v>
      </c>
      <c r="K41" s="105">
        <f t="shared" si="9"/>
        <v>26987104.09</v>
      </c>
      <c r="L41" s="105">
        <f t="shared" si="9"/>
        <v>0</v>
      </c>
      <c r="M41" s="239"/>
      <c r="N41" s="247"/>
      <c r="O41" s="247"/>
      <c r="P41" s="247"/>
      <c r="Q41" s="247"/>
      <c r="R41" s="247"/>
      <c r="S41" s="247"/>
      <c r="T41" s="247"/>
      <c r="U41" s="250"/>
    </row>
    <row r="42" spans="1:21" ht="13.5" customHeight="1">
      <c r="A42" s="236"/>
      <c r="B42" s="267"/>
      <c r="C42" s="236"/>
      <c r="D42" s="104" t="s">
        <v>93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39"/>
      <c r="N42" s="247"/>
      <c r="O42" s="247"/>
      <c r="P42" s="247"/>
      <c r="Q42" s="247"/>
      <c r="R42" s="247"/>
      <c r="S42" s="247"/>
      <c r="T42" s="247"/>
      <c r="U42" s="250"/>
    </row>
    <row r="43" spans="1:21" ht="13.5" customHeight="1">
      <c r="A43" s="236"/>
      <c r="B43" s="267"/>
      <c r="C43" s="236"/>
      <c r="D43" s="104" t="s">
        <v>94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39"/>
      <c r="N43" s="247"/>
      <c r="O43" s="247"/>
      <c r="P43" s="247"/>
      <c r="Q43" s="247"/>
      <c r="R43" s="247"/>
      <c r="S43" s="247"/>
      <c r="T43" s="247"/>
      <c r="U43" s="250"/>
    </row>
    <row r="44" spans="1:21" ht="13.5" customHeight="1">
      <c r="A44" s="236"/>
      <c r="B44" s="268"/>
      <c r="C44" s="236"/>
      <c r="D44" s="104" t="s">
        <v>96</v>
      </c>
      <c r="E44" s="103">
        <f>F44+G44+H44+I44+J44+K44+L44</f>
        <v>11283316.65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654114</v>
      </c>
      <c r="J44" s="105">
        <f t="shared" si="9"/>
        <v>2488000</v>
      </c>
      <c r="K44" s="105">
        <f t="shared" si="9"/>
        <v>2488000</v>
      </c>
      <c r="L44" s="105">
        <f t="shared" si="9"/>
        <v>2488000</v>
      </c>
      <c r="M44" s="240"/>
      <c r="N44" s="248"/>
      <c r="O44" s="248"/>
      <c r="P44" s="248"/>
      <c r="Q44" s="248"/>
      <c r="R44" s="248"/>
      <c r="S44" s="248"/>
      <c r="T44" s="248"/>
      <c r="U44" s="251"/>
    </row>
    <row r="47" ht="12.75">
      <c r="G47" s="26"/>
    </row>
  </sheetData>
  <sheetProtection/>
  <mergeCells count="89"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4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B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293" t="s">
        <v>284</v>
      </c>
      <c r="G1" s="293"/>
      <c r="H1" s="293"/>
      <c r="I1" s="293"/>
    </row>
    <row r="2" spans="5:10" ht="18.75" customHeight="1">
      <c r="E2" s="9"/>
      <c r="G2" s="10"/>
      <c r="H2" s="10"/>
      <c r="I2" s="2" t="s">
        <v>244</v>
      </c>
      <c r="J2" s="10"/>
    </row>
    <row r="4" spans="1:9" ht="36.75" customHeight="1">
      <c r="A4" s="302" t="s">
        <v>245</v>
      </c>
      <c r="B4" s="302"/>
      <c r="C4" s="302"/>
      <c r="D4" s="302"/>
      <c r="E4" s="302"/>
      <c r="F4" s="302"/>
      <c r="G4" s="302"/>
      <c r="H4" s="302"/>
      <c r="I4" s="302"/>
    </row>
    <row r="5" spans="1:9" ht="30" customHeight="1">
      <c r="A5" s="303" t="s">
        <v>103</v>
      </c>
      <c r="B5" s="305" t="s">
        <v>104</v>
      </c>
      <c r="C5" s="307" t="s">
        <v>105</v>
      </c>
      <c r="D5" s="307"/>
      <c r="E5" s="307"/>
      <c r="F5" s="307"/>
      <c r="G5" s="307"/>
      <c r="H5" s="307"/>
      <c r="I5" s="307"/>
    </row>
    <row r="6" spans="1:9" ht="16.5" customHeight="1">
      <c r="A6" s="304"/>
      <c r="B6" s="306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246</v>
      </c>
      <c r="B8" s="13">
        <f>B10+B11+B12+B13</f>
        <v>319416630.71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49845898</v>
      </c>
      <c r="G8" s="13">
        <f t="shared" si="0"/>
        <v>42140522.81</v>
      </c>
      <c r="H8" s="13">
        <f t="shared" si="0"/>
        <v>42143164.730000004</v>
      </c>
      <c r="I8" s="13">
        <f t="shared" si="0"/>
        <v>42143164.730000004</v>
      </c>
    </row>
    <row r="9" spans="1:9" ht="16.5" customHeight="1">
      <c r="A9" s="299" t="s">
        <v>106</v>
      </c>
      <c r="B9" s="300"/>
      <c r="C9" s="300"/>
      <c r="D9" s="300"/>
      <c r="E9" s="300"/>
      <c r="F9" s="300"/>
      <c r="G9" s="300"/>
      <c r="H9" s="300"/>
      <c r="I9" s="301"/>
    </row>
    <row r="10" spans="1:9" ht="16.5" customHeight="1">
      <c r="A10" s="14" t="s">
        <v>107</v>
      </c>
      <c r="B10" s="13">
        <f>C10+D10+E10+F10+G10+H10+I10</f>
        <v>42541611.26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6439998</v>
      </c>
      <c r="G10" s="16">
        <f t="shared" si="1"/>
        <v>5838622.81</v>
      </c>
      <c r="H10" s="16">
        <f t="shared" si="1"/>
        <v>5841264.7299999995</v>
      </c>
      <c r="I10" s="16">
        <f t="shared" si="1"/>
        <v>5841264.7299999995</v>
      </c>
    </row>
    <row r="11" spans="1:9" ht="16.5" customHeight="1">
      <c r="A11" s="14" t="s">
        <v>20</v>
      </c>
      <c r="B11" s="13">
        <f>C11+D11+E11+F11+G11+H11+I11</f>
        <v>105252400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15095800</v>
      </c>
      <c r="G11" s="16">
        <f t="shared" si="2"/>
        <v>15084400</v>
      </c>
      <c r="H11" s="16">
        <f t="shared" si="2"/>
        <v>15084400</v>
      </c>
      <c r="I11" s="16">
        <f t="shared" si="2"/>
        <v>15084400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110</v>
      </c>
      <c r="B13" s="13">
        <f>C13+D13+E13+F13+G13+H13+I13</f>
        <v>171622619.45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28310100</v>
      </c>
      <c r="G13" s="16">
        <f t="shared" si="2"/>
        <v>21217500</v>
      </c>
      <c r="H13" s="16">
        <f t="shared" si="2"/>
        <v>21217500</v>
      </c>
      <c r="I13" s="16">
        <f t="shared" si="2"/>
        <v>21217500</v>
      </c>
    </row>
    <row r="14" spans="1:9" ht="16.5" customHeight="1">
      <c r="A14" s="308" t="s">
        <v>111</v>
      </c>
      <c r="B14" s="309"/>
      <c r="C14" s="309"/>
      <c r="D14" s="309"/>
      <c r="E14" s="309"/>
      <c r="F14" s="309"/>
      <c r="G14" s="309"/>
      <c r="H14" s="309"/>
      <c r="I14" s="310"/>
    </row>
    <row r="15" spans="1:9" ht="48.75" customHeight="1">
      <c r="A15" s="15" t="s">
        <v>118</v>
      </c>
      <c r="B15" s="13">
        <f>B17+B18+B19+B20</f>
        <v>319416630.71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49845898</v>
      </c>
      <c r="G15" s="13">
        <f t="shared" si="3"/>
        <v>42140522.81</v>
      </c>
      <c r="H15" s="13">
        <f t="shared" si="3"/>
        <v>42143164.730000004</v>
      </c>
      <c r="I15" s="13">
        <f t="shared" si="3"/>
        <v>42143164.730000004</v>
      </c>
    </row>
    <row r="16" spans="1:9" ht="16.5" customHeight="1">
      <c r="A16" s="299" t="s">
        <v>106</v>
      </c>
      <c r="B16" s="300"/>
      <c r="C16" s="300"/>
      <c r="D16" s="300"/>
      <c r="E16" s="300"/>
      <c r="F16" s="300"/>
      <c r="G16" s="300"/>
      <c r="H16" s="300"/>
      <c r="I16" s="301"/>
    </row>
    <row r="17" spans="1:9" ht="16.5" customHeight="1">
      <c r="A17" s="14" t="s">
        <v>107</v>
      </c>
      <c r="B17" s="13">
        <f>C17+D17+E17+F17+G17+H17+I17</f>
        <v>42541611.26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6439998</v>
      </c>
      <c r="G17" s="16">
        <f>'таб 3(6)'!J53</f>
        <v>5838622.81</v>
      </c>
      <c r="H17" s="16">
        <f>'таб 3(6)'!K53</f>
        <v>5841264.7299999995</v>
      </c>
      <c r="I17" s="16">
        <f>'таб 3(6)'!L53</f>
        <v>5841264.7299999995</v>
      </c>
    </row>
    <row r="18" spans="1:9" ht="16.5" customHeight="1">
      <c r="A18" s="14" t="s">
        <v>20</v>
      </c>
      <c r="B18" s="13">
        <f>C18+D18+E18+F18+G18+H18+I18</f>
        <v>105252400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15095800</v>
      </c>
      <c r="G18" s="16">
        <f>'таб 3(6)'!J54</f>
        <v>15084400</v>
      </c>
      <c r="H18" s="16">
        <f>'таб 3(6)'!K54</f>
        <v>15084400</v>
      </c>
      <c r="I18" s="16">
        <f>'таб 3(6)'!L54</f>
        <v>15084400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110</v>
      </c>
      <c r="B20" s="13">
        <f>C20+D20+E20+F20+G20+H20+I20</f>
        <v>171622619.45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28310100</v>
      </c>
      <c r="G20" s="16">
        <f>'таб 3(6)'!J56</f>
        <v>21217500</v>
      </c>
      <c r="H20" s="16">
        <f>'таб 3(6)'!K56</f>
        <v>21217500</v>
      </c>
      <c r="I20" s="16">
        <f>'таб 3(6)'!L56</f>
        <v>21217500</v>
      </c>
    </row>
    <row r="21" spans="1:9" ht="31.5">
      <c r="A21" s="17" t="s">
        <v>112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H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5.42187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293" t="s">
        <v>285</v>
      </c>
      <c r="P1" s="293"/>
      <c r="Q1" s="293"/>
      <c r="R1" s="293"/>
      <c r="S1" s="293"/>
      <c r="T1" s="293"/>
      <c r="U1" s="293"/>
    </row>
    <row r="2" spans="20:21" ht="31.5">
      <c r="T2" s="100"/>
      <c r="U2" s="106" t="s">
        <v>247</v>
      </c>
    </row>
    <row r="3" spans="1:21" ht="15.75">
      <c r="A3" s="245" t="s">
        <v>248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31.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21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249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1">
        <v>1</v>
      </c>
      <c r="B8" s="215" t="s">
        <v>250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6.5" customHeight="1">
      <c r="A9" s="225" t="s">
        <v>125</v>
      </c>
      <c r="B9" s="289" t="s">
        <v>251</v>
      </c>
      <c r="C9" s="231" t="s">
        <v>82</v>
      </c>
      <c r="D9" s="22" t="s">
        <v>97</v>
      </c>
      <c r="E9" s="23">
        <f>E11+E12+E13+E14</f>
        <v>49354779.080000006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7385545</v>
      </c>
      <c r="J9" s="23">
        <f t="shared" si="0"/>
        <v>7145552.96</v>
      </c>
      <c r="K9" s="23">
        <f t="shared" si="0"/>
        <v>7148194.88</v>
      </c>
      <c r="L9" s="23">
        <f t="shared" si="0"/>
        <v>7148194.88</v>
      </c>
      <c r="M9" s="207" t="s">
        <v>252</v>
      </c>
      <c r="N9" s="296">
        <v>2101</v>
      </c>
      <c r="O9" s="296">
        <v>2137</v>
      </c>
      <c r="P9" s="296">
        <v>2140</v>
      </c>
      <c r="Q9" s="296">
        <v>2140</v>
      </c>
      <c r="R9" s="296">
        <v>2140</v>
      </c>
      <c r="S9" s="296">
        <v>2140</v>
      </c>
      <c r="T9" s="296">
        <v>2140</v>
      </c>
      <c r="U9" s="260" t="s">
        <v>253</v>
      </c>
    </row>
    <row r="10" spans="1:21" ht="16.5" customHeight="1">
      <c r="A10" s="225"/>
      <c r="B10" s="290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08"/>
      <c r="N10" s="297"/>
      <c r="O10" s="297"/>
      <c r="P10" s="297"/>
      <c r="Q10" s="297"/>
      <c r="R10" s="297"/>
      <c r="S10" s="297"/>
      <c r="T10" s="297"/>
      <c r="U10" s="261"/>
    </row>
    <row r="11" spans="1:21" ht="12.75">
      <c r="A11" s="225"/>
      <c r="B11" s="290"/>
      <c r="C11" s="232"/>
      <c r="D11" s="22" t="s">
        <v>95</v>
      </c>
      <c r="E11" s="23">
        <f>F11+G11+H11+I11+J11+K11+L11</f>
        <v>39478479.080000006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5555352.96</v>
      </c>
      <c r="K11" s="23">
        <v>5557994.88</v>
      </c>
      <c r="L11" s="23">
        <v>5557994.88</v>
      </c>
      <c r="M11" s="208"/>
      <c r="N11" s="297"/>
      <c r="O11" s="297"/>
      <c r="P11" s="297"/>
      <c r="Q11" s="297"/>
      <c r="R11" s="297"/>
      <c r="S11" s="297"/>
      <c r="T11" s="297"/>
      <c r="U11" s="261"/>
    </row>
    <row r="12" spans="1:21" ht="12.75">
      <c r="A12" s="225"/>
      <c r="B12" s="290"/>
      <c r="C12" s="232"/>
      <c r="D12" s="22" t="s">
        <v>93</v>
      </c>
      <c r="E12" s="23">
        <f>F12+G12+H12+I12+J12+K12+L12</f>
        <v>9876300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v>1601600</v>
      </c>
      <c r="J12" s="23">
        <v>1590200</v>
      </c>
      <c r="K12" s="23">
        <v>1590200</v>
      </c>
      <c r="L12" s="23">
        <v>1590200</v>
      </c>
      <c r="M12" s="208"/>
      <c r="N12" s="297"/>
      <c r="O12" s="297"/>
      <c r="P12" s="297"/>
      <c r="Q12" s="297"/>
      <c r="R12" s="297"/>
      <c r="S12" s="297"/>
      <c r="T12" s="297"/>
      <c r="U12" s="261"/>
    </row>
    <row r="13" spans="1:21" ht="12.75" customHeight="1">
      <c r="A13" s="225"/>
      <c r="B13" s="290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8"/>
      <c r="N13" s="297"/>
      <c r="O13" s="297"/>
      <c r="P13" s="297"/>
      <c r="Q13" s="297"/>
      <c r="R13" s="297"/>
      <c r="S13" s="297"/>
      <c r="T13" s="297"/>
      <c r="U13" s="261"/>
    </row>
    <row r="14" spans="1:21" ht="18.75" customHeight="1">
      <c r="A14" s="225"/>
      <c r="B14" s="291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9"/>
      <c r="N14" s="298"/>
      <c r="O14" s="298"/>
      <c r="P14" s="298"/>
      <c r="Q14" s="298"/>
      <c r="R14" s="298"/>
      <c r="S14" s="298"/>
      <c r="T14" s="298"/>
      <c r="U14" s="262"/>
    </row>
    <row r="15" spans="1:21" ht="24" customHeight="1">
      <c r="A15" s="225" t="s">
        <v>126</v>
      </c>
      <c r="B15" s="289" t="s">
        <v>254</v>
      </c>
      <c r="C15" s="231" t="s">
        <v>82</v>
      </c>
      <c r="D15" s="22" t="s">
        <v>97</v>
      </c>
      <c r="E15" s="23">
        <f>E17+E18+E19+E20</f>
        <v>95376100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13494200</v>
      </c>
      <c r="J15" s="23">
        <f t="shared" si="1"/>
        <v>13494200</v>
      </c>
      <c r="K15" s="23">
        <f t="shared" si="1"/>
        <v>13494200</v>
      </c>
      <c r="L15" s="23">
        <f t="shared" si="1"/>
        <v>13494200</v>
      </c>
      <c r="M15" s="207" t="s">
        <v>255</v>
      </c>
      <c r="N15" s="296">
        <v>1002</v>
      </c>
      <c r="O15" s="296">
        <v>1011</v>
      </c>
      <c r="P15" s="296">
        <v>1021</v>
      </c>
      <c r="Q15" s="296">
        <v>1021</v>
      </c>
      <c r="R15" s="296">
        <v>1021</v>
      </c>
      <c r="S15" s="296">
        <v>1021</v>
      </c>
      <c r="T15" s="296">
        <v>1021</v>
      </c>
      <c r="U15" s="260" t="s">
        <v>256</v>
      </c>
    </row>
    <row r="16" spans="1:21" ht="16.5" customHeight="1">
      <c r="A16" s="225"/>
      <c r="B16" s="290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08"/>
      <c r="N16" s="297"/>
      <c r="O16" s="297"/>
      <c r="P16" s="297"/>
      <c r="Q16" s="297"/>
      <c r="R16" s="297"/>
      <c r="S16" s="297"/>
      <c r="T16" s="297"/>
      <c r="U16" s="261"/>
    </row>
    <row r="17" spans="1:21" ht="18" customHeight="1">
      <c r="A17" s="225"/>
      <c r="B17" s="290"/>
      <c r="C17" s="232"/>
      <c r="D17" s="22" t="s">
        <v>95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08"/>
      <c r="N17" s="297"/>
      <c r="O17" s="297"/>
      <c r="P17" s="297"/>
      <c r="Q17" s="297"/>
      <c r="R17" s="297"/>
      <c r="S17" s="297"/>
      <c r="T17" s="297"/>
      <c r="U17" s="261"/>
    </row>
    <row r="18" spans="1:21" ht="12.75" customHeight="1">
      <c r="A18" s="225"/>
      <c r="B18" s="290"/>
      <c r="C18" s="232"/>
      <c r="D18" s="22" t="s">
        <v>93</v>
      </c>
      <c r="E18" s="23">
        <f>F18+G18+H18+I18+J18+K18+L18</f>
        <v>95376100</v>
      </c>
      <c r="F18" s="23">
        <v>15275700</v>
      </c>
      <c r="G18" s="23">
        <v>12637800</v>
      </c>
      <c r="H18" s="23">
        <f>13137100+348700</f>
        <v>13485800</v>
      </c>
      <c r="I18" s="23">
        <v>13494200</v>
      </c>
      <c r="J18" s="23">
        <v>13494200</v>
      </c>
      <c r="K18" s="23">
        <v>13494200</v>
      </c>
      <c r="L18" s="23">
        <v>13494200</v>
      </c>
      <c r="M18" s="208"/>
      <c r="N18" s="297"/>
      <c r="O18" s="297"/>
      <c r="P18" s="297"/>
      <c r="Q18" s="297"/>
      <c r="R18" s="297"/>
      <c r="S18" s="297"/>
      <c r="T18" s="297"/>
      <c r="U18" s="261"/>
    </row>
    <row r="19" spans="1:21" ht="12.75" customHeight="1">
      <c r="A19" s="225"/>
      <c r="B19" s="290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8"/>
      <c r="N19" s="297"/>
      <c r="O19" s="297"/>
      <c r="P19" s="297"/>
      <c r="Q19" s="297"/>
      <c r="R19" s="297"/>
      <c r="S19" s="297"/>
      <c r="T19" s="297"/>
      <c r="U19" s="261"/>
    </row>
    <row r="20" spans="1:21" ht="24" customHeight="1">
      <c r="A20" s="225"/>
      <c r="B20" s="291"/>
      <c r="C20" s="233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09"/>
      <c r="N20" s="298"/>
      <c r="O20" s="298"/>
      <c r="P20" s="298"/>
      <c r="Q20" s="298"/>
      <c r="R20" s="298"/>
      <c r="S20" s="298"/>
      <c r="T20" s="298"/>
      <c r="U20" s="262"/>
    </row>
    <row r="21" spans="1:21" ht="15" customHeight="1">
      <c r="A21" s="225" t="s">
        <v>127</v>
      </c>
      <c r="B21" s="289" t="s">
        <v>257</v>
      </c>
      <c r="C21" s="231" t="s">
        <v>82</v>
      </c>
      <c r="D21" s="22" t="s">
        <v>97</v>
      </c>
      <c r="E21" s="23">
        <f>E23+E24+E25+E26</f>
        <v>171622619.45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28310100</v>
      </c>
      <c r="J21" s="23">
        <f t="shared" si="2"/>
        <v>21217500</v>
      </c>
      <c r="K21" s="23">
        <f t="shared" si="2"/>
        <v>21217500</v>
      </c>
      <c r="L21" s="23">
        <f t="shared" si="2"/>
        <v>21217500</v>
      </c>
      <c r="M21" s="207" t="s">
        <v>258</v>
      </c>
      <c r="N21" s="296">
        <v>90</v>
      </c>
      <c r="O21" s="296">
        <v>93</v>
      </c>
      <c r="P21" s="296">
        <v>94</v>
      </c>
      <c r="Q21" s="296">
        <v>95</v>
      </c>
      <c r="R21" s="296">
        <v>100</v>
      </c>
      <c r="S21" s="296">
        <v>100</v>
      </c>
      <c r="T21" s="296">
        <v>100</v>
      </c>
      <c r="U21" s="260" t="s">
        <v>256</v>
      </c>
    </row>
    <row r="22" spans="1:21" ht="16.5" customHeight="1">
      <c r="A22" s="225"/>
      <c r="B22" s="290"/>
      <c r="C22" s="232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208"/>
      <c r="N22" s="297"/>
      <c r="O22" s="297"/>
      <c r="P22" s="297"/>
      <c r="Q22" s="297"/>
      <c r="R22" s="297"/>
      <c r="S22" s="297"/>
      <c r="T22" s="297"/>
      <c r="U22" s="261"/>
    </row>
    <row r="23" spans="1:21" ht="12.75" customHeight="1">
      <c r="A23" s="225"/>
      <c r="B23" s="290"/>
      <c r="C23" s="232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08"/>
      <c r="N23" s="297"/>
      <c r="O23" s="297"/>
      <c r="P23" s="297"/>
      <c r="Q23" s="297"/>
      <c r="R23" s="297"/>
      <c r="S23" s="297"/>
      <c r="T23" s="297"/>
      <c r="U23" s="261"/>
    </row>
    <row r="24" spans="1:21" ht="12.75" customHeight="1">
      <c r="A24" s="225"/>
      <c r="B24" s="290"/>
      <c r="C24" s="232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08"/>
      <c r="N24" s="297"/>
      <c r="O24" s="297"/>
      <c r="P24" s="297"/>
      <c r="Q24" s="297"/>
      <c r="R24" s="297"/>
      <c r="S24" s="297"/>
      <c r="T24" s="297"/>
      <c r="U24" s="261"/>
    </row>
    <row r="25" spans="1:21" ht="12.75" customHeight="1">
      <c r="A25" s="225"/>
      <c r="B25" s="290"/>
      <c r="C25" s="232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08"/>
      <c r="N25" s="297"/>
      <c r="O25" s="297"/>
      <c r="P25" s="297"/>
      <c r="Q25" s="297"/>
      <c r="R25" s="297"/>
      <c r="S25" s="297"/>
      <c r="T25" s="297"/>
      <c r="U25" s="261"/>
    </row>
    <row r="26" spans="1:21" ht="12.75" customHeight="1">
      <c r="A26" s="225"/>
      <c r="B26" s="291"/>
      <c r="C26" s="233"/>
      <c r="D26" s="22" t="s">
        <v>96</v>
      </c>
      <c r="E26" s="23">
        <f>F26+G26+H26+I26+J26+K26+L26</f>
        <v>171622619.45</v>
      </c>
      <c r="F26" s="23">
        <v>19837340</v>
      </c>
      <c r="G26" s="84">
        <v>31512579.45</v>
      </c>
      <c r="H26" s="84">
        <v>28310100</v>
      </c>
      <c r="I26" s="84">
        <v>28310100</v>
      </c>
      <c r="J26" s="84">
        <v>21217500</v>
      </c>
      <c r="K26" s="84">
        <v>21217500</v>
      </c>
      <c r="L26" s="84">
        <v>21217500</v>
      </c>
      <c r="M26" s="209"/>
      <c r="N26" s="298"/>
      <c r="O26" s="298"/>
      <c r="P26" s="298"/>
      <c r="Q26" s="298"/>
      <c r="R26" s="298"/>
      <c r="S26" s="298"/>
      <c r="T26" s="298"/>
      <c r="U26" s="262"/>
    </row>
    <row r="27" spans="1:21" ht="15" customHeight="1">
      <c r="A27" s="225" t="s">
        <v>128</v>
      </c>
      <c r="B27" s="289" t="s">
        <v>259</v>
      </c>
      <c r="C27" s="231" t="s">
        <v>82</v>
      </c>
      <c r="D27" s="22" t="s">
        <v>97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07" t="s">
        <v>3</v>
      </c>
      <c r="N27" s="204">
        <v>1</v>
      </c>
      <c r="O27" s="204">
        <v>1</v>
      </c>
      <c r="P27" s="204">
        <v>1</v>
      </c>
      <c r="Q27" s="204">
        <v>1</v>
      </c>
      <c r="R27" s="204">
        <v>1</v>
      </c>
      <c r="S27" s="204">
        <v>1</v>
      </c>
      <c r="T27" s="204">
        <v>1</v>
      </c>
      <c r="U27" s="207" t="s">
        <v>260</v>
      </c>
    </row>
    <row r="28" spans="1:21" ht="16.5" customHeight="1">
      <c r="A28" s="225"/>
      <c r="B28" s="290"/>
      <c r="C28" s="232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208"/>
      <c r="N28" s="205"/>
      <c r="O28" s="205"/>
      <c r="P28" s="205"/>
      <c r="Q28" s="205"/>
      <c r="R28" s="205"/>
      <c r="S28" s="205"/>
      <c r="T28" s="205"/>
      <c r="U28" s="208"/>
    </row>
    <row r="29" spans="1:21" ht="12.75" customHeight="1">
      <c r="A29" s="225"/>
      <c r="B29" s="290"/>
      <c r="C29" s="232"/>
      <c r="D29" s="22" t="s">
        <v>95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08"/>
      <c r="N29" s="205"/>
      <c r="O29" s="205"/>
      <c r="P29" s="205"/>
      <c r="Q29" s="205"/>
      <c r="R29" s="205"/>
      <c r="S29" s="205"/>
      <c r="T29" s="205"/>
      <c r="U29" s="208"/>
    </row>
    <row r="30" spans="1:21" ht="12.75" customHeight="1">
      <c r="A30" s="225"/>
      <c r="B30" s="290"/>
      <c r="C30" s="232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08"/>
      <c r="N30" s="205"/>
      <c r="O30" s="205"/>
      <c r="P30" s="205"/>
      <c r="Q30" s="205"/>
      <c r="R30" s="205"/>
      <c r="S30" s="205"/>
      <c r="T30" s="205"/>
      <c r="U30" s="208"/>
    </row>
    <row r="31" spans="1:21" ht="12.75" customHeight="1">
      <c r="A31" s="225"/>
      <c r="B31" s="290"/>
      <c r="C31" s="232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08"/>
      <c r="N31" s="205"/>
      <c r="O31" s="205"/>
      <c r="P31" s="205"/>
      <c r="Q31" s="205"/>
      <c r="R31" s="205"/>
      <c r="S31" s="205"/>
      <c r="T31" s="205"/>
      <c r="U31" s="208"/>
    </row>
    <row r="32" spans="1:21" ht="12.75" customHeight="1">
      <c r="A32" s="225"/>
      <c r="B32" s="291"/>
      <c r="C32" s="233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09"/>
      <c r="N32" s="206"/>
      <c r="O32" s="206"/>
      <c r="P32" s="206"/>
      <c r="Q32" s="206"/>
      <c r="R32" s="206"/>
      <c r="S32" s="206"/>
      <c r="T32" s="206"/>
      <c r="U32" s="209"/>
    </row>
    <row r="33" spans="1:21" ht="15" customHeight="1">
      <c r="A33" s="225" t="s">
        <v>129</v>
      </c>
      <c r="B33" s="289" t="s">
        <v>261</v>
      </c>
      <c r="C33" s="231" t="s">
        <v>82</v>
      </c>
      <c r="D33" s="22" t="s">
        <v>97</v>
      </c>
      <c r="E33" s="23">
        <f>E35+E36+E37+E38</f>
        <v>2026343.3200000003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463553</v>
      </c>
      <c r="J33" s="23">
        <f t="shared" si="4"/>
        <v>283269.85</v>
      </c>
      <c r="K33" s="23">
        <f t="shared" si="4"/>
        <v>283269.85</v>
      </c>
      <c r="L33" s="23">
        <f t="shared" si="4"/>
        <v>283269.85</v>
      </c>
      <c r="M33" s="207" t="s">
        <v>198</v>
      </c>
      <c r="N33" s="204">
        <v>1</v>
      </c>
      <c r="O33" s="204">
        <v>1</v>
      </c>
      <c r="P33" s="204">
        <v>1</v>
      </c>
      <c r="Q33" s="204">
        <v>1</v>
      </c>
      <c r="R33" s="204">
        <v>1</v>
      </c>
      <c r="S33" s="204">
        <v>1</v>
      </c>
      <c r="T33" s="204">
        <v>1</v>
      </c>
      <c r="U33" s="207" t="s">
        <v>260</v>
      </c>
    </row>
    <row r="34" spans="1:21" ht="16.5" customHeight="1">
      <c r="A34" s="225"/>
      <c r="B34" s="290"/>
      <c r="C34" s="232"/>
      <c r="D34" s="218" t="s">
        <v>117</v>
      </c>
      <c r="E34" s="219"/>
      <c r="F34" s="219"/>
      <c r="G34" s="219"/>
      <c r="H34" s="219"/>
      <c r="I34" s="219"/>
      <c r="J34" s="219"/>
      <c r="K34" s="219"/>
      <c r="L34" s="220"/>
      <c r="M34" s="208"/>
      <c r="N34" s="205"/>
      <c r="O34" s="205"/>
      <c r="P34" s="205"/>
      <c r="Q34" s="205"/>
      <c r="R34" s="205"/>
      <c r="S34" s="205"/>
      <c r="T34" s="205"/>
      <c r="U34" s="208"/>
    </row>
    <row r="35" spans="1:21" ht="12.75" customHeight="1">
      <c r="A35" s="225"/>
      <c r="B35" s="290"/>
      <c r="C35" s="232"/>
      <c r="D35" s="22" t="s">
        <v>95</v>
      </c>
      <c r="E35" s="23">
        <f>F35+G35+H35+I35+J35+K35+L35</f>
        <v>2026343.3200000003</v>
      </c>
      <c r="F35" s="23"/>
      <c r="G35" s="23">
        <f>592908.01-175000</f>
        <v>417908.01</v>
      </c>
      <c r="H35" s="23">
        <v>295072.76</v>
      </c>
      <c r="I35" s="23">
        <f>295072.76+168480.24</f>
        <v>463553</v>
      </c>
      <c r="J35" s="23">
        <v>283269.85</v>
      </c>
      <c r="K35" s="23">
        <v>283269.85</v>
      </c>
      <c r="L35" s="23">
        <v>283269.85</v>
      </c>
      <c r="M35" s="208"/>
      <c r="N35" s="205"/>
      <c r="O35" s="205"/>
      <c r="P35" s="205"/>
      <c r="Q35" s="205"/>
      <c r="R35" s="205"/>
      <c r="S35" s="205"/>
      <c r="T35" s="205"/>
      <c r="U35" s="208"/>
    </row>
    <row r="36" spans="1:21" ht="12.75" customHeight="1">
      <c r="A36" s="225"/>
      <c r="B36" s="290"/>
      <c r="C36" s="232"/>
      <c r="D36" s="22" t="s">
        <v>93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08"/>
      <c r="N36" s="205"/>
      <c r="O36" s="205"/>
      <c r="P36" s="205"/>
      <c r="Q36" s="205"/>
      <c r="R36" s="205"/>
      <c r="S36" s="205"/>
      <c r="T36" s="205"/>
      <c r="U36" s="208"/>
    </row>
    <row r="37" spans="1:21" ht="12.75" customHeight="1">
      <c r="A37" s="225"/>
      <c r="B37" s="290"/>
      <c r="C37" s="232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08"/>
      <c r="N37" s="205"/>
      <c r="O37" s="205"/>
      <c r="P37" s="205"/>
      <c r="Q37" s="205"/>
      <c r="R37" s="205"/>
      <c r="S37" s="205"/>
      <c r="T37" s="205"/>
      <c r="U37" s="208"/>
    </row>
    <row r="38" spans="1:21" ht="12.75" customHeight="1">
      <c r="A38" s="225"/>
      <c r="B38" s="291"/>
      <c r="C38" s="233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09"/>
      <c r="N38" s="206"/>
      <c r="O38" s="206"/>
      <c r="P38" s="206"/>
      <c r="Q38" s="206"/>
      <c r="R38" s="206"/>
      <c r="S38" s="206"/>
      <c r="T38" s="206"/>
      <c r="U38" s="209"/>
    </row>
    <row r="39" spans="1:21" ht="12.75" customHeight="1">
      <c r="A39" s="225" t="s">
        <v>130</v>
      </c>
      <c r="B39" s="289" t="s">
        <v>262</v>
      </c>
      <c r="C39" s="231" t="s">
        <v>82</v>
      </c>
      <c r="D39" s="22" t="s">
        <v>97</v>
      </c>
      <c r="E39" s="23">
        <f>E41+E42+E43+E44</f>
        <v>992500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192500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7" t="s">
        <v>263</v>
      </c>
      <c r="N39" s="204">
        <v>1</v>
      </c>
      <c r="O39" s="204">
        <v>1</v>
      </c>
      <c r="P39" s="204">
        <v>1</v>
      </c>
      <c r="Q39" s="204">
        <v>1</v>
      </c>
      <c r="R39" s="204">
        <v>1</v>
      </c>
      <c r="S39" s="204">
        <v>1</v>
      </c>
      <c r="T39" s="204">
        <v>1</v>
      </c>
      <c r="U39" s="207" t="s">
        <v>260</v>
      </c>
    </row>
    <row r="40" spans="1:21" ht="12.75" customHeight="1">
      <c r="A40" s="225"/>
      <c r="B40" s="290"/>
      <c r="C40" s="232"/>
      <c r="D40" s="218" t="s">
        <v>117</v>
      </c>
      <c r="E40" s="219"/>
      <c r="F40" s="219"/>
      <c r="G40" s="219"/>
      <c r="H40" s="219"/>
      <c r="I40" s="219"/>
      <c r="J40" s="219"/>
      <c r="K40" s="219"/>
      <c r="L40" s="220"/>
      <c r="M40" s="208"/>
      <c r="N40" s="205"/>
      <c r="O40" s="205"/>
      <c r="P40" s="205"/>
      <c r="Q40" s="205"/>
      <c r="R40" s="205"/>
      <c r="S40" s="205"/>
      <c r="T40" s="205"/>
      <c r="U40" s="208"/>
    </row>
    <row r="41" spans="1:21" ht="12.75" customHeight="1">
      <c r="A41" s="225"/>
      <c r="B41" s="290"/>
      <c r="C41" s="232"/>
      <c r="D41" s="22" t="s">
        <v>95</v>
      </c>
      <c r="E41" s="23">
        <f>F41+G41+H41+I41+J41+K41+L41</f>
        <v>992500</v>
      </c>
      <c r="F41" s="23">
        <v>450000</v>
      </c>
      <c r="G41" s="23">
        <f>175000</f>
        <v>175000</v>
      </c>
      <c r="H41" s="23">
        <v>175000</v>
      </c>
      <c r="I41" s="23">
        <v>192500</v>
      </c>
      <c r="J41" s="23">
        <v>0</v>
      </c>
      <c r="K41" s="23">
        <v>0</v>
      </c>
      <c r="L41" s="23">
        <v>0</v>
      </c>
      <c r="M41" s="208"/>
      <c r="N41" s="205"/>
      <c r="O41" s="205"/>
      <c r="P41" s="205"/>
      <c r="Q41" s="205"/>
      <c r="R41" s="205"/>
      <c r="S41" s="205"/>
      <c r="T41" s="205"/>
      <c r="U41" s="208"/>
    </row>
    <row r="42" spans="1:21" ht="12.75" customHeight="1">
      <c r="A42" s="225"/>
      <c r="B42" s="290"/>
      <c r="C42" s="232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08"/>
      <c r="N42" s="205"/>
      <c r="O42" s="205"/>
      <c r="P42" s="205"/>
      <c r="Q42" s="205"/>
      <c r="R42" s="205"/>
      <c r="S42" s="205"/>
      <c r="T42" s="205"/>
      <c r="U42" s="208"/>
    </row>
    <row r="43" spans="1:21" ht="12.75" customHeight="1">
      <c r="A43" s="225"/>
      <c r="B43" s="290"/>
      <c r="C43" s="232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08"/>
      <c r="N43" s="205"/>
      <c r="O43" s="205"/>
      <c r="P43" s="205"/>
      <c r="Q43" s="205"/>
      <c r="R43" s="205"/>
      <c r="S43" s="205"/>
      <c r="T43" s="205"/>
      <c r="U43" s="208"/>
    </row>
    <row r="44" spans="1:21" ht="12.75" customHeight="1">
      <c r="A44" s="225"/>
      <c r="B44" s="291"/>
      <c r="C44" s="233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09"/>
      <c r="N44" s="206"/>
      <c r="O44" s="206"/>
      <c r="P44" s="206"/>
      <c r="Q44" s="206"/>
      <c r="R44" s="206"/>
      <c r="S44" s="206"/>
      <c r="T44" s="206"/>
      <c r="U44" s="209"/>
    </row>
    <row r="45" spans="1:21" ht="13.5" customHeight="1">
      <c r="A45" s="236"/>
      <c r="B45" s="266" t="s">
        <v>157</v>
      </c>
      <c r="C45" s="236"/>
      <c r="D45" s="102" t="s">
        <v>97</v>
      </c>
      <c r="E45" s="103">
        <f aca="true" t="shared" si="6" ref="E45:L45">E47+E48+E49+E50</f>
        <v>319416630.71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49845898</v>
      </c>
      <c r="J45" s="103">
        <f t="shared" si="6"/>
        <v>42140522.81</v>
      </c>
      <c r="K45" s="103">
        <f t="shared" si="6"/>
        <v>42143164.730000004</v>
      </c>
      <c r="L45" s="103">
        <f t="shared" si="6"/>
        <v>42143164.730000004</v>
      </c>
      <c r="M45" s="238"/>
      <c r="N45" s="246"/>
      <c r="O45" s="246"/>
      <c r="P45" s="246"/>
      <c r="Q45" s="246"/>
      <c r="R45" s="246"/>
      <c r="S45" s="246"/>
      <c r="T45" s="246"/>
      <c r="U45" s="249"/>
    </row>
    <row r="46" spans="1:21" ht="12.75" customHeight="1">
      <c r="A46" s="236"/>
      <c r="B46" s="267"/>
      <c r="C46" s="236"/>
      <c r="D46" s="241" t="s">
        <v>117</v>
      </c>
      <c r="E46" s="242"/>
      <c r="F46" s="242"/>
      <c r="G46" s="242"/>
      <c r="H46" s="242"/>
      <c r="I46" s="242"/>
      <c r="J46" s="242"/>
      <c r="K46" s="242"/>
      <c r="L46" s="243"/>
      <c r="M46" s="239"/>
      <c r="N46" s="247"/>
      <c r="O46" s="247"/>
      <c r="P46" s="247"/>
      <c r="Q46" s="247"/>
      <c r="R46" s="247"/>
      <c r="S46" s="247"/>
      <c r="T46" s="247"/>
      <c r="U46" s="250"/>
    </row>
    <row r="47" spans="1:21" ht="13.5" customHeight="1">
      <c r="A47" s="236"/>
      <c r="B47" s="267"/>
      <c r="C47" s="236"/>
      <c r="D47" s="104" t="s">
        <v>95</v>
      </c>
      <c r="E47" s="103">
        <f>F47+G47+H47+I47+J47+K47+L47</f>
        <v>42541611.26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I11+I17+I23+I29+I35+I41</f>
        <v>6439998</v>
      </c>
      <c r="J47" s="105">
        <f>J11+J17+J23+J29+J35</f>
        <v>5838622.81</v>
      </c>
      <c r="K47" s="105">
        <f>K11+K17+K23+K29+K35</f>
        <v>5841264.7299999995</v>
      </c>
      <c r="L47" s="105">
        <f>L11+L17+L23+L29+L35</f>
        <v>5841264.7299999995</v>
      </c>
      <c r="M47" s="239"/>
      <c r="N47" s="247"/>
      <c r="O47" s="247"/>
      <c r="P47" s="247"/>
      <c r="Q47" s="247"/>
      <c r="R47" s="247"/>
      <c r="S47" s="247"/>
      <c r="T47" s="247"/>
      <c r="U47" s="250"/>
    </row>
    <row r="48" spans="1:21" ht="13.5" customHeight="1">
      <c r="A48" s="236"/>
      <c r="B48" s="267"/>
      <c r="C48" s="236"/>
      <c r="D48" s="104" t="s">
        <v>93</v>
      </c>
      <c r="E48" s="103">
        <f>F48+G48+H48+I48+J48+K48+L48</f>
        <v>105252400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15095800</v>
      </c>
      <c r="J48" s="105">
        <f t="shared" si="8"/>
        <v>15084400</v>
      </c>
      <c r="K48" s="105">
        <f t="shared" si="8"/>
        <v>15084400</v>
      </c>
      <c r="L48" s="105">
        <f t="shared" si="8"/>
        <v>15084400</v>
      </c>
      <c r="M48" s="239"/>
      <c r="N48" s="247"/>
      <c r="O48" s="247"/>
      <c r="P48" s="247"/>
      <c r="Q48" s="247"/>
      <c r="R48" s="247"/>
      <c r="S48" s="247"/>
      <c r="T48" s="247"/>
      <c r="U48" s="250"/>
    </row>
    <row r="49" spans="1:21" ht="13.5" customHeight="1">
      <c r="A49" s="236"/>
      <c r="B49" s="267"/>
      <c r="C49" s="236"/>
      <c r="D49" s="104" t="s">
        <v>94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39"/>
      <c r="N49" s="247"/>
      <c r="O49" s="247"/>
      <c r="P49" s="247"/>
      <c r="Q49" s="247"/>
      <c r="R49" s="247"/>
      <c r="S49" s="247"/>
      <c r="T49" s="247"/>
      <c r="U49" s="250"/>
    </row>
    <row r="50" spans="1:21" ht="13.5" customHeight="1">
      <c r="A50" s="236"/>
      <c r="B50" s="268"/>
      <c r="C50" s="236"/>
      <c r="D50" s="104" t="s">
        <v>96</v>
      </c>
      <c r="E50" s="103">
        <f>F50+G50+H50+I50+J50+K50+L50</f>
        <v>171622619.45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28310100</v>
      </c>
      <c r="J50" s="105">
        <f t="shared" si="8"/>
        <v>21217500</v>
      </c>
      <c r="K50" s="105">
        <f t="shared" si="8"/>
        <v>21217500</v>
      </c>
      <c r="L50" s="105">
        <f t="shared" si="8"/>
        <v>21217500</v>
      </c>
      <c r="M50" s="240"/>
      <c r="N50" s="248"/>
      <c r="O50" s="248"/>
      <c r="P50" s="248"/>
      <c r="Q50" s="248"/>
      <c r="R50" s="248"/>
      <c r="S50" s="248"/>
      <c r="T50" s="248"/>
      <c r="U50" s="251"/>
    </row>
    <row r="51" spans="1:21" ht="13.5" customHeight="1">
      <c r="A51" s="236"/>
      <c r="B51" s="266" t="s">
        <v>264</v>
      </c>
      <c r="C51" s="236"/>
      <c r="D51" s="102" t="s">
        <v>97</v>
      </c>
      <c r="E51" s="103">
        <f aca="true" t="shared" si="9" ref="E51:L51">E53+E54+E55+E56</f>
        <v>319416630.71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49845898</v>
      </c>
      <c r="J51" s="103">
        <f t="shared" si="9"/>
        <v>42140522.81</v>
      </c>
      <c r="K51" s="103">
        <f t="shared" si="9"/>
        <v>42143164.730000004</v>
      </c>
      <c r="L51" s="103">
        <f t="shared" si="9"/>
        <v>42143164.730000004</v>
      </c>
      <c r="M51" s="238"/>
      <c r="N51" s="246"/>
      <c r="O51" s="246"/>
      <c r="P51" s="246"/>
      <c r="Q51" s="246"/>
      <c r="R51" s="246"/>
      <c r="S51" s="246"/>
      <c r="T51" s="246"/>
      <c r="U51" s="249"/>
    </row>
    <row r="52" spans="1:21" ht="12.75" customHeight="1">
      <c r="A52" s="236"/>
      <c r="B52" s="267"/>
      <c r="C52" s="236"/>
      <c r="D52" s="241" t="s">
        <v>117</v>
      </c>
      <c r="E52" s="242"/>
      <c r="F52" s="242"/>
      <c r="G52" s="242"/>
      <c r="H52" s="242"/>
      <c r="I52" s="242"/>
      <c r="J52" s="242"/>
      <c r="K52" s="242"/>
      <c r="L52" s="243"/>
      <c r="M52" s="239"/>
      <c r="N52" s="247"/>
      <c r="O52" s="247"/>
      <c r="P52" s="247"/>
      <c r="Q52" s="247"/>
      <c r="R52" s="247"/>
      <c r="S52" s="247"/>
      <c r="T52" s="247"/>
      <c r="U52" s="250"/>
    </row>
    <row r="53" spans="1:21" ht="13.5" customHeight="1">
      <c r="A53" s="236"/>
      <c r="B53" s="267"/>
      <c r="C53" s="236"/>
      <c r="D53" s="104" t="s">
        <v>95</v>
      </c>
      <c r="E53" s="103">
        <f>F53+G53+H53+I53+J53+K53+L53</f>
        <v>42541611.26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6439998</v>
      </c>
      <c r="J53" s="105">
        <f t="shared" si="10"/>
        <v>5838622.81</v>
      </c>
      <c r="K53" s="105">
        <f t="shared" si="10"/>
        <v>5841264.7299999995</v>
      </c>
      <c r="L53" s="105">
        <f t="shared" si="10"/>
        <v>5841264.7299999995</v>
      </c>
      <c r="M53" s="239"/>
      <c r="N53" s="247"/>
      <c r="O53" s="247"/>
      <c r="P53" s="247"/>
      <c r="Q53" s="247"/>
      <c r="R53" s="247"/>
      <c r="S53" s="247"/>
      <c r="T53" s="247"/>
      <c r="U53" s="250"/>
    </row>
    <row r="54" spans="1:21" ht="13.5" customHeight="1">
      <c r="A54" s="236"/>
      <c r="B54" s="267"/>
      <c r="C54" s="236"/>
      <c r="D54" s="104" t="s">
        <v>93</v>
      </c>
      <c r="E54" s="103">
        <f>F54+G54+H54+I54+J54+K54+L54</f>
        <v>105252400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15095800</v>
      </c>
      <c r="J54" s="105">
        <f t="shared" si="10"/>
        <v>15084400</v>
      </c>
      <c r="K54" s="105">
        <f t="shared" si="10"/>
        <v>15084400</v>
      </c>
      <c r="L54" s="105">
        <f t="shared" si="10"/>
        <v>15084400</v>
      </c>
      <c r="M54" s="239"/>
      <c r="N54" s="247"/>
      <c r="O54" s="247"/>
      <c r="P54" s="247"/>
      <c r="Q54" s="247"/>
      <c r="R54" s="247"/>
      <c r="S54" s="247"/>
      <c r="T54" s="247"/>
      <c r="U54" s="250"/>
    </row>
    <row r="55" spans="1:21" ht="13.5" customHeight="1">
      <c r="A55" s="236"/>
      <c r="B55" s="267"/>
      <c r="C55" s="236"/>
      <c r="D55" s="104" t="s">
        <v>94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39"/>
      <c r="N55" s="247"/>
      <c r="O55" s="247"/>
      <c r="P55" s="247"/>
      <c r="Q55" s="247"/>
      <c r="R55" s="247"/>
      <c r="S55" s="247"/>
      <c r="T55" s="247"/>
      <c r="U55" s="250"/>
    </row>
    <row r="56" spans="1:21" ht="13.5" customHeight="1">
      <c r="A56" s="236"/>
      <c r="B56" s="268"/>
      <c r="C56" s="236"/>
      <c r="D56" s="104" t="s">
        <v>96</v>
      </c>
      <c r="E56" s="103">
        <f>F56+G56+H56+I56+J56+K56+L56</f>
        <v>171622619.45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28310100</v>
      </c>
      <c r="J56" s="105">
        <f t="shared" si="10"/>
        <v>21217500</v>
      </c>
      <c r="K56" s="105">
        <f t="shared" si="10"/>
        <v>21217500</v>
      </c>
      <c r="L56" s="105">
        <f t="shared" si="10"/>
        <v>21217500</v>
      </c>
      <c r="M56" s="240"/>
      <c r="N56" s="248"/>
      <c r="O56" s="248"/>
      <c r="P56" s="248"/>
      <c r="Q56" s="248"/>
      <c r="R56" s="248"/>
      <c r="S56" s="248"/>
      <c r="T56" s="248"/>
      <c r="U56" s="251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U51:U56"/>
    <mergeCell ref="D52:L52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78" t="s">
        <v>286</v>
      </c>
      <c r="G1" s="179"/>
      <c r="H1" s="179"/>
      <c r="I1" s="179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</row>
    <row r="5" spans="1:9" ht="30" customHeight="1">
      <c r="A5" s="199" t="s">
        <v>103</v>
      </c>
      <c r="B5" s="201" t="s">
        <v>104</v>
      </c>
      <c r="C5" s="203" t="s">
        <v>105</v>
      </c>
      <c r="D5" s="203"/>
      <c r="E5" s="203"/>
      <c r="F5" s="203"/>
      <c r="G5" s="203"/>
      <c r="H5" s="203"/>
      <c r="I5" s="203"/>
    </row>
    <row r="6" spans="1:9" ht="16.5" customHeight="1">
      <c r="A6" s="200"/>
      <c r="B6" s="202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119713619.19999999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16574790</v>
      </c>
      <c r="G8" s="137">
        <f t="shared" si="0"/>
        <v>17746810.4</v>
      </c>
      <c r="H8" s="137">
        <f t="shared" si="0"/>
        <v>17746810.4</v>
      </c>
      <c r="I8" s="137">
        <f t="shared" si="0"/>
        <v>17746810.4</v>
      </c>
    </row>
    <row r="9" spans="1:9" ht="15.75">
      <c r="A9" s="192" t="s">
        <v>106</v>
      </c>
      <c r="B9" s="193"/>
      <c r="C9" s="193"/>
      <c r="D9" s="193"/>
      <c r="E9" s="193"/>
      <c r="F9" s="193"/>
      <c r="G9" s="193"/>
      <c r="H9" s="193"/>
      <c r="I9" s="194"/>
    </row>
    <row r="10" spans="1:9" ht="20.25" customHeight="1">
      <c r="A10" s="138" t="s">
        <v>107</v>
      </c>
      <c r="B10" s="137">
        <f>C10+D10+E10+F10+G10+H10+I10</f>
        <v>61987385.199999996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8492246.4</v>
      </c>
      <c r="H10" s="139">
        <f t="shared" si="1"/>
        <v>8492246.4</v>
      </c>
      <c r="I10" s="139">
        <f t="shared" si="1"/>
        <v>8492246.4</v>
      </c>
    </row>
    <row r="11" spans="1:9" ht="20.25" customHeight="1">
      <c r="A11" s="138" t="s">
        <v>20</v>
      </c>
      <c r="B11" s="137">
        <f>C11+D11+E11+F11+G11+H11+I11</f>
        <v>24487804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3866700</v>
      </c>
      <c r="H11" s="139">
        <f t="shared" si="2"/>
        <v>3866700</v>
      </c>
      <c r="I11" s="139">
        <f t="shared" si="2"/>
        <v>3866700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110</v>
      </c>
      <c r="B13" s="137">
        <f>C13+D13+E13+F13+G13+H13+I13</f>
        <v>33238430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3862000</v>
      </c>
      <c r="G13" s="139">
        <f t="shared" si="2"/>
        <v>5387864</v>
      </c>
      <c r="H13" s="139">
        <f t="shared" si="2"/>
        <v>5387864</v>
      </c>
      <c r="I13" s="139">
        <f t="shared" si="2"/>
        <v>5387864</v>
      </c>
    </row>
    <row r="14" spans="1:9" ht="20.25" customHeight="1">
      <c r="A14" s="195" t="s">
        <v>111</v>
      </c>
      <c r="B14" s="196"/>
      <c r="C14" s="196"/>
      <c r="D14" s="196"/>
      <c r="E14" s="196"/>
      <c r="F14" s="196"/>
      <c r="G14" s="196"/>
      <c r="H14" s="196"/>
      <c r="I14" s="197"/>
    </row>
    <row r="15" spans="1:9" ht="49.5" customHeight="1">
      <c r="A15" s="140" t="s">
        <v>118</v>
      </c>
      <c r="B15" s="137">
        <f>B17+B18+B19+B20</f>
        <v>119713619.19999999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16574790</v>
      </c>
      <c r="G15" s="137">
        <f t="shared" si="3"/>
        <v>17746810.4</v>
      </c>
      <c r="H15" s="137">
        <f t="shared" si="3"/>
        <v>17746810.4</v>
      </c>
      <c r="I15" s="137">
        <f t="shared" si="3"/>
        <v>17746810.4</v>
      </c>
    </row>
    <row r="16" spans="1:9" ht="15.75">
      <c r="A16" s="192" t="s">
        <v>106</v>
      </c>
      <c r="B16" s="193"/>
      <c r="C16" s="193"/>
      <c r="D16" s="193"/>
      <c r="E16" s="193"/>
      <c r="F16" s="193"/>
      <c r="G16" s="193"/>
      <c r="H16" s="193"/>
      <c r="I16" s="194"/>
    </row>
    <row r="17" spans="1:9" ht="25.5" customHeight="1">
      <c r="A17" s="138" t="s">
        <v>107</v>
      </c>
      <c r="B17" s="137">
        <f>C17+D17+E17+F17+G17+H17+I17</f>
        <v>61987385.199999996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8492246.4</v>
      </c>
      <c r="H17" s="139">
        <f>+'таб 3(7)'!K30</f>
        <v>8492246.4</v>
      </c>
      <c r="I17" s="139">
        <f>+'таб 3(7)'!L30</f>
        <v>8492246.4</v>
      </c>
    </row>
    <row r="18" spans="1:9" ht="25.5" customHeight="1">
      <c r="A18" s="141" t="s">
        <v>20</v>
      </c>
      <c r="B18" s="137">
        <f>C18+D18+E18+F18+G18+H18+I18</f>
        <v>24487804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3866700</v>
      </c>
      <c r="H18" s="139">
        <f>+'таб 3(7)'!K31</f>
        <v>3866700</v>
      </c>
      <c r="I18" s="139">
        <f>+'таб 3(7)'!L31</f>
        <v>3866700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110</v>
      </c>
      <c r="B20" s="137">
        <f>C20+D20+E20+F20+G20+H20+I20</f>
        <v>33238430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3862000</v>
      </c>
      <c r="G20" s="139">
        <f>+'таб 3(7)'!J33</f>
        <v>5387864</v>
      </c>
      <c r="H20" s="139">
        <f>+'таб 3(7)'!K33</f>
        <v>5387864</v>
      </c>
      <c r="I20" s="139">
        <f>+'таб 3(7)'!L33</f>
        <v>5387864</v>
      </c>
    </row>
    <row r="21" spans="1:9" ht="30.75" customHeight="1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N3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9" width="13.421875" style="19" customWidth="1"/>
    <col min="10" max="10" width="13.140625" style="19" customWidth="1"/>
    <col min="11" max="11" width="15.421875" style="19" customWidth="1"/>
    <col min="12" max="12" width="13.57421875" style="19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78" t="s">
        <v>287</v>
      </c>
      <c r="Q1" s="179"/>
      <c r="R1" s="179"/>
      <c r="S1" s="179"/>
      <c r="T1" s="179"/>
      <c r="U1" s="179"/>
    </row>
    <row r="2" spans="20:21" ht="27" customHeight="1">
      <c r="T2" s="100"/>
      <c r="U2" s="106" t="s">
        <v>175</v>
      </c>
    </row>
    <row r="3" spans="1:21" ht="15.75">
      <c r="A3" s="311" t="s">
        <v>22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88" t="s">
        <v>101</v>
      </c>
      <c r="B5" s="188" t="s">
        <v>113</v>
      </c>
      <c r="C5" s="188" t="s">
        <v>114</v>
      </c>
      <c r="D5" s="188" t="s">
        <v>103</v>
      </c>
      <c r="E5" s="188" t="s">
        <v>115</v>
      </c>
      <c r="F5" s="188"/>
      <c r="G5" s="188"/>
      <c r="H5" s="188"/>
      <c r="I5" s="188"/>
      <c r="J5" s="188"/>
      <c r="K5" s="188"/>
      <c r="L5" s="188"/>
      <c r="M5" s="188" t="s">
        <v>32</v>
      </c>
      <c r="N5" s="188"/>
      <c r="O5" s="188"/>
      <c r="P5" s="188"/>
      <c r="Q5" s="188"/>
      <c r="R5" s="188"/>
      <c r="S5" s="188"/>
      <c r="T5" s="188"/>
      <c r="U5" s="234" t="s">
        <v>116</v>
      </c>
    </row>
    <row r="6" spans="1:21" ht="21" customHeight="1">
      <c r="A6" s="188"/>
      <c r="B6" s="188"/>
      <c r="C6" s="188"/>
      <c r="D6" s="188"/>
      <c r="E6" s="20" t="s">
        <v>97</v>
      </c>
      <c r="F6" s="6" t="s">
        <v>86</v>
      </c>
      <c r="G6" s="6" t="s">
        <v>87</v>
      </c>
      <c r="H6" s="6" t="s">
        <v>88</v>
      </c>
      <c r="I6" s="6" t="s">
        <v>89</v>
      </c>
      <c r="J6" s="6" t="s">
        <v>90</v>
      </c>
      <c r="K6" s="6" t="s">
        <v>91</v>
      </c>
      <c r="L6" s="6" t="s">
        <v>92</v>
      </c>
      <c r="M6" s="3" t="s">
        <v>102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235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15" t="s">
        <v>176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25" t="s">
        <v>125</v>
      </c>
      <c r="B10" s="289" t="s">
        <v>183</v>
      </c>
      <c r="C10" s="231" t="s">
        <v>82</v>
      </c>
      <c r="D10" s="22" t="s">
        <v>97</v>
      </c>
      <c r="E10" s="23">
        <f>E12+E13+E14+E15</f>
        <v>81820287.57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11436557.2</v>
      </c>
      <c r="J10" s="23">
        <f t="shared" si="0"/>
        <v>11937134.91</v>
      </c>
      <c r="K10" s="23">
        <f t="shared" si="0"/>
        <v>11937134.91</v>
      </c>
      <c r="L10" s="23">
        <f t="shared" si="0"/>
        <v>11937134.91</v>
      </c>
      <c r="M10" s="260" t="s">
        <v>4</v>
      </c>
      <c r="N10" s="210">
        <v>96</v>
      </c>
      <c r="O10" s="210">
        <v>96</v>
      </c>
      <c r="P10" s="210">
        <v>96</v>
      </c>
      <c r="Q10" s="210">
        <v>96</v>
      </c>
      <c r="R10" s="210">
        <v>96</v>
      </c>
      <c r="S10" s="210">
        <v>96</v>
      </c>
      <c r="T10" s="210">
        <v>96</v>
      </c>
      <c r="U10" s="260" t="s">
        <v>209</v>
      </c>
    </row>
    <row r="11" spans="1:21" ht="16.5" customHeight="1">
      <c r="A11" s="225"/>
      <c r="B11" s="290"/>
      <c r="C11" s="232"/>
      <c r="D11" s="218" t="s">
        <v>117</v>
      </c>
      <c r="E11" s="219"/>
      <c r="F11" s="219"/>
      <c r="G11" s="219"/>
      <c r="H11" s="219"/>
      <c r="I11" s="219"/>
      <c r="J11" s="219"/>
      <c r="K11" s="219"/>
      <c r="L11" s="220"/>
      <c r="M11" s="261"/>
      <c r="N11" s="211"/>
      <c r="O11" s="211"/>
      <c r="P11" s="211"/>
      <c r="Q11" s="211"/>
      <c r="R11" s="211"/>
      <c r="S11" s="211"/>
      <c r="T11" s="211"/>
      <c r="U11" s="261"/>
    </row>
    <row r="12" spans="1:21" ht="12.75">
      <c r="A12" s="225"/>
      <c r="B12" s="290"/>
      <c r="C12" s="232"/>
      <c r="D12" s="22" t="s">
        <v>95</v>
      </c>
      <c r="E12" s="23">
        <f>F12+G12+H12+I12+J12+K12+L12</f>
        <v>47829457.56999999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v>6549270.91</v>
      </c>
      <c r="K12" s="61">
        <v>6549270.91</v>
      </c>
      <c r="L12" s="61">
        <v>6549270.91</v>
      </c>
      <c r="M12" s="261"/>
      <c r="N12" s="211"/>
      <c r="O12" s="211"/>
      <c r="P12" s="211"/>
      <c r="Q12" s="211"/>
      <c r="R12" s="211"/>
      <c r="S12" s="211"/>
      <c r="T12" s="211"/>
      <c r="U12" s="261"/>
    </row>
    <row r="13" spans="1:21" ht="12.75">
      <c r="A13" s="225"/>
      <c r="B13" s="290"/>
      <c r="C13" s="232"/>
      <c r="D13" s="22" t="s">
        <v>93</v>
      </c>
      <c r="E13" s="23">
        <f>F13+G13+H13+I13+J13+K13+L13</f>
        <v>752400</v>
      </c>
      <c r="F13" s="23"/>
      <c r="G13" s="23"/>
      <c r="H13" s="23"/>
      <c r="I13" s="167">
        <v>752400</v>
      </c>
      <c r="J13" s="23"/>
      <c r="K13" s="23"/>
      <c r="L13" s="23"/>
      <c r="M13" s="261"/>
      <c r="N13" s="211"/>
      <c r="O13" s="211"/>
      <c r="P13" s="211"/>
      <c r="Q13" s="211"/>
      <c r="R13" s="211"/>
      <c r="S13" s="211"/>
      <c r="T13" s="211"/>
      <c r="U13" s="261"/>
    </row>
    <row r="14" spans="1:21" ht="12.75" customHeight="1">
      <c r="A14" s="225"/>
      <c r="B14" s="290"/>
      <c r="C14" s="232"/>
      <c r="D14" s="22" t="s">
        <v>94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1"/>
      <c r="N14" s="211"/>
      <c r="O14" s="211"/>
      <c r="P14" s="211"/>
      <c r="Q14" s="211"/>
      <c r="R14" s="211"/>
      <c r="S14" s="211"/>
      <c r="T14" s="211"/>
      <c r="U14" s="261"/>
    </row>
    <row r="15" spans="1:21" ht="18.75" customHeight="1">
      <c r="A15" s="225"/>
      <c r="B15" s="291"/>
      <c r="C15" s="233"/>
      <c r="D15" s="22" t="s">
        <v>96</v>
      </c>
      <c r="E15" s="23">
        <f>F15+G15+H15+I15+J15+K15+L15</f>
        <v>33238430</v>
      </c>
      <c r="F15" s="62">
        <v>4452780</v>
      </c>
      <c r="G15" s="62">
        <v>4898058</v>
      </c>
      <c r="H15" s="62">
        <v>3862000</v>
      </c>
      <c r="I15" s="160">
        <v>3862000</v>
      </c>
      <c r="J15" s="160">
        <v>5387864</v>
      </c>
      <c r="K15" s="160">
        <v>5387864</v>
      </c>
      <c r="L15" s="160">
        <v>5387864</v>
      </c>
      <c r="M15" s="262"/>
      <c r="N15" s="212"/>
      <c r="O15" s="212"/>
      <c r="P15" s="212"/>
      <c r="Q15" s="212"/>
      <c r="R15" s="212"/>
      <c r="S15" s="212"/>
      <c r="T15" s="212"/>
      <c r="U15" s="262"/>
    </row>
    <row r="16" spans="1:21" ht="24" customHeight="1">
      <c r="A16" s="225" t="s">
        <v>126</v>
      </c>
      <c r="B16" s="289" t="s">
        <v>173</v>
      </c>
      <c r="C16" s="231" t="s">
        <v>82</v>
      </c>
      <c r="D16" s="22" t="s">
        <v>97</v>
      </c>
      <c r="E16" s="23">
        <f>E18+E19+E20+E21</f>
        <v>37893331.63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5809675.49</v>
      </c>
      <c r="K16" s="23">
        <f t="shared" si="1"/>
        <v>5809675.49</v>
      </c>
      <c r="L16" s="23">
        <f t="shared" si="1"/>
        <v>5809675.49</v>
      </c>
      <c r="M16" s="260" t="s">
        <v>174</v>
      </c>
      <c r="N16" s="312">
        <v>100</v>
      </c>
      <c r="O16" s="312">
        <v>100</v>
      </c>
      <c r="P16" s="312">
        <v>100</v>
      </c>
      <c r="Q16" s="312">
        <v>100</v>
      </c>
      <c r="R16" s="312">
        <v>100</v>
      </c>
      <c r="S16" s="312">
        <v>100</v>
      </c>
      <c r="T16" s="312">
        <v>100</v>
      </c>
      <c r="U16" s="260" t="s">
        <v>205</v>
      </c>
    </row>
    <row r="17" spans="1:21" ht="16.5" customHeight="1">
      <c r="A17" s="225"/>
      <c r="B17" s="290"/>
      <c r="C17" s="232"/>
      <c r="D17" s="218" t="s">
        <v>117</v>
      </c>
      <c r="E17" s="219"/>
      <c r="F17" s="219"/>
      <c r="G17" s="219"/>
      <c r="H17" s="219"/>
      <c r="I17" s="219"/>
      <c r="J17" s="219"/>
      <c r="K17" s="219"/>
      <c r="L17" s="220"/>
      <c r="M17" s="261"/>
      <c r="N17" s="313"/>
      <c r="O17" s="313"/>
      <c r="P17" s="313"/>
      <c r="Q17" s="313"/>
      <c r="R17" s="313"/>
      <c r="S17" s="313"/>
      <c r="T17" s="313"/>
      <c r="U17" s="261"/>
    </row>
    <row r="18" spans="1:21" ht="18" customHeight="1">
      <c r="A18" s="225"/>
      <c r="B18" s="290"/>
      <c r="C18" s="232"/>
      <c r="D18" s="22" t="s">
        <v>95</v>
      </c>
      <c r="E18" s="23">
        <f>F18+G18+H18+I18+J18+K18+L18</f>
        <v>14157927.63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1942975.49</v>
      </c>
      <c r="K18" s="23">
        <v>1942975.49</v>
      </c>
      <c r="L18" s="23">
        <v>1942975.49</v>
      </c>
      <c r="M18" s="261"/>
      <c r="N18" s="313"/>
      <c r="O18" s="313"/>
      <c r="P18" s="313"/>
      <c r="Q18" s="313"/>
      <c r="R18" s="313"/>
      <c r="S18" s="313"/>
      <c r="T18" s="313"/>
      <c r="U18" s="261"/>
    </row>
    <row r="19" spans="1:21" ht="12.75" customHeight="1">
      <c r="A19" s="225"/>
      <c r="B19" s="290"/>
      <c r="C19" s="232"/>
      <c r="D19" s="22" t="s">
        <v>93</v>
      </c>
      <c r="E19" s="23">
        <f>F19+G19+H19+I19+J19+K19+L19</f>
        <v>23735404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3866700</v>
      </c>
      <c r="K19" s="84">
        <v>3866700</v>
      </c>
      <c r="L19" s="84">
        <v>3866700</v>
      </c>
      <c r="M19" s="261"/>
      <c r="N19" s="313"/>
      <c r="O19" s="313"/>
      <c r="P19" s="313"/>
      <c r="Q19" s="313"/>
      <c r="R19" s="313"/>
      <c r="S19" s="313"/>
      <c r="T19" s="313"/>
      <c r="U19" s="261"/>
    </row>
    <row r="20" spans="1:21" ht="12.75" customHeight="1">
      <c r="A20" s="225"/>
      <c r="B20" s="290"/>
      <c r="C20" s="232"/>
      <c r="D20" s="22" t="s">
        <v>94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1"/>
      <c r="N20" s="313"/>
      <c r="O20" s="313"/>
      <c r="P20" s="313"/>
      <c r="Q20" s="313"/>
      <c r="R20" s="313"/>
      <c r="S20" s="313"/>
      <c r="T20" s="313"/>
      <c r="U20" s="261"/>
    </row>
    <row r="21" spans="1:21" ht="24" customHeight="1">
      <c r="A21" s="225"/>
      <c r="B21" s="291"/>
      <c r="C21" s="233"/>
      <c r="D21" s="22" t="s">
        <v>96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62"/>
      <c r="N21" s="314"/>
      <c r="O21" s="314"/>
      <c r="P21" s="314"/>
      <c r="Q21" s="314"/>
      <c r="R21" s="314"/>
      <c r="S21" s="314"/>
      <c r="T21" s="314"/>
      <c r="U21" s="262"/>
    </row>
    <row r="22" spans="1:21" ht="13.5" customHeight="1">
      <c r="A22" s="236"/>
      <c r="B22" s="266" t="s">
        <v>157</v>
      </c>
      <c r="C22" s="236"/>
      <c r="D22" s="102" t="s">
        <v>97</v>
      </c>
      <c r="E22" s="103">
        <f aca="true" t="shared" si="2" ref="E22:L22">E24+E25+E26+E27</f>
        <v>119713619.19999999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16574790</v>
      </c>
      <c r="J22" s="103">
        <f t="shared" si="2"/>
        <v>17746810.4</v>
      </c>
      <c r="K22" s="103">
        <f t="shared" si="2"/>
        <v>17746810.4</v>
      </c>
      <c r="L22" s="103">
        <f t="shared" si="2"/>
        <v>17746810.4</v>
      </c>
      <c r="M22" s="238"/>
      <c r="N22" s="246"/>
      <c r="O22" s="246"/>
      <c r="P22" s="246"/>
      <c r="Q22" s="246"/>
      <c r="R22" s="246"/>
      <c r="S22" s="246"/>
      <c r="T22" s="246"/>
      <c r="U22" s="249"/>
    </row>
    <row r="23" spans="1:21" ht="12.75" customHeight="1">
      <c r="A23" s="236"/>
      <c r="B23" s="267"/>
      <c r="C23" s="236"/>
      <c r="D23" s="241" t="s">
        <v>117</v>
      </c>
      <c r="E23" s="242"/>
      <c r="F23" s="242"/>
      <c r="G23" s="242"/>
      <c r="H23" s="242"/>
      <c r="I23" s="242"/>
      <c r="J23" s="242"/>
      <c r="K23" s="242"/>
      <c r="L23" s="243"/>
      <c r="M23" s="239"/>
      <c r="N23" s="247"/>
      <c r="O23" s="247"/>
      <c r="P23" s="247"/>
      <c r="Q23" s="247"/>
      <c r="R23" s="247"/>
      <c r="S23" s="247"/>
      <c r="T23" s="247"/>
      <c r="U23" s="250"/>
    </row>
    <row r="24" spans="1:21" ht="13.5" customHeight="1">
      <c r="A24" s="236"/>
      <c r="B24" s="267"/>
      <c r="C24" s="236"/>
      <c r="D24" s="104" t="s">
        <v>95</v>
      </c>
      <c r="E24" s="103">
        <f>F24+G24+H24+I24+J24+K24+L24</f>
        <v>61987385.199999996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8492246.4</v>
      </c>
      <c r="K24" s="105">
        <f t="shared" si="3"/>
        <v>8492246.4</v>
      </c>
      <c r="L24" s="105">
        <f t="shared" si="3"/>
        <v>8492246.4</v>
      </c>
      <c r="M24" s="239"/>
      <c r="N24" s="247"/>
      <c r="O24" s="247"/>
      <c r="P24" s="247"/>
      <c r="Q24" s="247"/>
      <c r="R24" s="247"/>
      <c r="S24" s="247"/>
      <c r="T24" s="247"/>
      <c r="U24" s="250"/>
    </row>
    <row r="25" spans="1:21" ht="13.5" customHeight="1">
      <c r="A25" s="236"/>
      <c r="B25" s="267"/>
      <c r="C25" s="236"/>
      <c r="D25" s="104" t="s">
        <v>93</v>
      </c>
      <c r="E25" s="103">
        <f>F25+G25+H25+I25+J25+K25+L25</f>
        <v>24487804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3866700</v>
      </c>
      <c r="K25" s="105">
        <f t="shared" si="3"/>
        <v>3866700</v>
      </c>
      <c r="L25" s="105">
        <f t="shared" si="3"/>
        <v>3866700</v>
      </c>
      <c r="M25" s="239"/>
      <c r="N25" s="247"/>
      <c r="O25" s="247"/>
      <c r="P25" s="247"/>
      <c r="Q25" s="247"/>
      <c r="R25" s="247"/>
      <c r="S25" s="247"/>
      <c r="T25" s="247"/>
      <c r="U25" s="250"/>
    </row>
    <row r="26" spans="1:21" ht="13.5" customHeight="1">
      <c r="A26" s="236"/>
      <c r="B26" s="267"/>
      <c r="C26" s="236"/>
      <c r="D26" s="104" t="s">
        <v>94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39"/>
      <c r="N26" s="247"/>
      <c r="O26" s="247"/>
      <c r="P26" s="247"/>
      <c r="Q26" s="247"/>
      <c r="R26" s="247"/>
      <c r="S26" s="247"/>
      <c r="T26" s="247"/>
      <c r="U26" s="250"/>
    </row>
    <row r="27" spans="1:21" ht="13.5" customHeight="1">
      <c r="A27" s="236"/>
      <c r="B27" s="268"/>
      <c r="C27" s="236"/>
      <c r="D27" s="104" t="s">
        <v>96</v>
      </c>
      <c r="E27" s="103">
        <f>F27+G27+H27+I27+J27+K27+L27</f>
        <v>33238430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3862000</v>
      </c>
      <c r="J27" s="105">
        <f t="shared" si="3"/>
        <v>5387864</v>
      </c>
      <c r="K27" s="105">
        <f t="shared" si="3"/>
        <v>5387864</v>
      </c>
      <c r="L27" s="105">
        <f t="shared" si="3"/>
        <v>5387864</v>
      </c>
      <c r="M27" s="240"/>
      <c r="N27" s="248"/>
      <c r="O27" s="248"/>
      <c r="P27" s="248"/>
      <c r="Q27" s="248"/>
      <c r="R27" s="248"/>
      <c r="S27" s="248"/>
      <c r="T27" s="248"/>
      <c r="U27" s="251"/>
    </row>
    <row r="28" spans="1:21" ht="13.5" customHeight="1">
      <c r="A28" s="236"/>
      <c r="B28" s="266" t="s">
        <v>23</v>
      </c>
      <c r="C28" s="236"/>
      <c r="D28" s="102" t="s">
        <v>97</v>
      </c>
      <c r="E28" s="103">
        <f>E30+E31+E32+E33</f>
        <v>119713619.19999999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16574790</v>
      </c>
      <c r="J28" s="105">
        <f t="shared" si="5"/>
        <v>17746810.4</v>
      </c>
      <c r="K28" s="105">
        <f t="shared" si="5"/>
        <v>17746810.4</v>
      </c>
      <c r="L28" s="105">
        <f t="shared" si="5"/>
        <v>17746810.4</v>
      </c>
      <c r="M28" s="238"/>
      <c r="N28" s="246"/>
      <c r="O28" s="246"/>
      <c r="P28" s="246"/>
      <c r="Q28" s="246"/>
      <c r="R28" s="246"/>
      <c r="S28" s="246"/>
      <c r="T28" s="246"/>
      <c r="U28" s="249"/>
    </row>
    <row r="29" spans="1:21" ht="12.75" customHeight="1">
      <c r="A29" s="236"/>
      <c r="B29" s="267"/>
      <c r="C29" s="236"/>
      <c r="D29" s="241" t="s">
        <v>117</v>
      </c>
      <c r="E29" s="242"/>
      <c r="F29" s="242"/>
      <c r="G29" s="242"/>
      <c r="H29" s="242"/>
      <c r="I29" s="242"/>
      <c r="J29" s="242"/>
      <c r="K29" s="242"/>
      <c r="L29" s="243"/>
      <c r="M29" s="239"/>
      <c r="N29" s="247"/>
      <c r="O29" s="247"/>
      <c r="P29" s="247"/>
      <c r="Q29" s="247"/>
      <c r="R29" s="247"/>
      <c r="S29" s="247"/>
      <c r="T29" s="247"/>
      <c r="U29" s="250"/>
    </row>
    <row r="30" spans="1:21" ht="13.5" customHeight="1">
      <c r="A30" s="236"/>
      <c r="B30" s="267"/>
      <c r="C30" s="236"/>
      <c r="D30" s="104" t="s">
        <v>95</v>
      </c>
      <c r="E30" s="103">
        <f>F30+G30+H30+I30+J30+K30+L30</f>
        <v>61987385.199999996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8492246.4</v>
      </c>
      <c r="K30" s="105">
        <f t="shared" si="6"/>
        <v>8492246.4</v>
      </c>
      <c r="L30" s="105">
        <f t="shared" si="6"/>
        <v>8492246.4</v>
      </c>
      <c r="M30" s="239"/>
      <c r="N30" s="247"/>
      <c r="O30" s="247"/>
      <c r="P30" s="247"/>
      <c r="Q30" s="247"/>
      <c r="R30" s="247"/>
      <c r="S30" s="247"/>
      <c r="T30" s="247"/>
      <c r="U30" s="250"/>
    </row>
    <row r="31" spans="1:21" ht="13.5" customHeight="1">
      <c r="A31" s="236"/>
      <c r="B31" s="267"/>
      <c r="C31" s="236"/>
      <c r="D31" s="104" t="s">
        <v>93</v>
      </c>
      <c r="E31" s="103">
        <f>F31+G31+H31+I31+J31+K31+L31</f>
        <v>24487804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3866700</v>
      </c>
      <c r="K31" s="105">
        <f t="shared" si="6"/>
        <v>3866700</v>
      </c>
      <c r="L31" s="105">
        <f t="shared" si="6"/>
        <v>3866700</v>
      </c>
      <c r="M31" s="239"/>
      <c r="N31" s="247"/>
      <c r="O31" s="247"/>
      <c r="P31" s="247"/>
      <c r="Q31" s="247"/>
      <c r="R31" s="247"/>
      <c r="S31" s="247"/>
      <c r="T31" s="247"/>
      <c r="U31" s="250"/>
    </row>
    <row r="32" spans="1:21" ht="13.5" customHeight="1">
      <c r="A32" s="236"/>
      <c r="B32" s="267"/>
      <c r="C32" s="236"/>
      <c r="D32" s="104" t="s">
        <v>94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39"/>
      <c r="N32" s="247"/>
      <c r="O32" s="247"/>
      <c r="P32" s="247"/>
      <c r="Q32" s="247"/>
      <c r="R32" s="247"/>
      <c r="S32" s="247"/>
      <c r="T32" s="247"/>
      <c r="U32" s="250"/>
    </row>
    <row r="33" spans="1:21" ht="13.5" customHeight="1">
      <c r="A33" s="236"/>
      <c r="B33" s="268"/>
      <c r="C33" s="236"/>
      <c r="D33" s="104" t="s">
        <v>96</v>
      </c>
      <c r="E33" s="103">
        <f>F33+G33+H33+I33+J33+K33+L33</f>
        <v>33238430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3862000</v>
      </c>
      <c r="J33" s="105">
        <f t="shared" si="6"/>
        <v>5387864</v>
      </c>
      <c r="K33" s="105">
        <f t="shared" si="6"/>
        <v>5387864</v>
      </c>
      <c r="L33" s="105">
        <f t="shared" si="6"/>
        <v>5387864</v>
      </c>
      <c r="M33" s="240"/>
      <c r="N33" s="248"/>
      <c r="O33" s="248"/>
      <c r="P33" s="248"/>
      <c r="Q33" s="248"/>
      <c r="R33" s="248"/>
      <c r="S33" s="248"/>
      <c r="T33" s="248"/>
      <c r="U33" s="251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15" t="s">
        <v>288</v>
      </c>
      <c r="G1" s="316"/>
      <c r="H1" s="316"/>
      <c r="I1" s="316"/>
      <c r="J1" s="111"/>
    </row>
    <row r="2" spans="5:9" ht="18.75" customHeight="1">
      <c r="E2" s="7"/>
      <c r="G2" s="71"/>
      <c r="H2" s="71"/>
      <c r="I2" s="1" t="s">
        <v>177</v>
      </c>
    </row>
    <row r="4" spans="1:9" ht="36.75" customHeight="1">
      <c r="A4" s="320" t="s">
        <v>25</v>
      </c>
      <c r="B4" s="320"/>
      <c r="C4" s="320"/>
      <c r="D4" s="320"/>
      <c r="E4" s="320"/>
      <c r="F4" s="320"/>
      <c r="G4" s="320"/>
      <c r="H4" s="320"/>
      <c r="I4" s="320"/>
    </row>
    <row r="5" spans="1:9" ht="30" customHeight="1">
      <c r="A5" s="321" t="s">
        <v>103</v>
      </c>
      <c r="B5" s="323" t="s">
        <v>104</v>
      </c>
      <c r="C5" s="325" t="s">
        <v>105</v>
      </c>
      <c r="D5" s="325"/>
      <c r="E5" s="325"/>
      <c r="F5" s="325"/>
      <c r="G5" s="325"/>
      <c r="H5" s="325"/>
      <c r="I5" s="325"/>
    </row>
    <row r="6" spans="1:9" ht="16.5" customHeight="1">
      <c r="A6" s="322"/>
      <c r="B6" s="324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759338810.38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8653769.18</v>
      </c>
      <c r="H8" s="70">
        <f t="shared" si="0"/>
        <v>7765140.42</v>
      </c>
      <c r="I8" s="70">
        <f t="shared" si="0"/>
        <v>0</v>
      </c>
    </row>
    <row r="9" spans="1:9" ht="16.5" customHeight="1">
      <c r="A9" s="317" t="s">
        <v>106</v>
      </c>
      <c r="B9" s="318"/>
      <c r="C9" s="318"/>
      <c r="D9" s="318"/>
      <c r="E9" s="318"/>
      <c r="F9" s="318"/>
      <c r="G9" s="318"/>
      <c r="H9" s="318"/>
      <c r="I9" s="319"/>
    </row>
    <row r="10" spans="1:9" ht="16.5" customHeight="1">
      <c r="A10" s="65" t="s">
        <v>107</v>
      </c>
      <c r="B10" s="70">
        <f>C10+D10+E10+F10+G10+H10+I10</f>
        <v>497834212.46999997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 t="shared" si="1"/>
        <v>6100669.18</v>
      </c>
      <c r="H10" s="66">
        <f t="shared" si="1"/>
        <v>7765140.42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38933713.73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2553100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21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110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26" t="s">
        <v>111</v>
      </c>
      <c r="B14" s="327"/>
      <c r="C14" s="327"/>
      <c r="D14" s="327"/>
      <c r="E14" s="327"/>
      <c r="F14" s="327"/>
      <c r="G14" s="327"/>
      <c r="H14" s="327"/>
      <c r="I14" s="328"/>
    </row>
    <row r="15" spans="1:11" ht="47.25" customHeight="1">
      <c r="A15" s="73" t="s">
        <v>118</v>
      </c>
      <c r="B15" s="70">
        <f>B17+B18+B19+B20</f>
        <v>113212107.96000002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8653769.18</v>
      </c>
      <c r="H15" s="70">
        <f t="shared" si="3"/>
        <v>7765140.42</v>
      </c>
      <c r="I15" s="70">
        <f t="shared" si="3"/>
        <v>0</v>
      </c>
      <c r="K15" s="91"/>
    </row>
    <row r="16" spans="1:10" ht="16.5" customHeight="1">
      <c r="A16" s="317" t="s">
        <v>106</v>
      </c>
      <c r="B16" s="318"/>
      <c r="C16" s="318"/>
      <c r="D16" s="318"/>
      <c r="E16" s="318"/>
      <c r="F16" s="318"/>
      <c r="G16" s="318"/>
      <c r="H16" s="318"/>
      <c r="I16" s="319"/>
      <c r="J16" s="91"/>
    </row>
    <row r="17" spans="1:9" ht="16.5" customHeight="1">
      <c r="A17" s="65" t="s">
        <v>107</v>
      </c>
      <c r="B17" s="70">
        <f>C17+D17+E17+F17+G17+H17+I17</f>
        <v>105052907.96000002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3(8)'!I58+'таб 3(8)'!I70+'таб 3(8)'!I76+'таб 3(8)'!I64-262900</f>
        <v>18380002.98</v>
      </c>
      <c r="G17" s="66">
        <f>'таб 3(8)'!J94</f>
        <v>6100669.18</v>
      </c>
      <c r="H17" s="66">
        <f>'таб 3(8)'!K94</f>
        <v>7765140.42</v>
      </c>
      <c r="I17" s="66">
        <v>0</v>
      </c>
    </row>
    <row r="18" spans="1:10" ht="16.5" customHeight="1">
      <c r="A18" s="65" t="s">
        <v>20</v>
      </c>
      <c r="B18" s="70">
        <f>C18+D18+E18+F18+G18+H18+I18</f>
        <v>8159200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3(8)'!J65</f>
        <v>2553100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110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112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184</v>
      </c>
      <c r="B22" s="70">
        <f>B24+B25+B26+B27</f>
        <v>646126702.4200001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0</v>
      </c>
      <c r="H22" s="70">
        <f t="shared" si="4"/>
        <v>0</v>
      </c>
      <c r="I22" s="70">
        <f t="shared" si="4"/>
        <v>0</v>
      </c>
    </row>
    <row r="23" spans="1:9" ht="16.5" customHeight="1">
      <c r="A23" s="317" t="s">
        <v>106</v>
      </c>
      <c r="B23" s="318"/>
      <c r="C23" s="318"/>
      <c r="D23" s="318"/>
      <c r="E23" s="318"/>
      <c r="F23" s="318"/>
      <c r="G23" s="318"/>
      <c r="H23" s="318"/>
      <c r="I23" s="319"/>
    </row>
    <row r="24" spans="1:9" ht="16.5" customHeight="1">
      <c r="A24" s="65" t="s">
        <v>107</v>
      </c>
      <c r="B24" s="70">
        <f>C24+D24+E24+F24+G24+H24+I24</f>
        <v>392781304.51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/>
      <c r="H24" s="66"/>
      <c r="I24" s="66"/>
    </row>
    <row r="25" spans="1:10" ht="16.5" customHeight="1">
      <c r="A25" s="65" t="s">
        <v>20</v>
      </c>
      <c r="B25" s="70">
        <f>C25+D25+E25+F25+G25+H25+I25</f>
        <v>30774513.73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/>
      <c r="I25" s="66"/>
      <c r="J25" s="128"/>
    </row>
    <row r="26" spans="1:9" ht="16.5" customHeight="1">
      <c r="A26" s="65" t="s">
        <v>21</v>
      </c>
      <c r="B26" s="70">
        <f>C26+D26+E26+F26+G26+H26+I26</f>
        <v>222570884.18</v>
      </c>
      <c r="C26" s="66">
        <f>'таб 3(8)'!F96</f>
        <v>153856484.18</v>
      </c>
      <c r="D26" s="66">
        <f>+'таб 3(8)'!G13</f>
        <v>68714400</v>
      </c>
      <c r="E26" s="66">
        <f>+'таб 3(8)'!H96</f>
        <v>0</v>
      </c>
      <c r="F26" s="66"/>
      <c r="G26" s="66"/>
      <c r="H26" s="66"/>
      <c r="I26" s="66"/>
    </row>
    <row r="27" spans="1:9" ht="16.5" customHeight="1">
      <c r="A27" s="65" t="s">
        <v>110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3(8)'!I97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112</v>
      </c>
      <c r="B28" s="70">
        <f>B22</f>
        <v>646126702.4200001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zoomScaleSheetLayoutView="115" zoomScalePageLayoutView="0" workbookViewId="0" topLeftCell="A1">
      <pane xSplit="3" ySplit="8" topLeftCell="L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15" t="s">
        <v>289</v>
      </c>
      <c r="Q1" s="316"/>
      <c r="R1" s="316"/>
      <c r="S1" s="316"/>
      <c r="T1" s="316"/>
      <c r="U1" s="316"/>
    </row>
    <row r="2" spans="20:21" ht="15" customHeight="1">
      <c r="T2" s="100"/>
      <c r="U2" s="106" t="s">
        <v>178</v>
      </c>
    </row>
    <row r="3" spans="1:21" ht="15.75">
      <c r="A3" s="245" t="s">
        <v>27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24.7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31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27.75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29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1">
        <v>1</v>
      </c>
      <c r="B8" s="215" t="s">
        <v>185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2.75">
      <c r="A9" s="335" t="s">
        <v>99</v>
      </c>
      <c r="B9" s="289" t="s">
        <v>57</v>
      </c>
      <c r="C9" s="236">
        <v>2015</v>
      </c>
      <c r="D9" s="109" t="s">
        <v>97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30" t="s">
        <v>192</v>
      </c>
      <c r="N9" s="333"/>
      <c r="O9" s="336">
        <v>0</v>
      </c>
      <c r="P9" s="334">
        <v>1</v>
      </c>
      <c r="Q9" s="333"/>
      <c r="R9" s="333"/>
      <c r="S9" s="333"/>
      <c r="T9" s="333"/>
      <c r="U9" s="249" t="s">
        <v>208</v>
      </c>
    </row>
    <row r="10" spans="1:21" ht="12.75">
      <c r="A10" s="236"/>
      <c r="B10" s="290"/>
      <c r="C10" s="236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331"/>
      <c r="N10" s="333"/>
      <c r="O10" s="336"/>
      <c r="P10" s="334"/>
      <c r="Q10" s="333"/>
      <c r="R10" s="333"/>
      <c r="S10" s="333"/>
      <c r="T10" s="333"/>
      <c r="U10" s="250"/>
    </row>
    <row r="11" spans="1:21" ht="12.75">
      <c r="A11" s="236"/>
      <c r="B11" s="290"/>
      <c r="C11" s="236"/>
      <c r="D11" s="22" t="s">
        <v>95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31"/>
      <c r="N11" s="333"/>
      <c r="O11" s="336"/>
      <c r="P11" s="334"/>
      <c r="Q11" s="333"/>
      <c r="R11" s="333"/>
      <c r="S11" s="333"/>
      <c r="T11" s="333"/>
      <c r="U11" s="250"/>
    </row>
    <row r="12" spans="1:21" ht="12.75">
      <c r="A12" s="236"/>
      <c r="B12" s="290"/>
      <c r="C12" s="236"/>
      <c r="D12" s="22" t="s">
        <v>93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31"/>
      <c r="N12" s="333"/>
      <c r="O12" s="336"/>
      <c r="P12" s="334"/>
      <c r="Q12" s="333"/>
      <c r="R12" s="333"/>
      <c r="S12" s="333"/>
      <c r="T12" s="333"/>
      <c r="U12" s="250"/>
    </row>
    <row r="13" spans="1:21" ht="12.75">
      <c r="A13" s="236"/>
      <c r="B13" s="290"/>
      <c r="C13" s="236"/>
      <c r="D13" s="22" t="s">
        <v>94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1"/>
      <c r="N13" s="333"/>
      <c r="O13" s="336"/>
      <c r="P13" s="334"/>
      <c r="Q13" s="333"/>
      <c r="R13" s="333"/>
      <c r="S13" s="333"/>
      <c r="T13" s="333"/>
      <c r="U13" s="250"/>
    </row>
    <row r="14" spans="1:21" ht="12.75">
      <c r="A14" s="236"/>
      <c r="B14" s="291"/>
      <c r="C14" s="236"/>
      <c r="D14" s="22" t="s">
        <v>96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32"/>
      <c r="N14" s="333"/>
      <c r="O14" s="336"/>
      <c r="P14" s="334"/>
      <c r="Q14" s="333"/>
      <c r="R14" s="333"/>
      <c r="S14" s="333"/>
      <c r="T14" s="333"/>
      <c r="U14" s="251"/>
    </row>
    <row r="15" spans="1:21" ht="12.75">
      <c r="A15" s="335" t="s">
        <v>98</v>
      </c>
      <c r="B15" s="289" t="s">
        <v>215</v>
      </c>
      <c r="C15" s="236">
        <v>2015</v>
      </c>
      <c r="D15" s="109" t="s">
        <v>97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30" t="s">
        <v>212</v>
      </c>
      <c r="N15" s="333"/>
      <c r="O15" s="336">
        <v>1</v>
      </c>
      <c r="P15" s="334"/>
      <c r="Q15" s="333"/>
      <c r="R15" s="333"/>
      <c r="S15" s="333"/>
      <c r="T15" s="333"/>
      <c r="U15" s="249" t="s">
        <v>208</v>
      </c>
    </row>
    <row r="16" spans="1:21" ht="12.75">
      <c r="A16" s="236"/>
      <c r="B16" s="290"/>
      <c r="C16" s="236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331"/>
      <c r="N16" s="333"/>
      <c r="O16" s="336"/>
      <c r="P16" s="334"/>
      <c r="Q16" s="333"/>
      <c r="R16" s="333"/>
      <c r="S16" s="333"/>
      <c r="T16" s="333"/>
      <c r="U16" s="250"/>
    </row>
    <row r="17" spans="1:21" ht="14.25" customHeight="1">
      <c r="A17" s="236"/>
      <c r="B17" s="290"/>
      <c r="C17" s="236"/>
      <c r="D17" s="22" t="s">
        <v>95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31"/>
      <c r="N17" s="333"/>
      <c r="O17" s="336"/>
      <c r="P17" s="334"/>
      <c r="Q17" s="333"/>
      <c r="R17" s="333"/>
      <c r="S17" s="333"/>
      <c r="T17" s="333"/>
      <c r="U17" s="250"/>
    </row>
    <row r="18" spans="1:21" ht="12.75">
      <c r="A18" s="236"/>
      <c r="B18" s="290"/>
      <c r="C18" s="236"/>
      <c r="D18" s="22" t="s">
        <v>93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31"/>
      <c r="N18" s="333"/>
      <c r="O18" s="336"/>
      <c r="P18" s="334"/>
      <c r="Q18" s="333"/>
      <c r="R18" s="333"/>
      <c r="S18" s="333"/>
      <c r="T18" s="333"/>
      <c r="U18" s="250"/>
    </row>
    <row r="19" spans="1:21" ht="12.75">
      <c r="A19" s="236"/>
      <c r="B19" s="290"/>
      <c r="C19" s="236"/>
      <c r="D19" s="22" t="s">
        <v>94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31"/>
      <c r="N19" s="333"/>
      <c r="O19" s="336"/>
      <c r="P19" s="334"/>
      <c r="Q19" s="333"/>
      <c r="R19" s="333"/>
      <c r="S19" s="333"/>
      <c r="T19" s="333"/>
      <c r="U19" s="250"/>
    </row>
    <row r="20" spans="1:21" ht="12.75">
      <c r="A20" s="236"/>
      <c r="B20" s="291"/>
      <c r="C20" s="236"/>
      <c r="D20" s="22" t="s">
        <v>96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32"/>
      <c r="N20" s="333"/>
      <c r="O20" s="336"/>
      <c r="P20" s="334"/>
      <c r="Q20" s="333"/>
      <c r="R20" s="333"/>
      <c r="S20" s="333"/>
      <c r="T20" s="333"/>
      <c r="U20" s="251"/>
    </row>
    <row r="21" spans="1:21" ht="12.75" customHeight="1" hidden="1">
      <c r="A21" s="236" t="s">
        <v>100</v>
      </c>
      <c r="B21" s="289" t="s">
        <v>213</v>
      </c>
      <c r="C21" s="236">
        <v>2015</v>
      </c>
      <c r="D21" s="22" t="s">
        <v>97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30" t="s">
        <v>192</v>
      </c>
      <c r="N21" s="210"/>
      <c r="O21" s="204">
        <v>1</v>
      </c>
      <c r="P21" s="344"/>
      <c r="Q21" s="210"/>
      <c r="R21" s="210"/>
      <c r="S21" s="210"/>
      <c r="T21" s="210"/>
      <c r="U21" s="249" t="s">
        <v>208</v>
      </c>
    </row>
    <row r="22" spans="1:21" ht="12.75" hidden="1">
      <c r="A22" s="236"/>
      <c r="B22" s="290"/>
      <c r="C22" s="236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337"/>
      <c r="N22" s="275"/>
      <c r="O22" s="275"/>
      <c r="P22" s="345"/>
      <c r="Q22" s="275"/>
      <c r="R22" s="275"/>
      <c r="S22" s="275"/>
      <c r="T22" s="275"/>
      <c r="U22" s="250"/>
    </row>
    <row r="23" spans="1:21" ht="14.25" customHeight="1" hidden="1">
      <c r="A23" s="236"/>
      <c r="B23" s="290"/>
      <c r="C23" s="236"/>
      <c r="D23" s="22" t="s">
        <v>95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38"/>
      <c r="N23" s="276"/>
      <c r="O23" s="276"/>
      <c r="P23" s="346"/>
      <c r="Q23" s="276"/>
      <c r="R23" s="276"/>
      <c r="S23" s="276"/>
      <c r="T23" s="276"/>
      <c r="U23" s="250"/>
    </row>
    <row r="24" spans="1:21" ht="12.75" hidden="1">
      <c r="A24" s="236"/>
      <c r="B24" s="290"/>
      <c r="C24" s="236"/>
      <c r="D24" s="22" t="s">
        <v>93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30" t="s">
        <v>211</v>
      </c>
      <c r="N24" s="210"/>
      <c r="O24" s="204"/>
      <c r="P24" s="344">
        <v>1</v>
      </c>
      <c r="Q24" s="210"/>
      <c r="R24" s="210"/>
      <c r="S24" s="210"/>
      <c r="T24" s="210"/>
      <c r="U24" s="250"/>
    </row>
    <row r="25" spans="1:21" ht="12.75" hidden="1">
      <c r="A25" s="236"/>
      <c r="B25" s="290"/>
      <c r="C25" s="236"/>
      <c r="D25" s="22" t="s">
        <v>94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37"/>
      <c r="N25" s="275"/>
      <c r="O25" s="275"/>
      <c r="P25" s="345"/>
      <c r="Q25" s="275"/>
      <c r="R25" s="275"/>
      <c r="S25" s="275"/>
      <c r="T25" s="275"/>
      <c r="U25" s="250"/>
    </row>
    <row r="26" spans="1:21" ht="27.75" customHeight="1" hidden="1">
      <c r="A26" s="236"/>
      <c r="B26" s="291"/>
      <c r="C26" s="236"/>
      <c r="D26" s="22" t="s">
        <v>96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38"/>
      <c r="N26" s="276"/>
      <c r="O26" s="276"/>
      <c r="P26" s="346"/>
      <c r="Q26" s="276"/>
      <c r="R26" s="276"/>
      <c r="S26" s="276"/>
      <c r="T26" s="276"/>
      <c r="U26" s="251"/>
    </row>
    <row r="27" spans="1:21" ht="12.75" hidden="1">
      <c r="A27" s="236" t="s">
        <v>204</v>
      </c>
      <c r="B27" s="226" t="s">
        <v>214</v>
      </c>
      <c r="C27" s="236">
        <v>2015</v>
      </c>
      <c r="D27" s="22" t="s">
        <v>97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30" t="s">
        <v>212</v>
      </c>
      <c r="N27" s="210"/>
      <c r="O27" s="204">
        <v>1</v>
      </c>
      <c r="P27" s="344"/>
      <c r="Q27" s="210"/>
      <c r="R27" s="210"/>
      <c r="S27" s="210"/>
      <c r="T27" s="210"/>
      <c r="U27" s="249" t="s">
        <v>208</v>
      </c>
    </row>
    <row r="28" spans="1:21" ht="12.75" customHeight="1" hidden="1">
      <c r="A28" s="236"/>
      <c r="B28" s="226"/>
      <c r="C28" s="236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337"/>
      <c r="N28" s="275"/>
      <c r="O28" s="275"/>
      <c r="P28" s="275"/>
      <c r="Q28" s="275"/>
      <c r="R28" s="275"/>
      <c r="S28" s="275"/>
      <c r="T28" s="275"/>
      <c r="U28" s="250"/>
    </row>
    <row r="29" spans="1:21" ht="15" customHeight="1" hidden="1">
      <c r="A29" s="236"/>
      <c r="B29" s="226"/>
      <c r="C29" s="236"/>
      <c r="D29" s="22" t="s">
        <v>95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37"/>
      <c r="N29" s="275"/>
      <c r="O29" s="275"/>
      <c r="P29" s="275"/>
      <c r="Q29" s="275"/>
      <c r="R29" s="275"/>
      <c r="S29" s="275"/>
      <c r="T29" s="275"/>
      <c r="U29" s="250"/>
    </row>
    <row r="30" spans="1:21" ht="12.75" hidden="1">
      <c r="A30" s="236"/>
      <c r="B30" s="226"/>
      <c r="C30" s="236"/>
      <c r="D30" s="22" t="s">
        <v>93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37"/>
      <c r="N30" s="275"/>
      <c r="O30" s="275"/>
      <c r="P30" s="275"/>
      <c r="Q30" s="275"/>
      <c r="R30" s="275"/>
      <c r="S30" s="275"/>
      <c r="T30" s="275"/>
      <c r="U30" s="250"/>
    </row>
    <row r="31" spans="1:21" ht="12.75" customHeight="1" hidden="1">
      <c r="A31" s="236"/>
      <c r="B31" s="226"/>
      <c r="C31" s="236"/>
      <c r="D31" s="22" t="s">
        <v>94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37"/>
      <c r="N31" s="275"/>
      <c r="O31" s="275"/>
      <c r="P31" s="275"/>
      <c r="Q31" s="275"/>
      <c r="R31" s="275"/>
      <c r="S31" s="275"/>
      <c r="T31" s="275"/>
      <c r="U31" s="250"/>
    </row>
    <row r="32" spans="1:21" ht="29.25" customHeight="1" hidden="1">
      <c r="A32" s="236"/>
      <c r="B32" s="226"/>
      <c r="C32" s="236"/>
      <c r="D32" s="22" t="s">
        <v>96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38"/>
      <c r="N32" s="276"/>
      <c r="O32" s="276"/>
      <c r="P32" s="276"/>
      <c r="Q32" s="276"/>
      <c r="R32" s="276"/>
      <c r="S32" s="276"/>
      <c r="T32" s="276"/>
      <c r="U32" s="251"/>
    </row>
    <row r="33" spans="1:21" ht="12.75">
      <c r="A33" s="329" t="s">
        <v>100</v>
      </c>
      <c r="B33" s="226" t="s">
        <v>58</v>
      </c>
      <c r="C33" s="236">
        <v>2017</v>
      </c>
      <c r="D33" s="22" t="s">
        <v>97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30" t="s">
        <v>192</v>
      </c>
      <c r="N33" s="333"/>
      <c r="O33" s="336">
        <v>1</v>
      </c>
      <c r="P33" s="336"/>
      <c r="Q33" s="336"/>
      <c r="R33" s="333"/>
      <c r="S33" s="333"/>
      <c r="T33" s="333"/>
      <c r="U33" s="249" t="s">
        <v>193</v>
      </c>
    </row>
    <row r="34" spans="1:21" ht="12.75">
      <c r="A34" s="236"/>
      <c r="B34" s="226"/>
      <c r="C34" s="236"/>
      <c r="D34" s="218" t="s">
        <v>117</v>
      </c>
      <c r="E34" s="219"/>
      <c r="F34" s="219"/>
      <c r="G34" s="219"/>
      <c r="H34" s="219"/>
      <c r="I34" s="219"/>
      <c r="J34" s="219"/>
      <c r="K34" s="219"/>
      <c r="L34" s="220"/>
      <c r="M34" s="331"/>
      <c r="N34" s="333"/>
      <c r="O34" s="336"/>
      <c r="P34" s="336"/>
      <c r="Q34" s="336"/>
      <c r="R34" s="333"/>
      <c r="S34" s="333"/>
      <c r="T34" s="333"/>
      <c r="U34" s="250"/>
    </row>
    <row r="35" spans="1:21" ht="12.75">
      <c r="A35" s="236"/>
      <c r="B35" s="226"/>
      <c r="C35" s="236"/>
      <c r="D35" s="22" t="s">
        <v>95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31"/>
      <c r="N35" s="333"/>
      <c r="O35" s="336"/>
      <c r="P35" s="336"/>
      <c r="Q35" s="336"/>
      <c r="R35" s="333"/>
      <c r="S35" s="333"/>
      <c r="T35" s="333"/>
      <c r="U35" s="250"/>
    </row>
    <row r="36" spans="1:21" ht="12.75">
      <c r="A36" s="236"/>
      <c r="B36" s="226"/>
      <c r="C36" s="236"/>
      <c r="D36" s="22" t="s">
        <v>93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31"/>
      <c r="N36" s="333"/>
      <c r="O36" s="336"/>
      <c r="P36" s="336"/>
      <c r="Q36" s="336"/>
      <c r="R36" s="333"/>
      <c r="S36" s="333"/>
      <c r="T36" s="333"/>
      <c r="U36" s="250"/>
    </row>
    <row r="37" spans="1:21" ht="12.75">
      <c r="A37" s="236"/>
      <c r="B37" s="226"/>
      <c r="C37" s="236"/>
      <c r="D37" s="22" t="s">
        <v>94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31"/>
      <c r="N37" s="333"/>
      <c r="O37" s="336"/>
      <c r="P37" s="336"/>
      <c r="Q37" s="336"/>
      <c r="R37" s="333"/>
      <c r="S37" s="333"/>
      <c r="T37" s="333"/>
      <c r="U37" s="250"/>
    </row>
    <row r="38" spans="1:21" ht="12.75">
      <c r="A38" s="236"/>
      <c r="B38" s="226"/>
      <c r="C38" s="236"/>
      <c r="D38" s="22" t="s">
        <v>96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32"/>
      <c r="N38" s="333"/>
      <c r="O38" s="336"/>
      <c r="P38" s="336"/>
      <c r="Q38" s="336"/>
      <c r="R38" s="333"/>
      <c r="S38" s="333"/>
      <c r="T38" s="333"/>
      <c r="U38" s="251"/>
    </row>
    <row r="39" spans="1:21" ht="12.75">
      <c r="A39" s="225" t="s">
        <v>204</v>
      </c>
      <c r="B39" s="289" t="s">
        <v>206</v>
      </c>
      <c r="C39" s="231" t="s">
        <v>82</v>
      </c>
      <c r="D39" s="22" t="s">
        <v>97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30" t="s">
        <v>192</v>
      </c>
      <c r="N39" s="204">
        <v>1</v>
      </c>
      <c r="O39" s="204"/>
      <c r="P39" s="210"/>
      <c r="Q39" s="210"/>
      <c r="R39" s="210"/>
      <c r="S39" s="210"/>
      <c r="T39" s="210"/>
      <c r="U39" s="260" t="s">
        <v>28</v>
      </c>
    </row>
    <row r="40" spans="1:21" ht="12.75">
      <c r="A40" s="225"/>
      <c r="B40" s="290"/>
      <c r="C40" s="232"/>
      <c r="D40" s="218" t="s">
        <v>117</v>
      </c>
      <c r="E40" s="219"/>
      <c r="F40" s="219"/>
      <c r="G40" s="219"/>
      <c r="H40" s="219"/>
      <c r="I40" s="219"/>
      <c r="J40" s="219"/>
      <c r="K40" s="219"/>
      <c r="L40" s="220"/>
      <c r="M40" s="331"/>
      <c r="N40" s="205"/>
      <c r="O40" s="205"/>
      <c r="P40" s="211"/>
      <c r="Q40" s="211"/>
      <c r="R40" s="211"/>
      <c r="S40" s="211"/>
      <c r="T40" s="211"/>
      <c r="U40" s="261"/>
    </row>
    <row r="41" spans="1:21" ht="12.75">
      <c r="A41" s="225"/>
      <c r="B41" s="290"/>
      <c r="C41" s="232"/>
      <c r="D41" s="22" t="s">
        <v>95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31"/>
      <c r="N41" s="205"/>
      <c r="O41" s="205"/>
      <c r="P41" s="211"/>
      <c r="Q41" s="211"/>
      <c r="R41" s="211"/>
      <c r="S41" s="211"/>
      <c r="T41" s="211"/>
      <c r="U41" s="261"/>
    </row>
    <row r="42" spans="1:21" ht="12.75">
      <c r="A42" s="225"/>
      <c r="B42" s="290"/>
      <c r="C42" s="232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31"/>
      <c r="N42" s="205"/>
      <c r="O42" s="205"/>
      <c r="P42" s="211"/>
      <c r="Q42" s="211"/>
      <c r="R42" s="211"/>
      <c r="S42" s="211"/>
      <c r="T42" s="211"/>
      <c r="U42" s="261"/>
    </row>
    <row r="43" spans="1:21" ht="12.75">
      <c r="A43" s="225"/>
      <c r="B43" s="290"/>
      <c r="C43" s="232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31"/>
      <c r="N43" s="205"/>
      <c r="O43" s="205"/>
      <c r="P43" s="211"/>
      <c r="Q43" s="211"/>
      <c r="R43" s="211"/>
      <c r="S43" s="211"/>
      <c r="T43" s="211"/>
      <c r="U43" s="261"/>
    </row>
    <row r="44" spans="1:21" ht="43.5" customHeight="1">
      <c r="A44" s="225"/>
      <c r="B44" s="291"/>
      <c r="C44" s="233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32"/>
      <c r="N44" s="206"/>
      <c r="O44" s="206"/>
      <c r="P44" s="212"/>
      <c r="Q44" s="212"/>
      <c r="R44" s="212"/>
      <c r="S44" s="212"/>
      <c r="T44" s="212"/>
      <c r="U44" s="262"/>
    </row>
    <row r="45" spans="1:21" ht="32.25" customHeight="1">
      <c r="A45" s="277" t="s">
        <v>216</v>
      </c>
      <c r="B45" s="289" t="s">
        <v>207</v>
      </c>
      <c r="C45" s="231">
        <v>2015</v>
      </c>
      <c r="D45" s="22" t="s">
        <v>97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37"/>
      <c r="B46" s="339"/>
      <c r="C46" s="337"/>
      <c r="D46" s="22" t="s">
        <v>117</v>
      </c>
      <c r="E46" s="341"/>
      <c r="F46" s="342"/>
      <c r="G46" s="342"/>
      <c r="H46" s="342"/>
      <c r="I46" s="342"/>
      <c r="J46" s="342"/>
      <c r="K46" s="342"/>
      <c r="L46" s="343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37"/>
      <c r="B47" s="339"/>
      <c r="C47" s="337"/>
      <c r="D47" s="22" t="s">
        <v>95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38"/>
      <c r="B48" s="340"/>
      <c r="C48" s="338"/>
      <c r="D48" s="22" t="s">
        <v>93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13.5">
      <c r="A49" s="236"/>
      <c r="B49" s="266" t="s">
        <v>157</v>
      </c>
      <c r="C49" s="236"/>
      <c r="D49" s="102" t="s">
        <v>97</v>
      </c>
      <c r="E49" s="103">
        <f aca="true" t="shared" si="7" ref="E49:L49">E51+E52+E53+E54</f>
        <v>676028457.6700001</v>
      </c>
      <c r="F49" s="103">
        <f t="shared" si="7"/>
        <v>361141052.47</v>
      </c>
      <c r="G49" s="103">
        <f>G51+G52+G53+G54</f>
        <v>255331493.65</v>
      </c>
      <c r="H49" s="103">
        <f t="shared" si="7"/>
        <v>58781397.82</v>
      </c>
      <c r="I49" s="103">
        <f t="shared" si="7"/>
        <v>774513.73</v>
      </c>
      <c r="J49" s="103">
        <f t="shared" si="7"/>
        <v>0</v>
      </c>
      <c r="K49" s="103">
        <f t="shared" si="7"/>
        <v>0</v>
      </c>
      <c r="L49" s="103">
        <f t="shared" si="7"/>
        <v>0</v>
      </c>
      <c r="M49" s="238"/>
      <c r="N49" s="246"/>
      <c r="O49" s="246"/>
      <c r="P49" s="246"/>
      <c r="Q49" s="246"/>
      <c r="R49" s="246"/>
      <c r="S49" s="246"/>
      <c r="T49" s="246"/>
      <c r="U49" s="249"/>
    </row>
    <row r="50" spans="1:21" ht="12.75">
      <c r="A50" s="236"/>
      <c r="B50" s="267"/>
      <c r="C50" s="236"/>
      <c r="D50" s="241" t="s">
        <v>117</v>
      </c>
      <c r="E50" s="242"/>
      <c r="F50" s="242"/>
      <c r="G50" s="242"/>
      <c r="H50" s="242"/>
      <c r="I50" s="242"/>
      <c r="J50" s="242"/>
      <c r="K50" s="242"/>
      <c r="L50" s="243"/>
      <c r="M50" s="239"/>
      <c r="N50" s="247"/>
      <c r="O50" s="247"/>
      <c r="P50" s="247"/>
      <c r="Q50" s="247"/>
      <c r="R50" s="247"/>
      <c r="S50" s="247"/>
      <c r="T50" s="247"/>
      <c r="U50" s="250"/>
    </row>
    <row r="51" spans="1:21" ht="13.5">
      <c r="A51" s="236"/>
      <c r="B51" s="267"/>
      <c r="C51" s="236"/>
      <c r="D51" s="104" t="s">
        <v>95</v>
      </c>
      <c r="E51" s="103">
        <f>F51+G51+H51+I51+J51+K51+L51</f>
        <v>417076959.76</v>
      </c>
      <c r="F51" s="105">
        <f>F11+F23+F35+F41+F17</f>
        <v>207284568.29</v>
      </c>
      <c r="G51" s="105">
        <f>G11+G23+G35+G41+G47+G17+G29</f>
        <v>166010993.65</v>
      </c>
      <c r="H51" s="105">
        <f>H11+H23+H35+H41+H17</f>
        <v>43781397.82</v>
      </c>
      <c r="I51" s="105">
        <f aca="true" t="shared" si="8" ref="I51:L53">I11+I23+I35+I41</f>
        <v>0</v>
      </c>
      <c r="J51" s="105">
        <f t="shared" si="8"/>
        <v>0</v>
      </c>
      <c r="K51" s="105">
        <f t="shared" si="8"/>
        <v>0</v>
      </c>
      <c r="L51" s="105">
        <f t="shared" si="8"/>
        <v>0</v>
      </c>
      <c r="M51" s="239"/>
      <c r="N51" s="247"/>
      <c r="O51" s="247"/>
      <c r="P51" s="247"/>
      <c r="Q51" s="247"/>
      <c r="R51" s="247"/>
      <c r="S51" s="247"/>
      <c r="T51" s="247"/>
      <c r="U51" s="250"/>
    </row>
    <row r="52" spans="1:21" ht="13.5">
      <c r="A52" s="236"/>
      <c r="B52" s="267"/>
      <c r="C52" s="236"/>
      <c r="D52" s="104" t="s">
        <v>93</v>
      </c>
      <c r="E52" s="103">
        <f>F52+G52+H52+I52+J52+K52+L52</f>
        <v>36380613.73</v>
      </c>
      <c r="F52" s="105">
        <f>F12+F24+F36+F42</f>
        <v>0</v>
      </c>
      <c r="G52" s="105">
        <f>+G24+G12+G30+G48+G18</f>
        <v>20606100</v>
      </c>
      <c r="H52" s="105">
        <f>H12+H24+H36+H42</f>
        <v>15000000</v>
      </c>
      <c r="I52" s="105">
        <f t="shared" si="8"/>
        <v>774513.73</v>
      </c>
      <c r="J52" s="105">
        <f t="shared" si="8"/>
        <v>0</v>
      </c>
      <c r="K52" s="105">
        <f t="shared" si="8"/>
        <v>0</v>
      </c>
      <c r="L52" s="105">
        <f t="shared" si="8"/>
        <v>0</v>
      </c>
      <c r="M52" s="239"/>
      <c r="N52" s="247"/>
      <c r="O52" s="247"/>
      <c r="P52" s="247"/>
      <c r="Q52" s="247"/>
      <c r="R52" s="247"/>
      <c r="S52" s="247"/>
      <c r="T52" s="247"/>
      <c r="U52" s="250"/>
    </row>
    <row r="53" spans="1:21" ht="13.5">
      <c r="A53" s="236"/>
      <c r="B53" s="267"/>
      <c r="C53" s="236"/>
      <c r="D53" s="104" t="s">
        <v>94</v>
      </c>
      <c r="E53" s="103">
        <f>F53+G53+H53+I53+J53+K53+L53</f>
        <v>222570884.18</v>
      </c>
      <c r="F53" s="105">
        <f>F13+F25+F37+F43+F19</f>
        <v>153856484.18</v>
      </c>
      <c r="G53" s="105">
        <f>G13+G25+G37+G43</f>
        <v>68714400</v>
      </c>
      <c r="H53" s="105">
        <f>H13+H25+H37+H43</f>
        <v>0</v>
      </c>
      <c r="I53" s="105">
        <f t="shared" si="8"/>
        <v>0</v>
      </c>
      <c r="J53" s="105">
        <f t="shared" si="8"/>
        <v>0</v>
      </c>
      <c r="K53" s="105">
        <f t="shared" si="8"/>
        <v>0</v>
      </c>
      <c r="L53" s="105">
        <f t="shared" si="8"/>
        <v>0</v>
      </c>
      <c r="M53" s="239"/>
      <c r="N53" s="247"/>
      <c r="O53" s="247"/>
      <c r="P53" s="247"/>
      <c r="Q53" s="247"/>
      <c r="R53" s="247"/>
      <c r="S53" s="247"/>
      <c r="T53" s="247"/>
      <c r="U53" s="250"/>
    </row>
    <row r="54" spans="1:21" ht="13.5">
      <c r="A54" s="236"/>
      <c r="B54" s="268"/>
      <c r="C54" s="236"/>
      <c r="D54" s="104" t="s">
        <v>96</v>
      </c>
      <c r="E54" s="103">
        <f>F54+G54+H54+I54+J54+K54+L54</f>
        <v>0</v>
      </c>
      <c r="F54" s="105"/>
      <c r="G54" s="105"/>
      <c r="H54" s="105"/>
      <c r="I54" s="105"/>
      <c r="J54" s="105"/>
      <c r="K54" s="105"/>
      <c r="L54" s="105"/>
      <c r="M54" s="240"/>
      <c r="N54" s="248"/>
      <c r="O54" s="248"/>
      <c r="P54" s="248"/>
      <c r="Q54" s="248"/>
      <c r="R54" s="248"/>
      <c r="S54" s="248"/>
      <c r="T54" s="248"/>
      <c r="U54" s="251"/>
    </row>
    <row r="55" spans="1:21" ht="12.75">
      <c r="A55" s="21">
        <v>2</v>
      </c>
      <c r="B55" s="215" t="s">
        <v>24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</row>
    <row r="56" spans="1:21" ht="12.75">
      <c r="A56" s="225" t="s">
        <v>131</v>
      </c>
      <c r="B56" s="289" t="s">
        <v>179</v>
      </c>
      <c r="C56" s="231" t="s">
        <v>82</v>
      </c>
      <c r="D56" s="22" t="s">
        <v>97</v>
      </c>
      <c r="E56" s="23">
        <f>E58+E59+E60+E61</f>
        <v>12398010.71</v>
      </c>
      <c r="F56" s="23">
        <f aca="true" t="shared" si="9" ref="F56:L56">F58+F59+F60+F61</f>
        <v>4391930.86</v>
      </c>
      <c r="G56" s="23">
        <f t="shared" si="9"/>
        <v>1573281.96</v>
      </c>
      <c r="H56" s="23">
        <f t="shared" si="9"/>
        <v>0</v>
      </c>
      <c r="I56" s="23">
        <f t="shared" si="9"/>
        <v>1179122.71</v>
      </c>
      <c r="J56" s="23">
        <f t="shared" si="9"/>
        <v>5253675.18</v>
      </c>
      <c r="K56" s="23">
        <f t="shared" si="9"/>
        <v>0</v>
      </c>
      <c r="L56" s="23">
        <f t="shared" si="9"/>
        <v>0</v>
      </c>
      <c r="M56" s="260" t="s">
        <v>55</v>
      </c>
      <c r="N56" s="204">
        <v>1</v>
      </c>
      <c r="O56" s="204">
        <v>1</v>
      </c>
      <c r="P56" s="204">
        <v>1</v>
      </c>
      <c r="Q56" s="204">
        <v>1</v>
      </c>
      <c r="R56" s="204">
        <v>1</v>
      </c>
      <c r="S56" s="204">
        <v>1</v>
      </c>
      <c r="T56" s="204">
        <v>1</v>
      </c>
      <c r="U56" s="260" t="s">
        <v>203</v>
      </c>
    </row>
    <row r="57" spans="1:21" ht="12.75">
      <c r="A57" s="225"/>
      <c r="B57" s="290"/>
      <c r="C57" s="232"/>
      <c r="D57" s="218" t="s">
        <v>117</v>
      </c>
      <c r="E57" s="219"/>
      <c r="F57" s="219"/>
      <c r="G57" s="219"/>
      <c r="H57" s="219"/>
      <c r="I57" s="219"/>
      <c r="J57" s="219"/>
      <c r="K57" s="219"/>
      <c r="L57" s="220"/>
      <c r="M57" s="261"/>
      <c r="N57" s="205"/>
      <c r="O57" s="205"/>
      <c r="P57" s="205"/>
      <c r="Q57" s="205"/>
      <c r="R57" s="205"/>
      <c r="S57" s="205"/>
      <c r="T57" s="205"/>
      <c r="U57" s="261"/>
    </row>
    <row r="58" spans="1:21" ht="12.75">
      <c r="A58" s="225"/>
      <c r="B58" s="290"/>
      <c r="C58" s="232"/>
      <c r="D58" s="22" t="s">
        <v>95</v>
      </c>
      <c r="E58" s="23">
        <f>F58+G58+H58+I58+J58+K58+L58</f>
        <v>12398010.71</v>
      </c>
      <c r="F58" s="23">
        <v>4391930.86</v>
      </c>
      <c r="G58" s="23">
        <v>1573281.96</v>
      </c>
      <c r="H58" s="23"/>
      <c r="I58" s="23">
        <f>1187188+464000-472065.29</f>
        <v>1179122.71</v>
      </c>
      <c r="J58" s="23">
        <v>5253675.18</v>
      </c>
      <c r="K58" s="23"/>
      <c r="L58" s="23"/>
      <c r="M58" s="261"/>
      <c r="N58" s="205"/>
      <c r="O58" s="205"/>
      <c r="P58" s="205"/>
      <c r="Q58" s="205"/>
      <c r="R58" s="205"/>
      <c r="S58" s="205"/>
      <c r="T58" s="205"/>
      <c r="U58" s="261"/>
    </row>
    <row r="59" spans="1:21" ht="12.75">
      <c r="A59" s="225"/>
      <c r="B59" s="290"/>
      <c r="C59" s="232"/>
      <c r="D59" s="22" t="s">
        <v>93</v>
      </c>
      <c r="E59" s="23">
        <f>F59+G59+H59+I59+J59+K59+L59</f>
        <v>0</v>
      </c>
      <c r="F59" s="23"/>
      <c r="G59" s="23"/>
      <c r="H59" s="23"/>
      <c r="I59" s="23"/>
      <c r="J59" s="23"/>
      <c r="K59" s="23"/>
      <c r="L59" s="23"/>
      <c r="M59" s="261"/>
      <c r="N59" s="205"/>
      <c r="O59" s="205"/>
      <c r="P59" s="205"/>
      <c r="Q59" s="205"/>
      <c r="R59" s="205"/>
      <c r="S59" s="205"/>
      <c r="T59" s="205"/>
      <c r="U59" s="261"/>
    </row>
    <row r="60" spans="1:21" ht="12.75">
      <c r="A60" s="225"/>
      <c r="B60" s="290"/>
      <c r="C60" s="232"/>
      <c r="D60" s="22" t="s">
        <v>94</v>
      </c>
      <c r="E60" s="23">
        <f>F60+G60+H60+I60+J60+K60+L60</f>
        <v>0</v>
      </c>
      <c r="F60" s="23"/>
      <c r="G60" s="23"/>
      <c r="H60" s="23"/>
      <c r="I60" s="23"/>
      <c r="J60" s="23"/>
      <c r="K60" s="23"/>
      <c r="L60" s="23"/>
      <c r="M60" s="261"/>
      <c r="N60" s="205"/>
      <c r="O60" s="205"/>
      <c r="P60" s="205"/>
      <c r="Q60" s="205"/>
      <c r="R60" s="205"/>
      <c r="S60" s="205"/>
      <c r="T60" s="205"/>
      <c r="U60" s="261"/>
    </row>
    <row r="61" spans="1:21" ht="12.75">
      <c r="A61" s="225"/>
      <c r="B61" s="291"/>
      <c r="C61" s="233"/>
      <c r="D61" s="22" t="s">
        <v>96</v>
      </c>
      <c r="E61" s="23">
        <f>F61+G61+H61+I61+J61+K61+L61</f>
        <v>0</v>
      </c>
      <c r="F61" s="23"/>
      <c r="G61" s="23"/>
      <c r="H61" s="23"/>
      <c r="I61" s="23"/>
      <c r="J61" s="23"/>
      <c r="K61" s="23"/>
      <c r="L61" s="23"/>
      <c r="M61" s="262"/>
      <c r="N61" s="206"/>
      <c r="O61" s="206"/>
      <c r="P61" s="206"/>
      <c r="Q61" s="206"/>
      <c r="R61" s="206"/>
      <c r="S61" s="206"/>
      <c r="T61" s="206"/>
      <c r="U61" s="262"/>
    </row>
    <row r="62" spans="1:21" ht="12.75" customHeight="1">
      <c r="A62" s="225" t="s">
        <v>132</v>
      </c>
      <c r="B62" s="289" t="s">
        <v>180</v>
      </c>
      <c r="C62" s="231" t="s">
        <v>82</v>
      </c>
      <c r="D62" s="22" t="s">
        <v>97</v>
      </c>
      <c r="E62" s="23">
        <f>E64+E65+E66+E67</f>
        <v>44660619.38</v>
      </c>
      <c r="F62" s="23">
        <f aca="true" t="shared" si="10" ref="F62:L62">F64+F65+F66+F67</f>
        <v>9671279.75</v>
      </c>
      <c r="G62" s="23">
        <f t="shared" si="10"/>
        <v>11246543.73</v>
      </c>
      <c r="H62" s="23">
        <f t="shared" si="10"/>
        <v>9573888.58</v>
      </c>
      <c r="I62" s="23">
        <f t="shared" si="10"/>
        <v>11421807.32</v>
      </c>
      <c r="J62" s="23">
        <f t="shared" si="10"/>
        <v>2747100</v>
      </c>
      <c r="K62" s="23">
        <f t="shared" si="10"/>
        <v>0</v>
      </c>
      <c r="L62" s="23">
        <f t="shared" si="10"/>
        <v>0</v>
      </c>
      <c r="M62" s="260" t="s">
        <v>54</v>
      </c>
      <c r="N62" s="204">
        <v>1</v>
      </c>
      <c r="O62" s="204">
        <v>1</v>
      </c>
      <c r="P62" s="204">
        <v>1</v>
      </c>
      <c r="Q62" s="204">
        <v>1</v>
      </c>
      <c r="R62" s="204">
        <v>1</v>
      </c>
      <c r="S62" s="204">
        <v>1</v>
      </c>
      <c r="T62" s="204">
        <v>1</v>
      </c>
      <c r="U62" s="260" t="s">
        <v>210</v>
      </c>
    </row>
    <row r="63" spans="1:21" ht="12.75">
      <c r="A63" s="225"/>
      <c r="B63" s="290"/>
      <c r="C63" s="232"/>
      <c r="D63" s="218" t="s">
        <v>117</v>
      </c>
      <c r="E63" s="219"/>
      <c r="F63" s="219"/>
      <c r="G63" s="219"/>
      <c r="H63" s="219"/>
      <c r="I63" s="219"/>
      <c r="J63" s="219"/>
      <c r="K63" s="219"/>
      <c r="L63" s="220"/>
      <c r="M63" s="261"/>
      <c r="N63" s="205"/>
      <c r="O63" s="205"/>
      <c r="P63" s="205"/>
      <c r="Q63" s="205"/>
      <c r="R63" s="205"/>
      <c r="S63" s="205"/>
      <c r="T63" s="205"/>
      <c r="U63" s="261"/>
    </row>
    <row r="64" spans="1:21" ht="12.75">
      <c r="A64" s="225"/>
      <c r="B64" s="290"/>
      <c r="C64" s="232"/>
      <c r="D64" s="22" t="s">
        <v>95</v>
      </c>
      <c r="E64" s="23">
        <f>F64+G64+H64+I64+J64+K64+L64</f>
        <v>42107519.38</v>
      </c>
      <c r="F64" s="23">
        <v>9671279.75</v>
      </c>
      <c r="G64" s="23">
        <v>11246543.73</v>
      </c>
      <c r="H64" s="23">
        <f>9207002.98+366885.6</f>
        <v>9573888.58</v>
      </c>
      <c r="I64" s="23">
        <f>944051+9786493.98+262900+428362.34</f>
        <v>11421807.32</v>
      </c>
      <c r="J64" s="23">
        <v>194000</v>
      </c>
      <c r="K64" s="23"/>
      <c r="L64" s="23"/>
      <c r="M64" s="261"/>
      <c r="N64" s="205"/>
      <c r="O64" s="205"/>
      <c r="P64" s="205"/>
      <c r="Q64" s="205"/>
      <c r="R64" s="205"/>
      <c r="S64" s="205"/>
      <c r="T64" s="205"/>
      <c r="U64" s="261"/>
    </row>
    <row r="65" spans="1:21" ht="12.75">
      <c r="A65" s="225"/>
      <c r="B65" s="290"/>
      <c r="C65" s="232"/>
      <c r="D65" s="22" t="s">
        <v>93</v>
      </c>
      <c r="E65" s="23">
        <f>F65+G65+H65+I65+J65+K65+L65</f>
        <v>2553100</v>
      </c>
      <c r="F65" s="23"/>
      <c r="G65" s="23"/>
      <c r="H65" s="23"/>
      <c r="I65" s="23"/>
      <c r="J65" s="23">
        <v>2553100</v>
      </c>
      <c r="K65" s="23"/>
      <c r="L65" s="23"/>
      <c r="M65" s="261"/>
      <c r="N65" s="205"/>
      <c r="O65" s="205"/>
      <c r="P65" s="205"/>
      <c r="Q65" s="205"/>
      <c r="R65" s="205"/>
      <c r="S65" s="205"/>
      <c r="T65" s="205"/>
      <c r="U65" s="261"/>
    </row>
    <row r="66" spans="1:21" ht="12.75">
      <c r="A66" s="225"/>
      <c r="B66" s="290"/>
      <c r="C66" s="232"/>
      <c r="D66" s="22" t="s">
        <v>94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61"/>
      <c r="N66" s="205"/>
      <c r="O66" s="205"/>
      <c r="P66" s="205"/>
      <c r="Q66" s="205"/>
      <c r="R66" s="205"/>
      <c r="S66" s="205"/>
      <c r="T66" s="205"/>
      <c r="U66" s="261"/>
    </row>
    <row r="67" spans="1:21" ht="12.75">
      <c r="A67" s="225"/>
      <c r="B67" s="291"/>
      <c r="C67" s="233"/>
      <c r="D67" s="22" t="s">
        <v>96</v>
      </c>
      <c r="E67" s="23">
        <f>F67+G67+H67+I67+J67+K67+L67</f>
        <v>0</v>
      </c>
      <c r="F67" s="23"/>
      <c r="G67" s="23"/>
      <c r="H67" s="23"/>
      <c r="I67" s="23"/>
      <c r="J67" s="23"/>
      <c r="K67" s="23"/>
      <c r="L67" s="23"/>
      <c r="M67" s="262"/>
      <c r="N67" s="206"/>
      <c r="O67" s="206"/>
      <c r="P67" s="206"/>
      <c r="Q67" s="206"/>
      <c r="R67" s="206"/>
      <c r="S67" s="206"/>
      <c r="T67" s="206"/>
      <c r="U67" s="262"/>
    </row>
    <row r="68" spans="1:21" ht="12.75">
      <c r="A68" s="225" t="s">
        <v>133</v>
      </c>
      <c r="B68" s="289" t="s">
        <v>181</v>
      </c>
      <c r="C68" s="231" t="s">
        <v>82</v>
      </c>
      <c r="D68" s="22" t="s">
        <v>97</v>
      </c>
      <c r="E68" s="23">
        <f>E70+E71+E72+E73</f>
        <v>3617636</v>
      </c>
      <c r="F68" s="23">
        <f aca="true" t="shared" si="11" ref="F68:L68">F70+F71+F72+F73</f>
        <v>0</v>
      </c>
      <c r="G68" s="23">
        <f t="shared" si="11"/>
        <v>0</v>
      </c>
      <c r="H68" s="23">
        <f t="shared" si="11"/>
        <v>0</v>
      </c>
      <c r="I68" s="23">
        <f t="shared" si="11"/>
        <v>3617636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60" t="s">
        <v>53</v>
      </c>
      <c r="N68" s="204">
        <v>1</v>
      </c>
      <c r="O68" s="204">
        <v>1</v>
      </c>
      <c r="P68" s="204">
        <v>1</v>
      </c>
      <c r="Q68" s="204">
        <v>1</v>
      </c>
      <c r="R68" s="204">
        <v>1</v>
      </c>
      <c r="S68" s="204">
        <v>1</v>
      </c>
      <c r="T68" s="204">
        <v>1</v>
      </c>
      <c r="U68" s="260" t="s">
        <v>203</v>
      </c>
    </row>
    <row r="69" spans="1:21" ht="12.75">
      <c r="A69" s="225"/>
      <c r="B69" s="290"/>
      <c r="C69" s="232"/>
      <c r="D69" s="218" t="s">
        <v>117</v>
      </c>
      <c r="E69" s="219"/>
      <c r="F69" s="219"/>
      <c r="G69" s="219"/>
      <c r="H69" s="219"/>
      <c r="I69" s="219"/>
      <c r="J69" s="219"/>
      <c r="K69" s="219"/>
      <c r="L69" s="220"/>
      <c r="M69" s="261"/>
      <c r="N69" s="205"/>
      <c r="O69" s="205"/>
      <c r="P69" s="205"/>
      <c r="Q69" s="205"/>
      <c r="R69" s="205"/>
      <c r="S69" s="205"/>
      <c r="T69" s="205"/>
      <c r="U69" s="261"/>
    </row>
    <row r="70" spans="1:21" ht="12.75">
      <c r="A70" s="225"/>
      <c r="B70" s="290"/>
      <c r="C70" s="232"/>
      <c r="D70" s="22" t="s">
        <v>95</v>
      </c>
      <c r="E70" s="23">
        <f>F70+G70+H70+I70+J70+K70+L70</f>
        <v>3617636</v>
      </c>
      <c r="F70" s="23"/>
      <c r="G70" s="23"/>
      <c r="H70" s="23"/>
      <c r="I70" s="23">
        <v>3617636</v>
      </c>
      <c r="J70" s="23"/>
      <c r="K70" s="23"/>
      <c r="L70" s="23"/>
      <c r="M70" s="261"/>
      <c r="N70" s="205"/>
      <c r="O70" s="205"/>
      <c r="P70" s="205"/>
      <c r="Q70" s="205"/>
      <c r="R70" s="205"/>
      <c r="S70" s="205"/>
      <c r="T70" s="205"/>
      <c r="U70" s="261"/>
    </row>
    <row r="71" spans="1:21" ht="12.75">
      <c r="A71" s="225"/>
      <c r="B71" s="290"/>
      <c r="C71" s="232"/>
      <c r="D71" s="22" t="s">
        <v>93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61"/>
      <c r="N71" s="205"/>
      <c r="O71" s="205"/>
      <c r="P71" s="205"/>
      <c r="Q71" s="205"/>
      <c r="R71" s="205"/>
      <c r="S71" s="205"/>
      <c r="T71" s="205"/>
      <c r="U71" s="261"/>
    </row>
    <row r="72" spans="1:21" ht="12.75">
      <c r="A72" s="225"/>
      <c r="B72" s="290"/>
      <c r="C72" s="232"/>
      <c r="D72" s="22" t="s">
        <v>94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61"/>
      <c r="N72" s="205"/>
      <c r="O72" s="205"/>
      <c r="P72" s="205"/>
      <c r="Q72" s="205"/>
      <c r="R72" s="205"/>
      <c r="S72" s="205"/>
      <c r="T72" s="205"/>
      <c r="U72" s="261"/>
    </row>
    <row r="73" spans="1:21" ht="12.75">
      <c r="A73" s="225"/>
      <c r="B73" s="291"/>
      <c r="C73" s="233"/>
      <c r="D73" s="22" t="s">
        <v>96</v>
      </c>
      <c r="E73" s="23">
        <f>F73+G73+H73+I73+J73+K73+L73</f>
        <v>0</v>
      </c>
      <c r="F73" s="23"/>
      <c r="G73" s="23"/>
      <c r="H73" s="23"/>
      <c r="I73" s="23"/>
      <c r="J73" s="23"/>
      <c r="K73" s="23"/>
      <c r="L73" s="23"/>
      <c r="M73" s="262"/>
      <c r="N73" s="206"/>
      <c r="O73" s="206"/>
      <c r="P73" s="206"/>
      <c r="Q73" s="206"/>
      <c r="R73" s="206"/>
      <c r="S73" s="206"/>
      <c r="T73" s="206"/>
      <c r="U73" s="262"/>
    </row>
    <row r="74" spans="1:21" ht="12.75" customHeight="1">
      <c r="A74" s="225" t="s">
        <v>153</v>
      </c>
      <c r="B74" s="289" t="s">
        <v>182</v>
      </c>
      <c r="C74" s="231" t="s">
        <v>82</v>
      </c>
      <c r="D74" s="22" t="s">
        <v>97</v>
      </c>
      <c r="E74" s="23">
        <f>E76+E77+E78+E79</f>
        <v>21424504.659999996</v>
      </c>
      <c r="F74" s="23">
        <f aca="true" t="shared" si="12" ref="F74:L74">F76+F77+F78+F79</f>
        <v>3493297.62</v>
      </c>
      <c r="G74" s="23">
        <f t="shared" si="12"/>
        <v>711203.33</v>
      </c>
      <c r="H74" s="23">
        <f t="shared" si="12"/>
        <v>6377532.34</v>
      </c>
      <c r="I74" s="23">
        <f t="shared" si="12"/>
        <v>2424336.95</v>
      </c>
      <c r="J74" s="23">
        <f t="shared" si="12"/>
        <v>652994</v>
      </c>
      <c r="K74" s="23">
        <f t="shared" si="12"/>
        <v>7765140.42</v>
      </c>
      <c r="L74" s="23">
        <f t="shared" si="12"/>
        <v>0</v>
      </c>
      <c r="M74" s="260" t="s">
        <v>52</v>
      </c>
      <c r="N74" s="204">
        <v>1</v>
      </c>
      <c r="O74" s="204">
        <v>1</v>
      </c>
      <c r="P74" s="204">
        <v>1</v>
      </c>
      <c r="Q74" s="204">
        <v>1</v>
      </c>
      <c r="R74" s="204">
        <v>1</v>
      </c>
      <c r="S74" s="204">
        <v>1</v>
      </c>
      <c r="T74" s="204">
        <v>1</v>
      </c>
      <c r="U74" s="260" t="s">
        <v>210</v>
      </c>
    </row>
    <row r="75" spans="1:21" ht="12.75">
      <c r="A75" s="225"/>
      <c r="B75" s="290"/>
      <c r="C75" s="232"/>
      <c r="D75" s="218" t="s">
        <v>117</v>
      </c>
      <c r="E75" s="219"/>
      <c r="F75" s="219"/>
      <c r="G75" s="219"/>
      <c r="H75" s="219"/>
      <c r="I75" s="219"/>
      <c r="J75" s="219"/>
      <c r="K75" s="219"/>
      <c r="L75" s="220"/>
      <c r="M75" s="261"/>
      <c r="N75" s="205"/>
      <c r="O75" s="205"/>
      <c r="P75" s="205"/>
      <c r="Q75" s="205"/>
      <c r="R75" s="205"/>
      <c r="S75" s="205"/>
      <c r="T75" s="205"/>
      <c r="U75" s="261"/>
    </row>
    <row r="76" spans="1:21" ht="12.75">
      <c r="A76" s="225"/>
      <c r="B76" s="290"/>
      <c r="C76" s="232"/>
      <c r="D76" s="22" t="s">
        <v>95</v>
      </c>
      <c r="E76" s="23">
        <f>F76+G76+H76+I76+J76+K76+L76</f>
        <v>21424504.659999996</v>
      </c>
      <c r="F76" s="23">
        <v>3493297.62</v>
      </c>
      <c r="G76" s="23">
        <v>711203.33</v>
      </c>
      <c r="H76" s="23">
        <f>4989967.13+1387565.21</f>
        <v>6377532.34</v>
      </c>
      <c r="I76" s="23">
        <f>180030+469737+843817+887050+43702.95</f>
        <v>2424336.95</v>
      </c>
      <c r="J76" s="23">
        <f>212884+440110</f>
        <v>652994</v>
      </c>
      <c r="K76" s="23">
        <f>4777350.42+2987790</f>
        <v>7765140.42</v>
      </c>
      <c r="L76" s="23"/>
      <c r="M76" s="261"/>
      <c r="N76" s="205"/>
      <c r="O76" s="205"/>
      <c r="P76" s="205"/>
      <c r="Q76" s="205"/>
      <c r="R76" s="205"/>
      <c r="S76" s="205"/>
      <c r="T76" s="205"/>
      <c r="U76" s="261"/>
    </row>
    <row r="77" spans="1:21" ht="12.75">
      <c r="A77" s="225"/>
      <c r="B77" s="290"/>
      <c r="C77" s="232"/>
      <c r="D77" s="22" t="s">
        <v>93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61"/>
      <c r="N77" s="205"/>
      <c r="O77" s="205"/>
      <c r="P77" s="205"/>
      <c r="Q77" s="205"/>
      <c r="R77" s="205"/>
      <c r="S77" s="205"/>
      <c r="T77" s="205"/>
      <c r="U77" s="261"/>
    </row>
    <row r="78" spans="1:21" ht="12.75">
      <c r="A78" s="225"/>
      <c r="B78" s="290"/>
      <c r="C78" s="232"/>
      <c r="D78" s="22" t="s">
        <v>94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61"/>
      <c r="N78" s="205"/>
      <c r="O78" s="205"/>
      <c r="P78" s="205"/>
      <c r="Q78" s="205"/>
      <c r="R78" s="205"/>
      <c r="S78" s="205"/>
      <c r="T78" s="205"/>
      <c r="U78" s="261"/>
    </row>
    <row r="79" spans="1:21" ht="12.75">
      <c r="A79" s="225"/>
      <c r="B79" s="291"/>
      <c r="C79" s="233"/>
      <c r="D79" s="22" t="s">
        <v>96</v>
      </c>
      <c r="E79" s="23">
        <f>F79+G79+H79+I79+J79+K79+L79</f>
        <v>0</v>
      </c>
      <c r="F79" s="23"/>
      <c r="G79" s="23"/>
      <c r="H79" s="23"/>
      <c r="I79" s="23"/>
      <c r="J79" s="23"/>
      <c r="K79" s="23"/>
      <c r="L79" s="23"/>
      <c r="M79" s="262"/>
      <c r="N79" s="206"/>
      <c r="O79" s="206"/>
      <c r="P79" s="206"/>
      <c r="Q79" s="206"/>
      <c r="R79" s="206"/>
      <c r="S79" s="206"/>
      <c r="T79" s="206"/>
      <c r="U79" s="262"/>
    </row>
    <row r="80" spans="1:21" ht="12.75" customHeight="1">
      <c r="A80" s="225" t="s">
        <v>265</v>
      </c>
      <c r="B80" s="289" t="s">
        <v>217</v>
      </c>
      <c r="C80" s="231" t="s">
        <v>82</v>
      </c>
      <c r="D80" s="22" t="s">
        <v>97</v>
      </c>
      <c r="E80" s="23">
        <f>E82+E83+E84+E85</f>
        <v>1209581.96</v>
      </c>
      <c r="F80" s="23">
        <f aca="true" t="shared" si="13" ref="F80:L80">F82+F83+F84+F85</f>
        <v>0</v>
      </c>
      <c r="G80" s="23">
        <f t="shared" si="13"/>
        <v>0</v>
      </c>
      <c r="H80" s="23">
        <f t="shared" si="13"/>
        <v>1209581.96</v>
      </c>
      <c r="I80" s="23">
        <f t="shared" si="13"/>
        <v>0</v>
      </c>
      <c r="J80" s="23">
        <f t="shared" si="13"/>
        <v>0</v>
      </c>
      <c r="K80" s="23">
        <f t="shared" si="13"/>
        <v>0</v>
      </c>
      <c r="L80" s="23">
        <f t="shared" si="13"/>
        <v>0</v>
      </c>
      <c r="M80" s="260" t="s">
        <v>266</v>
      </c>
      <c r="N80" s="204">
        <v>1</v>
      </c>
      <c r="O80" s="204">
        <v>1</v>
      </c>
      <c r="P80" s="204">
        <v>1</v>
      </c>
      <c r="Q80" s="204">
        <v>1</v>
      </c>
      <c r="R80" s="204">
        <v>1</v>
      </c>
      <c r="S80" s="204">
        <v>1</v>
      </c>
      <c r="T80" s="204">
        <v>1</v>
      </c>
      <c r="U80" s="207" t="s">
        <v>193</v>
      </c>
    </row>
    <row r="81" spans="1:21" ht="12.75">
      <c r="A81" s="225"/>
      <c r="B81" s="290"/>
      <c r="C81" s="232"/>
      <c r="D81" s="218" t="s">
        <v>117</v>
      </c>
      <c r="E81" s="219"/>
      <c r="F81" s="219"/>
      <c r="G81" s="219"/>
      <c r="H81" s="219"/>
      <c r="I81" s="219"/>
      <c r="J81" s="219"/>
      <c r="K81" s="219"/>
      <c r="L81" s="220"/>
      <c r="M81" s="261"/>
      <c r="N81" s="205"/>
      <c r="O81" s="205"/>
      <c r="P81" s="205"/>
      <c r="Q81" s="205"/>
      <c r="R81" s="205"/>
      <c r="S81" s="205"/>
      <c r="T81" s="205"/>
      <c r="U81" s="208"/>
    </row>
    <row r="82" spans="1:21" ht="12.75">
      <c r="A82" s="225"/>
      <c r="B82" s="290"/>
      <c r="C82" s="232"/>
      <c r="D82" s="22" t="s">
        <v>95</v>
      </c>
      <c r="E82" s="23">
        <f>F82+G82+H82+I82+J82+K82+L82</f>
        <v>1209581.96</v>
      </c>
      <c r="F82" s="23"/>
      <c r="G82" s="23"/>
      <c r="H82" s="23">
        <v>1209581.96</v>
      </c>
      <c r="I82" s="23"/>
      <c r="J82" s="23"/>
      <c r="K82" s="23"/>
      <c r="L82" s="23"/>
      <c r="M82" s="261"/>
      <c r="N82" s="205"/>
      <c r="O82" s="205"/>
      <c r="P82" s="205"/>
      <c r="Q82" s="205"/>
      <c r="R82" s="205"/>
      <c r="S82" s="205"/>
      <c r="T82" s="205"/>
      <c r="U82" s="208"/>
    </row>
    <row r="83" spans="1:21" ht="12.75">
      <c r="A83" s="225"/>
      <c r="B83" s="290"/>
      <c r="C83" s="232"/>
      <c r="D83" s="22" t="s">
        <v>93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61"/>
      <c r="N83" s="205"/>
      <c r="O83" s="205"/>
      <c r="P83" s="205"/>
      <c r="Q83" s="205"/>
      <c r="R83" s="205"/>
      <c r="S83" s="205"/>
      <c r="T83" s="205"/>
      <c r="U83" s="208"/>
    </row>
    <row r="84" spans="1:21" ht="12.75">
      <c r="A84" s="225"/>
      <c r="B84" s="290"/>
      <c r="C84" s="232"/>
      <c r="D84" s="22" t="s">
        <v>94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61"/>
      <c r="N84" s="205"/>
      <c r="O84" s="205"/>
      <c r="P84" s="205"/>
      <c r="Q84" s="205"/>
      <c r="R84" s="205"/>
      <c r="S84" s="205"/>
      <c r="T84" s="205"/>
      <c r="U84" s="208"/>
    </row>
    <row r="85" spans="1:21" ht="12.75">
      <c r="A85" s="225"/>
      <c r="B85" s="291"/>
      <c r="C85" s="233"/>
      <c r="D85" s="22" t="s">
        <v>96</v>
      </c>
      <c r="E85" s="23">
        <f>F85+G85+H85+I85+J85+K85+L85</f>
        <v>0</v>
      </c>
      <c r="F85" s="23"/>
      <c r="G85" s="23"/>
      <c r="H85" s="23"/>
      <c r="I85" s="23"/>
      <c r="J85" s="23"/>
      <c r="K85" s="23"/>
      <c r="L85" s="23"/>
      <c r="M85" s="262"/>
      <c r="N85" s="206"/>
      <c r="O85" s="206"/>
      <c r="P85" s="206"/>
      <c r="Q85" s="206"/>
      <c r="R85" s="206"/>
      <c r="S85" s="206"/>
      <c r="T85" s="206"/>
      <c r="U85" s="209"/>
    </row>
    <row r="86" spans="1:21" ht="13.5" customHeight="1">
      <c r="A86" s="236"/>
      <c r="B86" s="266" t="s">
        <v>156</v>
      </c>
      <c r="C86" s="236"/>
      <c r="D86" s="102" t="s">
        <v>97</v>
      </c>
      <c r="E86" s="103">
        <f aca="true" t="shared" si="14" ref="E86:L86">E88+E89+E90+E91</f>
        <v>83310352.71</v>
      </c>
      <c r="F86" s="103">
        <f t="shared" si="14"/>
        <v>17556508.23</v>
      </c>
      <c r="G86" s="103">
        <f t="shared" si="14"/>
        <v>13531029.020000001</v>
      </c>
      <c r="H86" s="103">
        <f t="shared" si="14"/>
        <v>17161002.88</v>
      </c>
      <c r="I86" s="103">
        <f t="shared" si="14"/>
        <v>18642902.98</v>
      </c>
      <c r="J86" s="103">
        <f t="shared" si="14"/>
        <v>8653769.18</v>
      </c>
      <c r="K86" s="103">
        <f t="shared" si="14"/>
        <v>7765140.42</v>
      </c>
      <c r="L86" s="103">
        <f t="shared" si="14"/>
        <v>0</v>
      </c>
      <c r="M86" s="238"/>
      <c r="N86" s="246"/>
      <c r="O86" s="246"/>
      <c r="P86" s="246"/>
      <c r="Q86" s="246"/>
      <c r="R86" s="246"/>
      <c r="S86" s="246"/>
      <c r="T86" s="246"/>
      <c r="U86" s="249"/>
    </row>
    <row r="87" spans="1:21" ht="12.75" customHeight="1">
      <c r="A87" s="236"/>
      <c r="B87" s="267"/>
      <c r="C87" s="236"/>
      <c r="D87" s="241" t="s">
        <v>117</v>
      </c>
      <c r="E87" s="242"/>
      <c r="F87" s="242"/>
      <c r="G87" s="242"/>
      <c r="H87" s="242"/>
      <c r="I87" s="242"/>
      <c r="J87" s="242"/>
      <c r="K87" s="242"/>
      <c r="L87" s="243"/>
      <c r="M87" s="239"/>
      <c r="N87" s="247"/>
      <c r="O87" s="247"/>
      <c r="P87" s="247"/>
      <c r="Q87" s="247"/>
      <c r="R87" s="247"/>
      <c r="S87" s="247"/>
      <c r="T87" s="247"/>
      <c r="U87" s="250"/>
    </row>
    <row r="88" spans="1:21" ht="13.5" customHeight="1">
      <c r="A88" s="236"/>
      <c r="B88" s="267"/>
      <c r="C88" s="236"/>
      <c r="D88" s="104" t="s">
        <v>95</v>
      </c>
      <c r="E88" s="103">
        <f>F88+G88+H88+I88+J88+K88+L88</f>
        <v>80757252.71</v>
      </c>
      <c r="F88" s="105">
        <f>F58+F64+F70+F76+F82</f>
        <v>17556508.23</v>
      </c>
      <c r="G88" s="105">
        <f aca="true" t="shared" si="15" ref="G88:L91">G58+G64+G70+G76+G82</f>
        <v>13531029.020000001</v>
      </c>
      <c r="H88" s="105">
        <f t="shared" si="15"/>
        <v>17161002.88</v>
      </c>
      <c r="I88" s="105">
        <f t="shared" si="15"/>
        <v>18642902.98</v>
      </c>
      <c r="J88" s="105">
        <f t="shared" si="15"/>
        <v>6100669.18</v>
      </c>
      <c r="K88" s="105">
        <f t="shared" si="15"/>
        <v>7765140.42</v>
      </c>
      <c r="L88" s="105">
        <f t="shared" si="15"/>
        <v>0</v>
      </c>
      <c r="M88" s="239"/>
      <c r="N88" s="247"/>
      <c r="O88" s="247"/>
      <c r="P88" s="247"/>
      <c r="Q88" s="247"/>
      <c r="R88" s="247"/>
      <c r="S88" s="247"/>
      <c r="T88" s="247"/>
      <c r="U88" s="250"/>
    </row>
    <row r="89" spans="1:21" ht="13.5" customHeight="1">
      <c r="A89" s="236"/>
      <c r="B89" s="267"/>
      <c r="C89" s="236"/>
      <c r="D89" s="104" t="s">
        <v>93</v>
      </c>
      <c r="E89" s="103">
        <f>F89+G89+H89+I89+J89+K89+L89</f>
        <v>2553100</v>
      </c>
      <c r="F89" s="105">
        <f>F59+F65+F71+F77+F83</f>
        <v>0</v>
      </c>
      <c r="G89" s="105">
        <f aca="true" t="shared" si="16" ref="G89:H91">G59+G65+G71+G77+G83</f>
        <v>0</v>
      </c>
      <c r="H89" s="105">
        <f t="shared" si="16"/>
        <v>0</v>
      </c>
      <c r="I89" s="105">
        <f t="shared" si="15"/>
        <v>0</v>
      </c>
      <c r="J89" s="105">
        <f t="shared" si="15"/>
        <v>2553100</v>
      </c>
      <c r="K89" s="105">
        <f t="shared" si="15"/>
        <v>0</v>
      </c>
      <c r="L89" s="105">
        <f t="shared" si="15"/>
        <v>0</v>
      </c>
      <c r="M89" s="239"/>
      <c r="N89" s="247"/>
      <c r="O89" s="247"/>
      <c r="P89" s="247"/>
      <c r="Q89" s="247"/>
      <c r="R89" s="247"/>
      <c r="S89" s="247"/>
      <c r="T89" s="247"/>
      <c r="U89" s="250"/>
    </row>
    <row r="90" spans="1:21" ht="13.5" customHeight="1">
      <c r="A90" s="236"/>
      <c r="B90" s="267"/>
      <c r="C90" s="236"/>
      <c r="D90" s="104" t="s">
        <v>94</v>
      </c>
      <c r="E90" s="103">
        <f>F90+G90+H90+I90+J90+K90+L90</f>
        <v>0</v>
      </c>
      <c r="F90" s="105">
        <f>F60+F66+F72+F78+F84</f>
        <v>0</v>
      </c>
      <c r="G90" s="105">
        <f t="shared" si="16"/>
        <v>0</v>
      </c>
      <c r="H90" s="105">
        <f t="shared" si="16"/>
        <v>0</v>
      </c>
      <c r="I90" s="105">
        <f t="shared" si="15"/>
        <v>0</v>
      </c>
      <c r="J90" s="105">
        <f t="shared" si="15"/>
        <v>0</v>
      </c>
      <c r="K90" s="105">
        <f t="shared" si="15"/>
        <v>0</v>
      </c>
      <c r="L90" s="105">
        <f t="shared" si="15"/>
        <v>0</v>
      </c>
      <c r="M90" s="239"/>
      <c r="N90" s="247"/>
      <c r="O90" s="247"/>
      <c r="P90" s="247"/>
      <c r="Q90" s="247"/>
      <c r="R90" s="247"/>
      <c r="S90" s="247"/>
      <c r="T90" s="247"/>
      <c r="U90" s="250"/>
    </row>
    <row r="91" spans="1:21" ht="13.5" customHeight="1">
      <c r="A91" s="236"/>
      <c r="B91" s="268"/>
      <c r="C91" s="236"/>
      <c r="D91" s="104" t="s">
        <v>96</v>
      </c>
      <c r="E91" s="103">
        <f>F91+G91+H91+I91+J91+K91+L91</f>
        <v>0</v>
      </c>
      <c r="F91" s="105">
        <f>F61+F67+F73+F79+F85</f>
        <v>0</v>
      </c>
      <c r="G91" s="105">
        <f t="shared" si="16"/>
        <v>0</v>
      </c>
      <c r="H91" s="105">
        <f t="shared" si="16"/>
        <v>0</v>
      </c>
      <c r="I91" s="105">
        <f t="shared" si="15"/>
        <v>0</v>
      </c>
      <c r="J91" s="105">
        <f t="shared" si="15"/>
        <v>0</v>
      </c>
      <c r="K91" s="105">
        <f t="shared" si="15"/>
        <v>0</v>
      </c>
      <c r="L91" s="105">
        <f t="shared" si="15"/>
        <v>0</v>
      </c>
      <c r="M91" s="240"/>
      <c r="N91" s="248"/>
      <c r="O91" s="248"/>
      <c r="P91" s="248"/>
      <c r="Q91" s="248"/>
      <c r="R91" s="248"/>
      <c r="S91" s="248"/>
      <c r="T91" s="248"/>
      <c r="U91" s="251"/>
    </row>
    <row r="92" spans="1:21" ht="13.5" customHeight="1">
      <c r="A92" s="236"/>
      <c r="B92" s="266" t="s">
        <v>30</v>
      </c>
      <c r="C92" s="236"/>
      <c r="D92" s="102" t="s">
        <v>97</v>
      </c>
      <c r="E92" s="103">
        <f aca="true" t="shared" si="17" ref="E92:L92">E94+E95+E96+E97</f>
        <v>759338810.3800001</v>
      </c>
      <c r="F92" s="103">
        <f t="shared" si="17"/>
        <v>378697560.7</v>
      </c>
      <c r="G92" s="103">
        <f t="shared" si="17"/>
        <v>268862522.67</v>
      </c>
      <c r="H92" s="103">
        <f t="shared" si="17"/>
        <v>75942400.7</v>
      </c>
      <c r="I92" s="103">
        <f t="shared" si="17"/>
        <v>19417416.71</v>
      </c>
      <c r="J92" s="103">
        <f t="shared" si="17"/>
        <v>8653769.18</v>
      </c>
      <c r="K92" s="103">
        <f t="shared" si="17"/>
        <v>7765140.42</v>
      </c>
      <c r="L92" s="103">
        <f t="shared" si="17"/>
        <v>0</v>
      </c>
      <c r="M92" s="238"/>
      <c r="N92" s="246"/>
      <c r="O92" s="246"/>
      <c r="P92" s="246"/>
      <c r="Q92" s="246"/>
      <c r="R92" s="246"/>
      <c r="S92" s="246"/>
      <c r="T92" s="246"/>
      <c r="U92" s="249"/>
    </row>
    <row r="93" spans="1:21" ht="12.75" customHeight="1">
      <c r="A93" s="236"/>
      <c r="B93" s="267"/>
      <c r="C93" s="236"/>
      <c r="D93" s="241" t="s">
        <v>117</v>
      </c>
      <c r="E93" s="242"/>
      <c r="F93" s="242"/>
      <c r="G93" s="242"/>
      <c r="H93" s="242"/>
      <c r="I93" s="242"/>
      <c r="J93" s="242"/>
      <c r="K93" s="242"/>
      <c r="L93" s="243"/>
      <c r="M93" s="239"/>
      <c r="N93" s="247"/>
      <c r="O93" s="247"/>
      <c r="P93" s="247"/>
      <c r="Q93" s="247"/>
      <c r="R93" s="247"/>
      <c r="S93" s="247"/>
      <c r="T93" s="247"/>
      <c r="U93" s="250"/>
    </row>
    <row r="94" spans="1:21" ht="13.5" customHeight="1">
      <c r="A94" s="236"/>
      <c r="B94" s="267"/>
      <c r="C94" s="236"/>
      <c r="D94" s="104" t="s">
        <v>95</v>
      </c>
      <c r="E94" s="103">
        <f>F94+G94+H94+I94+J94+K94+L94</f>
        <v>497834212.47</v>
      </c>
      <c r="F94" s="105">
        <f aca="true" t="shared" si="18" ref="F94:L97">F51+F88</f>
        <v>224841076.51999998</v>
      </c>
      <c r="G94" s="105">
        <f t="shared" si="18"/>
        <v>179542022.67000002</v>
      </c>
      <c r="H94" s="105">
        <f t="shared" si="18"/>
        <v>60942400.7</v>
      </c>
      <c r="I94" s="105">
        <f t="shared" si="18"/>
        <v>18642902.98</v>
      </c>
      <c r="J94" s="105">
        <f t="shared" si="18"/>
        <v>6100669.18</v>
      </c>
      <c r="K94" s="105">
        <f t="shared" si="18"/>
        <v>7765140.42</v>
      </c>
      <c r="L94" s="105">
        <f t="shared" si="18"/>
        <v>0</v>
      </c>
      <c r="M94" s="239"/>
      <c r="N94" s="247"/>
      <c r="O94" s="247"/>
      <c r="P94" s="247"/>
      <c r="Q94" s="247"/>
      <c r="R94" s="247"/>
      <c r="S94" s="247"/>
      <c r="T94" s="247"/>
      <c r="U94" s="250"/>
    </row>
    <row r="95" spans="1:21" ht="13.5" customHeight="1">
      <c r="A95" s="236"/>
      <c r="B95" s="267"/>
      <c r="C95" s="236"/>
      <c r="D95" s="104" t="s">
        <v>93</v>
      </c>
      <c r="E95" s="103">
        <f>F95+G95+H95+I95+J95+K95+L95</f>
        <v>38933713.73</v>
      </c>
      <c r="F95" s="105">
        <f aca="true" t="shared" si="19" ref="F95:H97">F52+F89</f>
        <v>0</v>
      </c>
      <c r="G95" s="105">
        <f t="shared" si="19"/>
        <v>20606100</v>
      </c>
      <c r="H95" s="105">
        <f t="shared" si="19"/>
        <v>15000000</v>
      </c>
      <c r="I95" s="105">
        <f t="shared" si="18"/>
        <v>774513.73</v>
      </c>
      <c r="J95" s="105">
        <f t="shared" si="18"/>
        <v>2553100</v>
      </c>
      <c r="K95" s="105">
        <f t="shared" si="18"/>
        <v>0</v>
      </c>
      <c r="L95" s="105">
        <f t="shared" si="18"/>
        <v>0</v>
      </c>
      <c r="M95" s="239"/>
      <c r="N95" s="247"/>
      <c r="O95" s="247"/>
      <c r="P95" s="247"/>
      <c r="Q95" s="247"/>
      <c r="R95" s="247"/>
      <c r="S95" s="247"/>
      <c r="T95" s="247"/>
      <c r="U95" s="250"/>
    </row>
    <row r="96" spans="1:21" ht="13.5" customHeight="1">
      <c r="A96" s="236"/>
      <c r="B96" s="267"/>
      <c r="C96" s="236"/>
      <c r="D96" s="104" t="s">
        <v>94</v>
      </c>
      <c r="E96" s="103">
        <f>F96+G96+H96+I96+J96+K96+L96</f>
        <v>222570884.18</v>
      </c>
      <c r="F96" s="105">
        <f t="shared" si="19"/>
        <v>153856484.18</v>
      </c>
      <c r="G96" s="105">
        <f t="shared" si="19"/>
        <v>68714400</v>
      </c>
      <c r="H96" s="105">
        <f t="shared" si="19"/>
        <v>0</v>
      </c>
      <c r="I96" s="105">
        <f t="shared" si="18"/>
        <v>0</v>
      </c>
      <c r="J96" s="105">
        <f t="shared" si="18"/>
        <v>0</v>
      </c>
      <c r="K96" s="105">
        <f t="shared" si="18"/>
        <v>0</v>
      </c>
      <c r="L96" s="105">
        <f t="shared" si="18"/>
        <v>0</v>
      </c>
      <c r="M96" s="239"/>
      <c r="N96" s="247"/>
      <c r="O96" s="247"/>
      <c r="P96" s="247"/>
      <c r="Q96" s="247"/>
      <c r="R96" s="247"/>
      <c r="S96" s="247"/>
      <c r="T96" s="247"/>
      <c r="U96" s="250"/>
    </row>
    <row r="97" spans="1:21" ht="13.5" customHeight="1">
      <c r="A97" s="236"/>
      <c r="B97" s="268"/>
      <c r="C97" s="236"/>
      <c r="D97" s="104" t="s">
        <v>96</v>
      </c>
      <c r="E97" s="103">
        <f>F97+G97+H97+I97+J97+K97+L97</f>
        <v>0</v>
      </c>
      <c r="F97" s="105">
        <f t="shared" si="19"/>
        <v>0</v>
      </c>
      <c r="G97" s="105">
        <f t="shared" si="19"/>
        <v>0</v>
      </c>
      <c r="H97" s="105">
        <f t="shared" si="19"/>
        <v>0</v>
      </c>
      <c r="I97" s="105">
        <f t="shared" si="18"/>
        <v>0</v>
      </c>
      <c r="J97" s="105">
        <f t="shared" si="18"/>
        <v>0</v>
      </c>
      <c r="K97" s="105">
        <f t="shared" si="18"/>
        <v>0</v>
      </c>
      <c r="L97" s="105">
        <f t="shared" si="18"/>
        <v>0</v>
      </c>
      <c r="M97" s="240"/>
      <c r="N97" s="248"/>
      <c r="O97" s="248"/>
      <c r="P97" s="248"/>
      <c r="Q97" s="248"/>
      <c r="R97" s="248"/>
      <c r="S97" s="248"/>
      <c r="T97" s="248"/>
      <c r="U97" s="251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</sheetData>
  <sheetProtection/>
  <mergeCells count="206"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P24:P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A49:A54"/>
    <mergeCell ref="B49:B54"/>
    <mergeCell ref="C49:C54"/>
    <mergeCell ref="M49:M54"/>
    <mergeCell ref="N49:N54"/>
    <mergeCell ref="O49:O54"/>
    <mergeCell ref="D50:L50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R39:R44"/>
    <mergeCell ref="S39:S44"/>
    <mergeCell ref="P33:P38"/>
    <mergeCell ref="O33:O38"/>
    <mergeCell ref="Q33:Q38"/>
    <mergeCell ref="O39:O44"/>
    <mergeCell ref="Q39:Q44"/>
    <mergeCell ref="S33:S3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U86:U91"/>
    <mergeCell ref="U74:U79"/>
    <mergeCell ref="Q74:Q79"/>
    <mergeCell ref="R74:R79"/>
    <mergeCell ref="S74:S79"/>
    <mergeCell ref="U68:U73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A80:A85"/>
    <mergeCell ref="B80:B85"/>
    <mergeCell ref="C80:C85"/>
    <mergeCell ref="M80:M85"/>
    <mergeCell ref="N80:N85"/>
    <mergeCell ref="O80:O85"/>
    <mergeCell ref="A74:A79"/>
    <mergeCell ref="B74:B79"/>
    <mergeCell ref="C74:C79"/>
    <mergeCell ref="M74:M79"/>
    <mergeCell ref="N74:N79"/>
    <mergeCell ref="D75:L75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68:A73"/>
    <mergeCell ref="B68:B73"/>
    <mergeCell ref="C68:C73"/>
    <mergeCell ref="M68:M73"/>
    <mergeCell ref="N68:N73"/>
    <mergeCell ref="D69:L69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D57:L57"/>
    <mergeCell ref="A62:A67"/>
    <mergeCell ref="B62:B67"/>
    <mergeCell ref="C62:C67"/>
    <mergeCell ref="M62:M67"/>
    <mergeCell ref="N62:N67"/>
    <mergeCell ref="D63:L63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B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78" t="s">
        <v>274</v>
      </c>
      <c r="H1" s="179"/>
      <c r="I1" s="179"/>
      <c r="J1" s="129"/>
    </row>
    <row r="2" spans="5:10" ht="39" customHeight="1">
      <c r="E2" s="131"/>
      <c r="F2" s="132"/>
      <c r="G2" s="132"/>
      <c r="I2" s="132" t="s">
        <v>124</v>
      </c>
      <c r="J2" s="106"/>
    </row>
    <row r="3" ht="15.75">
      <c r="F3" s="132"/>
    </row>
    <row r="4" spans="1:9" ht="36.75" customHeight="1">
      <c r="A4" s="198" t="s">
        <v>61</v>
      </c>
      <c r="B4" s="198"/>
      <c r="C4" s="198"/>
      <c r="D4" s="198"/>
      <c r="E4" s="198"/>
      <c r="F4" s="198"/>
      <c r="G4" s="198"/>
      <c r="H4" s="198"/>
      <c r="I4" s="198"/>
    </row>
    <row r="5" spans="1:9" ht="30" customHeight="1">
      <c r="A5" s="199" t="s">
        <v>103</v>
      </c>
      <c r="B5" s="201" t="s">
        <v>104</v>
      </c>
      <c r="C5" s="203" t="s">
        <v>105</v>
      </c>
      <c r="D5" s="203"/>
      <c r="E5" s="203"/>
      <c r="F5" s="203"/>
      <c r="G5" s="203"/>
      <c r="H5" s="203"/>
      <c r="I5" s="203"/>
    </row>
    <row r="6" spans="1:9" ht="16.5" customHeight="1">
      <c r="A6" s="200"/>
      <c r="B6" s="202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36" t="s">
        <v>62</v>
      </c>
      <c r="B8" s="137">
        <f>B10+B11+B12+B13</f>
        <v>4098864169.96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626858314.98</v>
      </c>
      <c r="G8" s="137">
        <f t="shared" si="0"/>
        <v>609063259.46</v>
      </c>
      <c r="H8" s="137">
        <f t="shared" si="0"/>
        <v>611473784.54</v>
      </c>
      <c r="I8" s="137">
        <f t="shared" si="0"/>
        <v>606016634.17</v>
      </c>
    </row>
    <row r="9" spans="1:9" ht="16.5" customHeight="1">
      <c r="A9" s="192" t="s">
        <v>106</v>
      </c>
      <c r="B9" s="193"/>
      <c r="C9" s="193"/>
      <c r="D9" s="193"/>
      <c r="E9" s="193"/>
      <c r="F9" s="193"/>
      <c r="G9" s="193"/>
      <c r="H9" s="193"/>
      <c r="I9" s="194"/>
    </row>
    <row r="10" spans="1:9" ht="16.5" customHeight="1">
      <c r="A10" s="138" t="s">
        <v>107</v>
      </c>
      <c r="B10" s="137">
        <f>B17</f>
        <v>1376405860.78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214739723.39</v>
      </c>
      <c r="G10" s="156">
        <f t="shared" si="1"/>
        <v>195145725.99</v>
      </c>
      <c r="H10" s="156">
        <f t="shared" si="1"/>
        <v>197450293.53</v>
      </c>
      <c r="I10" s="156">
        <f t="shared" si="1"/>
        <v>197450293.53</v>
      </c>
    </row>
    <row r="11" spans="1:9" ht="16.5" customHeight="1">
      <c r="A11" s="138" t="s">
        <v>20</v>
      </c>
      <c r="B11" s="137">
        <f aca="true" t="shared" si="2" ref="B11:I11">B18</f>
        <v>2374786479.9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353843199.59</v>
      </c>
      <c r="G11" s="156">
        <f t="shared" si="2"/>
        <v>367446493.46999997</v>
      </c>
      <c r="H11" s="156">
        <f t="shared" si="2"/>
        <v>367552451.01</v>
      </c>
      <c r="I11" s="156">
        <f t="shared" si="2"/>
        <v>362095300.64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110</v>
      </c>
      <c r="B13" s="137">
        <f aca="true" t="shared" si="4" ref="B13:I13">B20</f>
        <v>347671829.28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58275392</v>
      </c>
      <c r="G13" s="156">
        <f t="shared" si="4"/>
        <v>46471040</v>
      </c>
      <c r="H13" s="156">
        <f t="shared" si="4"/>
        <v>46471040</v>
      </c>
      <c r="I13" s="156">
        <f t="shared" si="4"/>
        <v>46471040</v>
      </c>
    </row>
    <row r="14" spans="1:9" ht="16.5" customHeight="1">
      <c r="A14" s="195" t="s">
        <v>111</v>
      </c>
      <c r="B14" s="196"/>
      <c r="C14" s="196"/>
      <c r="D14" s="196"/>
      <c r="E14" s="196"/>
      <c r="F14" s="196"/>
      <c r="G14" s="196"/>
      <c r="H14" s="196"/>
      <c r="I14" s="197"/>
    </row>
    <row r="15" spans="1:9" ht="46.5" customHeight="1">
      <c r="A15" s="140" t="s">
        <v>118</v>
      </c>
      <c r="B15" s="137">
        <f>B17+B18+B19+B20</f>
        <v>4098864169.96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626858314.98</v>
      </c>
      <c r="G15" s="137">
        <f>G17+G18+G19+G20</f>
        <v>609063259.46</v>
      </c>
      <c r="H15" s="137">
        <f>H17+H18+H19+H20</f>
        <v>611473784.54</v>
      </c>
      <c r="I15" s="137">
        <f>I17+I18+I19+I20</f>
        <v>606016634.17</v>
      </c>
    </row>
    <row r="16" spans="1:9" ht="16.5" customHeight="1">
      <c r="A16" s="192" t="s">
        <v>106</v>
      </c>
      <c r="B16" s="193"/>
      <c r="C16" s="193"/>
      <c r="D16" s="193"/>
      <c r="E16" s="193"/>
      <c r="F16" s="193"/>
      <c r="G16" s="193"/>
      <c r="H16" s="193"/>
      <c r="I16" s="194"/>
    </row>
    <row r="17" spans="1:9" ht="16.5" customHeight="1">
      <c r="A17" s="138" t="s">
        <v>107</v>
      </c>
      <c r="B17" s="137">
        <f>SUM(C17:I17)</f>
        <v>1376405860.78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214739723.39</v>
      </c>
      <c r="G17" s="139">
        <f>+'таб 3(1)'!J53</f>
        <v>195145725.99</v>
      </c>
      <c r="H17" s="139">
        <f>+'таб 3(1)'!K53</f>
        <v>197450293.53</v>
      </c>
      <c r="I17" s="139">
        <f>+'таб 3(1)'!L53</f>
        <v>197450293.53</v>
      </c>
    </row>
    <row r="18" spans="1:9" ht="16.5" customHeight="1">
      <c r="A18" s="138" t="s">
        <v>20</v>
      </c>
      <c r="B18" s="137">
        <f>SUM(C18:I18)</f>
        <v>2374786479.9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353843199.59</v>
      </c>
      <c r="G18" s="139">
        <f>+'таб 3(1)'!J54</f>
        <v>367446493.46999997</v>
      </c>
      <c r="H18" s="139">
        <f>+'таб 3(1)'!K54</f>
        <v>367552451.01</v>
      </c>
      <c r="I18" s="139">
        <f>+'таб 3(1)'!L54</f>
        <v>362095300.64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110</v>
      </c>
      <c r="B20" s="137">
        <f>SUM(C20:I20)</f>
        <v>347671829.28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58275392</v>
      </c>
      <c r="G20" s="139">
        <f>'таб 3(1)'!J56</f>
        <v>46471040</v>
      </c>
      <c r="H20" s="139">
        <f>'таб 3(1)'!K56</f>
        <v>46471040</v>
      </c>
      <c r="I20" s="139">
        <f>'таб 3(1)'!L56</f>
        <v>46471040</v>
      </c>
    </row>
    <row r="21" spans="1:9" ht="31.5">
      <c r="A21" s="17" t="s">
        <v>112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29"/>
      <c r="Q1" s="178" t="s">
        <v>275</v>
      </c>
      <c r="R1" s="179"/>
      <c r="S1" s="179"/>
      <c r="T1" s="179"/>
      <c r="U1" s="179"/>
    </row>
    <row r="2" spans="20:21" ht="12.75">
      <c r="T2" s="100"/>
      <c r="U2" s="100" t="s">
        <v>119</v>
      </c>
    </row>
    <row r="3" spans="1:21" ht="15.75">
      <c r="A3" s="245" t="s">
        <v>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31.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24.75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120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8">
        <v>1</v>
      </c>
      <c r="B8" s="215" t="s">
        <v>121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8" customHeight="1">
      <c r="A9" s="225" t="s">
        <v>125</v>
      </c>
      <c r="B9" s="226" t="s">
        <v>268</v>
      </c>
      <c r="C9" s="231" t="s">
        <v>82</v>
      </c>
      <c r="D9" s="22" t="s">
        <v>97</v>
      </c>
      <c r="E9" s="23">
        <f>E11+E12+E13+E14</f>
        <v>2265474369.6299996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336116597.59999996</v>
      </c>
      <c r="J9" s="23">
        <f t="shared" si="0"/>
        <v>349397551.34999996</v>
      </c>
      <c r="K9" s="23">
        <f t="shared" si="0"/>
        <v>349481292.96</v>
      </c>
      <c r="L9" s="23">
        <f t="shared" si="0"/>
        <v>344024142.59</v>
      </c>
      <c r="M9" s="228" t="s">
        <v>195</v>
      </c>
      <c r="N9" s="210">
        <v>99.6</v>
      </c>
      <c r="O9" s="210">
        <v>95.7</v>
      </c>
      <c r="P9" s="210">
        <v>97.5</v>
      </c>
      <c r="Q9" s="210">
        <v>100</v>
      </c>
      <c r="R9" s="210">
        <v>100</v>
      </c>
      <c r="S9" s="210">
        <v>100</v>
      </c>
      <c r="T9" s="210">
        <v>100</v>
      </c>
      <c r="U9" s="207" t="s">
        <v>272</v>
      </c>
    </row>
    <row r="10" spans="1:21" ht="24.75" customHeight="1">
      <c r="A10" s="225"/>
      <c r="B10" s="226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29"/>
      <c r="N10" s="211"/>
      <c r="O10" s="211"/>
      <c r="P10" s="211"/>
      <c r="Q10" s="211"/>
      <c r="R10" s="211"/>
      <c r="S10" s="211"/>
      <c r="T10" s="211"/>
      <c r="U10" s="208"/>
    </row>
    <row r="11" spans="1:21" ht="18" customHeight="1">
      <c r="A11" s="225"/>
      <c r="B11" s="226"/>
      <c r="C11" s="232"/>
      <c r="D11" s="22" t="s">
        <v>95</v>
      </c>
      <c r="E11" s="23">
        <f>F11+G11+H11+I11+J11+K11+L11</f>
        <v>4191774.889999999</v>
      </c>
      <c r="F11" s="23">
        <v>3970110</v>
      </c>
      <c r="G11" s="23"/>
      <c r="H11" s="23">
        <f>82156+30701.13</f>
        <v>112857.13</v>
      </c>
      <c r="I11" s="23">
        <f>25732.57+4968.56-15350.61+7919.49</f>
        <v>23270.010000000002</v>
      </c>
      <c r="J11" s="23">
        <v>25732.57</v>
      </c>
      <c r="K11" s="23">
        <v>29902.59</v>
      </c>
      <c r="L11" s="23">
        <v>29902.59</v>
      </c>
      <c r="M11" s="229"/>
      <c r="N11" s="211"/>
      <c r="O11" s="211"/>
      <c r="P11" s="211"/>
      <c r="Q11" s="211"/>
      <c r="R11" s="211"/>
      <c r="S11" s="211"/>
      <c r="T11" s="211"/>
      <c r="U11" s="208"/>
    </row>
    <row r="12" spans="1:21" ht="18" customHeight="1">
      <c r="A12" s="225"/>
      <c r="B12" s="226"/>
      <c r="C12" s="232"/>
      <c r="D12" s="22" t="s">
        <v>93</v>
      </c>
      <c r="E12" s="23">
        <f>F12+G12+H12+I12+J12+K12+L12</f>
        <v>2261282594.74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335745600+488918.78-285202.78+144011.59</f>
        <v>336093327.59</v>
      </c>
      <c r="J12" s="23">
        <f>488918.78+348882900</f>
        <v>349371818.78</v>
      </c>
      <c r="K12" s="23">
        <f>568490.37+348882900</f>
        <v>349451390.37</v>
      </c>
      <c r="L12" s="23">
        <v>343994240</v>
      </c>
      <c r="M12" s="229"/>
      <c r="N12" s="211"/>
      <c r="O12" s="211"/>
      <c r="P12" s="211"/>
      <c r="Q12" s="211"/>
      <c r="R12" s="211"/>
      <c r="S12" s="211"/>
      <c r="T12" s="211"/>
      <c r="U12" s="208"/>
    </row>
    <row r="13" spans="1:21" ht="22.5" customHeight="1">
      <c r="A13" s="225"/>
      <c r="B13" s="226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29"/>
      <c r="N13" s="211"/>
      <c r="O13" s="211"/>
      <c r="P13" s="211"/>
      <c r="Q13" s="211"/>
      <c r="R13" s="211"/>
      <c r="S13" s="211"/>
      <c r="T13" s="211"/>
      <c r="U13" s="208"/>
    </row>
    <row r="14" spans="1:21" ht="23.25" customHeight="1">
      <c r="A14" s="225"/>
      <c r="B14" s="226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30"/>
      <c r="N14" s="212"/>
      <c r="O14" s="212"/>
      <c r="P14" s="212"/>
      <c r="Q14" s="212"/>
      <c r="R14" s="212"/>
      <c r="S14" s="212"/>
      <c r="T14" s="212"/>
      <c r="U14" s="209"/>
    </row>
    <row r="15" spans="1:21" ht="18.75" customHeight="1">
      <c r="A15" s="225" t="s">
        <v>126</v>
      </c>
      <c r="B15" s="226" t="s">
        <v>269</v>
      </c>
      <c r="C15" s="231" t="s">
        <v>82</v>
      </c>
      <c r="D15" s="22" t="s">
        <v>97</v>
      </c>
      <c r="E15" s="23">
        <f>E17+E18+E19+E20</f>
        <v>1620325812.08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262959837.94</v>
      </c>
      <c r="J15" s="23">
        <f t="shared" si="1"/>
        <v>231062790.06</v>
      </c>
      <c r="K15" s="23">
        <f t="shared" si="1"/>
        <v>232880418.78</v>
      </c>
      <c r="L15" s="23">
        <f t="shared" si="1"/>
        <v>232880418.78</v>
      </c>
      <c r="M15" s="228" t="s">
        <v>194</v>
      </c>
      <c r="N15" s="210">
        <v>100</v>
      </c>
      <c r="O15" s="210">
        <v>100</v>
      </c>
      <c r="P15" s="210">
        <v>100</v>
      </c>
      <c r="Q15" s="210">
        <v>100</v>
      </c>
      <c r="R15" s="210">
        <v>100</v>
      </c>
      <c r="S15" s="210">
        <v>100</v>
      </c>
      <c r="T15" s="210">
        <v>100</v>
      </c>
      <c r="U15" s="207" t="s">
        <v>272</v>
      </c>
    </row>
    <row r="16" spans="1:21" ht="16.5" customHeight="1">
      <c r="A16" s="225"/>
      <c r="B16" s="226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29"/>
      <c r="N16" s="211"/>
      <c r="O16" s="211"/>
      <c r="P16" s="211"/>
      <c r="Q16" s="211"/>
      <c r="R16" s="211"/>
      <c r="S16" s="211"/>
      <c r="T16" s="211"/>
      <c r="U16" s="208"/>
    </row>
    <row r="17" spans="1:21" ht="12.75" customHeight="1">
      <c r="A17" s="225"/>
      <c r="B17" s="226"/>
      <c r="C17" s="232"/>
      <c r="D17" s="22" t="s">
        <v>95</v>
      </c>
      <c r="E17" s="23">
        <f>F17+G17+H17+I17+J17+K17+L17</f>
        <v>1289194142.3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175">
        <f>193799176.87+10744449.98-1300802.93+3241622.02</f>
        <v>206484445.94</v>
      </c>
      <c r="J17" s="23">
        <v>187942250.06</v>
      </c>
      <c r="K17" s="23">
        <v>189759878.78</v>
      </c>
      <c r="L17" s="23">
        <v>189759878.78</v>
      </c>
      <c r="M17" s="229"/>
      <c r="N17" s="211"/>
      <c r="O17" s="211"/>
      <c r="P17" s="211"/>
      <c r="Q17" s="211"/>
      <c r="R17" s="211"/>
      <c r="S17" s="211"/>
      <c r="T17" s="211"/>
      <c r="U17" s="208"/>
    </row>
    <row r="18" spans="1:21" ht="12.75" customHeight="1">
      <c r="A18" s="225"/>
      <c r="B18" s="226"/>
      <c r="C18" s="232"/>
      <c r="D18" s="22" t="s">
        <v>93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29"/>
      <c r="N18" s="211"/>
      <c r="O18" s="211"/>
      <c r="P18" s="211"/>
      <c r="Q18" s="211"/>
      <c r="R18" s="211"/>
      <c r="S18" s="211"/>
      <c r="T18" s="211"/>
      <c r="U18" s="208"/>
    </row>
    <row r="19" spans="1:21" ht="12.75" customHeight="1">
      <c r="A19" s="225"/>
      <c r="B19" s="226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29"/>
      <c r="N19" s="211"/>
      <c r="O19" s="211"/>
      <c r="P19" s="211"/>
      <c r="Q19" s="211"/>
      <c r="R19" s="211"/>
      <c r="S19" s="211"/>
      <c r="T19" s="211"/>
      <c r="U19" s="208"/>
    </row>
    <row r="20" spans="1:21" ht="13.5" customHeight="1">
      <c r="A20" s="225"/>
      <c r="B20" s="226"/>
      <c r="C20" s="233"/>
      <c r="D20" s="22" t="s">
        <v>96</v>
      </c>
      <c r="E20" s="23">
        <f>F20+G20+H20+I20+J20+K20+L20</f>
        <v>330163859.78</v>
      </c>
      <c r="F20" s="23">
        <v>41676800</v>
      </c>
      <c r="G20" s="23">
        <f>45883796.78+290859</f>
        <v>46174655.78</v>
      </c>
      <c r="H20" s="23">
        <v>56475392</v>
      </c>
      <c r="I20" s="23">
        <v>56475392</v>
      </c>
      <c r="J20" s="23">
        <v>43120540</v>
      </c>
      <c r="K20" s="23">
        <v>43120540</v>
      </c>
      <c r="L20" s="23">
        <v>43120540</v>
      </c>
      <c r="M20" s="230"/>
      <c r="N20" s="212"/>
      <c r="O20" s="212"/>
      <c r="P20" s="212"/>
      <c r="Q20" s="212"/>
      <c r="R20" s="212"/>
      <c r="S20" s="212"/>
      <c r="T20" s="212"/>
      <c r="U20" s="209"/>
    </row>
    <row r="21" spans="1:21" ht="19.5" customHeight="1">
      <c r="A21" s="225" t="s">
        <v>127</v>
      </c>
      <c r="B21" s="226" t="s">
        <v>122</v>
      </c>
      <c r="C21" s="231" t="s">
        <v>82</v>
      </c>
      <c r="D21" s="22" t="s">
        <v>97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21" t="s">
        <v>3</v>
      </c>
      <c r="N21" s="204">
        <v>1</v>
      </c>
      <c r="O21" s="204">
        <v>1</v>
      </c>
      <c r="P21" s="204">
        <v>1</v>
      </c>
      <c r="Q21" s="204">
        <v>1</v>
      </c>
      <c r="R21" s="204">
        <v>1</v>
      </c>
      <c r="S21" s="204">
        <v>1</v>
      </c>
      <c r="T21" s="204">
        <v>1</v>
      </c>
      <c r="U21" s="207" t="s">
        <v>56</v>
      </c>
    </row>
    <row r="22" spans="1:21" ht="16.5" customHeight="1">
      <c r="A22" s="225"/>
      <c r="B22" s="226"/>
      <c r="C22" s="232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222"/>
      <c r="N22" s="205"/>
      <c r="O22" s="205"/>
      <c r="P22" s="205"/>
      <c r="Q22" s="205"/>
      <c r="R22" s="205"/>
      <c r="S22" s="205"/>
      <c r="T22" s="205"/>
      <c r="U22" s="208"/>
    </row>
    <row r="23" spans="1:21" ht="23.25" customHeight="1">
      <c r="A23" s="225"/>
      <c r="B23" s="226"/>
      <c r="C23" s="232"/>
      <c r="D23" s="22" t="s">
        <v>95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2"/>
      <c r="N23" s="205"/>
      <c r="O23" s="205"/>
      <c r="P23" s="205"/>
      <c r="Q23" s="205"/>
      <c r="R23" s="205"/>
      <c r="S23" s="205"/>
      <c r="T23" s="205"/>
      <c r="U23" s="208"/>
    </row>
    <row r="24" spans="1:21" ht="12.75">
      <c r="A24" s="225"/>
      <c r="B24" s="226"/>
      <c r="C24" s="232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22"/>
      <c r="N24" s="205"/>
      <c r="O24" s="205"/>
      <c r="P24" s="205"/>
      <c r="Q24" s="205"/>
      <c r="R24" s="205"/>
      <c r="S24" s="205"/>
      <c r="T24" s="205"/>
      <c r="U24" s="208"/>
    </row>
    <row r="25" spans="1:21" ht="12.75">
      <c r="A25" s="225"/>
      <c r="B25" s="226"/>
      <c r="C25" s="232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22"/>
      <c r="N25" s="205"/>
      <c r="O25" s="205"/>
      <c r="P25" s="205"/>
      <c r="Q25" s="205"/>
      <c r="R25" s="205"/>
      <c r="S25" s="205"/>
      <c r="T25" s="205"/>
      <c r="U25" s="208"/>
    </row>
    <row r="26" spans="1:21" ht="12.75">
      <c r="A26" s="225"/>
      <c r="B26" s="226"/>
      <c r="C26" s="233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27"/>
      <c r="N26" s="206"/>
      <c r="O26" s="206"/>
      <c r="P26" s="206"/>
      <c r="Q26" s="206"/>
      <c r="R26" s="206"/>
      <c r="S26" s="206"/>
      <c r="T26" s="206"/>
      <c r="U26" s="209"/>
    </row>
    <row r="27" spans="1:21" ht="19.5" customHeight="1">
      <c r="A27" s="225" t="s">
        <v>128</v>
      </c>
      <c r="B27" s="226" t="s">
        <v>186</v>
      </c>
      <c r="C27" s="231" t="s">
        <v>82</v>
      </c>
      <c r="D27" s="22" t="s">
        <v>97</v>
      </c>
      <c r="E27" s="23">
        <f>E29+E30+E31+E32</f>
        <v>53053786.89999999</v>
      </c>
      <c r="F27" s="23">
        <f aca="true" t="shared" si="3" ref="F27:L27">F29+F30+F31+F32</f>
        <v>805706</v>
      </c>
      <c r="G27" s="23">
        <f t="shared" si="3"/>
        <v>9276871.26</v>
      </c>
      <c r="H27" s="23">
        <f t="shared" si="3"/>
        <v>9991366.549999999</v>
      </c>
      <c r="I27" s="23">
        <f>I29+I30+I31+I32</f>
        <v>8537479.440000001</v>
      </c>
      <c r="J27" s="23">
        <f t="shared" si="3"/>
        <v>7808018.050000001</v>
      </c>
      <c r="K27" s="23">
        <f t="shared" si="3"/>
        <v>8317172.8</v>
      </c>
      <c r="L27" s="23">
        <f t="shared" si="3"/>
        <v>8317172.8</v>
      </c>
      <c r="M27" s="221" t="s">
        <v>198</v>
      </c>
      <c r="N27" s="204">
        <v>1</v>
      </c>
      <c r="O27" s="204">
        <v>1</v>
      </c>
      <c r="P27" s="204">
        <v>1</v>
      </c>
      <c r="Q27" s="204">
        <v>1</v>
      </c>
      <c r="R27" s="204">
        <v>1</v>
      </c>
      <c r="S27" s="204">
        <v>1</v>
      </c>
      <c r="T27" s="204">
        <v>1</v>
      </c>
      <c r="U27" s="207" t="s">
        <v>272</v>
      </c>
    </row>
    <row r="28" spans="1:21" ht="16.5" customHeight="1">
      <c r="A28" s="225"/>
      <c r="B28" s="226"/>
      <c r="C28" s="232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222"/>
      <c r="N28" s="205"/>
      <c r="O28" s="205"/>
      <c r="P28" s="205"/>
      <c r="Q28" s="205"/>
      <c r="R28" s="205"/>
      <c r="S28" s="205"/>
      <c r="T28" s="205"/>
      <c r="U28" s="208"/>
    </row>
    <row r="29" spans="1:21" ht="23.25" customHeight="1">
      <c r="A29" s="225"/>
      <c r="B29" s="226"/>
      <c r="C29" s="232"/>
      <c r="D29" s="22" t="s">
        <v>95</v>
      </c>
      <c r="E29" s="23">
        <f>F29+G29+H29+I29+J29+K29+L29</f>
        <v>48472811.739999995</v>
      </c>
      <c r="F29" s="23"/>
      <c r="G29" s="23">
        <v>8494135.5</v>
      </c>
      <c r="H29" s="23">
        <f>6503695+685472.64+771517.94+1046435.17+240780.37</f>
        <v>9247901.12</v>
      </c>
      <c r="I29" s="23">
        <f>8012033+219974.44</f>
        <v>8232007.44</v>
      </c>
      <c r="J29" s="23">
        <v>7177743.36</v>
      </c>
      <c r="K29" s="23">
        <v>7660512.16</v>
      </c>
      <c r="L29" s="23">
        <v>7660512.16</v>
      </c>
      <c r="M29" s="222"/>
      <c r="N29" s="205"/>
      <c r="O29" s="205"/>
      <c r="P29" s="205"/>
      <c r="Q29" s="205"/>
      <c r="R29" s="205"/>
      <c r="S29" s="205"/>
      <c r="T29" s="205"/>
      <c r="U29" s="208"/>
    </row>
    <row r="30" spans="1:21" ht="15" customHeight="1">
      <c r="A30" s="225"/>
      <c r="B30" s="226"/>
      <c r="C30" s="232"/>
      <c r="D30" s="22" t="s">
        <v>93</v>
      </c>
      <c r="E30" s="23">
        <f>F30+G30+H30+I30+J30+K30+L30</f>
        <v>4580975.16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1887.92+722034.04-417034.04-1415.92</f>
        <v>305472.0000000001</v>
      </c>
      <c r="J30" s="24">
        <f>1888.46+628386.23</f>
        <v>630274.69</v>
      </c>
      <c r="K30" s="24">
        <f>1888.47+654772.17</f>
        <v>656660.64</v>
      </c>
      <c r="L30" s="24">
        <v>656660.64</v>
      </c>
      <c r="M30" s="222"/>
      <c r="N30" s="205"/>
      <c r="O30" s="205"/>
      <c r="P30" s="205"/>
      <c r="Q30" s="205"/>
      <c r="R30" s="205"/>
      <c r="S30" s="205"/>
      <c r="T30" s="205"/>
      <c r="U30" s="208"/>
    </row>
    <row r="31" spans="1:21" ht="12.75">
      <c r="A31" s="225"/>
      <c r="B31" s="226"/>
      <c r="C31" s="232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22"/>
      <c r="N31" s="205"/>
      <c r="O31" s="205"/>
      <c r="P31" s="205"/>
      <c r="Q31" s="205"/>
      <c r="R31" s="205"/>
      <c r="S31" s="205"/>
      <c r="T31" s="205"/>
      <c r="U31" s="208"/>
    </row>
    <row r="32" spans="1:21" ht="12.75">
      <c r="A32" s="225"/>
      <c r="B32" s="226"/>
      <c r="C32" s="233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27"/>
      <c r="N32" s="206"/>
      <c r="O32" s="206"/>
      <c r="P32" s="206"/>
      <c r="Q32" s="206"/>
      <c r="R32" s="206"/>
      <c r="S32" s="206"/>
      <c r="T32" s="206"/>
      <c r="U32" s="209"/>
    </row>
    <row r="33" spans="1:21" ht="18" customHeight="1">
      <c r="A33" s="225" t="s">
        <v>129</v>
      </c>
      <c r="B33" s="226" t="s">
        <v>270</v>
      </c>
      <c r="C33" s="231" t="s">
        <v>82</v>
      </c>
      <c r="D33" s="22" t="s">
        <v>97</v>
      </c>
      <c r="E33" s="23">
        <f aca="true" t="shared" si="4" ref="E33:L33">E35+E36+E37+E38</f>
        <v>2633200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425500</v>
      </c>
      <c r="J33" s="23">
        <f t="shared" si="4"/>
        <v>425500</v>
      </c>
      <c r="K33" s="23">
        <f t="shared" si="4"/>
        <v>425500</v>
      </c>
      <c r="L33" s="23">
        <f t="shared" si="4"/>
        <v>425500</v>
      </c>
      <c r="M33" s="221" t="s">
        <v>2</v>
      </c>
      <c r="N33" s="204">
        <v>1</v>
      </c>
      <c r="O33" s="204">
        <v>1</v>
      </c>
      <c r="P33" s="204">
        <v>1</v>
      </c>
      <c r="Q33" s="204">
        <v>1</v>
      </c>
      <c r="R33" s="204">
        <v>1</v>
      </c>
      <c r="S33" s="204">
        <v>1</v>
      </c>
      <c r="T33" s="204">
        <v>1</v>
      </c>
      <c r="U33" s="207" t="s">
        <v>272</v>
      </c>
    </row>
    <row r="34" spans="1:21" ht="16.5" customHeight="1">
      <c r="A34" s="225"/>
      <c r="B34" s="226"/>
      <c r="C34" s="232"/>
      <c r="D34" s="218" t="s">
        <v>117</v>
      </c>
      <c r="E34" s="219"/>
      <c r="F34" s="219"/>
      <c r="G34" s="219"/>
      <c r="H34" s="219"/>
      <c r="I34" s="219"/>
      <c r="J34" s="219"/>
      <c r="K34" s="219"/>
      <c r="L34" s="220"/>
      <c r="M34" s="222"/>
      <c r="N34" s="205"/>
      <c r="O34" s="205"/>
      <c r="P34" s="205"/>
      <c r="Q34" s="205"/>
      <c r="R34" s="205"/>
      <c r="S34" s="205"/>
      <c r="T34" s="205"/>
      <c r="U34" s="208"/>
    </row>
    <row r="35" spans="1:21" ht="18.75" customHeight="1">
      <c r="A35" s="225"/>
      <c r="B35" s="226"/>
      <c r="C35" s="232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22"/>
      <c r="N35" s="205"/>
      <c r="O35" s="205"/>
      <c r="P35" s="205"/>
      <c r="Q35" s="205"/>
      <c r="R35" s="205"/>
      <c r="S35" s="205"/>
      <c r="T35" s="205"/>
      <c r="U35" s="208"/>
    </row>
    <row r="36" spans="1:21" ht="15.75" customHeight="1">
      <c r="A36" s="225"/>
      <c r="B36" s="226"/>
      <c r="C36" s="232"/>
      <c r="D36" s="22" t="s">
        <v>93</v>
      </c>
      <c r="E36" s="23">
        <f>F36+G36+H36+I36+J36+K36+L36</f>
        <v>2633200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</f>
        <v>425500</v>
      </c>
      <c r="J36" s="23">
        <f>170216.5+255283.5</f>
        <v>425500</v>
      </c>
      <c r="K36" s="23">
        <f>170216.5+255283.5</f>
        <v>425500</v>
      </c>
      <c r="L36" s="23">
        <v>425500</v>
      </c>
      <c r="M36" s="223"/>
      <c r="N36" s="213"/>
      <c r="O36" s="213"/>
      <c r="P36" s="213"/>
      <c r="Q36" s="213"/>
      <c r="R36" s="213"/>
      <c r="S36" s="213"/>
      <c r="T36" s="213"/>
      <c r="U36" s="208"/>
    </row>
    <row r="37" spans="1:21" ht="14.25" customHeight="1">
      <c r="A37" s="225"/>
      <c r="B37" s="226"/>
      <c r="C37" s="232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23"/>
      <c r="N37" s="213"/>
      <c r="O37" s="213"/>
      <c r="P37" s="213"/>
      <c r="Q37" s="213"/>
      <c r="R37" s="213"/>
      <c r="S37" s="213"/>
      <c r="T37" s="213"/>
      <c r="U37" s="208"/>
    </row>
    <row r="38" spans="1:21" ht="14.25" customHeight="1">
      <c r="A38" s="225"/>
      <c r="B38" s="226"/>
      <c r="C38" s="233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24"/>
      <c r="N38" s="214"/>
      <c r="O38" s="214"/>
      <c r="P38" s="214"/>
      <c r="Q38" s="214"/>
      <c r="R38" s="214"/>
      <c r="S38" s="214"/>
      <c r="T38" s="214"/>
      <c r="U38" s="209"/>
    </row>
    <row r="39" spans="1:21" ht="14.25" customHeight="1">
      <c r="A39" s="225" t="s">
        <v>130</v>
      </c>
      <c r="B39" s="244" t="s">
        <v>271</v>
      </c>
      <c r="C39" s="231" t="s">
        <v>82</v>
      </c>
      <c r="D39" s="22" t="s">
        <v>97</v>
      </c>
      <c r="E39" s="23">
        <f>E41+E42+E43+E44</f>
        <v>105321900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17018900</v>
      </c>
      <c r="J39" s="23">
        <f t="shared" si="5"/>
        <v>17018900</v>
      </c>
      <c r="K39" s="23">
        <f t="shared" si="5"/>
        <v>17018900</v>
      </c>
      <c r="L39" s="23">
        <f t="shared" si="5"/>
        <v>17018900</v>
      </c>
      <c r="M39" s="221" t="s">
        <v>196</v>
      </c>
      <c r="N39" s="210">
        <v>93.7</v>
      </c>
      <c r="O39" s="210">
        <v>93.5</v>
      </c>
      <c r="P39" s="210">
        <v>93.3</v>
      </c>
      <c r="Q39" s="210">
        <v>93</v>
      </c>
      <c r="R39" s="210">
        <v>93</v>
      </c>
      <c r="S39" s="210">
        <v>93</v>
      </c>
      <c r="T39" s="210">
        <v>93</v>
      </c>
      <c r="U39" s="207" t="s">
        <v>272</v>
      </c>
    </row>
    <row r="40" spans="1:21" ht="16.5" customHeight="1">
      <c r="A40" s="225"/>
      <c r="B40" s="244"/>
      <c r="C40" s="232"/>
      <c r="D40" s="218" t="s">
        <v>117</v>
      </c>
      <c r="E40" s="219"/>
      <c r="F40" s="219"/>
      <c r="G40" s="219"/>
      <c r="H40" s="219"/>
      <c r="I40" s="219"/>
      <c r="J40" s="219"/>
      <c r="K40" s="219"/>
      <c r="L40" s="220"/>
      <c r="M40" s="222"/>
      <c r="N40" s="211"/>
      <c r="O40" s="211"/>
      <c r="P40" s="211"/>
      <c r="Q40" s="211"/>
      <c r="R40" s="211"/>
      <c r="S40" s="211"/>
      <c r="T40" s="211"/>
      <c r="U40" s="208"/>
    </row>
    <row r="41" spans="1:21" ht="14.25" customHeight="1">
      <c r="A41" s="225"/>
      <c r="B41" s="244"/>
      <c r="C41" s="232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22"/>
      <c r="N41" s="211"/>
      <c r="O41" s="211"/>
      <c r="P41" s="211"/>
      <c r="Q41" s="211"/>
      <c r="R41" s="211"/>
      <c r="S41" s="211"/>
      <c r="T41" s="211"/>
      <c r="U41" s="208"/>
    </row>
    <row r="42" spans="1:21" ht="14.25" customHeight="1">
      <c r="A42" s="225"/>
      <c r="B42" s="244"/>
      <c r="C42" s="232"/>
      <c r="D42" s="22" t="s">
        <v>93</v>
      </c>
      <c r="E42" s="23">
        <f>F42+G42+H42+I42+J42+K42+L42</f>
        <v>105321900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v>17018900</v>
      </c>
      <c r="J42" s="23">
        <v>17018900</v>
      </c>
      <c r="K42" s="23">
        <v>17018900</v>
      </c>
      <c r="L42" s="23">
        <v>17018900</v>
      </c>
      <c r="M42" s="222"/>
      <c r="N42" s="211"/>
      <c r="O42" s="211"/>
      <c r="P42" s="211"/>
      <c r="Q42" s="211"/>
      <c r="R42" s="211"/>
      <c r="S42" s="211"/>
      <c r="T42" s="211"/>
      <c r="U42" s="208"/>
    </row>
    <row r="43" spans="1:21" ht="14.25" customHeight="1">
      <c r="A43" s="225"/>
      <c r="B43" s="244"/>
      <c r="C43" s="232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22"/>
      <c r="N43" s="211"/>
      <c r="O43" s="211"/>
      <c r="P43" s="211"/>
      <c r="Q43" s="211"/>
      <c r="R43" s="211"/>
      <c r="S43" s="211"/>
      <c r="T43" s="211"/>
      <c r="U43" s="208"/>
    </row>
    <row r="44" spans="1:21" ht="14.25" customHeight="1">
      <c r="A44" s="225"/>
      <c r="B44" s="244"/>
      <c r="C44" s="233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27"/>
      <c r="N44" s="212"/>
      <c r="O44" s="212"/>
      <c r="P44" s="212"/>
      <c r="Q44" s="212"/>
      <c r="R44" s="212"/>
      <c r="S44" s="212"/>
      <c r="T44" s="212"/>
      <c r="U44" s="209"/>
    </row>
    <row r="45" spans="1:21" ht="12.75">
      <c r="A45" s="225" t="s">
        <v>145</v>
      </c>
      <c r="B45" s="244" t="s">
        <v>123</v>
      </c>
      <c r="C45" s="231" t="s">
        <v>82</v>
      </c>
      <c r="D45" s="22" t="s">
        <v>97</v>
      </c>
      <c r="E45" s="23">
        <f>E47+E48+E49+E50</f>
        <v>17507969.5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1800000</v>
      </c>
      <c r="J45" s="23">
        <f t="shared" si="6"/>
        <v>3350500</v>
      </c>
      <c r="K45" s="23">
        <f t="shared" si="6"/>
        <v>3350500</v>
      </c>
      <c r="L45" s="23">
        <f t="shared" si="6"/>
        <v>3350500</v>
      </c>
      <c r="M45" s="221" t="s">
        <v>197</v>
      </c>
      <c r="N45" s="204">
        <v>1</v>
      </c>
      <c r="O45" s="204">
        <v>1</v>
      </c>
      <c r="P45" s="204">
        <v>1</v>
      </c>
      <c r="Q45" s="204">
        <v>1</v>
      </c>
      <c r="R45" s="204">
        <v>1</v>
      </c>
      <c r="S45" s="204">
        <v>1</v>
      </c>
      <c r="T45" s="204">
        <v>1</v>
      </c>
      <c r="U45" s="207" t="s">
        <v>56</v>
      </c>
    </row>
    <row r="46" spans="1:21" ht="12.75">
      <c r="A46" s="225"/>
      <c r="B46" s="244"/>
      <c r="C46" s="232"/>
      <c r="D46" s="218" t="s">
        <v>117</v>
      </c>
      <c r="E46" s="219"/>
      <c r="F46" s="219"/>
      <c r="G46" s="219"/>
      <c r="H46" s="219"/>
      <c r="I46" s="219"/>
      <c r="J46" s="219"/>
      <c r="K46" s="219"/>
      <c r="L46" s="220"/>
      <c r="M46" s="222"/>
      <c r="N46" s="205"/>
      <c r="O46" s="205"/>
      <c r="P46" s="205"/>
      <c r="Q46" s="205"/>
      <c r="R46" s="205"/>
      <c r="S46" s="205"/>
      <c r="T46" s="205"/>
      <c r="U46" s="208"/>
    </row>
    <row r="47" spans="1:21" ht="17.25" customHeight="1">
      <c r="A47" s="225"/>
      <c r="B47" s="244"/>
      <c r="C47" s="232"/>
      <c r="D47" s="22" t="s">
        <v>95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22"/>
      <c r="N47" s="205"/>
      <c r="O47" s="205"/>
      <c r="P47" s="205"/>
      <c r="Q47" s="205"/>
      <c r="R47" s="205"/>
      <c r="S47" s="205"/>
      <c r="T47" s="205"/>
      <c r="U47" s="208"/>
    </row>
    <row r="48" spans="1:21" ht="12.75">
      <c r="A48" s="225"/>
      <c r="B48" s="244"/>
      <c r="C48" s="232"/>
      <c r="D48" s="22" t="s">
        <v>93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22"/>
      <c r="N48" s="205"/>
      <c r="O48" s="205"/>
      <c r="P48" s="205"/>
      <c r="Q48" s="205"/>
      <c r="R48" s="205"/>
      <c r="S48" s="205"/>
      <c r="T48" s="205"/>
      <c r="U48" s="208"/>
    </row>
    <row r="49" spans="1:21" ht="12.75">
      <c r="A49" s="225"/>
      <c r="B49" s="244"/>
      <c r="C49" s="232"/>
      <c r="D49" s="22" t="s">
        <v>94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22"/>
      <c r="N49" s="205"/>
      <c r="O49" s="205"/>
      <c r="P49" s="205"/>
      <c r="Q49" s="205"/>
      <c r="R49" s="205"/>
      <c r="S49" s="205"/>
      <c r="T49" s="205"/>
      <c r="U49" s="208"/>
    </row>
    <row r="50" spans="1:21" ht="12.75">
      <c r="A50" s="225"/>
      <c r="B50" s="244"/>
      <c r="C50" s="233"/>
      <c r="D50" s="22" t="s">
        <v>96</v>
      </c>
      <c r="E50" s="23">
        <f>F50+G50+H50+I50+J50+K50+L50</f>
        <v>17507969.5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v>1800000</v>
      </c>
      <c r="J50" s="24">
        <v>3350500</v>
      </c>
      <c r="K50" s="24">
        <v>3350500</v>
      </c>
      <c r="L50" s="24">
        <v>3350500</v>
      </c>
      <c r="M50" s="227"/>
      <c r="N50" s="206"/>
      <c r="O50" s="206"/>
      <c r="P50" s="206"/>
      <c r="Q50" s="206"/>
      <c r="R50" s="206"/>
      <c r="S50" s="206"/>
      <c r="T50" s="206"/>
      <c r="U50" s="209"/>
    </row>
    <row r="51" spans="1:21" ht="13.5" customHeight="1">
      <c r="A51" s="236"/>
      <c r="B51" s="237" t="s">
        <v>75</v>
      </c>
      <c r="C51" s="236"/>
      <c r="D51" s="102" t="s">
        <v>97</v>
      </c>
      <c r="E51" s="103">
        <f aca="true" t="shared" si="7" ref="E51:L51">E53+E54+E55+E56</f>
        <v>4098864169.96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626858314.98</v>
      </c>
      <c r="J51" s="103">
        <f t="shared" si="7"/>
        <v>609063259.46</v>
      </c>
      <c r="K51" s="103">
        <f t="shared" si="7"/>
        <v>611473784.54</v>
      </c>
      <c r="L51" s="103">
        <f t="shared" si="7"/>
        <v>606016634.17</v>
      </c>
      <c r="M51" s="238"/>
      <c r="N51" s="246"/>
      <c r="O51" s="246"/>
      <c r="P51" s="246"/>
      <c r="Q51" s="246"/>
      <c r="R51" s="246"/>
      <c r="S51" s="246"/>
      <c r="T51" s="246"/>
      <c r="U51" s="249"/>
    </row>
    <row r="52" spans="1:21" ht="12.75">
      <c r="A52" s="236"/>
      <c r="B52" s="237"/>
      <c r="C52" s="236"/>
      <c r="D52" s="241" t="s">
        <v>117</v>
      </c>
      <c r="E52" s="242"/>
      <c r="F52" s="242"/>
      <c r="G52" s="242"/>
      <c r="H52" s="242"/>
      <c r="I52" s="242"/>
      <c r="J52" s="242"/>
      <c r="K52" s="242"/>
      <c r="L52" s="243"/>
      <c r="M52" s="239"/>
      <c r="N52" s="247"/>
      <c r="O52" s="247"/>
      <c r="P52" s="247"/>
      <c r="Q52" s="247"/>
      <c r="R52" s="247"/>
      <c r="S52" s="247"/>
      <c r="T52" s="247"/>
      <c r="U52" s="250"/>
    </row>
    <row r="53" spans="1:21" ht="13.5">
      <c r="A53" s="236"/>
      <c r="B53" s="237"/>
      <c r="C53" s="236"/>
      <c r="D53" s="104" t="s">
        <v>95</v>
      </c>
      <c r="E53" s="103">
        <f>F53+G53+H53+I53+J53+K53+L53</f>
        <v>1376405860.78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214739723.39</v>
      </c>
      <c r="J53" s="105">
        <f t="shared" si="8"/>
        <v>195145725.99</v>
      </c>
      <c r="K53" s="105">
        <f t="shared" si="8"/>
        <v>197450293.53</v>
      </c>
      <c r="L53" s="105">
        <f t="shared" si="8"/>
        <v>197450293.53</v>
      </c>
      <c r="M53" s="239"/>
      <c r="N53" s="247"/>
      <c r="O53" s="247"/>
      <c r="P53" s="247"/>
      <c r="Q53" s="247"/>
      <c r="R53" s="247"/>
      <c r="S53" s="247"/>
      <c r="T53" s="247"/>
      <c r="U53" s="250"/>
    </row>
    <row r="54" spans="1:21" ht="13.5">
      <c r="A54" s="236"/>
      <c r="B54" s="237"/>
      <c r="C54" s="236"/>
      <c r="D54" s="104" t="s">
        <v>93</v>
      </c>
      <c r="E54" s="103">
        <f>F54+G54+H54+I54+J54+K54+L54</f>
        <v>2374786479.9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353843199.59</v>
      </c>
      <c r="J54" s="105">
        <f t="shared" si="8"/>
        <v>367446493.46999997</v>
      </c>
      <c r="K54" s="105">
        <f t="shared" si="8"/>
        <v>367552451.01</v>
      </c>
      <c r="L54" s="105">
        <f t="shared" si="8"/>
        <v>362095300.64</v>
      </c>
      <c r="M54" s="239"/>
      <c r="N54" s="247"/>
      <c r="O54" s="247"/>
      <c r="P54" s="247"/>
      <c r="Q54" s="247"/>
      <c r="R54" s="247"/>
      <c r="S54" s="247"/>
      <c r="T54" s="247"/>
      <c r="U54" s="250"/>
    </row>
    <row r="55" spans="1:21" ht="13.5">
      <c r="A55" s="236"/>
      <c r="B55" s="237"/>
      <c r="C55" s="236"/>
      <c r="D55" s="104" t="s">
        <v>94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39"/>
      <c r="N55" s="247"/>
      <c r="O55" s="247"/>
      <c r="P55" s="247"/>
      <c r="Q55" s="247"/>
      <c r="R55" s="247"/>
      <c r="S55" s="247"/>
      <c r="T55" s="247"/>
      <c r="U55" s="250"/>
    </row>
    <row r="56" spans="1:21" ht="13.5">
      <c r="A56" s="236"/>
      <c r="B56" s="237"/>
      <c r="C56" s="236"/>
      <c r="D56" s="104" t="s">
        <v>96</v>
      </c>
      <c r="E56" s="103">
        <f>F56+G56+H56+I56+J56+K56+L56</f>
        <v>347671829.28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58275392</v>
      </c>
      <c r="J56" s="105">
        <f t="shared" si="8"/>
        <v>46471040</v>
      </c>
      <c r="K56" s="105">
        <f t="shared" si="8"/>
        <v>46471040</v>
      </c>
      <c r="L56" s="105">
        <f t="shared" si="8"/>
        <v>46471040</v>
      </c>
      <c r="M56" s="240"/>
      <c r="N56" s="248"/>
      <c r="O56" s="248"/>
      <c r="P56" s="248"/>
      <c r="Q56" s="248"/>
      <c r="R56" s="248"/>
      <c r="S56" s="248"/>
      <c r="T56" s="248"/>
      <c r="U56" s="251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T51:T56"/>
    <mergeCell ref="U51:U56"/>
    <mergeCell ref="N51:N56"/>
    <mergeCell ref="O51:O56"/>
    <mergeCell ref="P51:P56"/>
    <mergeCell ref="Q51:Q56"/>
    <mergeCell ref="R51:R56"/>
    <mergeCell ref="S51:S56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O21:O26"/>
    <mergeCell ref="P21:P26"/>
    <mergeCell ref="N21:N26"/>
    <mergeCell ref="O9:O14"/>
    <mergeCell ref="N9:N14"/>
    <mergeCell ref="D10:L10"/>
    <mergeCell ref="M9:M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B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78" t="s">
        <v>276</v>
      </c>
      <c r="G1" s="179"/>
      <c r="H1" s="179"/>
      <c r="I1" s="179"/>
      <c r="J1" s="129"/>
    </row>
    <row r="2" spans="5:9" ht="18.75" customHeight="1">
      <c r="E2" s="124"/>
      <c r="F2" s="146"/>
      <c r="G2" s="143"/>
      <c r="I2" s="146" t="s">
        <v>134</v>
      </c>
    </row>
    <row r="3" spans="1:9" ht="36.75" customHeight="1">
      <c r="A3" s="245" t="s">
        <v>73</v>
      </c>
      <c r="B3" s="245"/>
      <c r="C3" s="245"/>
      <c r="D3" s="245"/>
      <c r="E3" s="245"/>
      <c r="F3" s="245"/>
      <c r="G3" s="245"/>
      <c r="H3" s="245"/>
      <c r="I3" s="245"/>
    </row>
    <row r="4" spans="1:9" ht="30" customHeight="1">
      <c r="A4" s="184" t="s">
        <v>103</v>
      </c>
      <c r="B4" s="184" t="s">
        <v>104</v>
      </c>
      <c r="C4" s="256" t="s">
        <v>105</v>
      </c>
      <c r="D4" s="257"/>
      <c r="E4" s="257"/>
      <c r="F4" s="257"/>
      <c r="G4" s="257"/>
      <c r="H4" s="257"/>
      <c r="I4" s="258"/>
    </row>
    <row r="5" spans="1:9" ht="16.5" customHeight="1">
      <c r="A5" s="255"/>
      <c r="B5" s="255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63</v>
      </c>
      <c r="B6" s="153" t="s">
        <v>64</v>
      </c>
      <c r="C6" s="153" t="s">
        <v>65</v>
      </c>
      <c r="D6" s="153" t="s">
        <v>66</v>
      </c>
      <c r="E6" s="153" t="s">
        <v>67</v>
      </c>
      <c r="F6" s="153" t="s">
        <v>68</v>
      </c>
      <c r="G6" s="153" t="s">
        <v>69</v>
      </c>
      <c r="H6" s="153" t="s">
        <v>70</v>
      </c>
      <c r="I6" s="153" t="s">
        <v>71</v>
      </c>
    </row>
    <row r="7" spans="1:9" ht="19.5" customHeight="1">
      <c r="A7" s="144" t="s">
        <v>74</v>
      </c>
      <c r="B7" s="126">
        <f>B9+B10+B11+B12</f>
        <v>4731430594.839999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694807250.38</v>
      </c>
      <c r="G7" s="126">
        <f t="shared" si="0"/>
        <v>706261723.46</v>
      </c>
      <c r="H7" s="126">
        <f t="shared" si="0"/>
        <v>705594450.1700001</v>
      </c>
      <c r="I7" s="126">
        <f t="shared" si="0"/>
        <v>705593039.3399999</v>
      </c>
    </row>
    <row r="8" spans="1:9" ht="16.5" customHeight="1">
      <c r="A8" s="252" t="s">
        <v>106</v>
      </c>
      <c r="B8" s="253"/>
      <c r="C8" s="253"/>
      <c r="D8" s="253"/>
      <c r="E8" s="253"/>
      <c r="F8" s="253"/>
      <c r="G8" s="253"/>
      <c r="H8" s="253"/>
      <c r="I8" s="254"/>
    </row>
    <row r="9" spans="1:9" ht="16.5" customHeight="1">
      <c r="A9" s="154" t="s">
        <v>107</v>
      </c>
      <c r="B9" s="126">
        <f>B16</f>
        <v>2114306776.89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313261876.9</v>
      </c>
      <c r="G9" s="84">
        <f t="shared" si="1"/>
        <v>303517595.36</v>
      </c>
      <c r="H9" s="84">
        <f t="shared" si="1"/>
        <v>307983491.18</v>
      </c>
      <c r="I9" s="84">
        <f t="shared" si="1"/>
        <v>307982080.34999996</v>
      </c>
    </row>
    <row r="10" spans="1:9" ht="16.5" customHeight="1">
      <c r="A10" s="154" t="s">
        <v>20</v>
      </c>
      <c r="B10" s="126">
        <f aca="true" t="shared" si="2" ref="B10:I12">B17</f>
        <v>2408980243.22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359127412.33</v>
      </c>
      <c r="G10" s="84">
        <f>G17</f>
        <v>367404128.1</v>
      </c>
      <c r="H10" s="84">
        <f t="shared" si="2"/>
        <v>362270958.99</v>
      </c>
      <c r="I10" s="84">
        <f t="shared" si="2"/>
        <v>362270958.99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110</v>
      </c>
      <c r="B12" s="126">
        <f t="shared" si="2"/>
        <v>208143574.73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22417961.15</v>
      </c>
      <c r="G12" s="84">
        <f t="shared" si="2"/>
        <v>35340000</v>
      </c>
      <c r="H12" s="84">
        <f t="shared" si="2"/>
        <v>35340000</v>
      </c>
      <c r="I12" s="84">
        <f t="shared" si="2"/>
        <v>35340000</v>
      </c>
    </row>
    <row r="13" spans="1:9" ht="16.5" customHeight="1">
      <c r="A13" s="189" t="s">
        <v>111</v>
      </c>
      <c r="B13" s="190"/>
      <c r="C13" s="190"/>
      <c r="D13" s="190"/>
      <c r="E13" s="190"/>
      <c r="F13" s="190"/>
      <c r="G13" s="190"/>
      <c r="H13" s="190"/>
      <c r="I13" s="191"/>
    </row>
    <row r="14" spans="1:9" ht="39.75" customHeight="1">
      <c r="A14" s="145" t="s">
        <v>118</v>
      </c>
      <c r="B14" s="126">
        <f>B16+B17+B18+B19</f>
        <v>4731430594.839999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694807250.38</v>
      </c>
      <c r="G14" s="126">
        <f t="shared" si="3"/>
        <v>706261723.46</v>
      </c>
      <c r="H14" s="126">
        <f t="shared" si="3"/>
        <v>705594450.1700001</v>
      </c>
      <c r="I14" s="126">
        <f t="shared" si="3"/>
        <v>705593039.3399999</v>
      </c>
    </row>
    <row r="15" spans="1:9" ht="16.5" customHeight="1">
      <c r="A15" s="252" t="s">
        <v>106</v>
      </c>
      <c r="B15" s="253"/>
      <c r="C15" s="253"/>
      <c r="D15" s="253"/>
      <c r="E15" s="253"/>
      <c r="F15" s="253"/>
      <c r="G15" s="253"/>
      <c r="H15" s="253"/>
      <c r="I15" s="254"/>
    </row>
    <row r="16" spans="1:9" ht="16.5" customHeight="1">
      <c r="A16" s="154" t="s">
        <v>107</v>
      </c>
      <c r="B16" s="126">
        <f>SUM(C16:I16)</f>
        <v>2114306776.89</v>
      </c>
      <c r="C16" s="84">
        <f>'таб 3(2)'!F126</f>
        <v>288108773.96999997</v>
      </c>
      <c r="D16" s="84">
        <f>'таб 3(2)'!G126</f>
        <v>288034535.81</v>
      </c>
      <c r="E16" s="84">
        <f>'таб 3(2)'!H126</f>
        <v>305418423.32</v>
      </c>
      <c r="F16" s="84">
        <f>'таб 3(2)'!I126</f>
        <v>313261876.9</v>
      </c>
      <c r="G16" s="84">
        <f>'таб 3(2)'!J126</f>
        <v>303517595.36</v>
      </c>
      <c r="H16" s="84">
        <f>'таб 3(2)'!K126</f>
        <v>307983491.18</v>
      </c>
      <c r="I16" s="84">
        <f>'таб 3(2)'!L126</f>
        <v>307982080.34999996</v>
      </c>
    </row>
    <row r="17" spans="1:9" ht="16.5" customHeight="1">
      <c r="A17" s="154" t="s">
        <v>20</v>
      </c>
      <c r="B17" s="126">
        <f>SUM(C17:I17)</f>
        <v>2408980243.22</v>
      </c>
      <c r="C17" s="84">
        <f>'таб 3(2)'!F127</f>
        <v>308069784</v>
      </c>
      <c r="D17" s="84">
        <f>'таб 3(2)'!G127</f>
        <v>318165579.24</v>
      </c>
      <c r="E17" s="84">
        <f>'таб 3(2)'!H127</f>
        <v>331671421.57</v>
      </c>
      <c r="F17" s="84">
        <f>'таб 3(2)'!I127</f>
        <v>359127412.33</v>
      </c>
      <c r="G17" s="84">
        <f>'таб 3(2)'!J127</f>
        <v>367404128.1</v>
      </c>
      <c r="H17" s="84">
        <f>'таб 3(2)'!K127</f>
        <v>362270958.99</v>
      </c>
      <c r="I17" s="84">
        <f>'таб 3(2)'!L127</f>
        <v>362270958.99</v>
      </c>
    </row>
    <row r="18" spans="1:9" ht="16.5" customHeight="1">
      <c r="A18" s="154" t="s">
        <v>21</v>
      </c>
      <c r="B18" s="126">
        <f>SUM(C18:I18)</f>
        <v>0</v>
      </c>
      <c r="C18" s="84">
        <f>'таб 3(2)'!F128</f>
        <v>0</v>
      </c>
      <c r="D18" s="84">
        <f>'таб 3(2)'!G128</f>
        <v>0</v>
      </c>
      <c r="E18" s="84">
        <f>'таб 3(2)'!H128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110</v>
      </c>
      <c r="B19" s="126">
        <f>SUM(C19:I19)</f>
        <v>208143574.73</v>
      </c>
      <c r="C19" s="84">
        <f>'таб 3(2)'!F129</f>
        <v>33978700</v>
      </c>
      <c r="D19" s="84">
        <f>'таб 3(2)'!G129</f>
        <v>23308952.43</v>
      </c>
      <c r="E19" s="84">
        <f>'таб 3(2)'!H129</f>
        <v>22417961.15</v>
      </c>
      <c r="F19" s="84">
        <f>'таб 3(2)'!I129</f>
        <v>22417961.15</v>
      </c>
      <c r="G19" s="84">
        <f>'таб 3(2)'!J129</f>
        <v>35340000</v>
      </c>
      <c r="H19" s="84">
        <f>'таб 3(2)'!K129</f>
        <v>35340000</v>
      </c>
      <c r="I19" s="84">
        <f>'таб 3(2)'!L129</f>
        <v>35340000</v>
      </c>
    </row>
    <row r="20" spans="1:9" ht="25.5">
      <c r="A20" s="4" t="s">
        <v>112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ht="15">
      <c r="C23" s="155"/>
    </row>
    <row r="24" ht="15">
      <c r="C24" s="155"/>
    </row>
    <row r="25" ht="15">
      <c r="C25" s="155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N1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29"/>
      <c r="Q1" s="178" t="s">
        <v>277</v>
      </c>
      <c r="R1" s="179"/>
      <c r="S1" s="179"/>
      <c r="T1" s="179"/>
      <c r="U1" s="179"/>
    </row>
    <row r="2" spans="20:21" ht="15.75">
      <c r="T2" s="100"/>
      <c r="U2" s="106" t="s">
        <v>135</v>
      </c>
    </row>
    <row r="3" spans="1:21" ht="15.75">
      <c r="A3" s="245" t="s">
        <v>77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31.5" customHeight="1">
      <c r="A4" s="184" t="s">
        <v>101</v>
      </c>
      <c r="B4" s="184" t="s">
        <v>113</v>
      </c>
      <c r="C4" s="184" t="s">
        <v>114</v>
      </c>
      <c r="D4" s="184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21" customHeight="1">
      <c r="A5" s="255"/>
      <c r="B5" s="255"/>
      <c r="C5" s="255"/>
      <c r="D5" s="255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136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1">
        <v>1</v>
      </c>
      <c r="B8" s="215" t="s">
        <v>33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6.5" customHeight="1">
      <c r="A9" s="277" t="s">
        <v>125</v>
      </c>
      <c r="B9" s="289" t="s">
        <v>137</v>
      </c>
      <c r="C9" s="231" t="s">
        <v>82</v>
      </c>
      <c r="D9" s="22" t="s">
        <v>97</v>
      </c>
      <c r="E9" s="23">
        <f>E11+E12+E13+E14</f>
        <v>950821946.95</v>
      </c>
      <c r="F9" s="23">
        <f aca="true" t="shared" si="0" ref="F9:L9">F11+F12+F13+F14</f>
        <v>117460965.8</v>
      </c>
      <c r="G9" s="23">
        <f t="shared" si="0"/>
        <v>135349395.49</v>
      </c>
      <c r="H9" s="23">
        <f t="shared" si="0"/>
        <v>130598022.34</v>
      </c>
      <c r="I9" s="23">
        <f t="shared" si="0"/>
        <v>138171741.06000003</v>
      </c>
      <c r="J9" s="23">
        <f t="shared" si="0"/>
        <v>142912826.49</v>
      </c>
      <c r="K9" s="23">
        <f t="shared" si="0"/>
        <v>143165203.29999998</v>
      </c>
      <c r="L9" s="23">
        <f t="shared" si="0"/>
        <v>143163792.47</v>
      </c>
      <c r="M9" s="207" t="s">
        <v>43</v>
      </c>
      <c r="N9" s="210">
        <v>100</v>
      </c>
      <c r="O9" s="210">
        <v>100</v>
      </c>
      <c r="P9" s="210">
        <v>100</v>
      </c>
      <c r="Q9" s="210">
        <v>100</v>
      </c>
      <c r="R9" s="210">
        <v>100</v>
      </c>
      <c r="S9" s="210">
        <v>100</v>
      </c>
      <c r="T9" s="210">
        <v>100</v>
      </c>
      <c r="U9" s="221" t="s">
        <v>44</v>
      </c>
    </row>
    <row r="10" spans="1:21" ht="16.5" customHeight="1">
      <c r="A10" s="278"/>
      <c r="B10" s="290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08"/>
      <c r="N10" s="211"/>
      <c r="O10" s="211"/>
      <c r="P10" s="211"/>
      <c r="Q10" s="211"/>
      <c r="R10" s="211"/>
      <c r="S10" s="211"/>
      <c r="T10" s="211"/>
      <c r="U10" s="222"/>
    </row>
    <row r="11" spans="1:21" ht="12.75">
      <c r="A11" s="278"/>
      <c r="B11" s="290"/>
      <c r="C11" s="232"/>
      <c r="D11" s="22" t="s">
        <v>95</v>
      </c>
      <c r="E11" s="23">
        <f>F11+G11+H11+I11+J11+K11+L11</f>
        <v>63198.670000000006</v>
      </c>
      <c r="F11" s="23"/>
      <c r="G11" s="23"/>
      <c r="H11" s="23">
        <f>13285.36</f>
        <v>13285.36</v>
      </c>
      <c r="I11" s="23">
        <v>12125.62</v>
      </c>
      <c r="J11" s="23">
        <v>12125.62</v>
      </c>
      <c r="K11" s="23">
        <v>13536.45</v>
      </c>
      <c r="L11" s="23">
        <v>12125.62</v>
      </c>
      <c r="M11" s="208"/>
      <c r="N11" s="211"/>
      <c r="O11" s="211"/>
      <c r="P11" s="211"/>
      <c r="Q11" s="211"/>
      <c r="R11" s="211"/>
      <c r="S11" s="211"/>
      <c r="T11" s="211"/>
      <c r="U11" s="222"/>
    </row>
    <row r="12" spans="1:21" ht="12.75">
      <c r="A12" s="278"/>
      <c r="B12" s="290"/>
      <c r="C12" s="232"/>
      <c r="D12" s="22" t="s">
        <v>93</v>
      </c>
      <c r="E12" s="23">
        <f>F12+G12+H12+I12+J12+K12+L12</f>
        <v>950758748.2800001</v>
      </c>
      <c r="F12" s="23">
        <f>117343741.8+117224</f>
        <v>117460965.8</v>
      </c>
      <c r="G12" s="23">
        <f>135114643+234752.49</f>
        <v>135349395.49</v>
      </c>
      <c r="H12" s="23">
        <f>239756+130947250+2659572.39-3261841.41</f>
        <v>130584736.98</v>
      </c>
      <c r="I12" s="23">
        <f>230386.86+140091428.58-2162200</f>
        <v>138159615.44000003</v>
      </c>
      <c r="J12" s="24">
        <f>230386.86+142670314.01</f>
        <v>142900700.87</v>
      </c>
      <c r="K12" s="24">
        <f>267909.03+142883757.82</f>
        <v>143151666.85</v>
      </c>
      <c r="L12" s="24">
        <v>143151666.85</v>
      </c>
      <c r="M12" s="208"/>
      <c r="N12" s="211"/>
      <c r="O12" s="211"/>
      <c r="P12" s="211"/>
      <c r="Q12" s="211"/>
      <c r="R12" s="211"/>
      <c r="S12" s="211"/>
      <c r="T12" s="211"/>
      <c r="U12" s="222"/>
    </row>
    <row r="13" spans="1:21" ht="12.75" customHeight="1">
      <c r="A13" s="278"/>
      <c r="B13" s="290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8"/>
      <c r="N13" s="211"/>
      <c r="O13" s="211"/>
      <c r="P13" s="211"/>
      <c r="Q13" s="211"/>
      <c r="R13" s="211"/>
      <c r="S13" s="211"/>
      <c r="T13" s="211"/>
      <c r="U13" s="222"/>
    </row>
    <row r="14" spans="1:21" ht="18.75" customHeight="1">
      <c r="A14" s="279"/>
      <c r="B14" s="291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9"/>
      <c r="N14" s="212"/>
      <c r="O14" s="212"/>
      <c r="P14" s="212"/>
      <c r="Q14" s="212"/>
      <c r="R14" s="212"/>
      <c r="S14" s="212"/>
      <c r="T14" s="212"/>
      <c r="U14" s="227"/>
    </row>
    <row r="15" spans="1:21" ht="24" customHeight="1">
      <c r="A15" s="277" t="s">
        <v>126</v>
      </c>
      <c r="B15" s="289" t="s">
        <v>138</v>
      </c>
      <c r="C15" s="231" t="s">
        <v>82</v>
      </c>
      <c r="D15" s="22" t="s">
        <v>97</v>
      </c>
      <c r="E15" s="23">
        <f>E17+E18+E19+E20</f>
        <v>1158110791.8100002</v>
      </c>
      <c r="F15" s="23">
        <f aca="true" t="shared" si="1" ref="F15:L15">F17+F18+F19+F20</f>
        <v>137693999.3</v>
      </c>
      <c r="G15" s="23">
        <f t="shared" si="1"/>
        <v>129055787.51</v>
      </c>
      <c r="H15" s="23">
        <f t="shared" si="1"/>
        <v>165212466.47000003</v>
      </c>
      <c r="I15" s="23">
        <f t="shared" si="1"/>
        <v>178529211.02</v>
      </c>
      <c r="J15" s="23">
        <f t="shared" si="1"/>
        <v>182653280.55</v>
      </c>
      <c r="K15" s="23">
        <f t="shared" si="1"/>
        <v>182483023.48</v>
      </c>
      <c r="L15" s="23">
        <f t="shared" si="1"/>
        <v>182483023.48</v>
      </c>
      <c r="M15" s="207" t="s">
        <v>45</v>
      </c>
      <c r="N15" s="210">
        <v>100</v>
      </c>
      <c r="O15" s="210">
        <v>100</v>
      </c>
      <c r="P15" s="210">
        <v>100</v>
      </c>
      <c r="Q15" s="210">
        <v>100</v>
      </c>
      <c r="R15" s="210">
        <v>100</v>
      </c>
      <c r="S15" s="210">
        <v>100</v>
      </c>
      <c r="T15" s="210">
        <v>100</v>
      </c>
      <c r="U15" s="221" t="s">
        <v>44</v>
      </c>
    </row>
    <row r="16" spans="1:21" ht="16.5" customHeight="1">
      <c r="A16" s="278"/>
      <c r="B16" s="290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08"/>
      <c r="N16" s="211"/>
      <c r="O16" s="211"/>
      <c r="P16" s="211"/>
      <c r="Q16" s="211"/>
      <c r="R16" s="211"/>
      <c r="S16" s="211"/>
      <c r="T16" s="211"/>
      <c r="U16" s="222"/>
    </row>
    <row r="17" spans="1:21" ht="18" customHeight="1">
      <c r="A17" s="278"/>
      <c r="B17" s="290"/>
      <c r="C17" s="232"/>
      <c r="D17" s="22" t="s">
        <v>95</v>
      </c>
      <c r="E17" s="23">
        <f>F17+G17+H17+I17+J17+K17+L17</f>
        <v>68288.98999999999</v>
      </c>
      <c r="F17" s="23"/>
      <c r="G17" s="23"/>
      <c r="H17" s="23">
        <f>11357.15</f>
        <v>11357.15</v>
      </c>
      <c r="I17" s="23">
        <v>13450.47</v>
      </c>
      <c r="J17" s="23">
        <v>13450.47</v>
      </c>
      <c r="K17" s="23">
        <v>15015.45</v>
      </c>
      <c r="L17" s="23">
        <v>15015.45</v>
      </c>
      <c r="M17" s="208"/>
      <c r="N17" s="211"/>
      <c r="O17" s="211"/>
      <c r="P17" s="211"/>
      <c r="Q17" s="211"/>
      <c r="R17" s="211"/>
      <c r="S17" s="211"/>
      <c r="T17" s="211"/>
      <c r="U17" s="222"/>
    </row>
    <row r="18" spans="1:21" ht="12.75" customHeight="1">
      <c r="A18" s="278"/>
      <c r="B18" s="290"/>
      <c r="C18" s="232"/>
      <c r="D18" s="22" t="s">
        <v>93</v>
      </c>
      <c r="E18" s="23">
        <f>F18+G18+H18+I18+J18+K18+L18</f>
        <v>1158042502.8200002</v>
      </c>
      <c r="F18" s="23">
        <f>137514399.3+179600</f>
        <v>137693999.3</v>
      </c>
      <c r="G18" s="23">
        <f>128830241+225546.51</f>
        <v>129055787.51</v>
      </c>
      <c r="H18" s="23">
        <f>204953+164528250+169906.61+297999.71</f>
        <v>165201109.32000002</v>
      </c>
      <c r="I18" s="23">
        <f>255558.84+178260201.71</f>
        <v>178515760.55</v>
      </c>
      <c r="J18" s="24">
        <f>255558.84+182384271.24</f>
        <v>182639830.08</v>
      </c>
      <c r="K18" s="24">
        <f>297180.6+182170827.43</f>
        <v>182468008.03</v>
      </c>
      <c r="L18" s="24">
        <v>182468008.03</v>
      </c>
      <c r="M18" s="208"/>
      <c r="N18" s="211"/>
      <c r="O18" s="211"/>
      <c r="P18" s="211"/>
      <c r="Q18" s="211"/>
      <c r="R18" s="211"/>
      <c r="S18" s="211"/>
      <c r="T18" s="211"/>
      <c r="U18" s="222"/>
    </row>
    <row r="19" spans="1:21" ht="12.75" customHeight="1">
      <c r="A19" s="278"/>
      <c r="B19" s="290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8"/>
      <c r="N19" s="211"/>
      <c r="O19" s="211"/>
      <c r="P19" s="211"/>
      <c r="Q19" s="211"/>
      <c r="R19" s="211"/>
      <c r="S19" s="211"/>
      <c r="T19" s="211"/>
      <c r="U19" s="222"/>
    </row>
    <row r="20" spans="1:21" ht="24" customHeight="1">
      <c r="A20" s="279"/>
      <c r="B20" s="291"/>
      <c r="C20" s="233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09"/>
      <c r="N20" s="212"/>
      <c r="O20" s="212"/>
      <c r="P20" s="212"/>
      <c r="Q20" s="212"/>
      <c r="R20" s="212"/>
      <c r="S20" s="212"/>
      <c r="T20" s="212"/>
      <c r="U20" s="227"/>
    </row>
    <row r="21" spans="1:21" ht="15" customHeight="1">
      <c r="A21" s="277" t="s">
        <v>127</v>
      </c>
      <c r="B21" s="289" t="s">
        <v>139</v>
      </c>
      <c r="C21" s="231" t="s">
        <v>82</v>
      </c>
      <c r="D21" s="22" t="s">
        <v>97</v>
      </c>
      <c r="E21" s="23">
        <f>E23+E24+E25+E26</f>
        <v>262307471.56</v>
      </c>
      <c r="F21" s="23">
        <f aca="true" t="shared" si="2" ref="F21:L21">F23+F24+F25+F26</f>
        <v>39462578.9</v>
      </c>
      <c r="G21" s="23">
        <f t="shared" si="2"/>
        <v>50275216</v>
      </c>
      <c r="H21" s="23">
        <f t="shared" si="2"/>
        <v>31629962.7</v>
      </c>
      <c r="I21" s="23">
        <f t="shared" si="2"/>
        <v>34687169.71</v>
      </c>
      <c r="J21" s="23">
        <f t="shared" si="2"/>
        <v>35417514.75</v>
      </c>
      <c r="K21" s="23">
        <f t="shared" si="2"/>
        <v>35417514.75</v>
      </c>
      <c r="L21" s="23">
        <f t="shared" si="2"/>
        <v>35417514.75</v>
      </c>
      <c r="M21" s="280" t="s">
        <v>46</v>
      </c>
      <c r="N21" s="210">
        <v>100</v>
      </c>
      <c r="O21" s="210">
        <v>100</v>
      </c>
      <c r="P21" s="210">
        <v>100</v>
      </c>
      <c r="Q21" s="210">
        <v>100</v>
      </c>
      <c r="R21" s="210">
        <v>100</v>
      </c>
      <c r="S21" s="210">
        <v>100</v>
      </c>
      <c r="T21" s="210">
        <v>100</v>
      </c>
      <c r="U21" s="221" t="s">
        <v>44</v>
      </c>
    </row>
    <row r="22" spans="1:21" ht="16.5" customHeight="1">
      <c r="A22" s="278"/>
      <c r="B22" s="290"/>
      <c r="C22" s="232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281"/>
      <c r="N22" s="211"/>
      <c r="O22" s="211"/>
      <c r="P22" s="211"/>
      <c r="Q22" s="211"/>
      <c r="R22" s="211"/>
      <c r="S22" s="211"/>
      <c r="T22" s="211"/>
      <c r="U22" s="222"/>
    </row>
    <row r="23" spans="1:21" ht="12.75" customHeight="1">
      <c r="A23" s="278"/>
      <c r="B23" s="290"/>
      <c r="C23" s="232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81"/>
      <c r="N23" s="211"/>
      <c r="O23" s="211"/>
      <c r="P23" s="211"/>
      <c r="Q23" s="211"/>
      <c r="R23" s="211"/>
      <c r="S23" s="211"/>
      <c r="T23" s="211"/>
      <c r="U23" s="222"/>
    </row>
    <row r="24" spans="1:21" ht="12.75" customHeight="1">
      <c r="A24" s="278"/>
      <c r="B24" s="290"/>
      <c r="C24" s="232"/>
      <c r="D24" s="22" t="s">
        <v>93</v>
      </c>
      <c r="E24" s="23">
        <f>F24+G24+H24+I24+J24+K24+L24</f>
        <v>262307471.56</v>
      </c>
      <c r="F24" s="23">
        <v>39462578.9</v>
      </c>
      <c r="G24" s="23">
        <f>50275216</f>
        <v>50275216</v>
      </c>
      <c r="H24" s="23">
        <f>30434100-1767979+2963841.7</f>
        <v>31629962.7</v>
      </c>
      <c r="I24" s="23">
        <v>34687169.71</v>
      </c>
      <c r="J24" s="24">
        <v>35417514.75</v>
      </c>
      <c r="K24" s="24">
        <v>35417514.75</v>
      </c>
      <c r="L24" s="24">
        <v>35417514.75</v>
      </c>
      <c r="M24" s="281"/>
      <c r="N24" s="211"/>
      <c r="O24" s="211"/>
      <c r="P24" s="211"/>
      <c r="Q24" s="211"/>
      <c r="R24" s="211"/>
      <c r="S24" s="211"/>
      <c r="T24" s="211"/>
      <c r="U24" s="222"/>
    </row>
    <row r="25" spans="1:21" ht="17.25" customHeight="1">
      <c r="A25" s="278"/>
      <c r="B25" s="290"/>
      <c r="C25" s="232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81"/>
      <c r="N25" s="211"/>
      <c r="O25" s="211"/>
      <c r="P25" s="211"/>
      <c r="Q25" s="211"/>
      <c r="R25" s="211"/>
      <c r="S25" s="211"/>
      <c r="T25" s="211"/>
      <c r="U25" s="222"/>
    </row>
    <row r="26" spans="1:21" ht="12.75" customHeight="1">
      <c r="A26" s="279"/>
      <c r="B26" s="291"/>
      <c r="C26" s="233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82"/>
      <c r="N26" s="212"/>
      <c r="O26" s="212"/>
      <c r="P26" s="212"/>
      <c r="Q26" s="212"/>
      <c r="R26" s="212"/>
      <c r="S26" s="212"/>
      <c r="T26" s="212"/>
      <c r="U26" s="227"/>
    </row>
    <row r="27" spans="1:21" ht="19.5" customHeight="1">
      <c r="A27" s="277" t="s">
        <v>128</v>
      </c>
      <c r="B27" s="289" t="s">
        <v>140</v>
      </c>
      <c r="C27" s="231" t="s">
        <v>82</v>
      </c>
      <c r="D27" s="22" t="s">
        <v>97</v>
      </c>
      <c r="E27" s="23">
        <f>E29+E30+E31+E32</f>
        <v>4583344</v>
      </c>
      <c r="F27" s="23">
        <f aca="true" t="shared" si="3" ref="F27:L27">F29+F30+F31+F32</f>
        <v>4583344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80" t="s">
        <v>199</v>
      </c>
      <c r="N27" s="210">
        <v>100</v>
      </c>
      <c r="O27" s="210">
        <v>100</v>
      </c>
      <c r="P27" s="210">
        <v>100</v>
      </c>
      <c r="Q27" s="210">
        <v>100</v>
      </c>
      <c r="R27" s="210">
        <v>100</v>
      </c>
      <c r="S27" s="210">
        <v>100</v>
      </c>
      <c r="T27" s="210">
        <v>100</v>
      </c>
      <c r="U27" s="221" t="s">
        <v>44</v>
      </c>
    </row>
    <row r="28" spans="1:21" ht="16.5" customHeight="1">
      <c r="A28" s="278"/>
      <c r="B28" s="290"/>
      <c r="C28" s="232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281"/>
      <c r="N28" s="211"/>
      <c r="O28" s="211"/>
      <c r="P28" s="211"/>
      <c r="Q28" s="211"/>
      <c r="R28" s="211"/>
      <c r="S28" s="211"/>
      <c r="T28" s="211"/>
      <c r="U28" s="222"/>
    </row>
    <row r="29" spans="1:21" ht="23.25" customHeight="1">
      <c r="A29" s="278"/>
      <c r="B29" s="290"/>
      <c r="C29" s="232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81"/>
      <c r="N29" s="211"/>
      <c r="O29" s="211"/>
      <c r="P29" s="211"/>
      <c r="Q29" s="211"/>
      <c r="R29" s="211"/>
      <c r="S29" s="211"/>
      <c r="T29" s="211"/>
      <c r="U29" s="222"/>
    </row>
    <row r="30" spans="1:21" ht="12.75" customHeight="1">
      <c r="A30" s="278"/>
      <c r="B30" s="290"/>
      <c r="C30" s="232"/>
      <c r="D30" s="22" t="s">
        <v>93</v>
      </c>
      <c r="E30" s="23">
        <f>F30+G30+H30+I30+J30+K30+L30</f>
        <v>4583344</v>
      </c>
      <c r="F30" s="23">
        <v>4583344</v>
      </c>
      <c r="G30" s="23">
        <v>0</v>
      </c>
      <c r="H30" s="23">
        <v>0</v>
      </c>
      <c r="I30" s="23">
        <v>0</v>
      </c>
      <c r="J30" s="24">
        <f>I30</f>
        <v>0</v>
      </c>
      <c r="K30" s="24">
        <f>J30</f>
        <v>0</v>
      </c>
      <c r="L30" s="24">
        <f>K30</f>
        <v>0</v>
      </c>
      <c r="M30" s="281"/>
      <c r="N30" s="211"/>
      <c r="O30" s="211"/>
      <c r="P30" s="211"/>
      <c r="Q30" s="211"/>
      <c r="R30" s="211"/>
      <c r="S30" s="211"/>
      <c r="T30" s="211"/>
      <c r="U30" s="222"/>
    </row>
    <row r="31" spans="1:21" ht="12.75" customHeight="1">
      <c r="A31" s="278"/>
      <c r="B31" s="290"/>
      <c r="C31" s="232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81"/>
      <c r="N31" s="211"/>
      <c r="O31" s="211"/>
      <c r="P31" s="211"/>
      <c r="Q31" s="211"/>
      <c r="R31" s="211"/>
      <c r="S31" s="211"/>
      <c r="T31" s="211"/>
      <c r="U31" s="222"/>
    </row>
    <row r="32" spans="1:21" ht="12.75" customHeight="1">
      <c r="A32" s="279"/>
      <c r="B32" s="291"/>
      <c r="C32" s="233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82"/>
      <c r="N32" s="212"/>
      <c r="O32" s="212"/>
      <c r="P32" s="212"/>
      <c r="Q32" s="212"/>
      <c r="R32" s="212"/>
      <c r="S32" s="212"/>
      <c r="T32" s="212"/>
      <c r="U32" s="227"/>
    </row>
    <row r="33" spans="1:21" ht="18" customHeight="1">
      <c r="A33" s="277" t="s">
        <v>129</v>
      </c>
      <c r="B33" s="289" t="s">
        <v>141</v>
      </c>
      <c r="C33" s="231" t="s">
        <v>82</v>
      </c>
      <c r="D33" s="22" t="s">
        <v>97</v>
      </c>
      <c r="E33" s="23">
        <f>E35+E36+E37+E38</f>
        <v>4964297</v>
      </c>
      <c r="F33" s="23">
        <f aca="true" t="shared" si="4" ref="F33:L33">F35+F36+F37+F38</f>
        <v>4964297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80" t="s">
        <v>200</v>
      </c>
      <c r="N33" s="210">
        <v>100</v>
      </c>
      <c r="O33" s="210">
        <v>100</v>
      </c>
      <c r="P33" s="210">
        <v>100</v>
      </c>
      <c r="Q33" s="210">
        <v>100</v>
      </c>
      <c r="R33" s="210">
        <v>100</v>
      </c>
      <c r="S33" s="210">
        <v>100</v>
      </c>
      <c r="T33" s="210">
        <v>100</v>
      </c>
      <c r="U33" s="221" t="s">
        <v>44</v>
      </c>
    </row>
    <row r="34" spans="1:21" ht="16.5" customHeight="1">
      <c r="A34" s="278"/>
      <c r="B34" s="290"/>
      <c r="C34" s="232"/>
      <c r="D34" s="218" t="s">
        <v>117</v>
      </c>
      <c r="E34" s="219"/>
      <c r="F34" s="219"/>
      <c r="G34" s="219"/>
      <c r="H34" s="219"/>
      <c r="I34" s="219"/>
      <c r="J34" s="219"/>
      <c r="K34" s="219"/>
      <c r="L34" s="220"/>
      <c r="M34" s="281"/>
      <c r="N34" s="211"/>
      <c r="O34" s="211"/>
      <c r="P34" s="211"/>
      <c r="Q34" s="211"/>
      <c r="R34" s="211"/>
      <c r="S34" s="211"/>
      <c r="T34" s="211"/>
      <c r="U34" s="222"/>
    </row>
    <row r="35" spans="1:21" ht="18.75" customHeight="1">
      <c r="A35" s="278"/>
      <c r="B35" s="290"/>
      <c r="C35" s="232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81"/>
      <c r="N35" s="211"/>
      <c r="O35" s="211"/>
      <c r="P35" s="211"/>
      <c r="Q35" s="211"/>
      <c r="R35" s="211"/>
      <c r="S35" s="211"/>
      <c r="T35" s="211"/>
      <c r="U35" s="222"/>
    </row>
    <row r="36" spans="1:21" ht="15.75" customHeight="1">
      <c r="A36" s="278"/>
      <c r="B36" s="290"/>
      <c r="C36" s="232"/>
      <c r="D36" s="22" t="s">
        <v>93</v>
      </c>
      <c r="E36" s="23">
        <f>F36+G36+H36+I36+J36+K36+L36</f>
        <v>4964297</v>
      </c>
      <c r="F36" s="23">
        <f>5476997-512700</f>
        <v>4964297</v>
      </c>
      <c r="G36" s="23">
        <v>0</v>
      </c>
      <c r="H36" s="23">
        <v>0</v>
      </c>
      <c r="I36" s="23">
        <v>0</v>
      </c>
      <c r="J36" s="24">
        <f>I36</f>
        <v>0</v>
      </c>
      <c r="K36" s="24">
        <f>J36</f>
        <v>0</v>
      </c>
      <c r="L36" s="24">
        <f>K36</f>
        <v>0</v>
      </c>
      <c r="M36" s="281"/>
      <c r="N36" s="275"/>
      <c r="O36" s="275"/>
      <c r="P36" s="275"/>
      <c r="Q36" s="275"/>
      <c r="R36" s="275"/>
      <c r="S36" s="275"/>
      <c r="T36" s="275"/>
      <c r="U36" s="222"/>
    </row>
    <row r="37" spans="1:21" ht="14.25" customHeight="1">
      <c r="A37" s="278"/>
      <c r="B37" s="290"/>
      <c r="C37" s="232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81"/>
      <c r="N37" s="275"/>
      <c r="O37" s="275"/>
      <c r="P37" s="275"/>
      <c r="Q37" s="275"/>
      <c r="R37" s="275"/>
      <c r="S37" s="275"/>
      <c r="T37" s="275"/>
      <c r="U37" s="222"/>
    </row>
    <row r="38" spans="1:21" ht="14.25" customHeight="1">
      <c r="A38" s="279"/>
      <c r="B38" s="291"/>
      <c r="C38" s="233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82"/>
      <c r="N38" s="276"/>
      <c r="O38" s="276"/>
      <c r="P38" s="276"/>
      <c r="Q38" s="276"/>
      <c r="R38" s="276"/>
      <c r="S38" s="276"/>
      <c r="T38" s="276"/>
      <c r="U38" s="227"/>
    </row>
    <row r="39" spans="1:21" ht="14.25" customHeight="1">
      <c r="A39" s="277" t="s">
        <v>130</v>
      </c>
      <c r="B39" s="269" t="s">
        <v>142</v>
      </c>
      <c r="C39" s="231" t="s">
        <v>82</v>
      </c>
      <c r="D39" s="22" t="s">
        <v>97</v>
      </c>
      <c r="E39" s="23">
        <f>E41+E42+E43+E44</f>
        <v>286459</v>
      </c>
      <c r="F39" s="23">
        <f aca="true" t="shared" si="5" ref="F39:L39">F41+F42+F43+F44</f>
        <v>286459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7" t="s">
        <v>201</v>
      </c>
      <c r="N39" s="210">
        <v>100</v>
      </c>
      <c r="O39" s="210">
        <v>100</v>
      </c>
      <c r="P39" s="210">
        <v>100</v>
      </c>
      <c r="Q39" s="210">
        <v>100</v>
      </c>
      <c r="R39" s="210">
        <v>100</v>
      </c>
      <c r="S39" s="210">
        <v>100</v>
      </c>
      <c r="T39" s="210">
        <v>100</v>
      </c>
      <c r="U39" s="221" t="s">
        <v>44</v>
      </c>
    </row>
    <row r="40" spans="1:21" ht="16.5" customHeight="1">
      <c r="A40" s="278"/>
      <c r="B40" s="270"/>
      <c r="C40" s="232"/>
      <c r="D40" s="218" t="s">
        <v>117</v>
      </c>
      <c r="E40" s="219"/>
      <c r="F40" s="219"/>
      <c r="G40" s="219"/>
      <c r="H40" s="219"/>
      <c r="I40" s="219"/>
      <c r="J40" s="219"/>
      <c r="K40" s="219"/>
      <c r="L40" s="220"/>
      <c r="M40" s="208"/>
      <c r="N40" s="211"/>
      <c r="O40" s="211"/>
      <c r="P40" s="211"/>
      <c r="Q40" s="211"/>
      <c r="R40" s="211"/>
      <c r="S40" s="211"/>
      <c r="T40" s="211"/>
      <c r="U40" s="222"/>
    </row>
    <row r="41" spans="1:21" ht="14.25" customHeight="1">
      <c r="A41" s="278"/>
      <c r="B41" s="270"/>
      <c r="C41" s="232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08"/>
      <c r="N41" s="211"/>
      <c r="O41" s="211"/>
      <c r="P41" s="211"/>
      <c r="Q41" s="211"/>
      <c r="R41" s="211"/>
      <c r="S41" s="211"/>
      <c r="T41" s="211"/>
      <c r="U41" s="222"/>
    </row>
    <row r="42" spans="1:21" ht="14.25" customHeight="1">
      <c r="A42" s="278"/>
      <c r="B42" s="270"/>
      <c r="C42" s="232"/>
      <c r="D42" s="22" t="s">
        <v>93</v>
      </c>
      <c r="E42" s="23">
        <f>F42+G42+H42+I42+J42+K42+L42</f>
        <v>286459</v>
      </c>
      <c r="F42" s="24">
        <v>286459</v>
      </c>
      <c r="G42" s="23">
        <v>0</v>
      </c>
      <c r="H42" s="23">
        <v>0</v>
      </c>
      <c r="I42" s="23">
        <v>0</v>
      </c>
      <c r="J42" s="24">
        <f>I42</f>
        <v>0</v>
      </c>
      <c r="K42" s="24">
        <f>J42</f>
        <v>0</v>
      </c>
      <c r="L42" s="24">
        <f>K42</f>
        <v>0</v>
      </c>
      <c r="M42" s="208"/>
      <c r="N42" s="211"/>
      <c r="O42" s="211"/>
      <c r="P42" s="211"/>
      <c r="Q42" s="211"/>
      <c r="R42" s="211"/>
      <c r="S42" s="211"/>
      <c r="T42" s="211"/>
      <c r="U42" s="222"/>
    </row>
    <row r="43" spans="1:21" ht="14.25" customHeight="1">
      <c r="A43" s="278"/>
      <c r="B43" s="270"/>
      <c r="C43" s="232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08"/>
      <c r="N43" s="211"/>
      <c r="O43" s="211"/>
      <c r="P43" s="211"/>
      <c r="Q43" s="211"/>
      <c r="R43" s="211"/>
      <c r="S43" s="211"/>
      <c r="T43" s="211"/>
      <c r="U43" s="222"/>
    </row>
    <row r="44" spans="1:21" ht="14.25" customHeight="1">
      <c r="A44" s="279"/>
      <c r="B44" s="271"/>
      <c r="C44" s="233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09"/>
      <c r="N44" s="212"/>
      <c r="O44" s="212"/>
      <c r="P44" s="212"/>
      <c r="Q44" s="212"/>
      <c r="R44" s="212"/>
      <c r="S44" s="212"/>
      <c r="T44" s="212"/>
      <c r="U44" s="227"/>
    </row>
    <row r="45" spans="1:21" ht="27" customHeight="1">
      <c r="A45" s="277" t="s">
        <v>145</v>
      </c>
      <c r="B45" s="269" t="s">
        <v>143</v>
      </c>
      <c r="C45" s="231" t="s">
        <v>82</v>
      </c>
      <c r="D45" s="22" t="s">
        <v>97</v>
      </c>
      <c r="E45" s="23">
        <f>E47+E48+E49+E50</f>
        <v>666932938.0600001</v>
      </c>
      <c r="F45" s="23">
        <f aca="true" t="shared" si="6" ref="F45:L45">F47+F48+F49+F50</f>
        <v>83110947.83</v>
      </c>
      <c r="G45" s="23">
        <f t="shared" si="6"/>
        <v>77108268.28</v>
      </c>
      <c r="H45" s="23">
        <f t="shared" si="6"/>
        <v>100496919.17999999</v>
      </c>
      <c r="I45" s="23">
        <f t="shared" si="6"/>
        <v>103908566.72</v>
      </c>
      <c r="J45" s="23">
        <f t="shared" si="6"/>
        <v>99495736.81</v>
      </c>
      <c r="K45" s="23">
        <f t="shared" si="6"/>
        <v>101406249.62</v>
      </c>
      <c r="L45" s="23">
        <f t="shared" si="6"/>
        <v>101406249.62</v>
      </c>
      <c r="M45" s="207" t="s">
        <v>47</v>
      </c>
      <c r="N45" s="210">
        <v>1</v>
      </c>
      <c r="O45" s="210">
        <v>1</v>
      </c>
      <c r="P45" s="210">
        <v>1</v>
      </c>
      <c r="Q45" s="210">
        <v>1</v>
      </c>
      <c r="R45" s="210">
        <v>1</v>
      </c>
      <c r="S45" s="210">
        <v>1</v>
      </c>
      <c r="T45" s="210">
        <v>1</v>
      </c>
      <c r="U45" s="221" t="s">
        <v>44</v>
      </c>
    </row>
    <row r="46" spans="1:21" ht="16.5" customHeight="1">
      <c r="A46" s="278"/>
      <c r="B46" s="270"/>
      <c r="C46" s="232"/>
      <c r="D46" s="218" t="s">
        <v>117</v>
      </c>
      <c r="E46" s="219"/>
      <c r="F46" s="219"/>
      <c r="G46" s="219"/>
      <c r="H46" s="219"/>
      <c r="I46" s="219"/>
      <c r="J46" s="219"/>
      <c r="K46" s="219"/>
      <c r="L46" s="220"/>
      <c r="M46" s="208"/>
      <c r="N46" s="211"/>
      <c r="O46" s="211"/>
      <c r="P46" s="211"/>
      <c r="Q46" s="211"/>
      <c r="R46" s="211"/>
      <c r="S46" s="211"/>
      <c r="T46" s="211"/>
      <c r="U46" s="222"/>
    </row>
    <row r="47" spans="1:21" ht="21" customHeight="1">
      <c r="A47" s="278"/>
      <c r="B47" s="270"/>
      <c r="C47" s="232"/>
      <c r="D47" s="22" t="s">
        <v>95</v>
      </c>
      <c r="E47" s="23">
        <f>F47+G47+H47+I47+J47+K47+L47</f>
        <v>666932938.0600001</v>
      </c>
      <c r="F47" s="24">
        <f>99968803-F53+1016650.83+232560+34977</f>
        <v>83110947.83</v>
      </c>
      <c r="G47" s="24">
        <v>77108268.28</v>
      </c>
      <c r="H47" s="24">
        <f>100923704.24-426785.06</f>
        <v>100496919.17999999</v>
      </c>
      <c r="I47" s="24">
        <f>101563041.91+2345524.81</f>
        <v>103908566.72</v>
      </c>
      <c r="J47" s="24">
        <v>99495736.81</v>
      </c>
      <c r="K47" s="24">
        <v>101406249.62</v>
      </c>
      <c r="L47" s="24">
        <v>101406249.62</v>
      </c>
      <c r="M47" s="208"/>
      <c r="N47" s="211"/>
      <c r="O47" s="211"/>
      <c r="P47" s="211"/>
      <c r="Q47" s="211"/>
      <c r="R47" s="211"/>
      <c r="S47" s="211"/>
      <c r="T47" s="211"/>
      <c r="U47" s="222"/>
    </row>
    <row r="48" spans="1:21" ht="15" customHeight="1">
      <c r="A48" s="278"/>
      <c r="B48" s="270"/>
      <c r="C48" s="232"/>
      <c r="D48" s="22" t="s">
        <v>93</v>
      </c>
      <c r="E48" s="23">
        <f>F48+G48+H48+I48+J48+K48+L48</f>
        <v>0</v>
      </c>
      <c r="F48" s="2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08"/>
      <c r="N48" s="211"/>
      <c r="O48" s="211"/>
      <c r="P48" s="211"/>
      <c r="Q48" s="211"/>
      <c r="R48" s="211"/>
      <c r="S48" s="211"/>
      <c r="T48" s="211"/>
      <c r="U48" s="222"/>
    </row>
    <row r="49" spans="1:21" ht="14.25" customHeight="1">
      <c r="A49" s="278"/>
      <c r="B49" s="270"/>
      <c r="C49" s="232"/>
      <c r="D49" s="22" t="s">
        <v>94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08"/>
      <c r="N49" s="211"/>
      <c r="O49" s="211"/>
      <c r="P49" s="211"/>
      <c r="Q49" s="211"/>
      <c r="R49" s="211"/>
      <c r="S49" s="211"/>
      <c r="T49" s="211"/>
      <c r="U49" s="222"/>
    </row>
    <row r="50" spans="1:21" ht="14.25" customHeight="1">
      <c r="A50" s="279"/>
      <c r="B50" s="271"/>
      <c r="C50" s="233"/>
      <c r="D50" s="22" t="s">
        <v>96</v>
      </c>
      <c r="E50" s="23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09"/>
      <c r="N50" s="212"/>
      <c r="O50" s="212"/>
      <c r="P50" s="212"/>
      <c r="Q50" s="212"/>
      <c r="R50" s="212"/>
      <c r="S50" s="212"/>
      <c r="T50" s="212"/>
      <c r="U50" s="227"/>
    </row>
    <row r="51" spans="1:21" ht="27" customHeight="1">
      <c r="A51" s="277" t="s">
        <v>146</v>
      </c>
      <c r="B51" s="269" t="s">
        <v>151</v>
      </c>
      <c r="C51" s="231" t="s">
        <v>82</v>
      </c>
      <c r="D51" s="22" t="s">
        <v>97</v>
      </c>
      <c r="E51" s="23">
        <f>E53+E54+E55+E56</f>
        <v>36194498.82</v>
      </c>
      <c r="F51" s="23">
        <f aca="true" t="shared" si="7" ref="F51:L51">F53+F54+F55+F56</f>
        <v>18142043</v>
      </c>
      <c r="G51" s="23">
        <f t="shared" si="7"/>
        <v>18052455.82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07" t="s">
        <v>3</v>
      </c>
      <c r="N51" s="204">
        <v>1</v>
      </c>
      <c r="O51" s="204">
        <v>1</v>
      </c>
      <c r="P51" s="204">
        <v>1</v>
      </c>
      <c r="Q51" s="204">
        <v>1</v>
      </c>
      <c r="R51" s="204">
        <v>1</v>
      </c>
      <c r="S51" s="204">
        <v>1</v>
      </c>
      <c r="T51" s="204">
        <v>1</v>
      </c>
      <c r="U51" s="221" t="s">
        <v>44</v>
      </c>
    </row>
    <row r="52" spans="1:21" ht="16.5" customHeight="1">
      <c r="A52" s="278"/>
      <c r="B52" s="270"/>
      <c r="C52" s="232"/>
      <c r="D52" s="218" t="s">
        <v>117</v>
      </c>
      <c r="E52" s="219"/>
      <c r="F52" s="219"/>
      <c r="G52" s="219"/>
      <c r="H52" s="219"/>
      <c r="I52" s="219"/>
      <c r="J52" s="219"/>
      <c r="K52" s="219"/>
      <c r="L52" s="220"/>
      <c r="M52" s="208"/>
      <c r="N52" s="205"/>
      <c r="O52" s="205"/>
      <c r="P52" s="205"/>
      <c r="Q52" s="205"/>
      <c r="R52" s="205"/>
      <c r="S52" s="205"/>
      <c r="T52" s="205"/>
      <c r="U52" s="222"/>
    </row>
    <row r="53" spans="1:21" ht="21" customHeight="1">
      <c r="A53" s="278"/>
      <c r="B53" s="270"/>
      <c r="C53" s="232"/>
      <c r="D53" s="22" t="s">
        <v>95</v>
      </c>
      <c r="E53" s="23">
        <f>F53+G53+H53+I53+J53+K53+L53</f>
        <v>36194498.82</v>
      </c>
      <c r="F53" s="24">
        <f>25282883.97+5371987-F84</f>
        <v>18142043</v>
      </c>
      <c r="G53" s="24">
        <f>22306936-3240730-1013750.18</f>
        <v>18052455.82</v>
      </c>
      <c r="H53" s="24">
        <v>0</v>
      </c>
      <c r="I53" s="24">
        <v>0</v>
      </c>
      <c r="J53" s="24">
        <f>I53</f>
        <v>0</v>
      </c>
      <c r="K53" s="24">
        <f>J53</f>
        <v>0</v>
      </c>
      <c r="L53" s="24">
        <f>K53</f>
        <v>0</v>
      </c>
      <c r="M53" s="208"/>
      <c r="N53" s="205"/>
      <c r="O53" s="205"/>
      <c r="P53" s="205"/>
      <c r="Q53" s="205"/>
      <c r="R53" s="205"/>
      <c r="S53" s="205"/>
      <c r="T53" s="205"/>
      <c r="U53" s="222"/>
    </row>
    <row r="54" spans="1:21" ht="15" customHeight="1">
      <c r="A54" s="278"/>
      <c r="B54" s="270"/>
      <c r="C54" s="232"/>
      <c r="D54" s="22" t="s">
        <v>93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08"/>
      <c r="N54" s="205"/>
      <c r="O54" s="205"/>
      <c r="P54" s="205"/>
      <c r="Q54" s="205"/>
      <c r="R54" s="205"/>
      <c r="S54" s="205"/>
      <c r="T54" s="205"/>
      <c r="U54" s="222"/>
    </row>
    <row r="55" spans="1:21" ht="14.25" customHeight="1">
      <c r="A55" s="278"/>
      <c r="B55" s="270"/>
      <c r="C55" s="232"/>
      <c r="D55" s="22" t="s">
        <v>94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08"/>
      <c r="N55" s="205"/>
      <c r="O55" s="205"/>
      <c r="P55" s="205"/>
      <c r="Q55" s="205"/>
      <c r="R55" s="205"/>
      <c r="S55" s="205"/>
      <c r="T55" s="205"/>
      <c r="U55" s="222"/>
    </row>
    <row r="56" spans="1:21" ht="12.75">
      <c r="A56" s="279"/>
      <c r="B56" s="271"/>
      <c r="C56" s="233"/>
      <c r="D56" s="22" t="s">
        <v>96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09"/>
      <c r="N56" s="206"/>
      <c r="O56" s="206"/>
      <c r="P56" s="206"/>
      <c r="Q56" s="206"/>
      <c r="R56" s="206"/>
      <c r="S56" s="206"/>
      <c r="T56" s="206"/>
      <c r="U56" s="227"/>
    </row>
    <row r="57" spans="1:21" ht="27" customHeight="1">
      <c r="A57" s="277" t="s">
        <v>147</v>
      </c>
      <c r="B57" s="269" t="s">
        <v>186</v>
      </c>
      <c r="C57" s="231" t="s">
        <v>82</v>
      </c>
      <c r="D57" s="22" t="s">
        <v>97</v>
      </c>
      <c r="E57" s="23">
        <f>E59+E60+E61+E62</f>
        <v>45367186.93</v>
      </c>
      <c r="F57" s="23">
        <f aca="true" t="shared" si="8" ref="F57:L57">F59+F60+F61+F62</f>
        <v>1131090</v>
      </c>
      <c r="G57" s="23">
        <f t="shared" si="8"/>
        <v>5540424.87</v>
      </c>
      <c r="H57" s="23">
        <f t="shared" si="8"/>
        <v>7199353.0200000005</v>
      </c>
      <c r="I57" s="23">
        <f t="shared" si="8"/>
        <v>8018033.57</v>
      </c>
      <c r="J57" s="23">
        <f t="shared" si="8"/>
        <v>7531822.59</v>
      </c>
      <c r="K57" s="23">
        <f t="shared" si="8"/>
        <v>7973231.44</v>
      </c>
      <c r="L57" s="23">
        <f t="shared" si="8"/>
        <v>7973231.44</v>
      </c>
      <c r="M57" s="207" t="s">
        <v>198</v>
      </c>
      <c r="N57" s="204">
        <v>1</v>
      </c>
      <c r="O57" s="204">
        <v>1</v>
      </c>
      <c r="P57" s="204">
        <v>1</v>
      </c>
      <c r="Q57" s="204">
        <v>1</v>
      </c>
      <c r="R57" s="204">
        <v>1</v>
      </c>
      <c r="S57" s="204">
        <v>1</v>
      </c>
      <c r="T57" s="204">
        <v>1</v>
      </c>
      <c r="U57" s="221" t="s">
        <v>44</v>
      </c>
    </row>
    <row r="58" spans="1:21" ht="16.5" customHeight="1">
      <c r="A58" s="278"/>
      <c r="B58" s="270"/>
      <c r="C58" s="232"/>
      <c r="D58" s="218" t="s">
        <v>117</v>
      </c>
      <c r="E58" s="219"/>
      <c r="F58" s="219"/>
      <c r="G58" s="219"/>
      <c r="H58" s="219"/>
      <c r="I58" s="219"/>
      <c r="J58" s="219"/>
      <c r="K58" s="219"/>
      <c r="L58" s="220"/>
      <c r="M58" s="208"/>
      <c r="N58" s="205"/>
      <c r="O58" s="205"/>
      <c r="P58" s="205"/>
      <c r="Q58" s="205"/>
      <c r="R58" s="205"/>
      <c r="S58" s="205"/>
      <c r="T58" s="205"/>
      <c r="U58" s="222"/>
    </row>
    <row r="59" spans="1:21" ht="21" customHeight="1">
      <c r="A59" s="278"/>
      <c r="B59" s="270"/>
      <c r="C59" s="232"/>
      <c r="D59" s="22" t="s">
        <v>95</v>
      </c>
      <c r="E59" s="23">
        <f>F59+G59+H59+I59+J59+K59+L59</f>
        <v>36399272.089999996</v>
      </c>
      <c r="F59" s="24"/>
      <c r="G59" s="24">
        <f>4863632.5+11816.5-243772.44-200421.93</f>
        <v>4431254.63</v>
      </c>
      <c r="H59" s="24">
        <f>5326428.04-685472.64+834349.99+426785.06</f>
        <v>5902090.45</v>
      </c>
      <c r="I59" s="24">
        <f>6857011-617641.43</f>
        <v>6239369.57</v>
      </c>
      <c r="J59" s="24">
        <v>6347633.28</v>
      </c>
      <c r="K59" s="24">
        <v>6739462.08</v>
      </c>
      <c r="L59" s="24">
        <v>6739462.08</v>
      </c>
      <c r="M59" s="208"/>
      <c r="N59" s="205"/>
      <c r="O59" s="205"/>
      <c r="P59" s="205"/>
      <c r="Q59" s="205"/>
      <c r="R59" s="205"/>
      <c r="S59" s="205"/>
      <c r="T59" s="205"/>
      <c r="U59" s="222"/>
    </row>
    <row r="60" spans="1:21" ht="15" customHeight="1">
      <c r="A60" s="278"/>
      <c r="B60" s="270"/>
      <c r="C60" s="232"/>
      <c r="D60" s="22" t="s">
        <v>93</v>
      </c>
      <c r="E60" s="23">
        <f>F60+G60+H60+I60+J60+K60+L60</f>
        <v>8967914.840000002</v>
      </c>
      <c r="F60" s="24">
        <v>1131090</v>
      </c>
      <c r="G60" s="24">
        <f>5385+1103785.24</f>
        <v>1109170.24</v>
      </c>
      <c r="H60" s="24">
        <f>1240+1294282+1740.57</f>
        <v>1297262.57</v>
      </c>
      <c r="I60" s="24">
        <f>3548.08+1356665.96+1415.92+417034.04</f>
        <v>1778664</v>
      </c>
      <c r="J60" s="24">
        <f>3547.54+1180641.77</f>
        <v>1184189.31</v>
      </c>
      <c r="K60" s="24">
        <f>3547.53+1230221.83</f>
        <v>1233769.36</v>
      </c>
      <c r="L60" s="24">
        <f>K60</f>
        <v>1233769.36</v>
      </c>
      <c r="M60" s="208"/>
      <c r="N60" s="205"/>
      <c r="O60" s="205"/>
      <c r="P60" s="205"/>
      <c r="Q60" s="205"/>
      <c r="R60" s="205"/>
      <c r="S60" s="205"/>
      <c r="T60" s="205"/>
      <c r="U60" s="222"/>
    </row>
    <row r="61" spans="1:21" ht="14.25" customHeight="1">
      <c r="A61" s="278"/>
      <c r="B61" s="270"/>
      <c r="C61" s="232"/>
      <c r="D61" s="22" t="s">
        <v>94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08"/>
      <c r="N61" s="205"/>
      <c r="O61" s="205"/>
      <c r="P61" s="205"/>
      <c r="Q61" s="205"/>
      <c r="R61" s="205"/>
      <c r="S61" s="205"/>
      <c r="T61" s="205"/>
      <c r="U61" s="222"/>
    </row>
    <row r="62" spans="1:21" ht="12.75">
      <c r="A62" s="279"/>
      <c r="B62" s="271"/>
      <c r="C62" s="233"/>
      <c r="D62" s="22" t="s">
        <v>96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09"/>
      <c r="N62" s="206"/>
      <c r="O62" s="206"/>
      <c r="P62" s="206"/>
      <c r="Q62" s="206"/>
      <c r="R62" s="206"/>
      <c r="S62" s="206"/>
      <c r="T62" s="206"/>
      <c r="U62" s="227"/>
    </row>
    <row r="63" spans="1:21" ht="27" customHeight="1">
      <c r="A63" s="277" t="s">
        <v>202</v>
      </c>
      <c r="B63" s="269" t="s">
        <v>144</v>
      </c>
      <c r="C63" s="231" t="s">
        <v>82</v>
      </c>
      <c r="D63" s="22" t="s">
        <v>97</v>
      </c>
      <c r="E63" s="23">
        <f>E65+E66+E67+E68</f>
        <v>8010028.07</v>
      </c>
      <c r="F63" s="23">
        <f aca="true" t="shared" si="9" ref="F63:L63">F65+F66+F67+F68</f>
        <v>862705</v>
      </c>
      <c r="G63" s="23">
        <f t="shared" si="9"/>
        <v>1413208.07</v>
      </c>
      <c r="H63" s="23">
        <f t="shared" si="9"/>
        <v>1573000</v>
      </c>
      <c r="I63" s="23">
        <f t="shared" si="9"/>
        <v>1573000</v>
      </c>
      <c r="J63" s="23">
        <f t="shared" si="9"/>
        <v>862705</v>
      </c>
      <c r="K63" s="23">
        <f t="shared" si="9"/>
        <v>862705</v>
      </c>
      <c r="L63" s="23">
        <f t="shared" si="9"/>
        <v>862705</v>
      </c>
      <c r="M63" s="207" t="s">
        <v>51</v>
      </c>
      <c r="N63" s="204">
        <v>1</v>
      </c>
      <c r="O63" s="204">
        <v>1</v>
      </c>
      <c r="P63" s="204">
        <v>1</v>
      </c>
      <c r="Q63" s="204">
        <v>1</v>
      </c>
      <c r="R63" s="204">
        <v>1</v>
      </c>
      <c r="S63" s="204">
        <v>1</v>
      </c>
      <c r="T63" s="204">
        <v>1</v>
      </c>
      <c r="U63" s="221" t="s">
        <v>44</v>
      </c>
    </row>
    <row r="64" spans="1:21" ht="16.5" customHeight="1">
      <c r="A64" s="278"/>
      <c r="B64" s="270"/>
      <c r="C64" s="232"/>
      <c r="D64" s="218" t="s">
        <v>117</v>
      </c>
      <c r="E64" s="219"/>
      <c r="F64" s="219"/>
      <c r="G64" s="219"/>
      <c r="H64" s="219"/>
      <c r="I64" s="219"/>
      <c r="J64" s="219"/>
      <c r="K64" s="219"/>
      <c r="L64" s="220"/>
      <c r="M64" s="208"/>
      <c r="N64" s="205"/>
      <c r="O64" s="205"/>
      <c r="P64" s="205"/>
      <c r="Q64" s="205"/>
      <c r="R64" s="205"/>
      <c r="S64" s="205"/>
      <c r="T64" s="205"/>
      <c r="U64" s="222"/>
    </row>
    <row r="65" spans="1:21" ht="21" customHeight="1">
      <c r="A65" s="278"/>
      <c r="B65" s="270"/>
      <c r="C65" s="232"/>
      <c r="D65" s="22" t="s">
        <v>95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08"/>
      <c r="N65" s="205"/>
      <c r="O65" s="205"/>
      <c r="P65" s="205"/>
      <c r="Q65" s="205"/>
      <c r="R65" s="205"/>
      <c r="S65" s="205"/>
      <c r="T65" s="205"/>
      <c r="U65" s="222"/>
    </row>
    <row r="66" spans="1:21" ht="15" customHeight="1">
      <c r="A66" s="278"/>
      <c r="B66" s="270"/>
      <c r="C66" s="232"/>
      <c r="D66" s="22" t="s">
        <v>93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08"/>
      <c r="N66" s="205"/>
      <c r="O66" s="205"/>
      <c r="P66" s="205"/>
      <c r="Q66" s="205"/>
      <c r="R66" s="205"/>
      <c r="S66" s="205"/>
      <c r="T66" s="205"/>
      <c r="U66" s="222"/>
    </row>
    <row r="67" spans="1:21" ht="14.25" customHeight="1">
      <c r="A67" s="278"/>
      <c r="B67" s="270"/>
      <c r="C67" s="232"/>
      <c r="D67" s="22" t="s">
        <v>94</v>
      </c>
      <c r="E67" s="23">
        <f>F67+G67+H67+I67+J67+K67+L67</f>
        <v>0</v>
      </c>
      <c r="F67" s="24"/>
      <c r="G67" s="24"/>
      <c r="H67" s="24"/>
      <c r="I67" s="24"/>
      <c r="J67" s="24"/>
      <c r="K67" s="24"/>
      <c r="L67" s="24"/>
      <c r="M67" s="208"/>
      <c r="N67" s="205"/>
      <c r="O67" s="205"/>
      <c r="P67" s="205"/>
      <c r="Q67" s="205"/>
      <c r="R67" s="205"/>
      <c r="S67" s="205"/>
      <c r="T67" s="205"/>
      <c r="U67" s="222"/>
    </row>
    <row r="68" spans="1:21" ht="12.75" customHeight="1">
      <c r="A68" s="279"/>
      <c r="B68" s="271"/>
      <c r="C68" s="233"/>
      <c r="D68" s="22" t="s">
        <v>96</v>
      </c>
      <c r="E68" s="23">
        <f>F68+G68+H68+I68+J68+K68+L68</f>
        <v>8010028.07</v>
      </c>
      <c r="F68" s="24">
        <f>1403705-541000</f>
        <v>862705</v>
      </c>
      <c r="G68" s="24">
        <v>1413208.07</v>
      </c>
      <c r="H68" s="24">
        <v>1573000</v>
      </c>
      <c r="I68" s="24">
        <v>1573000</v>
      </c>
      <c r="J68" s="24">
        <v>862705</v>
      </c>
      <c r="K68" s="24">
        <f>J68</f>
        <v>862705</v>
      </c>
      <c r="L68" s="24">
        <f>K68</f>
        <v>862705</v>
      </c>
      <c r="M68" s="209"/>
      <c r="N68" s="206"/>
      <c r="O68" s="206"/>
      <c r="P68" s="206"/>
      <c r="Q68" s="206"/>
      <c r="R68" s="206"/>
      <c r="S68" s="206"/>
      <c r="T68" s="206"/>
      <c r="U68" s="227"/>
    </row>
    <row r="69" spans="1:21" ht="13.5" customHeight="1">
      <c r="A69" s="263"/>
      <c r="B69" s="266" t="s">
        <v>157</v>
      </c>
      <c r="C69" s="263"/>
      <c r="D69" s="102" t="s">
        <v>97</v>
      </c>
      <c r="E69" s="103">
        <f aca="true" t="shared" si="10" ref="E69:L69">E71+E72+E73+E74</f>
        <v>3137578962.2000003</v>
      </c>
      <c r="F69" s="103">
        <f t="shared" si="10"/>
        <v>407698429.83</v>
      </c>
      <c r="G69" s="103">
        <f t="shared" si="10"/>
        <v>416794756.04</v>
      </c>
      <c r="H69" s="103">
        <f t="shared" si="10"/>
        <v>436709723.71</v>
      </c>
      <c r="I69" s="103">
        <f t="shared" si="10"/>
        <v>464887722.08</v>
      </c>
      <c r="J69" s="103">
        <f t="shared" si="10"/>
        <v>468873886.19000006</v>
      </c>
      <c r="K69" s="103">
        <f t="shared" si="10"/>
        <v>471307927.59000003</v>
      </c>
      <c r="L69" s="103">
        <f t="shared" si="10"/>
        <v>471306516.76</v>
      </c>
      <c r="M69" s="238"/>
      <c r="N69" s="246"/>
      <c r="O69" s="246"/>
      <c r="P69" s="246"/>
      <c r="Q69" s="246"/>
      <c r="R69" s="246"/>
      <c r="S69" s="246"/>
      <c r="T69" s="246"/>
      <c r="U69" s="272"/>
    </row>
    <row r="70" spans="1:21" ht="12.75" customHeight="1">
      <c r="A70" s="264"/>
      <c r="B70" s="267"/>
      <c r="C70" s="264"/>
      <c r="D70" s="241" t="s">
        <v>117</v>
      </c>
      <c r="E70" s="242"/>
      <c r="F70" s="242"/>
      <c r="G70" s="242"/>
      <c r="H70" s="242"/>
      <c r="I70" s="242"/>
      <c r="J70" s="242"/>
      <c r="K70" s="242"/>
      <c r="L70" s="243"/>
      <c r="M70" s="239"/>
      <c r="N70" s="247"/>
      <c r="O70" s="247"/>
      <c r="P70" s="247"/>
      <c r="Q70" s="247"/>
      <c r="R70" s="247"/>
      <c r="S70" s="247"/>
      <c r="T70" s="247"/>
      <c r="U70" s="273"/>
    </row>
    <row r="71" spans="1:21" ht="13.5" customHeight="1">
      <c r="A71" s="264"/>
      <c r="B71" s="267"/>
      <c r="C71" s="264"/>
      <c r="D71" s="104" t="s">
        <v>95</v>
      </c>
      <c r="E71" s="103">
        <f>F71+G71+H71+I71+J71+K71+L71</f>
        <v>739658196.63</v>
      </c>
      <c r="F71" s="105">
        <f>F11+F17+F23+F29+F35+F41+F47+F65+F53+F59</f>
        <v>101252990.83</v>
      </c>
      <c r="G71" s="105">
        <f>G59+G53+G47+G41+G35+G29+G23+G17+G11</f>
        <v>99591978.73</v>
      </c>
      <c r="H71" s="105">
        <f>H11+H17+H23+H29+H35+H41+H47+H65+H53+H59</f>
        <v>106423652.14</v>
      </c>
      <c r="I71" s="105">
        <f>I11+I17+I23+I29+I35+I41+I47+I65+I53+I59</f>
        <v>110173512.38</v>
      </c>
      <c r="J71" s="105">
        <f>J11+J17+J23+J29+J35+J41+J47+J65+J53+J59</f>
        <v>105868946.18</v>
      </c>
      <c r="K71" s="105">
        <f>K11+K17+K23+K29+K35+K41+K47+K65+K53+K59</f>
        <v>108174263.60000001</v>
      </c>
      <c r="L71" s="105">
        <f>L11+L17+L23+L29+L35+L41+L47+L65+L53+L59</f>
        <v>108172852.77</v>
      </c>
      <c r="M71" s="239"/>
      <c r="N71" s="247"/>
      <c r="O71" s="247"/>
      <c r="P71" s="247"/>
      <c r="Q71" s="247"/>
      <c r="R71" s="247"/>
      <c r="S71" s="247"/>
      <c r="T71" s="247"/>
      <c r="U71" s="273"/>
    </row>
    <row r="72" spans="1:21" ht="13.5" customHeight="1">
      <c r="A72" s="264"/>
      <c r="B72" s="267"/>
      <c r="C72" s="264"/>
      <c r="D72" s="104" t="s">
        <v>93</v>
      </c>
      <c r="E72" s="103">
        <f>F72+G72+H72+I72+J72+K72+L72</f>
        <v>2389910737.5</v>
      </c>
      <c r="F72" s="105">
        <f aca="true" t="shared" si="11" ref="F72:L74">F12+F18+F24+F30+F36+F42+F48+F66+F54+F60</f>
        <v>305582734</v>
      </c>
      <c r="G72" s="105">
        <f t="shared" si="11"/>
        <v>315789569.24</v>
      </c>
      <c r="H72" s="105">
        <f t="shared" si="11"/>
        <v>328713071.57</v>
      </c>
      <c r="I72" s="105">
        <f t="shared" si="11"/>
        <v>353141209.7</v>
      </c>
      <c r="J72" s="105">
        <f t="shared" si="11"/>
        <v>362142235.01000005</v>
      </c>
      <c r="K72" s="105">
        <f t="shared" si="11"/>
        <v>362270958.99</v>
      </c>
      <c r="L72" s="105">
        <f t="shared" si="11"/>
        <v>362270958.99</v>
      </c>
      <c r="M72" s="239"/>
      <c r="N72" s="247"/>
      <c r="O72" s="247"/>
      <c r="P72" s="247"/>
      <c r="Q72" s="247"/>
      <c r="R72" s="247"/>
      <c r="S72" s="247"/>
      <c r="T72" s="247"/>
      <c r="U72" s="273"/>
    </row>
    <row r="73" spans="1:21" ht="13.5" customHeight="1">
      <c r="A73" s="264"/>
      <c r="B73" s="267"/>
      <c r="C73" s="264"/>
      <c r="D73" s="104" t="s">
        <v>94</v>
      </c>
      <c r="E73" s="103">
        <f>F73+G73+H73+I73+J73+K73+L73</f>
        <v>0</v>
      </c>
      <c r="F73" s="105">
        <f t="shared" si="11"/>
        <v>0</v>
      </c>
      <c r="G73" s="105">
        <f t="shared" si="11"/>
        <v>0</v>
      </c>
      <c r="H73" s="105">
        <f t="shared" si="11"/>
        <v>0</v>
      </c>
      <c r="I73" s="105">
        <f t="shared" si="11"/>
        <v>0</v>
      </c>
      <c r="J73" s="105">
        <f t="shared" si="11"/>
        <v>0</v>
      </c>
      <c r="K73" s="105">
        <f t="shared" si="11"/>
        <v>0</v>
      </c>
      <c r="L73" s="105">
        <f t="shared" si="11"/>
        <v>0</v>
      </c>
      <c r="M73" s="239"/>
      <c r="N73" s="247"/>
      <c r="O73" s="247"/>
      <c r="P73" s="247"/>
      <c r="Q73" s="247"/>
      <c r="R73" s="247"/>
      <c r="S73" s="247"/>
      <c r="T73" s="247"/>
      <c r="U73" s="273"/>
    </row>
    <row r="74" spans="1:21" ht="13.5" customHeight="1">
      <c r="A74" s="265"/>
      <c r="B74" s="268"/>
      <c r="C74" s="265"/>
      <c r="D74" s="104" t="s">
        <v>96</v>
      </c>
      <c r="E74" s="103">
        <f>F74+G74+H74+I74+J74+K74+L74</f>
        <v>8010028.07</v>
      </c>
      <c r="F74" s="105">
        <f t="shared" si="11"/>
        <v>862705</v>
      </c>
      <c r="G74" s="105">
        <f t="shared" si="11"/>
        <v>1413208.07</v>
      </c>
      <c r="H74" s="105">
        <f t="shared" si="11"/>
        <v>1573000</v>
      </c>
      <c r="I74" s="105">
        <f t="shared" si="11"/>
        <v>1573000</v>
      </c>
      <c r="J74" s="105">
        <f t="shared" si="11"/>
        <v>862705</v>
      </c>
      <c r="K74" s="105">
        <f t="shared" si="11"/>
        <v>862705</v>
      </c>
      <c r="L74" s="105">
        <f t="shared" si="11"/>
        <v>862705</v>
      </c>
      <c r="M74" s="240"/>
      <c r="N74" s="248"/>
      <c r="O74" s="248"/>
      <c r="P74" s="248"/>
      <c r="Q74" s="248"/>
      <c r="R74" s="248"/>
      <c r="S74" s="248"/>
      <c r="T74" s="248"/>
      <c r="U74" s="274"/>
    </row>
    <row r="75" spans="1:21" ht="12.75">
      <c r="A75" s="21">
        <v>2</v>
      </c>
      <c r="B75" s="215" t="s">
        <v>34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7"/>
    </row>
    <row r="76" spans="1:21" ht="12.75" customHeight="1">
      <c r="A76" s="283" t="s">
        <v>131</v>
      </c>
      <c r="B76" s="269" t="s">
        <v>148</v>
      </c>
      <c r="C76" s="231" t="s">
        <v>82</v>
      </c>
      <c r="D76" s="22" t="s">
        <v>97</v>
      </c>
      <c r="E76" s="23">
        <f>E78+E79+E80+E81</f>
        <v>1342419182.93</v>
      </c>
      <c r="F76" s="23">
        <f aca="true" t="shared" si="12" ref="F76:L76">F78+F79+F80+F81</f>
        <v>168802759.17</v>
      </c>
      <c r="G76" s="23">
        <f t="shared" si="12"/>
        <v>175694783.6</v>
      </c>
      <c r="H76" s="23">
        <f t="shared" si="12"/>
        <v>198785017.62</v>
      </c>
      <c r="I76" s="23">
        <f t="shared" si="12"/>
        <v>205902473.75</v>
      </c>
      <c r="J76" s="23">
        <f t="shared" si="12"/>
        <v>200186548.03</v>
      </c>
      <c r="K76" s="23">
        <f t="shared" si="12"/>
        <v>196523800.38</v>
      </c>
      <c r="L76" s="23">
        <f t="shared" si="12"/>
        <v>196523800.38</v>
      </c>
      <c r="M76" s="207" t="s">
        <v>48</v>
      </c>
      <c r="N76" s="210">
        <v>100</v>
      </c>
      <c r="O76" s="210">
        <v>100</v>
      </c>
      <c r="P76" s="210">
        <v>100</v>
      </c>
      <c r="Q76" s="210">
        <v>100</v>
      </c>
      <c r="R76" s="210">
        <v>100</v>
      </c>
      <c r="S76" s="210">
        <v>100</v>
      </c>
      <c r="T76" s="210">
        <v>100</v>
      </c>
      <c r="U76" s="221" t="s">
        <v>49</v>
      </c>
    </row>
    <row r="77" spans="1:21" ht="12.75">
      <c r="A77" s="284"/>
      <c r="B77" s="270"/>
      <c r="C77" s="232"/>
      <c r="D77" s="218" t="s">
        <v>117</v>
      </c>
      <c r="E77" s="219"/>
      <c r="F77" s="219"/>
      <c r="G77" s="219"/>
      <c r="H77" s="219"/>
      <c r="I77" s="219"/>
      <c r="J77" s="219"/>
      <c r="K77" s="219"/>
      <c r="L77" s="220"/>
      <c r="M77" s="208"/>
      <c r="N77" s="211"/>
      <c r="O77" s="211"/>
      <c r="P77" s="211"/>
      <c r="Q77" s="211"/>
      <c r="R77" s="211"/>
      <c r="S77" s="211"/>
      <c r="T77" s="211"/>
      <c r="U77" s="222"/>
    </row>
    <row r="78" spans="1:21" ht="12.75">
      <c r="A78" s="284"/>
      <c r="B78" s="270"/>
      <c r="C78" s="232"/>
      <c r="D78" s="22" t="s">
        <v>95</v>
      </c>
      <c r="E78" s="23">
        <f>F78+G78+H78+I78+J78+K78+L78</f>
        <v>1323349677.21</v>
      </c>
      <c r="F78" s="24">
        <f>165597360+718349.17</f>
        <v>166315709.17</v>
      </c>
      <c r="G78" s="24">
        <v>173318773.6</v>
      </c>
      <c r="H78" s="24">
        <f>199958653.01+2667060.51-2989805.55-2568514.42-1083433.26-157292.67</f>
        <v>195826667.62</v>
      </c>
      <c r="I78" s="24">
        <f>111782201.11+89268288.89+1792820.87+1165529.13-4100000+3429.75+4001.37</f>
        <v>199916271.12</v>
      </c>
      <c r="J78" s="24">
        <f>108636589.82+86288065.12</f>
        <v>194924654.94</v>
      </c>
      <c r="K78" s="24">
        <f>109669676.78+86854123.6</f>
        <v>196523800.38</v>
      </c>
      <c r="L78" s="24">
        <f>K78</f>
        <v>196523800.38</v>
      </c>
      <c r="M78" s="208"/>
      <c r="N78" s="211"/>
      <c r="O78" s="211"/>
      <c r="P78" s="211"/>
      <c r="Q78" s="211"/>
      <c r="R78" s="211"/>
      <c r="S78" s="211"/>
      <c r="T78" s="211"/>
      <c r="U78" s="222"/>
    </row>
    <row r="79" spans="1:21" ht="12.75">
      <c r="A79" s="284"/>
      <c r="B79" s="270"/>
      <c r="C79" s="232"/>
      <c r="D79" s="22" t="s">
        <v>93</v>
      </c>
      <c r="E79" s="23">
        <f>F79+G79+H79+I79+J79+K79+L79</f>
        <v>19069505.72</v>
      </c>
      <c r="F79" s="24">
        <v>2487050</v>
      </c>
      <c r="G79" s="24">
        <v>2376010</v>
      </c>
      <c r="H79" s="24">
        <f>2958350</f>
        <v>2958350</v>
      </c>
      <c r="I79" s="24">
        <f>3340006.54+2505004.9+65165.16+76026.03</f>
        <v>5986202.63</v>
      </c>
      <c r="J79" s="24">
        <f>3006796.05+2255097.04</f>
        <v>5261893.09</v>
      </c>
      <c r="K79" s="24"/>
      <c r="L79" s="24"/>
      <c r="M79" s="208"/>
      <c r="N79" s="211"/>
      <c r="O79" s="211"/>
      <c r="P79" s="211"/>
      <c r="Q79" s="211"/>
      <c r="R79" s="211"/>
      <c r="S79" s="211"/>
      <c r="T79" s="211"/>
      <c r="U79" s="222"/>
    </row>
    <row r="80" spans="1:21" ht="12.75">
      <c r="A80" s="284"/>
      <c r="B80" s="270"/>
      <c r="C80" s="232"/>
      <c r="D80" s="22" t="s">
        <v>94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08"/>
      <c r="N80" s="211"/>
      <c r="O80" s="211"/>
      <c r="P80" s="211"/>
      <c r="Q80" s="211"/>
      <c r="R80" s="211"/>
      <c r="S80" s="211"/>
      <c r="T80" s="211"/>
      <c r="U80" s="222"/>
    </row>
    <row r="81" spans="1:21" ht="12.75">
      <c r="A81" s="285"/>
      <c r="B81" s="271"/>
      <c r="C81" s="233"/>
      <c r="D81" s="22" t="s">
        <v>96</v>
      </c>
      <c r="E81" s="23">
        <f>F81+G81+H81+I81+J81+K81+L81</f>
        <v>0</v>
      </c>
      <c r="F81" s="24"/>
      <c r="G81" s="24"/>
      <c r="H81" s="24"/>
      <c r="I81" s="24"/>
      <c r="J81" s="24"/>
      <c r="K81" s="24"/>
      <c r="L81" s="24"/>
      <c r="M81" s="209"/>
      <c r="N81" s="212"/>
      <c r="O81" s="212"/>
      <c r="P81" s="212"/>
      <c r="Q81" s="212"/>
      <c r="R81" s="212"/>
      <c r="S81" s="212"/>
      <c r="T81" s="212"/>
      <c r="U81" s="227"/>
    </row>
    <row r="82" spans="1:21" ht="12.75" customHeight="1">
      <c r="A82" s="283" t="s">
        <v>132</v>
      </c>
      <c r="B82" s="269" t="s">
        <v>149</v>
      </c>
      <c r="C82" s="231" t="s">
        <v>82</v>
      </c>
      <c r="D82" s="22" t="s">
        <v>97</v>
      </c>
      <c r="E82" s="23">
        <f>E84+E85+E86+E87</f>
        <v>25470557.270000003</v>
      </c>
      <c r="F82" s="23">
        <f aca="true" t="shared" si="13" ref="F82:L82">F84+F85+F86+F87</f>
        <v>12512827.97</v>
      </c>
      <c r="G82" s="23">
        <f t="shared" si="13"/>
        <v>12957729.3</v>
      </c>
      <c r="H82" s="23">
        <f t="shared" si="13"/>
        <v>0</v>
      </c>
      <c r="I82" s="23">
        <f t="shared" si="13"/>
        <v>0</v>
      </c>
      <c r="J82" s="23">
        <f t="shared" si="13"/>
        <v>0</v>
      </c>
      <c r="K82" s="23">
        <f t="shared" si="13"/>
        <v>0</v>
      </c>
      <c r="L82" s="23">
        <f t="shared" si="13"/>
        <v>0</v>
      </c>
      <c r="M82" s="207" t="s">
        <v>3</v>
      </c>
      <c r="N82" s="204">
        <v>1</v>
      </c>
      <c r="O82" s="204">
        <v>1</v>
      </c>
      <c r="P82" s="204">
        <v>1</v>
      </c>
      <c r="Q82" s="204">
        <v>1</v>
      </c>
      <c r="R82" s="204">
        <v>1</v>
      </c>
      <c r="S82" s="204">
        <v>1</v>
      </c>
      <c r="T82" s="204">
        <v>1</v>
      </c>
      <c r="U82" s="221" t="s">
        <v>49</v>
      </c>
    </row>
    <row r="83" spans="1:21" ht="12.75">
      <c r="A83" s="284"/>
      <c r="B83" s="270"/>
      <c r="C83" s="232"/>
      <c r="D83" s="218" t="s">
        <v>117</v>
      </c>
      <c r="E83" s="219"/>
      <c r="F83" s="219"/>
      <c r="G83" s="219"/>
      <c r="H83" s="219"/>
      <c r="I83" s="219"/>
      <c r="J83" s="219"/>
      <c r="K83" s="219"/>
      <c r="L83" s="220"/>
      <c r="M83" s="208"/>
      <c r="N83" s="205"/>
      <c r="O83" s="205"/>
      <c r="P83" s="205"/>
      <c r="Q83" s="205"/>
      <c r="R83" s="205"/>
      <c r="S83" s="205"/>
      <c r="T83" s="205"/>
      <c r="U83" s="222"/>
    </row>
    <row r="84" spans="1:21" ht="12.75">
      <c r="A84" s="284"/>
      <c r="B84" s="270"/>
      <c r="C84" s="232"/>
      <c r="D84" s="22" t="s">
        <v>95</v>
      </c>
      <c r="E84" s="23">
        <f>F84+G84+H84+I84+J84+K84+L84</f>
        <v>25470557.270000003</v>
      </c>
      <c r="F84" s="24">
        <v>12512827.97</v>
      </c>
      <c r="G84" s="24">
        <f>13685381-727651.7</f>
        <v>12957729.3</v>
      </c>
      <c r="H84" s="24">
        <v>0</v>
      </c>
      <c r="I84" s="24">
        <v>0</v>
      </c>
      <c r="J84" s="24">
        <f>I84</f>
        <v>0</v>
      </c>
      <c r="K84" s="24">
        <f>J84</f>
        <v>0</v>
      </c>
      <c r="L84" s="24">
        <f>K84</f>
        <v>0</v>
      </c>
      <c r="M84" s="208"/>
      <c r="N84" s="205"/>
      <c r="O84" s="205"/>
      <c r="P84" s="205"/>
      <c r="Q84" s="205"/>
      <c r="R84" s="205"/>
      <c r="S84" s="205"/>
      <c r="T84" s="205"/>
      <c r="U84" s="222"/>
    </row>
    <row r="85" spans="1:21" ht="12.75">
      <c r="A85" s="284"/>
      <c r="B85" s="270"/>
      <c r="C85" s="232"/>
      <c r="D85" s="22" t="s">
        <v>93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08"/>
      <c r="N85" s="205"/>
      <c r="O85" s="205"/>
      <c r="P85" s="205"/>
      <c r="Q85" s="205"/>
      <c r="R85" s="205"/>
      <c r="S85" s="205"/>
      <c r="T85" s="205"/>
      <c r="U85" s="222"/>
    </row>
    <row r="86" spans="1:21" ht="12.75">
      <c r="A86" s="284"/>
      <c r="B86" s="270"/>
      <c r="C86" s="232"/>
      <c r="D86" s="22" t="s">
        <v>94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08"/>
      <c r="N86" s="205"/>
      <c r="O86" s="205"/>
      <c r="P86" s="205"/>
      <c r="Q86" s="205"/>
      <c r="R86" s="205"/>
      <c r="S86" s="205"/>
      <c r="T86" s="205"/>
      <c r="U86" s="222"/>
    </row>
    <row r="87" spans="1:21" ht="12.75">
      <c r="A87" s="285"/>
      <c r="B87" s="271"/>
      <c r="C87" s="233"/>
      <c r="D87" s="22" t="s">
        <v>96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09"/>
      <c r="N87" s="206"/>
      <c r="O87" s="206"/>
      <c r="P87" s="206"/>
      <c r="Q87" s="206"/>
      <c r="R87" s="206"/>
      <c r="S87" s="206"/>
      <c r="T87" s="206"/>
      <c r="U87" s="227"/>
    </row>
    <row r="88" spans="1:21" ht="12.75" customHeight="1">
      <c r="A88" s="283" t="s">
        <v>133</v>
      </c>
      <c r="B88" s="269" t="s">
        <v>186</v>
      </c>
      <c r="C88" s="231" t="s">
        <v>82</v>
      </c>
      <c r="D88" s="22" t="s">
        <v>97</v>
      </c>
      <c r="E88" s="23">
        <f>E90+E91+E92+E93</f>
        <v>17801099.78</v>
      </c>
      <c r="F88" s="23">
        <f aca="true" t="shared" si="14" ref="F88:L88">F90+F91+F92+F93</f>
        <v>0</v>
      </c>
      <c r="G88" s="23">
        <f t="shared" si="14"/>
        <v>2166054.18</v>
      </c>
      <c r="H88" s="23">
        <f t="shared" si="14"/>
        <v>3168103.56</v>
      </c>
      <c r="I88" s="23">
        <f t="shared" si="14"/>
        <v>3172093.4</v>
      </c>
      <c r="J88" s="23">
        <f t="shared" si="14"/>
        <v>2723994.24</v>
      </c>
      <c r="K88" s="23">
        <f t="shared" si="14"/>
        <v>3285427.2</v>
      </c>
      <c r="L88" s="23">
        <f t="shared" si="14"/>
        <v>3285427.2</v>
      </c>
      <c r="M88" s="207" t="s">
        <v>198</v>
      </c>
      <c r="N88" s="204">
        <v>1</v>
      </c>
      <c r="O88" s="204">
        <v>1</v>
      </c>
      <c r="P88" s="204">
        <v>1</v>
      </c>
      <c r="Q88" s="204">
        <v>1</v>
      </c>
      <c r="R88" s="204">
        <v>1</v>
      </c>
      <c r="S88" s="204">
        <v>1</v>
      </c>
      <c r="T88" s="204">
        <v>1</v>
      </c>
      <c r="U88" s="221" t="s">
        <v>49</v>
      </c>
    </row>
    <row r="89" spans="1:21" ht="12.75">
      <c r="A89" s="284"/>
      <c r="B89" s="270"/>
      <c r="C89" s="232"/>
      <c r="D89" s="218" t="s">
        <v>117</v>
      </c>
      <c r="E89" s="219"/>
      <c r="F89" s="219"/>
      <c r="G89" s="219"/>
      <c r="H89" s="219"/>
      <c r="I89" s="219"/>
      <c r="J89" s="219"/>
      <c r="K89" s="219"/>
      <c r="L89" s="220"/>
      <c r="M89" s="208"/>
      <c r="N89" s="205"/>
      <c r="O89" s="205"/>
      <c r="P89" s="205"/>
      <c r="Q89" s="205"/>
      <c r="R89" s="205"/>
      <c r="S89" s="205"/>
      <c r="T89" s="205"/>
      <c r="U89" s="222"/>
    </row>
    <row r="90" spans="1:21" ht="12.75">
      <c r="A90" s="284"/>
      <c r="B90" s="270"/>
      <c r="C90" s="232"/>
      <c r="D90" s="22" t="s">
        <v>95</v>
      </c>
      <c r="E90" s="23">
        <f>F90+G90+H90+I90+J90+K90+L90</f>
        <v>17801099.78</v>
      </c>
      <c r="F90" s="24">
        <v>0</v>
      </c>
      <c r="G90" s="24">
        <f>2100000-105000.01+171054.19</f>
        <v>2166054.18</v>
      </c>
      <c r="H90" s="24">
        <f>2534249.99+676733.02+9862.15-49672.41-3069.19</f>
        <v>3168103.56</v>
      </c>
      <c r="I90" s="24">
        <f>1732820+1689500-94407.42-155819.18</f>
        <v>3172093.4</v>
      </c>
      <c r="J90" s="24">
        <f>1850652.48+873341.76</f>
        <v>2723994.24</v>
      </c>
      <c r="K90" s="24">
        <f>1663507.2+1621920</f>
        <v>3285427.2</v>
      </c>
      <c r="L90" s="24">
        <v>3285427.2</v>
      </c>
      <c r="M90" s="208"/>
      <c r="N90" s="205"/>
      <c r="O90" s="205"/>
      <c r="P90" s="205"/>
      <c r="Q90" s="205"/>
      <c r="R90" s="205"/>
      <c r="S90" s="205"/>
      <c r="T90" s="205"/>
      <c r="U90" s="222"/>
    </row>
    <row r="91" spans="1:21" ht="12.75">
      <c r="A91" s="284"/>
      <c r="B91" s="270"/>
      <c r="C91" s="232"/>
      <c r="D91" s="22" t="s">
        <v>93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08"/>
      <c r="N91" s="205"/>
      <c r="O91" s="205"/>
      <c r="P91" s="205"/>
      <c r="Q91" s="205"/>
      <c r="R91" s="205"/>
      <c r="S91" s="205"/>
      <c r="T91" s="205"/>
      <c r="U91" s="222"/>
    </row>
    <row r="92" spans="1:21" ht="12.75">
      <c r="A92" s="284"/>
      <c r="B92" s="270"/>
      <c r="C92" s="232"/>
      <c r="D92" s="22" t="s">
        <v>94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08"/>
      <c r="N92" s="205"/>
      <c r="O92" s="205"/>
      <c r="P92" s="205"/>
      <c r="Q92" s="205"/>
      <c r="R92" s="205"/>
      <c r="S92" s="205"/>
      <c r="T92" s="205"/>
      <c r="U92" s="222"/>
    </row>
    <row r="93" spans="1:21" ht="12.75">
      <c r="A93" s="285"/>
      <c r="B93" s="271"/>
      <c r="C93" s="233"/>
      <c r="D93" s="22" t="s">
        <v>96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09"/>
      <c r="N93" s="206"/>
      <c r="O93" s="206"/>
      <c r="P93" s="206"/>
      <c r="Q93" s="206"/>
      <c r="R93" s="206"/>
      <c r="S93" s="206"/>
      <c r="T93" s="206"/>
      <c r="U93" s="227"/>
    </row>
    <row r="94" spans="1:21" ht="12.75" customHeight="1">
      <c r="A94" s="283" t="s">
        <v>153</v>
      </c>
      <c r="B94" s="269" t="s">
        <v>150</v>
      </c>
      <c r="C94" s="231" t="s">
        <v>82</v>
      </c>
      <c r="D94" s="22" t="s">
        <v>97</v>
      </c>
      <c r="E94" s="23">
        <f>E96+E97+E98+E99</f>
        <v>191383546.66</v>
      </c>
      <c r="F94" s="23">
        <f aca="true" t="shared" si="15" ref="F94:L94">F96+F97+F98+F99</f>
        <v>24365995</v>
      </c>
      <c r="G94" s="23">
        <f t="shared" si="15"/>
        <v>21895744.36</v>
      </c>
      <c r="H94" s="23">
        <f t="shared" si="15"/>
        <v>20844961.15</v>
      </c>
      <c r="I94" s="23">
        <f t="shared" si="15"/>
        <v>20844961.15</v>
      </c>
      <c r="J94" s="23">
        <f t="shared" si="15"/>
        <v>34477295</v>
      </c>
      <c r="K94" s="23">
        <f t="shared" si="15"/>
        <v>34477295</v>
      </c>
      <c r="L94" s="23">
        <f t="shared" si="15"/>
        <v>34477295</v>
      </c>
      <c r="M94" s="286" t="s">
        <v>51</v>
      </c>
      <c r="N94" s="204">
        <v>1</v>
      </c>
      <c r="O94" s="204">
        <v>1</v>
      </c>
      <c r="P94" s="204">
        <v>1</v>
      </c>
      <c r="Q94" s="204">
        <v>1</v>
      </c>
      <c r="R94" s="204">
        <v>1</v>
      </c>
      <c r="S94" s="204">
        <v>1</v>
      </c>
      <c r="T94" s="204">
        <v>1</v>
      </c>
      <c r="U94" s="221" t="s">
        <v>49</v>
      </c>
    </row>
    <row r="95" spans="1:21" ht="12.75">
      <c r="A95" s="284"/>
      <c r="B95" s="270"/>
      <c r="C95" s="232"/>
      <c r="D95" s="218" t="s">
        <v>117</v>
      </c>
      <c r="E95" s="219"/>
      <c r="F95" s="219"/>
      <c r="G95" s="219"/>
      <c r="H95" s="219"/>
      <c r="I95" s="219"/>
      <c r="J95" s="219"/>
      <c r="K95" s="219"/>
      <c r="L95" s="220"/>
      <c r="M95" s="287"/>
      <c r="N95" s="205"/>
      <c r="O95" s="205"/>
      <c r="P95" s="205"/>
      <c r="Q95" s="205"/>
      <c r="R95" s="205"/>
      <c r="S95" s="205"/>
      <c r="T95" s="205"/>
      <c r="U95" s="222"/>
    </row>
    <row r="96" spans="1:21" ht="12.75">
      <c r="A96" s="284"/>
      <c r="B96" s="270"/>
      <c r="C96" s="232"/>
      <c r="D96" s="22" t="s">
        <v>95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87"/>
      <c r="N96" s="205"/>
      <c r="O96" s="205"/>
      <c r="P96" s="205"/>
      <c r="Q96" s="205"/>
      <c r="R96" s="205"/>
      <c r="S96" s="205"/>
      <c r="T96" s="205"/>
      <c r="U96" s="222"/>
    </row>
    <row r="97" spans="1:21" ht="12.75">
      <c r="A97" s="284"/>
      <c r="B97" s="270"/>
      <c r="C97" s="232"/>
      <c r="D97" s="22" t="s">
        <v>93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87"/>
      <c r="N97" s="205"/>
      <c r="O97" s="205"/>
      <c r="P97" s="205"/>
      <c r="Q97" s="205"/>
      <c r="R97" s="205"/>
      <c r="S97" s="205"/>
      <c r="T97" s="205"/>
      <c r="U97" s="222"/>
    </row>
    <row r="98" spans="1:21" ht="12.75">
      <c r="A98" s="284"/>
      <c r="B98" s="270"/>
      <c r="C98" s="232"/>
      <c r="D98" s="22" t="s">
        <v>94</v>
      </c>
      <c r="E98" s="23">
        <f>F98+G98+H98+I98+J98+K98+L98</f>
        <v>0</v>
      </c>
      <c r="F98" s="24"/>
      <c r="G98" s="24"/>
      <c r="H98" s="24"/>
      <c r="I98" s="24"/>
      <c r="J98" s="24"/>
      <c r="K98" s="24"/>
      <c r="L98" s="24"/>
      <c r="M98" s="287"/>
      <c r="N98" s="205"/>
      <c r="O98" s="205"/>
      <c r="P98" s="205"/>
      <c r="Q98" s="205"/>
      <c r="R98" s="205"/>
      <c r="S98" s="205"/>
      <c r="T98" s="205"/>
      <c r="U98" s="222"/>
    </row>
    <row r="99" spans="1:21" ht="12.75">
      <c r="A99" s="285"/>
      <c r="B99" s="271"/>
      <c r="C99" s="233"/>
      <c r="D99" s="22" t="s">
        <v>96</v>
      </c>
      <c r="E99" s="23">
        <f>F99+G99+H99+I99+J99+K99+L99</f>
        <v>191383546.66</v>
      </c>
      <c r="F99" s="24">
        <v>24365995</v>
      </c>
      <c r="G99" s="24">
        <v>21895744.36</v>
      </c>
      <c r="H99" s="24">
        <v>20844961.15</v>
      </c>
      <c r="I99" s="24">
        <v>20844961.15</v>
      </c>
      <c r="J99" s="24">
        <v>34477295</v>
      </c>
      <c r="K99" s="24">
        <v>34477295</v>
      </c>
      <c r="L99" s="24">
        <v>34477295</v>
      </c>
      <c r="M99" s="288"/>
      <c r="N99" s="206"/>
      <c r="O99" s="206"/>
      <c r="P99" s="206"/>
      <c r="Q99" s="206"/>
      <c r="R99" s="206"/>
      <c r="S99" s="206"/>
      <c r="T99" s="206"/>
      <c r="U99" s="227"/>
    </row>
    <row r="100" spans="1:21" ht="12.75" customHeight="1">
      <c r="A100" s="283" t="s">
        <v>154</v>
      </c>
      <c r="B100" s="269" t="s">
        <v>0</v>
      </c>
      <c r="C100" s="231" t="s">
        <v>82</v>
      </c>
      <c r="D100" s="22" t="s">
        <v>97</v>
      </c>
      <c r="E100" s="23">
        <f>E102+E103+E104+E105</f>
        <v>7451599</v>
      </c>
      <c r="F100" s="23">
        <f aca="true" t="shared" si="16" ref="F100:L100">F102+F103+F104+F105</f>
        <v>7451599</v>
      </c>
      <c r="G100" s="23">
        <f t="shared" si="16"/>
        <v>0</v>
      </c>
      <c r="H100" s="23">
        <f t="shared" si="16"/>
        <v>0</v>
      </c>
      <c r="I100" s="23">
        <f t="shared" si="16"/>
        <v>0</v>
      </c>
      <c r="J100" s="23">
        <f t="shared" si="16"/>
        <v>0</v>
      </c>
      <c r="K100" s="23">
        <f t="shared" si="16"/>
        <v>0</v>
      </c>
      <c r="L100" s="23">
        <f t="shared" si="16"/>
        <v>0</v>
      </c>
      <c r="M100" s="207" t="s">
        <v>48</v>
      </c>
      <c r="N100" s="210">
        <v>100</v>
      </c>
      <c r="O100" s="210">
        <v>100</v>
      </c>
      <c r="P100" s="210">
        <v>100</v>
      </c>
      <c r="Q100" s="210">
        <v>100</v>
      </c>
      <c r="R100" s="210">
        <v>100</v>
      </c>
      <c r="S100" s="210">
        <v>100</v>
      </c>
      <c r="T100" s="210">
        <v>100</v>
      </c>
      <c r="U100" s="260" t="s">
        <v>50</v>
      </c>
    </row>
    <row r="101" spans="1:21" ht="12.75">
      <c r="A101" s="284"/>
      <c r="B101" s="270"/>
      <c r="C101" s="232"/>
      <c r="D101" s="218" t="s">
        <v>117</v>
      </c>
      <c r="E101" s="219"/>
      <c r="F101" s="219"/>
      <c r="G101" s="219"/>
      <c r="H101" s="219"/>
      <c r="I101" s="219"/>
      <c r="J101" s="219"/>
      <c r="K101" s="219"/>
      <c r="L101" s="220"/>
      <c r="M101" s="208"/>
      <c r="N101" s="211"/>
      <c r="O101" s="211"/>
      <c r="P101" s="211"/>
      <c r="Q101" s="211"/>
      <c r="R101" s="211"/>
      <c r="S101" s="211"/>
      <c r="T101" s="211"/>
      <c r="U101" s="261"/>
    </row>
    <row r="102" spans="1:21" ht="12.75">
      <c r="A102" s="284"/>
      <c r="B102" s="270"/>
      <c r="C102" s="232"/>
      <c r="D102" s="22" t="s">
        <v>95</v>
      </c>
      <c r="E102" s="23">
        <f>F102+G102+H102+I102+J102+K102+L102</f>
        <v>7451599</v>
      </c>
      <c r="F102" s="24">
        <v>7451599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08"/>
      <c r="N102" s="211"/>
      <c r="O102" s="211"/>
      <c r="P102" s="211"/>
      <c r="Q102" s="211"/>
      <c r="R102" s="211"/>
      <c r="S102" s="211"/>
      <c r="T102" s="211"/>
      <c r="U102" s="261"/>
    </row>
    <row r="103" spans="1:21" ht="12.75">
      <c r="A103" s="284"/>
      <c r="B103" s="270"/>
      <c r="C103" s="232"/>
      <c r="D103" s="22" t="s">
        <v>93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08"/>
      <c r="N103" s="211"/>
      <c r="O103" s="211"/>
      <c r="P103" s="211"/>
      <c r="Q103" s="211"/>
      <c r="R103" s="211"/>
      <c r="S103" s="211"/>
      <c r="T103" s="211"/>
      <c r="U103" s="261"/>
    </row>
    <row r="104" spans="1:21" ht="12.75">
      <c r="A104" s="284"/>
      <c r="B104" s="270"/>
      <c r="C104" s="232"/>
      <c r="D104" s="22" t="s">
        <v>94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08"/>
      <c r="N104" s="211"/>
      <c r="O104" s="211"/>
      <c r="P104" s="211"/>
      <c r="Q104" s="211"/>
      <c r="R104" s="211"/>
      <c r="S104" s="211"/>
      <c r="T104" s="211"/>
      <c r="U104" s="261"/>
    </row>
    <row r="105" spans="1:21" ht="12.75">
      <c r="A105" s="285"/>
      <c r="B105" s="271"/>
      <c r="C105" s="233"/>
      <c r="D105" s="22" t="s">
        <v>96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09"/>
      <c r="N105" s="212"/>
      <c r="O105" s="212"/>
      <c r="P105" s="212"/>
      <c r="Q105" s="212"/>
      <c r="R105" s="212"/>
      <c r="S105" s="212"/>
      <c r="T105" s="212"/>
      <c r="U105" s="262"/>
    </row>
    <row r="106" spans="1:21" ht="12.75" customHeight="1">
      <c r="A106" s="283" t="s">
        <v>155</v>
      </c>
      <c r="B106" s="269" t="s">
        <v>151</v>
      </c>
      <c r="C106" s="231" t="s">
        <v>82</v>
      </c>
      <c r="D106" s="22" t="s">
        <v>97</v>
      </c>
      <c r="E106" s="23">
        <f>E108+E109+E110+E111</f>
        <v>575647</v>
      </c>
      <c r="F106" s="23">
        <f aca="true" t="shared" si="17" ref="F106:L106">F108+F109+F110+F111</f>
        <v>575647</v>
      </c>
      <c r="G106" s="23">
        <f t="shared" si="17"/>
        <v>0</v>
      </c>
      <c r="H106" s="23">
        <f t="shared" si="17"/>
        <v>0</v>
      </c>
      <c r="I106" s="23">
        <f t="shared" si="17"/>
        <v>0</v>
      </c>
      <c r="J106" s="23">
        <f t="shared" si="17"/>
        <v>0</v>
      </c>
      <c r="K106" s="23">
        <f t="shared" si="17"/>
        <v>0</v>
      </c>
      <c r="L106" s="23">
        <f t="shared" si="17"/>
        <v>0</v>
      </c>
      <c r="M106" s="207" t="s">
        <v>3</v>
      </c>
      <c r="N106" s="204">
        <v>1</v>
      </c>
      <c r="O106" s="204">
        <v>1</v>
      </c>
      <c r="P106" s="204">
        <v>1</v>
      </c>
      <c r="Q106" s="204">
        <v>1</v>
      </c>
      <c r="R106" s="204">
        <v>1</v>
      </c>
      <c r="S106" s="204">
        <v>1</v>
      </c>
      <c r="T106" s="204">
        <v>1</v>
      </c>
      <c r="U106" s="260" t="s">
        <v>50</v>
      </c>
    </row>
    <row r="107" spans="1:21" ht="12.75">
      <c r="A107" s="284"/>
      <c r="B107" s="270"/>
      <c r="C107" s="232"/>
      <c r="D107" s="218" t="s">
        <v>117</v>
      </c>
      <c r="E107" s="219"/>
      <c r="F107" s="219"/>
      <c r="G107" s="219"/>
      <c r="H107" s="219"/>
      <c r="I107" s="219"/>
      <c r="J107" s="219"/>
      <c r="K107" s="219"/>
      <c r="L107" s="220"/>
      <c r="M107" s="208"/>
      <c r="N107" s="205"/>
      <c r="O107" s="205"/>
      <c r="P107" s="205"/>
      <c r="Q107" s="205"/>
      <c r="R107" s="205"/>
      <c r="S107" s="205"/>
      <c r="T107" s="205"/>
      <c r="U107" s="261"/>
    </row>
    <row r="108" spans="1:21" ht="12.75">
      <c r="A108" s="284"/>
      <c r="B108" s="270"/>
      <c r="C108" s="232"/>
      <c r="D108" s="22" t="s">
        <v>95</v>
      </c>
      <c r="E108" s="23">
        <f>F108+G108+H108+I108+J108+K108+L108</f>
        <v>575647</v>
      </c>
      <c r="F108" s="24">
        <v>575647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08"/>
      <c r="N108" s="205"/>
      <c r="O108" s="205"/>
      <c r="P108" s="205"/>
      <c r="Q108" s="205"/>
      <c r="R108" s="205"/>
      <c r="S108" s="205"/>
      <c r="T108" s="205"/>
      <c r="U108" s="261"/>
    </row>
    <row r="109" spans="1:21" ht="12.75">
      <c r="A109" s="284"/>
      <c r="B109" s="270"/>
      <c r="C109" s="232"/>
      <c r="D109" s="22" t="s">
        <v>93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08"/>
      <c r="N109" s="205"/>
      <c r="O109" s="205"/>
      <c r="P109" s="205"/>
      <c r="Q109" s="205"/>
      <c r="R109" s="205"/>
      <c r="S109" s="205"/>
      <c r="T109" s="205"/>
      <c r="U109" s="261"/>
    </row>
    <row r="110" spans="1:21" ht="12.75">
      <c r="A110" s="284"/>
      <c r="B110" s="270"/>
      <c r="C110" s="232"/>
      <c r="D110" s="22" t="s">
        <v>94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08"/>
      <c r="N110" s="205"/>
      <c r="O110" s="205"/>
      <c r="P110" s="205"/>
      <c r="Q110" s="205"/>
      <c r="R110" s="205"/>
      <c r="S110" s="205"/>
      <c r="T110" s="205"/>
      <c r="U110" s="261"/>
    </row>
    <row r="111" spans="1:21" ht="12.75">
      <c r="A111" s="285"/>
      <c r="B111" s="271"/>
      <c r="C111" s="233"/>
      <c r="D111" s="22" t="s">
        <v>96</v>
      </c>
      <c r="E111" s="23">
        <f>F111+G111+H111+I111+J111+K111+L111</f>
        <v>0</v>
      </c>
      <c r="F111" s="24"/>
      <c r="G111" s="24"/>
      <c r="H111" s="24"/>
      <c r="I111" s="24"/>
      <c r="J111" s="24"/>
      <c r="K111" s="24"/>
      <c r="L111" s="24"/>
      <c r="M111" s="209"/>
      <c r="N111" s="206"/>
      <c r="O111" s="206"/>
      <c r="P111" s="206"/>
      <c r="Q111" s="206"/>
      <c r="R111" s="206"/>
      <c r="S111" s="206"/>
      <c r="T111" s="206"/>
      <c r="U111" s="262"/>
    </row>
    <row r="112" spans="1:21" ht="12.75" customHeight="1">
      <c r="A112" s="283" t="s">
        <v>1</v>
      </c>
      <c r="B112" s="269" t="s">
        <v>152</v>
      </c>
      <c r="C112" s="231" t="s">
        <v>82</v>
      </c>
      <c r="D112" s="22" t="s">
        <v>97</v>
      </c>
      <c r="E112" s="23">
        <f>E114+E115+E116+E117</f>
        <v>8750000</v>
      </c>
      <c r="F112" s="23">
        <f aca="true" t="shared" si="18" ref="F112:L112">F114+F115+F116+F117</f>
        <v>8750000</v>
      </c>
      <c r="G112" s="23">
        <f t="shared" si="18"/>
        <v>0</v>
      </c>
      <c r="H112" s="23">
        <f t="shared" si="18"/>
        <v>0</v>
      </c>
      <c r="I112" s="23">
        <f t="shared" si="18"/>
        <v>0</v>
      </c>
      <c r="J112" s="23">
        <f t="shared" si="18"/>
        <v>0</v>
      </c>
      <c r="K112" s="23">
        <f t="shared" si="18"/>
        <v>0</v>
      </c>
      <c r="L112" s="23">
        <f t="shared" si="18"/>
        <v>0</v>
      </c>
      <c r="M112" s="286" t="s">
        <v>51</v>
      </c>
      <c r="N112" s="204">
        <v>1</v>
      </c>
      <c r="O112" s="204">
        <v>1</v>
      </c>
      <c r="P112" s="204">
        <v>1</v>
      </c>
      <c r="Q112" s="204">
        <v>1</v>
      </c>
      <c r="R112" s="204">
        <v>1</v>
      </c>
      <c r="S112" s="204">
        <v>1</v>
      </c>
      <c r="T112" s="204">
        <v>1</v>
      </c>
      <c r="U112" s="260" t="s">
        <v>50</v>
      </c>
    </row>
    <row r="113" spans="1:21" ht="12.75">
      <c r="A113" s="284"/>
      <c r="B113" s="270"/>
      <c r="C113" s="232"/>
      <c r="D113" s="218" t="s">
        <v>117</v>
      </c>
      <c r="E113" s="219"/>
      <c r="F113" s="219"/>
      <c r="G113" s="219"/>
      <c r="H113" s="219"/>
      <c r="I113" s="219"/>
      <c r="J113" s="219"/>
      <c r="K113" s="219"/>
      <c r="L113" s="220"/>
      <c r="M113" s="287"/>
      <c r="N113" s="205"/>
      <c r="O113" s="205"/>
      <c r="P113" s="205"/>
      <c r="Q113" s="205"/>
      <c r="R113" s="205"/>
      <c r="S113" s="205"/>
      <c r="T113" s="205"/>
      <c r="U113" s="261"/>
    </row>
    <row r="114" spans="1:21" ht="12.75">
      <c r="A114" s="284"/>
      <c r="B114" s="270"/>
      <c r="C114" s="232"/>
      <c r="D114" s="22" t="s">
        <v>95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87"/>
      <c r="N114" s="205"/>
      <c r="O114" s="205"/>
      <c r="P114" s="205"/>
      <c r="Q114" s="205"/>
      <c r="R114" s="205"/>
      <c r="S114" s="205"/>
      <c r="T114" s="205"/>
      <c r="U114" s="261"/>
    </row>
    <row r="115" spans="1:21" ht="12.75">
      <c r="A115" s="284"/>
      <c r="B115" s="270"/>
      <c r="C115" s="232"/>
      <c r="D115" s="22" t="s">
        <v>93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87"/>
      <c r="N115" s="205"/>
      <c r="O115" s="205"/>
      <c r="P115" s="205"/>
      <c r="Q115" s="205"/>
      <c r="R115" s="205"/>
      <c r="S115" s="205"/>
      <c r="T115" s="205"/>
      <c r="U115" s="261"/>
    </row>
    <row r="116" spans="1:21" ht="12.75">
      <c r="A116" s="284"/>
      <c r="B116" s="270"/>
      <c r="C116" s="232"/>
      <c r="D116" s="22" t="s">
        <v>94</v>
      </c>
      <c r="E116" s="23">
        <f>F116+G116+H116+I116+J116+K116+L116</f>
        <v>0</v>
      </c>
      <c r="F116" s="24"/>
      <c r="G116" s="24"/>
      <c r="H116" s="24"/>
      <c r="I116" s="24"/>
      <c r="J116" s="24"/>
      <c r="K116" s="24"/>
      <c r="L116" s="24"/>
      <c r="M116" s="287"/>
      <c r="N116" s="205"/>
      <c r="O116" s="205"/>
      <c r="P116" s="205"/>
      <c r="Q116" s="205"/>
      <c r="R116" s="205"/>
      <c r="S116" s="205"/>
      <c r="T116" s="205"/>
      <c r="U116" s="261"/>
    </row>
    <row r="117" spans="1:21" ht="12.75">
      <c r="A117" s="285"/>
      <c r="B117" s="271"/>
      <c r="C117" s="233"/>
      <c r="D117" s="22" t="s">
        <v>96</v>
      </c>
      <c r="E117" s="23">
        <f>F117+G117+H117+I117+J117+K117+L117</f>
        <v>8750000</v>
      </c>
      <c r="F117" s="24">
        <v>8750000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88"/>
      <c r="N117" s="206"/>
      <c r="O117" s="206"/>
      <c r="P117" s="206"/>
      <c r="Q117" s="206"/>
      <c r="R117" s="206"/>
      <c r="S117" s="206"/>
      <c r="T117" s="206"/>
      <c r="U117" s="262"/>
    </row>
    <row r="118" spans="1:21" ht="13.5" customHeight="1">
      <c r="A118" s="263"/>
      <c r="B118" s="266" t="s">
        <v>156</v>
      </c>
      <c r="C118" s="263"/>
      <c r="D118" s="102" t="s">
        <v>97</v>
      </c>
      <c r="E118" s="103">
        <f aca="true" t="shared" si="19" ref="E118:L118">E120+E121+E122+E123</f>
        <v>1593851632.64</v>
      </c>
      <c r="F118" s="103">
        <f t="shared" si="19"/>
        <v>222458828.14</v>
      </c>
      <c r="G118" s="103">
        <f t="shared" si="19"/>
        <v>212714311.44</v>
      </c>
      <c r="H118" s="103">
        <f t="shared" si="19"/>
        <v>222798082.33</v>
      </c>
      <c r="I118" s="103">
        <f t="shared" si="19"/>
        <v>229919528.3</v>
      </c>
      <c r="J118" s="103">
        <f t="shared" si="19"/>
        <v>237387837.27</v>
      </c>
      <c r="K118" s="103">
        <f t="shared" si="19"/>
        <v>234286522.57999998</v>
      </c>
      <c r="L118" s="103">
        <f t="shared" si="19"/>
        <v>234286522.57999998</v>
      </c>
      <c r="M118" s="238"/>
      <c r="N118" s="246"/>
      <c r="O118" s="246"/>
      <c r="P118" s="246"/>
      <c r="Q118" s="246"/>
      <c r="R118" s="246"/>
      <c r="S118" s="246"/>
      <c r="T118" s="246"/>
      <c r="U118" s="249"/>
    </row>
    <row r="119" spans="1:21" ht="12.75" customHeight="1">
      <c r="A119" s="264"/>
      <c r="B119" s="267"/>
      <c r="C119" s="264"/>
      <c r="D119" s="241" t="s">
        <v>117</v>
      </c>
      <c r="E119" s="242"/>
      <c r="F119" s="242"/>
      <c r="G119" s="242"/>
      <c r="H119" s="242"/>
      <c r="I119" s="242"/>
      <c r="J119" s="242"/>
      <c r="K119" s="242"/>
      <c r="L119" s="243"/>
      <c r="M119" s="239"/>
      <c r="N119" s="247"/>
      <c r="O119" s="247"/>
      <c r="P119" s="247"/>
      <c r="Q119" s="247"/>
      <c r="R119" s="247"/>
      <c r="S119" s="247"/>
      <c r="T119" s="247"/>
      <c r="U119" s="250"/>
    </row>
    <row r="120" spans="1:21" ht="13.5" customHeight="1">
      <c r="A120" s="264"/>
      <c r="B120" s="267"/>
      <c r="C120" s="264"/>
      <c r="D120" s="104" t="s">
        <v>95</v>
      </c>
      <c r="E120" s="103">
        <f>F120+G120+H120+I120+J120+K120+L120</f>
        <v>1374648580.26</v>
      </c>
      <c r="F120" s="105">
        <f aca="true" t="shared" si="20" ref="F120:L123">F78+F84+F96+F102+F108+F114+F90</f>
        <v>186855783.14</v>
      </c>
      <c r="G120" s="105">
        <f t="shared" si="20"/>
        <v>188442557.08</v>
      </c>
      <c r="H120" s="105">
        <f t="shared" si="20"/>
        <v>198994771.18</v>
      </c>
      <c r="I120" s="105">
        <f t="shared" si="20"/>
        <v>203088364.52</v>
      </c>
      <c r="J120" s="105">
        <f t="shared" si="20"/>
        <v>197648649.18</v>
      </c>
      <c r="K120" s="105">
        <f t="shared" si="20"/>
        <v>199809227.57999998</v>
      </c>
      <c r="L120" s="105">
        <f t="shared" si="20"/>
        <v>199809227.57999998</v>
      </c>
      <c r="M120" s="239"/>
      <c r="N120" s="247"/>
      <c r="O120" s="247"/>
      <c r="P120" s="247"/>
      <c r="Q120" s="247"/>
      <c r="R120" s="247"/>
      <c r="S120" s="247"/>
      <c r="T120" s="247"/>
      <c r="U120" s="250"/>
    </row>
    <row r="121" spans="1:21" ht="13.5" customHeight="1">
      <c r="A121" s="264"/>
      <c r="B121" s="267"/>
      <c r="C121" s="264"/>
      <c r="D121" s="104" t="s">
        <v>93</v>
      </c>
      <c r="E121" s="103">
        <f>F121+G121+H121+I121+J121+K121+L121</f>
        <v>19069505.72</v>
      </c>
      <c r="F121" s="105">
        <f t="shared" si="20"/>
        <v>2487050</v>
      </c>
      <c r="G121" s="105">
        <f t="shared" si="20"/>
        <v>2376010</v>
      </c>
      <c r="H121" s="105">
        <f t="shared" si="20"/>
        <v>2958350</v>
      </c>
      <c r="I121" s="105">
        <f t="shared" si="20"/>
        <v>5986202.63</v>
      </c>
      <c r="J121" s="105">
        <f t="shared" si="20"/>
        <v>5261893.09</v>
      </c>
      <c r="K121" s="105">
        <f t="shared" si="20"/>
        <v>0</v>
      </c>
      <c r="L121" s="105">
        <f t="shared" si="20"/>
        <v>0</v>
      </c>
      <c r="M121" s="239"/>
      <c r="N121" s="247"/>
      <c r="O121" s="247"/>
      <c r="P121" s="247"/>
      <c r="Q121" s="247"/>
      <c r="R121" s="247"/>
      <c r="S121" s="247"/>
      <c r="T121" s="247"/>
      <c r="U121" s="250"/>
    </row>
    <row r="122" spans="1:21" ht="13.5" customHeight="1">
      <c r="A122" s="264"/>
      <c r="B122" s="267"/>
      <c r="C122" s="264"/>
      <c r="D122" s="104" t="s">
        <v>94</v>
      </c>
      <c r="E122" s="103">
        <f>F122+G122+H122+I122+J122+K122+L122</f>
        <v>0</v>
      </c>
      <c r="F122" s="105">
        <f t="shared" si="20"/>
        <v>0</v>
      </c>
      <c r="G122" s="105">
        <f t="shared" si="20"/>
        <v>0</v>
      </c>
      <c r="H122" s="105">
        <f t="shared" si="20"/>
        <v>0</v>
      </c>
      <c r="I122" s="105">
        <f t="shared" si="20"/>
        <v>0</v>
      </c>
      <c r="J122" s="105">
        <f t="shared" si="20"/>
        <v>0</v>
      </c>
      <c r="K122" s="105">
        <f t="shared" si="20"/>
        <v>0</v>
      </c>
      <c r="L122" s="105">
        <f t="shared" si="20"/>
        <v>0</v>
      </c>
      <c r="M122" s="239"/>
      <c r="N122" s="247"/>
      <c r="O122" s="247"/>
      <c r="P122" s="247"/>
      <c r="Q122" s="247"/>
      <c r="R122" s="247"/>
      <c r="S122" s="247"/>
      <c r="T122" s="247"/>
      <c r="U122" s="250"/>
    </row>
    <row r="123" spans="1:21" ht="13.5" customHeight="1">
      <c r="A123" s="265"/>
      <c r="B123" s="268"/>
      <c r="C123" s="265"/>
      <c r="D123" s="104" t="s">
        <v>96</v>
      </c>
      <c r="E123" s="103">
        <f>F123+G123+H123+I123+J123+K123+L123</f>
        <v>200133546.66</v>
      </c>
      <c r="F123" s="105">
        <f t="shared" si="20"/>
        <v>33115995</v>
      </c>
      <c r="G123" s="105">
        <f t="shared" si="20"/>
        <v>21895744.36</v>
      </c>
      <c r="H123" s="105">
        <f t="shared" si="20"/>
        <v>20844961.15</v>
      </c>
      <c r="I123" s="105">
        <f t="shared" si="20"/>
        <v>20844961.15</v>
      </c>
      <c r="J123" s="105">
        <f t="shared" si="20"/>
        <v>34477295</v>
      </c>
      <c r="K123" s="105">
        <f t="shared" si="20"/>
        <v>34477295</v>
      </c>
      <c r="L123" s="105">
        <f t="shared" si="20"/>
        <v>34477295</v>
      </c>
      <c r="M123" s="240"/>
      <c r="N123" s="248"/>
      <c r="O123" s="248"/>
      <c r="P123" s="248"/>
      <c r="Q123" s="248"/>
      <c r="R123" s="248"/>
      <c r="S123" s="248"/>
      <c r="T123" s="248"/>
      <c r="U123" s="251"/>
    </row>
    <row r="124" spans="1:21" s="79" customFormat="1" ht="13.5" customHeight="1">
      <c r="A124" s="263"/>
      <c r="B124" s="266" t="s">
        <v>78</v>
      </c>
      <c r="C124" s="263"/>
      <c r="D124" s="102" t="s">
        <v>97</v>
      </c>
      <c r="E124" s="103">
        <f>E126+E127+E128+E129</f>
        <v>4731430594.839999</v>
      </c>
      <c r="F124" s="103">
        <f aca="true" t="shared" si="21" ref="F124:L124">F118+F69</f>
        <v>630157257.97</v>
      </c>
      <c r="G124" s="103">
        <f t="shared" si="21"/>
        <v>629509067.48</v>
      </c>
      <c r="H124" s="103">
        <f t="shared" si="21"/>
        <v>659507806.04</v>
      </c>
      <c r="I124" s="103">
        <f t="shared" si="21"/>
        <v>694807250.38</v>
      </c>
      <c r="J124" s="103">
        <f t="shared" si="21"/>
        <v>706261723.46</v>
      </c>
      <c r="K124" s="103">
        <f t="shared" si="21"/>
        <v>705594450.1700001</v>
      </c>
      <c r="L124" s="103">
        <f t="shared" si="21"/>
        <v>705593039.3399999</v>
      </c>
      <c r="M124" s="238"/>
      <c r="N124" s="246"/>
      <c r="O124" s="246"/>
      <c r="P124" s="246"/>
      <c r="Q124" s="246"/>
      <c r="R124" s="246"/>
      <c r="S124" s="246"/>
      <c r="T124" s="246"/>
      <c r="U124" s="249"/>
    </row>
    <row r="125" spans="1:21" ht="12.75" customHeight="1">
      <c r="A125" s="264"/>
      <c r="B125" s="267"/>
      <c r="C125" s="264"/>
      <c r="D125" s="241" t="s">
        <v>117</v>
      </c>
      <c r="E125" s="242"/>
      <c r="F125" s="242"/>
      <c r="G125" s="242"/>
      <c r="H125" s="242"/>
      <c r="I125" s="242"/>
      <c r="J125" s="242"/>
      <c r="K125" s="242"/>
      <c r="L125" s="243"/>
      <c r="M125" s="239"/>
      <c r="N125" s="247"/>
      <c r="O125" s="247"/>
      <c r="P125" s="247"/>
      <c r="Q125" s="247"/>
      <c r="R125" s="247"/>
      <c r="S125" s="247"/>
      <c r="T125" s="247"/>
      <c r="U125" s="250"/>
    </row>
    <row r="126" spans="1:21" ht="13.5" customHeight="1">
      <c r="A126" s="264"/>
      <c r="B126" s="267"/>
      <c r="C126" s="264"/>
      <c r="D126" s="104" t="s">
        <v>95</v>
      </c>
      <c r="E126" s="103">
        <f>F126+G126+H126+I126+J126+K126+L126</f>
        <v>2114306776.89</v>
      </c>
      <c r="F126" s="105">
        <f aca="true" t="shared" si="22" ref="F126:L129">F71+F120</f>
        <v>288108773.96999997</v>
      </c>
      <c r="G126" s="105">
        <f t="shared" si="22"/>
        <v>288034535.81</v>
      </c>
      <c r="H126" s="105">
        <f t="shared" si="22"/>
        <v>305418423.32</v>
      </c>
      <c r="I126" s="105">
        <f t="shared" si="22"/>
        <v>313261876.9</v>
      </c>
      <c r="J126" s="105">
        <f t="shared" si="22"/>
        <v>303517595.36</v>
      </c>
      <c r="K126" s="105">
        <f t="shared" si="22"/>
        <v>307983491.18</v>
      </c>
      <c r="L126" s="105">
        <f t="shared" si="22"/>
        <v>307982080.34999996</v>
      </c>
      <c r="M126" s="239"/>
      <c r="N126" s="247"/>
      <c r="O126" s="247"/>
      <c r="P126" s="247"/>
      <c r="Q126" s="247"/>
      <c r="R126" s="247"/>
      <c r="S126" s="247"/>
      <c r="T126" s="247"/>
      <c r="U126" s="250"/>
    </row>
    <row r="127" spans="1:21" ht="13.5" customHeight="1">
      <c r="A127" s="264"/>
      <c r="B127" s="267"/>
      <c r="C127" s="264"/>
      <c r="D127" s="104" t="s">
        <v>93</v>
      </c>
      <c r="E127" s="103">
        <f>F127+G127+H127+I127+J127+K127+L127</f>
        <v>2408980243.22</v>
      </c>
      <c r="F127" s="105">
        <f t="shared" si="22"/>
        <v>308069784</v>
      </c>
      <c r="G127" s="105">
        <f t="shared" si="22"/>
        <v>318165579.24</v>
      </c>
      <c r="H127" s="105">
        <f t="shared" si="22"/>
        <v>331671421.57</v>
      </c>
      <c r="I127" s="105">
        <f t="shared" si="22"/>
        <v>359127412.33</v>
      </c>
      <c r="J127" s="105">
        <f t="shared" si="22"/>
        <v>367404128.1</v>
      </c>
      <c r="K127" s="105">
        <f t="shared" si="22"/>
        <v>362270958.99</v>
      </c>
      <c r="L127" s="105">
        <f t="shared" si="22"/>
        <v>362270958.99</v>
      </c>
      <c r="M127" s="239"/>
      <c r="N127" s="247"/>
      <c r="O127" s="247"/>
      <c r="P127" s="247"/>
      <c r="Q127" s="247"/>
      <c r="R127" s="247"/>
      <c r="S127" s="247"/>
      <c r="T127" s="247"/>
      <c r="U127" s="250"/>
    </row>
    <row r="128" spans="1:21" ht="13.5" customHeight="1">
      <c r="A128" s="264"/>
      <c r="B128" s="267"/>
      <c r="C128" s="264"/>
      <c r="D128" s="104" t="s">
        <v>94</v>
      </c>
      <c r="E128" s="103">
        <f>F128+G128+H128+I128+J128+K128+L128</f>
        <v>0</v>
      </c>
      <c r="F128" s="105">
        <f t="shared" si="22"/>
        <v>0</v>
      </c>
      <c r="G128" s="105">
        <f t="shared" si="22"/>
        <v>0</v>
      </c>
      <c r="H128" s="105">
        <f t="shared" si="22"/>
        <v>0</v>
      </c>
      <c r="I128" s="105">
        <f t="shared" si="22"/>
        <v>0</v>
      </c>
      <c r="J128" s="105">
        <f t="shared" si="22"/>
        <v>0</v>
      </c>
      <c r="K128" s="105">
        <f t="shared" si="22"/>
        <v>0</v>
      </c>
      <c r="L128" s="105">
        <f t="shared" si="22"/>
        <v>0</v>
      </c>
      <c r="M128" s="239"/>
      <c r="N128" s="247"/>
      <c r="O128" s="247"/>
      <c r="P128" s="247"/>
      <c r="Q128" s="247"/>
      <c r="R128" s="247"/>
      <c r="S128" s="247"/>
      <c r="T128" s="247"/>
      <c r="U128" s="250"/>
    </row>
    <row r="129" spans="1:21" ht="13.5" customHeight="1">
      <c r="A129" s="265"/>
      <c r="B129" s="268"/>
      <c r="C129" s="265"/>
      <c r="D129" s="104" t="s">
        <v>96</v>
      </c>
      <c r="E129" s="103">
        <f>F129+G129+H129+I129+J129+K129+L129</f>
        <v>208143574.73</v>
      </c>
      <c r="F129" s="105">
        <f t="shared" si="22"/>
        <v>33978700</v>
      </c>
      <c r="G129" s="105">
        <f t="shared" si="22"/>
        <v>23308952.43</v>
      </c>
      <c r="H129" s="105">
        <f t="shared" si="22"/>
        <v>22417961.15</v>
      </c>
      <c r="I129" s="105">
        <f t="shared" si="22"/>
        <v>22417961.15</v>
      </c>
      <c r="J129" s="105">
        <f t="shared" si="22"/>
        <v>35340000</v>
      </c>
      <c r="K129" s="105">
        <f t="shared" si="22"/>
        <v>35340000</v>
      </c>
      <c r="L129" s="105">
        <f t="shared" si="22"/>
        <v>35340000</v>
      </c>
      <c r="M129" s="240"/>
      <c r="N129" s="248"/>
      <c r="O129" s="248"/>
      <c r="P129" s="248"/>
      <c r="Q129" s="248"/>
      <c r="R129" s="248"/>
      <c r="S129" s="248"/>
      <c r="T129" s="248"/>
      <c r="U129" s="251"/>
    </row>
    <row r="131" spans="5:8" s="32" customFormat="1" ht="12.75">
      <c r="E131" s="33"/>
      <c r="G131" s="78"/>
      <c r="H131" s="78"/>
    </row>
    <row r="132" spans="7:9" ht="12.75">
      <c r="G132" s="78"/>
      <c r="H132" s="78"/>
      <c r="I132" s="32"/>
    </row>
    <row r="133" spans="5:9" ht="12.75">
      <c r="E133" s="26"/>
      <c r="G133" s="34"/>
      <c r="H133" s="78"/>
      <c r="I133" s="89"/>
    </row>
    <row r="134" spans="5:9" ht="12.75">
      <c r="E134" s="26"/>
      <c r="F134" s="35"/>
      <c r="G134" s="36"/>
      <c r="H134" s="90"/>
      <c r="I134" s="90"/>
    </row>
    <row r="135" spans="5:9" ht="12.75">
      <c r="E135" s="26"/>
      <c r="F135" s="35"/>
      <c r="G135" s="34"/>
      <c r="H135" s="89"/>
      <c r="I135" s="89"/>
    </row>
    <row r="136" spans="2:9" ht="12.75">
      <c r="B136" s="26"/>
      <c r="E136" s="26"/>
      <c r="F136" s="37"/>
      <c r="G136" s="38"/>
      <c r="H136" s="26"/>
      <c r="I136" s="26"/>
    </row>
    <row r="137" spans="2:9" ht="12.75">
      <c r="B137" s="26"/>
      <c r="E137" s="26"/>
      <c r="F137" s="39"/>
      <c r="G137" s="38"/>
      <c r="H137" s="26"/>
      <c r="I137" s="26"/>
    </row>
    <row r="138" spans="2:9" ht="12.75">
      <c r="B138" s="26"/>
      <c r="E138" s="26"/>
      <c r="F138" s="37"/>
      <c r="G138" s="38"/>
      <c r="H138" s="26"/>
      <c r="I138" s="26"/>
    </row>
    <row r="139" spans="2:9" ht="12.75">
      <c r="B139" s="26"/>
      <c r="E139" s="3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0"/>
      <c r="H140" s="26"/>
      <c r="I140" s="26"/>
    </row>
    <row r="141" spans="2:9" ht="12.75">
      <c r="B141" s="26"/>
      <c r="C141" s="35"/>
      <c r="E141" s="26"/>
      <c r="F141" s="37"/>
      <c r="G141" s="41"/>
      <c r="H141" s="26"/>
      <c r="I141" s="26"/>
    </row>
    <row r="142" spans="2:9" ht="12.75">
      <c r="B142" s="26"/>
      <c r="C142" s="42"/>
      <c r="E142" s="26"/>
      <c r="F142" s="37"/>
      <c r="G142" s="43"/>
      <c r="H142" s="41"/>
      <c r="I142" s="26"/>
    </row>
    <row r="143" spans="2:9" ht="12.75">
      <c r="B143" s="26"/>
      <c r="C143" s="35"/>
      <c r="E143" s="38"/>
      <c r="F143" s="37"/>
      <c r="G143" s="41"/>
      <c r="H143" s="26"/>
      <c r="I143" s="26"/>
    </row>
    <row r="144" spans="2:9" ht="12.75">
      <c r="B144" s="26"/>
      <c r="C144" s="35"/>
      <c r="E144" s="38"/>
      <c r="F144" s="37"/>
      <c r="G144" s="40"/>
      <c r="H144" s="44"/>
      <c r="I144" s="44"/>
    </row>
    <row r="145" spans="5:9" ht="12.75">
      <c r="E145" s="36"/>
      <c r="F145" s="37"/>
      <c r="G145" s="40"/>
      <c r="H145" s="44"/>
      <c r="I145" s="44"/>
    </row>
    <row r="146" spans="6:9" ht="12.75">
      <c r="F146" s="37"/>
      <c r="G146" s="40"/>
      <c r="H146" s="44"/>
      <c r="I146" s="44"/>
    </row>
    <row r="147" spans="6:9" ht="12.75">
      <c r="F147" s="37"/>
      <c r="G147" s="40"/>
      <c r="H147" s="45"/>
      <c r="I147" s="45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4"/>
      <c r="I150" s="44"/>
    </row>
    <row r="151" spans="6:9" ht="12.75">
      <c r="F151" s="37"/>
      <c r="G151" s="40"/>
      <c r="H151" s="45"/>
      <c r="I151" s="45"/>
    </row>
    <row r="152" spans="6:9" ht="12.75">
      <c r="F152" s="37"/>
      <c r="G152" s="46"/>
      <c r="H152" s="44"/>
      <c r="I152" s="44"/>
    </row>
    <row r="153" spans="6:9" ht="12.75">
      <c r="F153" s="37"/>
      <c r="G153" s="40"/>
      <c r="H153" s="45"/>
      <c r="I153" s="45"/>
    </row>
    <row r="154" spans="6:9" ht="12.75">
      <c r="F154" s="37"/>
      <c r="G154" s="41"/>
      <c r="H154" s="44"/>
      <c r="I154" s="26"/>
    </row>
    <row r="155" spans="6:9" ht="12.75">
      <c r="F155" s="37"/>
      <c r="G155" s="38"/>
      <c r="H155" s="44"/>
      <c r="I155" s="26"/>
    </row>
    <row r="156" spans="6:9" ht="12.75">
      <c r="F156" s="35"/>
      <c r="G156" s="26"/>
      <c r="H156" s="38"/>
      <c r="I156" s="26"/>
    </row>
    <row r="157" ht="12.75">
      <c r="F157" s="47"/>
    </row>
    <row r="158" spans="6:7" ht="12.75">
      <c r="F158" s="35"/>
      <c r="G158" s="26"/>
    </row>
    <row r="159" spans="6:8" ht="12.75">
      <c r="F159" s="35"/>
      <c r="G159" s="26"/>
      <c r="H159" s="48"/>
    </row>
    <row r="160" spans="6:7" ht="12.75">
      <c r="F160" s="46"/>
      <c r="G160" s="40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spans="6:7" ht="12.75">
      <c r="F167" s="259"/>
      <c r="G167" s="259"/>
    </row>
    <row r="168" ht="12.75">
      <c r="G168" s="26"/>
    </row>
    <row r="169" ht="12.75">
      <c r="G169" s="26"/>
    </row>
    <row r="171" ht="12.75">
      <c r="G171" s="26"/>
    </row>
    <row r="172" ht="12.75">
      <c r="G172" s="26"/>
    </row>
    <row r="174" ht="12.75">
      <c r="F174" s="35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  <row r="177" spans="7:9" ht="12.75">
      <c r="G177" s="26"/>
      <c r="H177" s="26"/>
      <c r="I177" s="26"/>
    </row>
  </sheetData>
  <sheetProtection/>
  <mergeCells count="273"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Q100:Q105"/>
    <mergeCell ref="P100:P105"/>
    <mergeCell ref="O76:O81"/>
    <mergeCell ref="O69:O74"/>
    <mergeCell ref="O100:O105"/>
    <mergeCell ref="P88:P93"/>
    <mergeCell ref="P94:P99"/>
    <mergeCell ref="Q94:Q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0:A105"/>
    <mergeCell ref="A88:A93"/>
    <mergeCell ref="B88:B93"/>
    <mergeCell ref="C88:C93"/>
    <mergeCell ref="M88:M93"/>
    <mergeCell ref="O88:O93"/>
    <mergeCell ref="N88:N93"/>
    <mergeCell ref="R88:R93"/>
    <mergeCell ref="Q88:Q93"/>
    <mergeCell ref="N82:N87"/>
    <mergeCell ref="P82:P87"/>
    <mergeCell ref="Q82:Q87"/>
    <mergeCell ref="O82:O87"/>
    <mergeCell ref="R82:R87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D16:L16"/>
    <mergeCell ref="P15:P20"/>
    <mergeCell ref="R15:R20"/>
    <mergeCell ref="S15:S20"/>
    <mergeCell ref="N21:N26"/>
    <mergeCell ref="O21:O26"/>
    <mergeCell ref="D22:L22"/>
    <mergeCell ref="P21:P26"/>
    <mergeCell ref="A21:A26"/>
    <mergeCell ref="B21:B26"/>
    <mergeCell ref="C21:C26"/>
    <mergeCell ref="M21:M26"/>
    <mergeCell ref="S21:S26"/>
    <mergeCell ref="T21:T26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7:A32"/>
    <mergeCell ref="B27:B32"/>
    <mergeCell ref="C27:C32"/>
    <mergeCell ref="M27:M32"/>
    <mergeCell ref="N27:N32"/>
    <mergeCell ref="O27:O32"/>
    <mergeCell ref="D28:L28"/>
    <mergeCell ref="R33:R38"/>
    <mergeCell ref="R27:R32"/>
    <mergeCell ref="S27:S32"/>
    <mergeCell ref="U33:U38"/>
    <mergeCell ref="S33:S38"/>
    <mergeCell ref="T33:T38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O39:O44"/>
    <mergeCell ref="S39:S44"/>
    <mergeCell ref="P39:P44"/>
    <mergeCell ref="Q39:Q44"/>
    <mergeCell ref="R39:R44"/>
    <mergeCell ref="T39:T44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R45:R50"/>
    <mergeCell ref="S45:S50"/>
    <mergeCell ref="T45:T50"/>
    <mergeCell ref="P51:P56"/>
    <mergeCell ref="Q51:Q56"/>
    <mergeCell ref="R51:R56"/>
    <mergeCell ref="S51:S56"/>
    <mergeCell ref="T51:T56"/>
    <mergeCell ref="A112:A117"/>
    <mergeCell ref="B112:B117"/>
    <mergeCell ref="C112:C117"/>
    <mergeCell ref="M112:M117"/>
    <mergeCell ref="D113:L113"/>
    <mergeCell ref="N112:N117"/>
    <mergeCell ref="O112:O117"/>
    <mergeCell ref="S112:S117"/>
    <mergeCell ref="T112:T117"/>
    <mergeCell ref="P112:P117"/>
    <mergeCell ref="Q112:Q117"/>
    <mergeCell ref="R112:R117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U124:U129"/>
    <mergeCell ref="S118:S123"/>
    <mergeCell ref="T118:T123"/>
    <mergeCell ref="U118:U123"/>
    <mergeCell ref="T124:T129"/>
    <mergeCell ref="O118:O123"/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78" t="s">
        <v>278</v>
      </c>
      <c r="G1" s="179"/>
      <c r="H1" s="179"/>
      <c r="I1" s="179"/>
      <c r="J1" s="129"/>
    </row>
    <row r="2" spans="5:10" ht="18.75" customHeight="1">
      <c r="E2" s="124"/>
      <c r="F2" s="146"/>
      <c r="G2" s="132"/>
      <c r="I2" s="143" t="s">
        <v>158</v>
      </c>
      <c r="J2" s="100"/>
    </row>
    <row r="3" ht="15.75">
      <c r="F3" s="132"/>
    </row>
    <row r="4" spans="1:9" ht="36.75" customHeight="1">
      <c r="A4" s="198" t="s">
        <v>79</v>
      </c>
      <c r="B4" s="198"/>
      <c r="C4" s="198"/>
      <c r="D4" s="198"/>
      <c r="E4" s="198"/>
      <c r="F4" s="198"/>
      <c r="G4" s="198"/>
      <c r="H4" s="198"/>
      <c r="I4" s="198"/>
    </row>
    <row r="5" spans="1:9" ht="30" customHeight="1">
      <c r="A5" s="184" t="s">
        <v>103</v>
      </c>
      <c r="B5" s="186" t="s">
        <v>104</v>
      </c>
      <c r="C5" s="188" t="s">
        <v>105</v>
      </c>
      <c r="D5" s="188"/>
      <c r="E5" s="188"/>
      <c r="F5" s="188"/>
      <c r="G5" s="188"/>
      <c r="H5" s="188"/>
      <c r="I5" s="188"/>
    </row>
    <row r="6" spans="1:9" ht="16.5" customHeight="1">
      <c r="A6" s="185"/>
      <c r="B6" s="187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44" t="s">
        <v>80</v>
      </c>
      <c r="B8" s="126">
        <f>B10+B11+B12+B13</f>
        <v>378120720.53999996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58246118.66</v>
      </c>
      <c r="G8" s="126">
        <f t="shared" si="0"/>
        <v>58546418.66</v>
      </c>
      <c r="H8" s="126">
        <f t="shared" si="0"/>
        <v>58232318.66</v>
      </c>
      <c r="I8" s="126">
        <f t="shared" si="0"/>
        <v>58232318.66</v>
      </c>
    </row>
    <row r="9" spans="1:9" ht="16.5" customHeight="1">
      <c r="A9" s="252" t="s">
        <v>106</v>
      </c>
      <c r="B9" s="253"/>
      <c r="C9" s="253"/>
      <c r="D9" s="253"/>
      <c r="E9" s="253"/>
      <c r="F9" s="253"/>
      <c r="G9" s="253"/>
      <c r="H9" s="253"/>
      <c r="I9" s="254"/>
    </row>
    <row r="10" spans="1:9" ht="16.5" customHeight="1">
      <c r="A10" s="87" t="s">
        <v>107</v>
      </c>
      <c r="B10" s="148">
        <f>B17</f>
        <v>108501620.53999999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16476318.66</v>
      </c>
      <c r="H10" s="149">
        <f t="shared" si="1"/>
        <v>16476318.66</v>
      </c>
      <c r="I10" s="149">
        <f t="shared" si="1"/>
        <v>16476318.66</v>
      </c>
    </row>
    <row r="11" spans="1:9" ht="16.5" customHeight="1">
      <c r="A11" s="87" t="s">
        <v>20</v>
      </c>
      <c r="B11" s="148">
        <f aca="true" t="shared" si="2" ref="B11:I13">B18</f>
        <v>269619100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41769800</v>
      </c>
      <c r="G11" s="149">
        <f t="shared" si="2"/>
        <v>42070100</v>
      </c>
      <c r="H11" s="149">
        <f t="shared" si="2"/>
        <v>41756000</v>
      </c>
      <c r="I11" s="149">
        <f t="shared" si="2"/>
        <v>41756000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110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89" t="s">
        <v>111</v>
      </c>
      <c r="B14" s="190"/>
      <c r="C14" s="190"/>
      <c r="D14" s="190"/>
      <c r="E14" s="190"/>
      <c r="F14" s="190"/>
      <c r="G14" s="190"/>
      <c r="H14" s="190"/>
      <c r="I14" s="191"/>
    </row>
    <row r="15" spans="1:9" ht="39.75" customHeight="1">
      <c r="A15" s="145" t="s">
        <v>118</v>
      </c>
      <c r="B15" s="126">
        <f>B17+B18+B19+B20</f>
        <v>378120720.53999996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58246118.66</v>
      </c>
      <c r="G15" s="126">
        <f t="shared" si="3"/>
        <v>58546418.66</v>
      </c>
      <c r="H15" s="126">
        <f t="shared" si="3"/>
        <v>58232318.66</v>
      </c>
      <c r="I15" s="126">
        <f t="shared" si="3"/>
        <v>58232318.66</v>
      </c>
    </row>
    <row r="16" spans="1:9" ht="16.5" customHeight="1">
      <c r="A16" s="252" t="s">
        <v>106</v>
      </c>
      <c r="B16" s="253"/>
      <c r="C16" s="253"/>
      <c r="D16" s="253"/>
      <c r="E16" s="253"/>
      <c r="F16" s="253"/>
      <c r="G16" s="253"/>
      <c r="H16" s="253"/>
      <c r="I16" s="254"/>
    </row>
    <row r="17" spans="1:9" ht="16.5" customHeight="1">
      <c r="A17" s="87" t="s">
        <v>107</v>
      </c>
      <c r="B17" s="148">
        <f>SUM(C17:I17)</f>
        <v>108501620.53999999</v>
      </c>
      <c r="C17" s="150">
        <v>12523313</v>
      </c>
      <c r="D17" s="150">
        <f>+'таб 3(3)'!G116</f>
        <v>14817822.469999999</v>
      </c>
      <c r="E17" s="150">
        <f>+'таб 3(3)'!H116</f>
        <v>15255210.430000002</v>
      </c>
      <c r="F17" s="150">
        <f>+'таб 3(3)'!I116</f>
        <v>16476318.66</v>
      </c>
      <c r="G17" s="150">
        <f>+'таб 3(3)'!J116</f>
        <v>16476318.66</v>
      </c>
      <c r="H17" s="150">
        <f>+'таб 3(3)'!K116</f>
        <v>16476318.66</v>
      </c>
      <c r="I17" s="150">
        <f>+'таб 3(3)'!L116</f>
        <v>16476318.66</v>
      </c>
    </row>
    <row r="18" spans="1:9" ht="16.5" customHeight="1">
      <c r="A18" s="87" t="s">
        <v>20</v>
      </c>
      <c r="B18" s="148">
        <f>SUM(C18:I18)</f>
        <v>269619100</v>
      </c>
      <c r="C18" s="151">
        <f>'таб 3(3)'!F117</f>
        <v>30768200</v>
      </c>
      <c r="D18" s="150">
        <f>+'таб 3(3)'!G117</f>
        <v>34894200</v>
      </c>
      <c r="E18" s="150">
        <f>+'таб 3(3)'!H117</f>
        <v>36604800</v>
      </c>
      <c r="F18" s="150">
        <f>+'таб 3(3)'!I117</f>
        <v>41769800</v>
      </c>
      <c r="G18" s="150">
        <f>+'таб 3(3)'!J117</f>
        <v>42070100</v>
      </c>
      <c r="H18" s="150">
        <f>+'таб 3(3)'!K117</f>
        <v>41756000</v>
      </c>
      <c r="I18" s="150">
        <f>+'таб 3(3)'!L117</f>
        <v>41756000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110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112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O7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71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71"/>
      <c r="J1" s="129"/>
      <c r="Q1" s="178" t="s">
        <v>279</v>
      </c>
      <c r="R1" s="179"/>
      <c r="S1" s="179"/>
      <c r="T1" s="179"/>
      <c r="U1" s="179"/>
    </row>
    <row r="2" spans="20:21" ht="25.5">
      <c r="T2" s="100"/>
      <c r="U2" s="100" t="s">
        <v>159</v>
      </c>
    </row>
    <row r="3" spans="1:21" ht="15.75">
      <c r="A3" s="245" t="s">
        <v>160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29.2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38.25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169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172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161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1">
        <v>1</v>
      </c>
      <c r="B8" s="215" t="s">
        <v>35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2.75">
      <c r="A9" s="225" t="s">
        <v>125</v>
      </c>
      <c r="B9" s="289" t="s">
        <v>5</v>
      </c>
      <c r="C9" s="231" t="s">
        <v>82</v>
      </c>
      <c r="D9" s="22" t="s">
        <v>97</v>
      </c>
      <c r="E9" s="23">
        <f>E11+E12+E13+E14</f>
        <v>10049488.77</v>
      </c>
      <c r="F9" s="23">
        <f aca="true" t="shared" si="0" ref="F9:L9">F11+F12+F13+F14</f>
        <v>1951875</v>
      </c>
      <c r="G9" s="23">
        <f t="shared" si="0"/>
        <v>2375630.76</v>
      </c>
      <c r="H9" s="23">
        <f t="shared" si="0"/>
        <v>1116398.92</v>
      </c>
      <c r="I9" s="23">
        <f t="shared" si="0"/>
        <v>484246.31</v>
      </c>
      <c r="J9" s="23">
        <f t="shared" si="0"/>
        <v>1373779.26</v>
      </c>
      <c r="K9" s="23">
        <f t="shared" si="0"/>
        <v>1373779.26</v>
      </c>
      <c r="L9" s="23">
        <f t="shared" si="0"/>
        <v>1373779.26</v>
      </c>
      <c r="M9" s="260" t="s">
        <v>10</v>
      </c>
      <c r="N9" s="204">
        <v>1</v>
      </c>
      <c r="O9" s="204">
        <v>1</v>
      </c>
      <c r="P9" s="204">
        <v>1</v>
      </c>
      <c r="Q9" s="204">
        <v>1</v>
      </c>
      <c r="R9" s="204">
        <v>1</v>
      </c>
      <c r="S9" s="204">
        <v>1</v>
      </c>
      <c r="T9" s="204">
        <v>1</v>
      </c>
      <c r="U9" s="260" t="s">
        <v>81</v>
      </c>
    </row>
    <row r="10" spans="1:21" ht="12.75">
      <c r="A10" s="225"/>
      <c r="B10" s="290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61"/>
      <c r="N10" s="205"/>
      <c r="O10" s="205"/>
      <c r="P10" s="205"/>
      <c r="Q10" s="205"/>
      <c r="R10" s="205"/>
      <c r="S10" s="205"/>
      <c r="T10" s="205"/>
      <c r="U10" s="261"/>
    </row>
    <row r="11" spans="1:21" ht="12.75">
      <c r="A11" s="225"/>
      <c r="B11" s="290"/>
      <c r="C11" s="232"/>
      <c r="D11" s="22" t="s">
        <v>95</v>
      </c>
      <c r="E11" s="23">
        <f>F11+G11+H11+I11+J11+K11+L11</f>
        <v>10049488.77</v>
      </c>
      <c r="F11" s="23">
        <v>1951875</v>
      </c>
      <c r="G11" s="23">
        <f>2216680-110834+269784.76</f>
        <v>2375630.76</v>
      </c>
      <c r="H11" s="23">
        <f>797662.85+498963.25+150686.9+10663.8-258447.59-83130.29</f>
        <v>1116398.92</v>
      </c>
      <c r="I11" s="23">
        <f>1055130+318649.26-894955.67+5200.38+222.34</f>
        <v>484246.31</v>
      </c>
      <c r="J11" s="23">
        <f>1055130+318649.26</f>
        <v>1373779.26</v>
      </c>
      <c r="K11" s="23">
        <f>1055130+318649.26</f>
        <v>1373779.26</v>
      </c>
      <c r="L11" s="23">
        <v>1373779.26</v>
      </c>
      <c r="M11" s="261"/>
      <c r="N11" s="205"/>
      <c r="O11" s="205"/>
      <c r="P11" s="205"/>
      <c r="Q11" s="205"/>
      <c r="R11" s="205"/>
      <c r="S11" s="205"/>
      <c r="T11" s="205"/>
      <c r="U11" s="261"/>
    </row>
    <row r="12" spans="1:21" ht="12.75">
      <c r="A12" s="225"/>
      <c r="B12" s="290"/>
      <c r="C12" s="232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1"/>
      <c r="N12" s="205"/>
      <c r="O12" s="205"/>
      <c r="P12" s="205"/>
      <c r="Q12" s="205"/>
      <c r="R12" s="205"/>
      <c r="S12" s="205"/>
      <c r="T12" s="205"/>
      <c r="U12" s="261"/>
    </row>
    <row r="13" spans="1:21" ht="12.75">
      <c r="A13" s="225"/>
      <c r="B13" s="290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61"/>
      <c r="N13" s="205"/>
      <c r="O13" s="205"/>
      <c r="P13" s="205"/>
      <c r="Q13" s="205"/>
      <c r="R13" s="205"/>
      <c r="S13" s="205"/>
      <c r="T13" s="205"/>
      <c r="U13" s="261"/>
    </row>
    <row r="14" spans="1:21" ht="12.75">
      <c r="A14" s="225"/>
      <c r="B14" s="291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2"/>
      <c r="N14" s="206"/>
      <c r="O14" s="206"/>
      <c r="P14" s="206"/>
      <c r="Q14" s="206"/>
      <c r="R14" s="206"/>
      <c r="S14" s="206"/>
      <c r="T14" s="206"/>
      <c r="U14" s="262"/>
    </row>
    <row r="15" spans="1:21" ht="12.75" customHeight="1">
      <c r="A15" s="225" t="s">
        <v>126</v>
      </c>
      <c r="B15" s="289" t="s">
        <v>6</v>
      </c>
      <c r="C15" s="231" t="s">
        <v>82</v>
      </c>
      <c r="D15" s="22" t="s">
        <v>97</v>
      </c>
      <c r="E15" s="23">
        <f>E17+E18+E19+E20</f>
        <v>16174137.3</v>
      </c>
      <c r="F15" s="23">
        <f aca="true" t="shared" si="1" ref="F15:L15">F17+F18+F19+F20</f>
        <v>1951875</v>
      </c>
      <c r="G15" s="23">
        <f t="shared" si="1"/>
        <v>2105846</v>
      </c>
      <c r="H15" s="23">
        <f t="shared" si="1"/>
        <v>2741536.32</v>
      </c>
      <c r="I15" s="23">
        <f t="shared" si="1"/>
        <v>2897595.5199999996</v>
      </c>
      <c r="J15" s="23">
        <f t="shared" si="1"/>
        <v>2159094.82</v>
      </c>
      <c r="K15" s="23">
        <f t="shared" si="1"/>
        <v>2159094.82</v>
      </c>
      <c r="L15" s="23">
        <f t="shared" si="1"/>
        <v>2159094.82</v>
      </c>
      <c r="M15" s="260" t="s">
        <v>9</v>
      </c>
      <c r="N15" s="204">
        <v>1</v>
      </c>
      <c r="O15" s="204">
        <v>1</v>
      </c>
      <c r="P15" s="204">
        <v>1</v>
      </c>
      <c r="Q15" s="204">
        <v>1</v>
      </c>
      <c r="R15" s="204">
        <v>1</v>
      </c>
      <c r="S15" s="204">
        <v>1</v>
      </c>
      <c r="T15" s="204">
        <v>1</v>
      </c>
      <c r="U15" s="260" t="s">
        <v>81</v>
      </c>
    </row>
    <row r="16" spans="1:21" ht="12.75">
      <c r="A16" s="225"/>
      <c r="B16" s="290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61"/>
      <c r="N16" s="205"/>
      <c r="O16" s="205"/>
      <c r="P16" s="205"/>
      <c r="Q16" s="205"/>
      <c r="R16" s="205"/>
      <c r="S16" s="205"/>
      <c r="T16" s="205"/>
      <c r="U16" s="261"/>
    </row>
    <row r="17" spans="1:21" ht="12.75">
      <c r="A17" s="225"/>
      <c r="B17" s="290"/>
      <c r="C17" s="232"/>
      <c r="D17" s="22" t="s">
        <v>95</v>
      </c>
      <c r="E17" s="23">
        <f>F17+G17+H17+I17+J17+K17+L17</f>
        <v>16174137.3</v>
      </c>
      <c r="F17" s="23">
        <v>1951875</v>
      </c>
      <c r="G17" s="23">
        <f>2216680-110834</f>
        <v>2105846</v>
      </c>
      <c r="H17" s="23">
        <f>955551.47+60000+841416+254107.63+527936.67+132524.55-30000</f>
        <v>2741536.32</v>
      </c>
      <c r="I17" s="23">
        <f>1612208+486886.82+25000+773500.7</f>
        <v>2897595.5199999996</v>
      </c>
      <c r="J17" s="23">
        <f>1612208+486886.82+60000</f>
        <v>2159094.82</v>
      </c>
      <c r="K17" s="23">
        <f>1612208+486886.82+60000</f>
        <v>2159094.82</v>
      </c>
      <c r="L17" s="23">
        <f>K17</f>
        <v>2159094.82</v>
      </c>
      <c r="M17" s="261"/>
      <c r="N17" s="205"/>
      <c r="O17" s="205"/>
      <c r="P17" s="205"/>
      <c r="Q17" s="205"/>
      <c r="R17" s="205"/>
      <c r="S17" s="205"/>
      <c r="T17" s="205"/>
      <c r="U17" s="261"/>
    </row>
    <row r="18" spans="1:21" ht="12.75">
      <c r="A18" s="225"/>
      <c r="B18" s="290"/>
      <c r="C18" s="232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1"/>
      <c r="N18" s="205"/>
      <c r="O18" s="205"/>
      <c r="P18" s="205"/>
      <c r="Q18" s="205"/>
      <c r="R18" s="205"/>
      <c r="S18" s="205"/>
      <c r="T18" s="205"/>
      <c r="U18" s="261"/>
    </row>
    <row r="19" spans="1:21" ht="12.75">
      <c r="A19" s="225"/>
      <c r="B19" s="290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1"/>
      <c r="N19" s="205"/>
      <c r="O19" s="205"/>
      <c r="P19" s="205"/>
      <c r="Q19" s="205"/>
      <c r="R19" s="205"/>
      <c r="S19" s="205"/>
      <c r="T19" s="205"/>
      <c r="U19" s="261"/>
    </row>
    <row r="20" spans="1:21" ht="12.75">
      <c r="A20" s="225"/>
      <c r="B20" s="291"/>
      <c r="C20" s="233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2"/>
      <c r="N20" s="206"/>
      <c r="O20" s="206"/>
      <c r="P20" s="206"/>
      <c r="Q20" s="206"/>
      <c r="R20" s="206"/>
      <c r="S20" s="206"/>
      <c r="T20" s="206"/>
      <c r="U20" s="262"/>
    </row>
    <row r="21" spans="1:21" ht="13.5">
      <c r="A21" s="236"/>
      <c r="B21" s="266" t="s">
        <v>157</v>
      </c>
      <c r="C21" s="236"/>
      <c r="D21" s="102" t="s">
        <v>97</v>
      </c>
      <c r="E21" s="103">
        <f aca="true" t="shared" si="2" ref="E21:L21">E23+E24+E25+E26</f>
        <v>26223626.07</v>
      </c>
      <c r="F21" s="103">
        <f t="shared" si="2"/>
        <v>3903750</v>
      </c>
      <c r="G21" s="103">
        <f t="shared" si="2"/>
        <v>4481476.76</v>
      </c>
      <c r="H21" s="103">
        <f t="shared" si="2"/>
        <v>3857935.2399999998</v>
      </c>
      <c r="I21" s="103">
        <f t="shared" si="2"/>
        <v>3381841.8299999996</v>
      </c>
      <c r="J21" s="103">
        <f t="shared" si="2"/>
        <v>3532874.08</v>
      </c>
      <c r="K21" s="103">
        <f t="shared" si="2"/>
        <v>3532874.08</v>
      </c>
      <c r="L21" s="103">
        <f t="shared" si="2"/>
        <v>3532874.08</v>
      </c>
      <c r="M21" s="238"/>
      <c r="N21" s="246"/>
      <c r="O21" s="246"/>
      <c r="P21" s="246"/>
      <c r="Q21" s="246"/>
      <c r="R21" s="246"/>
      <c r="S21" s="246"/>
      <c r="T21" s="246"/>
      <c r="U21" s="249"/>
    </row>
    <row r="22" spans="1:21" ht="12.75">
      <c r="A22" s="236"/>
      <c r="B22" s="267"/>
      <c r="C22" s="236"/>
      <c r="D22" s="241" t="s">
        <v>117</v>
      </c>
      <c r="E22" s="242"/>
      <c r="F22" s="242"/>
      <c r="G22" s="242"/>
      <c r="H22" s="242"/>
      <c r="I22" s="242"/>
      <c r="J22" s="242"/>
      <c r="K22" s="242"/>
      <c r="L22" s="243"/>
      <c r="M22" s="239"/>
      <c r="N22" s="247"/>
      <c r="O22" s="247"/>
      <c r="P22" s="247"/>
      <c r="Q22" s="247"/>
      <c r="R22" s="247"/>
      <c r="S22" s="247"/>
      <c r="T22" s="247"/>
      <c r="U22" s="250"/>
    </row>
    <row r="23" spans="1:21" ht="13.5">
      <c r="A23" s="236"/>
      <c r="B23" s="267"/>
      <c r="C23" s="236"/>
      <c r="D23" s="104" t="s">
        <v>95</v>
      </c>
      <c r="E23" s="103">
        <f>F23+G23+H23+I23+J23+K23+L23</f>
        <v>26223626.07</v>
      </c>
      <c r="F23" s="105">
        <f>F17+F11</f>
        <v>3903750</v>
      </c>
      <c r="G23" s="105">
        <f aca="true" t="shared" si="3" ref="G23:L23">G17+G11</f>
        <v>4481476.76</v>
      </c>
      <c r="H23" s="105">
        <f t="shared" si="3"/>
        <v>3857935.2399999998</v>
      </c>
      <c r="I23" s="105">
        <f t="shared" si="3"/>
        <v>3381841.8299999996</v>
      </c>
      <c r="J23" s="105">
        <f t="shared" si="3"/>
        <v>3532874.08</v>
      </c>
      <c r="K23" s="105">
        <f t="shared" si="3"/>
        <v>3532874.08</v>
      </c>
      <c r="L23" s="105">
        <f t="shared" si="3"/>
        <v>3532874.08</v>
      </c>
      <c r="M23" s="239"/>
      <c r="N23" s="247"/>
      <c r="O23" s="247"/>
      <c r="P23" s="247"/>
      <c r="Q23" s="247"/>
      <c r="R23" s="247"/>
      <c r="S23" s="247"/>
      <c r="T23" s="247"/>
      <c r="U23" s="250"/>
    </row>
    <row r="24" spans="1:21" ht="13.5">
      <c r="A24" s="236"/>
      <c r="B24" s="267"/>
      <c r="C24" s="236"/>
      <c r="D24" s="104" t="s">
        <v>93</v>
      </c>
      <c r="E24" s="103">
        <f>F24+G24+H24+I24+J24+K24+L24</f>
        <v>0</v>
      </c>
      <c r="F24" s="105">
        <f aca="true" t="shared" si="4" ref="F24:L26">F12+F18</f>
        <v>0</v>
      </c>
      <c r="G24" s="105">
        <f t="shared" si="4"/>
        <v>0</v>
      </c>
      <c r="H24" s="105">
        <f t="shared" si="4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39"/>
      <c r="N24" s="247"/>
      <c r="O24" s="247"/>
      <c r="P24" s="247"/>
      <c r="Q24" s="247"/>
      <c r="R24" s="247"/>
      <c r="S24" s="247"/>
      <c r="T24" s="247"/>
      <c r="U24" s="250"/>
    </row>
    <row r="25" spans="1:21" ht="13.5">
      <c r="A25" s="236"/>
      <c r="B25" s="267"/>
      <c r="C25" s="236"/>
      <c r="D25" s="104" t="s">
        <v>94</v>
      </c>
      <c r="E25" s="103">
        <f>F25+G25+H25+I25+J25+K25+L25</f>
        <v>0</v>
      </c>
      <c r="F25" s="105">
        <f aca="true" t="shared" si="5" ref="F25:H26">F13+F19</f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39"/>
      <c r="N25" s="247"/>
      <c r="O25" s="247"/>
      <c r="P25" s="247"/>
      <c r="Q25" s="247"/>
      <c r="R25" s="247"/>
      <c r="S25" s="247"/>
      <c r="T25" s="247"/>
      <c r="U25" s="250"/>
    </row>
    <row r="26" spans="1:21" ht="13.5">
      <c r="A26" s="236"/>
      <c r="B26" s="268"/>
      <c r="C26" s="236"/>
      <c r="D26" s="104" t="s">
        <v>96</v>
      </c>
      <c r="E26" s="103">
        <f>F26+G26+H26+I26+J26+K26+L26</f>
        <v>0</v>
      </c>
      <c r="F26" s="105">
        <f t="shared" si="5"/>
        <v>0</v>
      </c>
      <c r="G26" s="105">
        <f t="shared" si="5"/>
        <v>0</v>
      </c>
      <c r="H26" s="105">
        <f t="shared" si="5"/>
        <v>0</v>
      </c>
      <c r="I26" s="105">
        <f t="shared" si="4"/>
        <v>0</v>
      </c>
      <c r="J26" s="105">
        <f t="shared" si="4"/>
        <v>0</v>
      </c>
      <c r="K26" s="105">
        <f t="shared" si="4"/>
        <v>0</v>
      </c>
      <c r="L26" s="105">
        <f t="shared" si="4"/>
        <v>0</v>
      </c>
      <c r="M26" s="240"/>
      <c r="N26" s="248"/>
      <c r="O26" s="248"/>
      <c r="P26" s="248"/>
      <c r="Q26" s="248"/>
      <c r="R26" s="248"/>
      <c r="S26" s="248"/>
      <c r="T26" s="248"/>
      <c r="U26" s="251"/>
    </row>
    <row r="27" spans="1:21" ht="12.75">
      <c r="A27" s="21">
        <v>2</v>
      </c>
      <c r="B27" s="215" t="s">
        <v>37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7"/>
    </row>
    <row r="28" spans="1:21" ht="12.75" customHeight="1">
      <c r="A28" s="225" t="s">
        <v>131</v>
      </c>
      <c r="B28" s="289" t="s">
        <v>162</v>
      </c>
      <c r="C28" s="231" t="s">
        <v>82</v>
      </c>
      <c r="D28" s="22" t="s">
        <v>97</v>
      </c>
      <c r="E28" s="23">
        <f>E30+E31+E32+E33</f>
        <v>34219000</v>
      </c>
      <c r="F28" s="23">
        <f aca="true" t="shared" si="6" ref="F28:L28">F30+F31+F32+F33</f>
        <v>4265000</v>
      </c>
      <c r="G28" s="23">
        <f t="shared" si="6"/>
        <v>4405000</v>
      </c>
      <c r="H28" s="23">
        <f t="shared" si="6"/>
        <v>4405000</v>
      </c>
      <c r="I28" s="23">
        <f t="shared" si="6"/>
        <v>5286000</v>
      </c>
      <c r="J28" s="23">
        <f t="shared" si="6"/>
        <v>5286000</v>
      </c>
      <c r="K28" s="23">
        <f t="shared" si="6"/>
        <v>5286000</v>
      </c>
      <c r="L28" s="23">
        <f t="shared" si="6"/>
        <v>5286000</v>
      </c>
      <c r="M28" s="260" t="s">
        <v>15</v>
      </c>
      <c r="N28" s="210">
        <v>100</v>
      </c>
      <c r="O28" s="210">
        <v>100</v>
      </c>
      <c r="P28" s="210">
        <v>100</v>
      </c>
      <c r="Q28" s="210">
        <v>100</v>
      </c>
      <c r="R28" s="210">
        <v>100</v>
      </c>
      <c r="S28" s="210">
        <v>100</v>
      </c>
      <c r="T28" s="210">
        <v>100</v>
      </c>
      <c r="U28" s="260" t="s">
        <v>81</v>
      </c>
    </row>
    <row r="29" spans="1:21" ht="12.75">
      <c r="A29" s="225"/>
      <c r="B29" s="290"/>
      <c r="C29" s="232"/>
      <c r="D29" s="218" t="s">
        <v>117</v>
      </c>
      <c r="E29" s="219"/>
      <c r="F29" s="219"/>
      <c r="G29" s="219"/>
      <c r="H29" s="219"/>
      <c r="I29" s="219"/>
      <c r="J29" s="219"/>
      <c r="K29" s="219"/>
      <c r="L29" s="220"/>
      <c r="M29" s="261"/>
      <c r="N29" s="211"/>
      <c r="O29" s="211"/>
      <c r="P29" s="211"/>
      <c r="Q29" s="211"/>
      <c r="R29" s="211"/>
      <c r="S29" s="211"/>
      <c r="T29" s="211"/>
      <c r="U29" s="261"/>
    </row>
    <row r="30" spans="1:21" ht="12.75">
      <c r="A30" s="225"/>
      <c r="B30" s="290"/>
      <c r="C30" s="232"/>
      <c r="D30" s="22" t="s">
        <v>95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1"/>
      <c r="N30" s="211"/>
      <c r="O30" s="211"/>
      <c r="P30" s="211"/>
      <c r="Q30" s="211"/>
      <c r="R30" s="211"/>
      <c r="S30" s="211"/>
      <c r="T30" s="211"/>
      <c r="U30" s="261"/>
    </row>
    <row r="31" spans="1:21" ht="12.75">
      <c r="A31" s="225"/>
      <c r="B31" s="290"/>
      <c r="C31" s="232"/>
      <c r="D31" s="22" t="s">
        <v>93</v>
      </c>
      <c r="E31" s="23">
        <f>F31+G31+H31+I31+J31+K31+L31</f>
        <v>34219000</v>
      </c>
      <c r="F31" s="23">
        <v>4265000</v>
      </c>
      <c r="G31" s="23">
        <v>4405000</v>
      </c>
      <c r="H31" s="23">
        <f>3554115.42+850884.58</f>
        <v>4405000</v>
      </c>
      <c r="I31" s="23">
        <f>2797068.04+132900+844714.55+646414+864903.41</f>
        <v>5286000</v>
      </c>
      <c r="J31" s="23">
        <f>2797068.04+132900+844714.55+646414+864903.41</f>
        <v>5286000</v>
      </c>
      <c r="K31" s="23">
        <f>2797068.04+132900+844714.55+646414+864903.41</f>
        <v>5286000</v>
      </c>
      <c r="L31" s="23">
        <v>5286000</v>
      </c>
      <c r="M31" s="261"/>
      <c r="N31" s="211"/>
      <c r="O31" s="211"/>
      <c r="P31" s="211"/>
      <c r="Q31" s="211"/>
      <c r="R31" s="211"/>
      <c r="S31" s="211"/>
      <c r="T31" s="211"/>
      <c r="U31" s="261"/>
    </row>
    <row r="32" spans="1:21" ht="12.75">
      <c r="A32" s="225"/>
      <c r="B32" s="290"/>
      <c r="C32" s="232"/>
      <c r="D32" s="22" t="s">
        <v>94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61"/>
      <c r="N32" s="211"/>
      <c r="O32" s="211"/>
      <c r="P32" s="211"/>
      <c r="Q32" s="211"/>
      <c r="R32" s="211"/>
      <c r="S32" s="211"/>
      <c r="T32" s="211"/>
      <c r="U32" s="261"/>
    </row>
    <row r="33" spans="1:21" ht="12.75">
      <c r="A33" s="225"/>
      <c r="B33" s="291"/>
      <c r="C33" s="233"/>
      <c r="D33" s="22" t="s">
        <v>96</v>
      </c>
      <c r="E33" s="23">
        <f>F33+G33+H33+I33+J33+K33+L33</f>
        <v>0</v>
      </c>
      <c r="F33" s="23"/>
      <c r="G33" s="23"/>
      <c r="H33" s="23"/>
      <c r="I33" s="23"/>
      <c r="J33" s="23"/>
      <c r="K33" s="23"/>
      <c r="L33" s="23"/>
      <c r="M33" s="262"/>
      <c r="N33" s="212"/>
      <c r="O33" s="212"/>
      <c r="P33" s="212"/>
      <c r="Q33" s="212"/>
      <c r="R33" s="212"/>
      <c r="S33" s="212"/>
      <c r="T33" s="212"/>
      <c r="U33" s="262"/>
    </row>
    <row r="34" spans="1:21" ht="12.75" customHeight="1">
      <c r="A34" s="225" t="s">
        <v>132</v>
      </c>
      <c r="B34" s="269" t="s">
        <v>163</v>
      </c>
      <c r="C34" s="231" t="s">
        <v>82</v>
      </c>
      <c r="D34" s="22" t="s">
        <v>97</v>
      </c>
      <c r="E34" s="23">
        <f>E36+E37+E38+E39</f>
        <v>867200</v>
      </c>
      <c r="F34" s="23">
        <f aca="true" t="shared" si="7" ref="F34:L34">F36+F37+F38+F39</f>
        <v>131600</v>
      </c>
      <c r="G34" s="23">
        <f t="shared" si="7"/>
        <v>0</v>
      </c>
      <c r="H34" s="23">
        <f t="shared" si="7"/>
        <v>147200</v>
      </c>
      <c r="I34" s="23">
        <f t="shared" si="7"/>
        <v>147100</v>
      </c>
      <c r="J34" s="23">
        <f t="shared" si="7"/>
        <v>147100</v>
      </c>
      <c r="K34" s="23">
        <f t="shared" si="7"/>
        <v>147100</v>
      </c>
      <c r="L34" s="23">
        <f t="shared" si="7"/>
        <v>147100</v>
      </c>
      <c r="M34" s="260" t="s">
        <v>14</v>
      </c>
      <c r="N34" s="210">
        <v>100</v>
      </c>
      <c r="O34" s="210">
        <v>100</v>
      </c>
      <c r="P34" s="210">
        <v>100</v>
      </c>
      <c r="Q34" s="210">
        <v>100</v>
      </c>
      <c r="R34" s="210">
        <v>100</v>
      </c>
      <c r="S34" s="210">
        <v>100</v>
      </c>
      <c r="T34" s="210">
        <v>100</v>
      </c>
      <c r="U34" s="260" t="s">
        <v>81</v>
      </c>
    </row>
    <row r="35" spans="1:21" ht="12.75">
      <c r="A35" s="225"/>
      <c r="B35" s="270"/>
      <c r="C35" s="232"/>
      <c r="D35" s="218" t="s">
        <v>117</v>
      </c>
      <c r="E35" s="219"/>
      <c r="F35" s="219"/>
      <c r="G35" s="219"/>
      <c r="H35" s="219"/>
      <c r="I35" s="219"/>
      <c r="J35" s="219"/>
      <c r="K35" s="219"/>
      <c r="L35" s="220"/>
      <c r="M35" s="261"/>
      <c r="N35" s="211"/>
      <c r="O35" s="211"/>
      <c r="P35" s="211"/>
      <c r="Q35" s="211"/>
      <c r="R35" s="211"/>
      <c r="S35" s="211"/>
      <c r="T35" s="211"/>
      <c r="U35" s="261"/>
    </row>
    <row r="36" spans="1:21" ht="12.75">
      <c r="A36" s="225"/>
      <c r="B36" s="270"/>
      <c r="C36" s="232"/>
      <c r="D36" s="22" t="s">
        <v>95</v>
      </c>
      <c r="E36" s="23">
        <f>F36+G36+H36+I36+J36+K36+L36</f>
        <v>0</v>
      </c>
      <c r="F36" s="24"/>
      <c r="G36" s="23"/>
      <c r="H36" s="23"/>
      <c r="I36" s="23"/>
      <c r="J36" s="23"/>
      <c r="K36" s="23"/>
      <c r="L36" s="23"/>
      <c r="M36" s="261"/>
      <c r="N36" s="211"/>
      <c r="O36" s="211"/>
      <c r="P36" s="211"/>
      <c r="Q36" s="211"/>
      <c r="R36" s="211"/>
      <c r="S36" s="211"/>
      <c r="T36" s="211"/>
      <c r="U36" s="261"/>
    </row>
    <row r="37" spans="1:21" ht="12.75">
      <c r="A37" s="225"/>
      <c r="B37" s="270"/>
      <c r="C37" s="232"/>
      <c r="D37" s="22" t="s">
        <v>93</v>
      </c>
      <c r="E37" s="23">
        <f>F37+G37+H37+I37+J37+K37+L37</f>
        <v>867200</v>
      </c>
      <c r="F37" s="23">
        <v>131600</v>
      </c>
      <c r="G37" s="23">
        <v>0</v>
      </c>
      <c r="H37" s="23">
        <f>73600+73600</f>
        <v>147200</v>
      </c>
      <c r="I37" s="23">
        <v>147100</v>
      </c>
      <c r="J37" s="23">
        <v>147100</v>
      </c>
      <c r="K37" s="23">
        <v>147100</v>
      </c>
      <c r="L37" s="23">
        <v>147100</v>
      </c>
      <c r="M37" s="261"/>
      <c r="N37" s="211"/>
      <c r="O37" s="211"/>
      <c r="P37" s="211"/>
      <c r="Q37" s="211"/>
      <c r="R37" s="211"/>
      <c r="S37" s="211"/>
      <c r="T37" s="211"/>
      <c r="U37" s="261"/>
    </row>
    <row r="38" spans="1:21" ht="12.75">
      <c r="A38" s="225"/>
      <c r="B38" s="270"/>
      <c r="C38" s="232"/>
      <c r="D38" s="22" t="s">
        <v>94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61"/>
      <c r="N38" s="211"/>
      <c r="O38" s="211"/>
      <c r="P38" s="211"/>
      <c r="Q38" s="211"/>
      <c r="R38" s="211"/>
      <c r="S38" s="211"/>
      <c r="T38" s="211"/>
      <c r="U38" s="261"/>
    </row>
    <row r="39" spans="1:21" ht="12.75">
      <c r="A39" s="225"/>
      <c r="B39" s="271"/>
      <c r="C39" s="233"/>
      <c r="D39" s="22" t="s">
        <v>96</v>
      </c>
      <c r="E39" s="23">
        <f>F39+G39+H39+I39+J39+K39+L39</f>
        <v>0</v>
      </c>
      <c r="F39" s="24"/>
      <c r="G39" s="23"/>
      <c r="H39" s="23"/>
      <c r="I39" s="23"/>
      <c r="J39" s="23"/>
      <c r="K39" s="23"/>
      <c r="L39" s="23"/>
      <c r="M39" s="262"/>
      <c r="N39" s="212"/>
      <c r="O39" s="212"/>
      <c r="P39" s="212"/>
      <c r="Q39" s="212"/>
      <c r="R39" s="212"/>
      <c r="S39" s="212"/>
      <c r="T39" s="212"/>
      <c r="U39" s="262"/>
    </row>
    <row r="40" spans="1:21" ht="12.75" customHeight="1">
      <c r="A40" s="225" t="s">
        <v>133</v>
      </c>
      <c r="B40" s="269" t="s">
        <v>164</v>
      </c>
      <c r="C40" s="231" t="s">
        <v>82</v>
      </c>
      <c r="D40" s="22" t="s">
        <v>97</v>
      </c>
      <c r="E40" s="23">
        <f>E42+E43+E44+E45</f>
        <v>12574800</v>
      </c>
      <c r="F40" s="23">
        <f aca="true" t="shared" si="8" ref="F40:L40">F42+F43+F44+F45</f>
        <v>1876300</v>
      </c>
      <c r="G40" s="23">
        <f t="shared" si="8"/>
        <v>1698600</v>
      </c>
      <c r="H40" s="23">
        <f t="shared" si="8"/>
        <v>1563700</v>
      </c>
      <c r="I40" s="23">
        <f t="shared" si="8"/>
        <v>1869400</v>
      </c>
      <c r="J40" s="23">
        <f t="shared" si="8"/>
        <v>1855600</v>
      </c>
      <c r="K40" s="23">
        <f t="shared" si="8"/>
        <v>1855600</v>
      </c>
      <c r="L40" s="23">
        <f t="shared" si="8"/>
        <v>1855600</v>
      </c>
      <c r="M40" s="260" t="s">
        <v>12</v>
      </c>
      <c r="N40" s="210">
        <v>100</v>
      </c>
      <c r="O40" s="210">
        <v>100</v>
      </c>
      <c r="P40" s="210">
        <v>100</v>
      </c>
      <c r="Q40" s="210">
        <v>100</v>
      </c>
      <c r="R40" s="210">
        <v>100</v>
      </c>
      <c r="S40" s="210">
        <v>100</v>
      </c>
      <c r="T40" s="210">
        <v>100</v>
      </c>
      <c r="U40" s="260" t="s">
        <v>81</v>
      </c>
    </row>
    <row r="41" spans="1:21" ht="12.75">
      <c r="A41" s="225"/>
      <c r="B41" s="270"/>
      <c r="C41" s="232"/>
      <c r="D41" s="218" t="s">
        <v>117</v>
      </c>
      <c r="E41" s="219"/>
      <c r="F41" s="219"/>
      <c r="G41" s="219"/>
      <c r="H41" s="219"/>
      <c r="I41" s="219"/>
      <c r="J41" s="219"/>
      <c r="K41" s="219"/>
      <c r="L41" s="220"/>
      <c r="M41" s="261"/>
      <c r="N41" s="211"/>
      <c r="O41" s="211"/>
      <c r="P41" s="211"/>
      <c r="Q41" s="211"/>
      <c r="R41" s="211"/>
      <c r="S41" s="211"/>
      <c r="T41" s="211"/>
      <c r="U41" s="261"/>
    </row>
    <row r="42" spans="1:21" ht="12.75">
      <c r="A42" s="225"/>
      <c r="B42" s="270"/>
      <c r="C42" s="232"/>
      <c r="D42" s="22" t="s">
        <v>95</v>
      </c>
      <c r="E42" s="23">
        <f>F42+G42+H42+I42+J42+K42+L42</f>
        <v>0</v>
      </c>
      <c r="F42" s="24"/>
      <c r="G42" s="24"/>
      <c r="H42" s="24"/>
      <c r="I42" s="23"/>
      <c r="J42" s="24"/>
      <c r="K42" s="24"/>
      <c r="L42" s="24"/>
      <c r="M42" s="261"/>
      <c r="N42" s="211"/>
      <c r="O42" s="211"/>
      <c r="P42" s="211"/>
      <c r="Q42" s="211"/>
      <c r="R42" s="211"/>
      <c r="S42" s="211"/>
      <c r="T42" s="211"/>
      <c r="U42" s="261"/>
    </row>
    <row r="43" spans="1:21" ht="12.75">
      <c r="A43" s="225"/>
      <c r="B43" s="270"/>
      <c r="C43" s="232"/>
      <c r="D43" s="22" t="s">
        <v>93</v>
      </c>
      <c r="E43" s="23">
        <f>F43+G43+H43+I43+J43+K43+L43</f>
        <v>12574800</v>
      </c>
      <c r="F43" s="24">
        <v>1876300</v>
      </c>
      <c r="G43" s="24">
        <f>1675100+18049.15+5450.85</f>
        <v>1698600</v>
      </c>
      <c r="H43" s="24">
        <f>1594000+22400-52000-4301.09-1298.91+4900</f>
        <v>1563700</v>
      </c>
      <c r="I43" s="23">
        <f>1847600+16743.47+5056.53</f>
        <v>1869400</v>
      </c>
      <c r="J43" s="24">
        <f>1833800+16743.47+5056.53</f>
        <v>1855600</v>
      </c>
      <c r="K43" s="24">
        <f>1833800+16743.47+5056.53</f>
        <v>1855600</v>
      </c>
      <c r="L43" s="24">
        <v>1855600</v>
      </c>
      <c r="M43" s="261"/>
      <c r="N43" s="211"/>
      <c r="O43" s="211"/>
      <c r="P43" s="211"/>
      <c r="Q43" s="211"/>
      <c r="R43" s="211"/>
      <c r="S43" s="211"/>
      <c r="T43" s="211"/>
      <c r="U43" s="261"/>
    </row>
    <row r="44" spans="1:21" ht="12.75">
      <c r="A44" s="225"/>
      <c r="B44" s="270"/>
      <c r="C44" s="232"/>
      <c r="D44" s="22" t="s">
        <v>94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61"/>
      <c r="N44" s="211"/>
      <c r="O44" s="211"/>
      <c r="P44" s="211"/>
      <c r="Q44" s="211"/>
      <c r="R44" s="211"/>
      <c r="S44" s="211"/>
      <c r="T44" s="211"/>
      <c r="U44" s="261"/>
    </row>
    <row r="45" spans="1:21" ht="12.75">
      <c r="A45" s="225"/>
      <c r="B45" s="271"/>
      <c r="C45" s="233"/>
      <c r="D45" s="22" t="s">
        <v>96</v>
      </c>
      <c r="E45" s="23">
        <f>F45+G45+H45+I45+J45+K45+L45</f>
        <v>0</v>
      </c>
      <c r="F45" s="24">
        <v>0</v>
      </c>
      <c r="G45" s="24">
        <v>0</v>
      </c>
      <c r="H45" s="24">
        <v>0</v>
      </c>
      <c r="I45" s="23">
        <v>0</v>
      </c>
      <c r="J45" s="24">
        <v>0</v>
      </c>
      <c r="K45" s="24">
        <v>0</v>
      </c>
      <c r="L45" s="24">
        <v>0</v>
      </c>
      <c r="M45" s="262"/>
      <c r="N45" s="212"/>
      <c r="O45" s="212"/>
      <c r="P45" s="212"/>
      <c r="Q45" s="212"/>
      <c r="R45" s="212"/>
      <c r="S45" s="212"/>
      <c r="T45" s="212"/>
      <c r="U45" s="262"/>
    </row>
    <row r="46" spans="1:21" ht="12.75" customHeight="1">
      <c r="A46" s="225" t="s">
        <v>153</v>
      </c>
      <c r="B46" s="269" t="s">
        <v>165</v>
      </c>
      <c r="C46" s="231" t="s">
        <v>82</v>
      </c>
      <c r="D46" s="22" t="s">
        <v>97</v>
      </c>
      <c r="E46" s="23">
        <f>E48+E49+E50+E51</f>
        <v>2398200</v>
      </c>
      <c r="F46" s="23">
        <f aca="true" t="shared" si="9" ref="F46:L46">F48+F49+F50+F51</f>
        <v>418700</v>
      </c>
      <c r="G46" s="23">
        <f t="shared" si="9"/>
        <v>209400</v>
      </c>
      <c r="H46" s="23">
        <f t="shared" si="9"/>
        <v>200000</v>
      </c>
      <c r="I46" s="23">
        <f t="shared" si="9"/>
        <v>314000</v>
      </c>
      <c r="J46" s="23">
        <f t="shared" si="9"/>
        <v>628100</v>
      </c>
      <c r="K46" s="23">
        <f t="shared" si="9"/>
        <v>314000</v>
      </c>
      <c r="L46" s="23">
        <f t="shared" si="9"/>
        <v>314000</v>
      </c>
      <c r="M46" s="260" t="s">
        <v>40</v>
      </c>
      <c r="N46" s="210">
        <v>100</v>
      </c>
      <c r="O46" s="210">
        <v>100</v>
      </c>
      <c r="P46" s="210">
        <v>100</v>
      </c>
      <c r="Q46" s="210">
        <v>100</v>
      </c>
      <c r="R46" s="210">
        <v>100</v>
      </c>
      <c r="S46" s="210">
        <v>100</v>
      </c>
      <c r="T46" s="210">
        <v>100</v>
      </c>
      <c r="U46" s="260" t="s">
        <v>81</v>
      </c>
    </row>
    <row r="47" spans="1:21" ht="12.75">
      <c r="A47" s="225"/>
      <c r="B47" s="270"/>
      <c r="C47" s="232"/>
      <c r="D47" s="218" t="s">
        <v>117</v>
      </c>
      <c r="E47" s="219"/>
      <c r="F47" s="219"/>
      <c r="G47" s="219"/>
      <c r="H47" s="219"/>
      <c r="I47" s="219"/>
      <c r="J47" s="219"/>
      <c r="K47" s="219"/>
      <c r="L47" s="220"/>
      <c r="M47" s="261"/>
      <c r="N47" s="211"/>
      <c r="O47" s="211"/>
      <c r="P47" s="211"/>
      <c r="Q47" s="211"/>
      <c r="R47" s="211"/>
      <c r="S47" s="211"/>
      <c r="T47" s="211"/>
      <c r="U47" s="261"/>
    </row>
    <row r="48" spans="1:21" ht="12.75">
      <c r="A48" s="225"/>
      <c r="B48" s="270"/>
      <c r="C48" s="232"/>
      <c r="D48" s="22" t="s">
        <v>95</v>
      </c>
      <c r="E48" s="23">
        <f>F48+G48+H48+I48+J48+K48+L48</f>
        <v>0</v>
      </c>
      <c r="F48" s="24"/>
      <c r="G48" s="24"/>
      <c r="H48" s="24"/>
      <c r="I48" s="23"/>
      <c r="J48" s="24"/>
      <c r="K48" s="24"/>
      <c r="L48" s="24"/>
      <c r="M48" s="261"/>
      <c r="N48" s="211"/>
      <c r="O48" s="211"/>
      <c r="P48" s="211"/>
      <c r="Q48" s="211"/>
      <c r="R48" s="211"/>
      <c r="S48" s="211"/>
      <c r="T48" s="211"/>
      <c r="U48" s="261"/>
    </row>
    <row r="49" spans="1:21" ht="12.75">
      <c r="A49" s="225"/>
      <c r="B49" s="270"/>
      <c r="C49" s="232"/>
      <c r="D49" s="22" t="s">
        <v>93</v>
      </c>
      <c r="E49" s="23">
        <f>F49+G49+H49+I49+J49+K49+L49</f>
        <v>2398200</v>
      </c>
      <c r="F49" s="24">
        <v>418700</v>
      </c>
      <c r="G49" s="24">
        <v>209400</v>
      </c>
      <c r="H49" s="24">
        <f>209400-9400</f>
        <v>200000</v>
      </c>
      <c r="I49" s="23">
        <v>314000</v>
      </c>
      <c r="J49" s="24">
        <v>628100</v>
      </c>
      <c r="K49" s="24">
        <v>314000</v>
      </c>
      <c r="L49" s="24">
        <v>314000</v>
      </c>
      <c r="M49" s="261"/>
      <c r="N49" s="211"/>
      <c r="O49" s="211"/>
      <c r="P49" s="211"/>
      <c r="Q49" s="211"/>
      <c r="R49" s="211"/>
      <c r="S49" s="211"/>
      <c r="T49" s="211"/>
      <c r="U49" s="261"/>
    </row>
    <row r="50" spans="1:21" ht="12.75">
      <c r="A50" s="225"/>
      <c r="B50" s="270"/>
      <c r="C50" s="232"/>
      <c r="D50" s="22" t="s">
        <v>94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61"/>
      <c r="N50" s="211"/>
      <c r="O50" s="211"/>
      <c r="P50" s="211"/>
      <c r="Q50" s="211"/>
      <c r="R50" s="211"/>
      <c r="S50" s="211"/>
      <c r="T50" s="211"/>
      <c r="U50" s="261"/>
    </row>
    <row r="51" spans="1:21" ht="12.75">
      <c r="A51" s="225"/>
      <c r="B51" s="271"/>
      <c r="C51" s="233"/>
      <c r="D51" s="22" t="s">
        <v>96</v>
      </c>
      <c r="E51" s="23">
        <f>F51+G51+H51+I51+J51+K51+L51</f>
        <v>0</v>
      </c>
      <c r="F51" s="24"/>
      <c r="G51" s="24"/>
      <c r="H51" s="24"/>
      <c r="I51" s="23"/>
      <c r="J51" s="24"/>
      <c r="K51" s="24"/>
      <c r="L51" s="24"/>
      <c r="M51" s="262"/>
      <c r="N51" s="212"/>
      <c r="O51" s="212"/>
      <c r="P51" s="212"/>
      <c r="Q51" s="212"/>
      <c r="R51" s="212"/>
      <c r="S51" s="212"/>
      <c r="T51" s="212"/>
      <c r="U51" s="262"/>
    </row>
    <row r="52" spans="1:21" ht="12.75" customHeight="1">
      <c r="A52" s="225" t="s">
        <v>154</v>
      </c>
      <c r="B52" s="269" t="s">
        <v>166</v>
      </c>
      <c r="C52" s="231" t="s">
        <v>82</v>
      </c>
      <c r="D52" s="22" t="s">
        <v>97</v>
      </c>
      <c r="E52" s="23">
        <f>E54+E55+E56+E57</f>
        <v>4390700</v>
      </c>
      <c r="F52" s="23">
        <f aca="true" t="shared" si="10" ref="F52:L52">F54+F55+F56+F57</f>
        <v>409000</v>
      </c>
      <c r="G52" s="23">
        <f>G54+G55+G56+G57</f>
        <v>338000</v>
      </c>
      <c r="H52" s="23">
        <f t="shared" si="10"/>
        <v>619300</v>
      </c>
      <c r="I52" s="23">
        <f t="shared" si="10"/>
        <v>756100</v>
      </c>
      <c r="J52" s="23">
        <f t="shared" si="10"/>
        <v>756100</v>
      </c>
      <c r="K52" s="23">
        <f t="shared" si="10"/>
        <v>756100</v>
      </c>
      <c r="L52" s="23">
        <f t="shared" si="10"/>
        <v>756100</v>
      </c>
      <c r="M52" s="260" t="s">
        <v>13</v>
      </c>
      <c r="N52" s="210">
        <v>100</v>
      </c>
      <c r="O52" s="210">
        <v>100</v>
      </c>
      <c r="P52" s="210">
        <v>100</v>
      </c>
      <c r="Q52" s="210">
        <v>100</v>
      </c>
      <c r="R52" s="210">
        <v>100</v>
      </c>
      <c r="S52" s="210">
        <v>100</v>
      </c>
      <c r="T52" s="210">
        <v>100</v>
      </c>
      <c r="U52" s="260" t="s">
        <v>81</v>
      </c>
    </row>
    <row r="53" spans="1:21" ht="12.75">
      <c r="A53" s="225"/>
      <c r="B53" s="270"/>
      <c r="C53" s="232"/>
      <c r="D53" s="218" t="s">
        <v>117</v>
      </c>
      <c r="E53" s="219"/>
      <c r="F53" s="219"/>
      <c r="G53" s="219"/>
      <c r="H53" s="219"/>
      <c r="I53" s="219"/>
      <c r="J53" s="219"/>
      <c r="K53" s="219"/>
      <c r="L53" s="220"/>
      <c r="M53" s="261"/>
      <c r="N53" s="211"/>
      <c r="O53" s="211"/>
      <c r="P53" s="211"/>
      <c r="Q53" s="211"/>
      <c r="R53" s="211"/>
      <c r="S53" s="211"/>
      <c r="T53" s="211"/>
      <c r="U53" s="261"/>
    </row>
    <row r="54" spans="1:21" ht="12.75">
      <c r="A54" s="225"/>
      <c r="B54" s="270"/>
      <c r="C54" s="232"/>
      <c r="D54" s="22" t="s">
        <v>95</v>
      </c>
      <c r="E54" s="23">
        <f>F54+G54+H54+I54+J54+K54+L54</f>
        <v>0</v>
      </c>
      <c r="F54" s="24"/>
      <c r="G54" s="24"/>
      <c r="H54" s="24"/>
      <c r="I54" s="23"/>
      <c r="J54" s="24"/>
      <c r="K54" s="24"/>
      <c r="L54" s="24"/>
      <c r="M54" s="261"/>
      <c r="N54" s="211"/>
      <c r="O54" s="211"/>
      <c r="P54" s="211"/>
      <c r="Q54" s="211"/>
      <c r="R54" s="211"/>
      <c r="S54" s="211"/>
      <c r="T54" s="211"/>
      <c r="U54" s="261"/>
    </row>
    <row r="55" spans="1:21" ht="12.75">
      <c r="A55" s="225"/>
      <c r="B55" s="270"/>
      <c r="C55" s="232"/>
      <c r="D55" s="22" t="s">
        <v>93</v>
      </c>
      <c r="E55" s="23">
        <f>F55+G55+H55+I55+J55+K55+L55</f>
        <v>4390700</v>
      </c>
      <c r="F55" s="24">
        <v>409000</v>
      </c>
      <c r="G55" s="24">
        <v>338000</v>
      </c>
      <c r="H55" s="24">
        <f>491500+127800</f>
        <v>619300</v>
      </c>
      <c r="I55" s="23">
        <v>756100</v>
      </c>
      <c r="J55" s="24">
        <v>756100</v>
      </c>
      <c r="K55" s="24">
        <v>756100</v>
      </c>
      <c r="L55" s="24">
        <v>756100</v>
      </c>
      <c r="M55" s="261"/>
      <c r="N55" s="211"/>
      <c r="O55" s="211"/>
      <c r="P55" s="211"/>
      <c r="Q55" s="211"/>
      <c r="R55" s="211"/>
      <c r="S55" s="211"/>
      <c r="T55" s="211"/>
      <c r="U55" s="261"/>
    </row>
    <row r="56" spans="1:21" ht="12.75">
      <c r="A56" s="225"/>
      <c r="B56" s="270"/>
      <c r="C56" s="232"/>
      <c r="D56" s="22" t="s">
        <v>94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61"/>
      <c r="N56" s="211"/>
      <c r="O56" s="211"/>
      <c r="P56" s="211"/>
      <c r="Q56" s="211"/>
      <c r="R56" s="211"/>
      <c r="S56" s="211"/>
      <c r="T56" s="211"/>
      <c r="U56" s="261"/>
    </row>
    <row r="57" spans="1:21" ht="12.75">
      <c r="A57" s="225"/>
      <c r="B57" s="271"/>
      <c r="C57" s="233"/>
      <c r="D57" s="22" t="s">
        <v>96</v>
      </c>
      <c r="E57" s="23">
        <f>F57+G57+H57+I57+J57+K57+L57</f>
        <v>0</v>
      </c>
      <c r="F57" s="24"/>
      <c r="G57" s="24"/>
      <c r="H57" s="24"/>
      <c r="I57" s="23"/>
      <c r="J57" s="24"/>
      <c r="K57" s="24"/>
      <c r="L57" s="24"/>
      <c r="M57" s="262"/>
      <c r="N57" s="212"/>
      <c r="O57" s="212"/>
      <c r="P57" s="212"/>
      <c r="Q57" s="212"/>
      <c r="R57" s="212"/>
      <c r="S57" s="212"/>
      <c r="T57" s="212"/>
      <c r="U57" s="262"/>
    </row>
    <row r="58" spans="1:21" ht="12.75" customHeight="1">
      <c r="A58" s="225" t="s">
        <v>155</v>
      </c>
      <c r="B58" s="269" t="s">
        <v>167</v>
      </c>
      <c r="C58" s="231" t="s">
        <v>82</v>
      </c>
      <c r="D58" s="22" t="s">
        <v>97</v>
      </c>
      <c r="E58" s="23">
        <f>E60+E61+E62+E63</f>
        <v>215169200</v>
      </c>
      <c r="F58" s="23">
        <f aca="true" t="shared" si="11" ref="F58:L58">F60+F61+F62+F63</f>
        <v>23667600</v>
      </c>
      <c r="G58" s="23">
        <f t="shared" si="11"/>
        <v>28243200</v>
      </c>
      <c r="H58" s="23">
        <f t="shared" si="11"/>
        <v>29669600</v>
      </c>
      <c r="I58" s="23">
        <f t="shared" si="11"/>
        <v>33397200</v>
      </c>
      <c r="J58" s="23">
        <f t="shared" si="11"/>
        <v>33397200</v>
      </c>
      <c r="K58" s="23">
        <f t="shared" si="11"/>
        <v>33397200</v>
      </c>
      <c r="L58" s="23">
        <f t="shared" si="11"/>
        <v>33397200</v>
      </c>
      <c r="M58" s="260" t="s">
        <v>11</v>
      </c>
      <c r="N58" s="210">
        <v>100</v>
      </c>
      <c r="O58" s="210">
        <v>100</v>
      </c>
      <c r="P58" s="210">
        <v>100</v>
      </c>
      <c r="Q58" s="210">
        <v>100</v>
      </c>
      <c r="R58" s="210">
        <v>100</v>
      </c>
      <c r="S58" s="210">
        <v>100</v>
      </c>
      <c r="T58" s="210">
        <v>100</v>
      </c>
      <c r="U58" s="260" t="s">
        <v>81</v>
      </c>
    </row>
    <row r="59" spans="1:21" ht="12.75">
      <c r="A59" s="225"/>
      <c r="B59" s="270"/>
      <c r="C59" s="232"/>
      <c r="D59" s="218" t="s">
        <v>117</v>
      </c>
      <c r="E59" s="219"/>
      <c r="F59" s="219"/>
      <c r="G59" s="219"/>
      <c r="H59" s="219"/>
      <c r="I59" s="219"/>
      <c r="J59" s="219"/>
      <c r="K59" s="219"/>
      <c r="L59" s="220"/>
      <c r="M59" s="261"/>
      <c r="N59" s="211"/>
      <c r="O59" s="211"/>
      <c r="P59" s="211"/>
      <c r="Q59" s="211"/>
      <c r="R59" s="211"/>
      <c r="S59" s="211"/>
      <c r="T59" s="211"/>
      <c r="U59" s="261"/>
    </row>
    <row r="60" spans="1:21" ht="12.75">
      <c r="A60" s="225"/>
      <c r="B60" s="270"/>
      <c r="C60" s="232"/>
      <c r="D60" s="22" t="s">
        <v>95</v>
      </c>
      <c r="E60" s="23">
        <f>F60+G60+H60+I60+J60+K60+L60</f>
        <v>0</v>
      </c>
      <c r="F60" s="24"/>
      <c r="G60" s="24"/>
      <c r="H60" s="24"/>
      <c r="I60" s="23"/>
      <c r="J60" s="24"/>
      <c r="K60" s="24"/>
      <c r="L60" s="24"/>
      <c r="M60" s="261"/>
      <c r="N60" s="211"/>
      <c r="O60" s="211"/>
      <c r="P60" s="211"/>
      <c r="Q60" s="211"/>
      <c r="R60" s="211"/>
      <c r="S60" s="211"/>
      <c r="T60" s="211"/>
      <c r="U60" s="261"/>
    </row>
    <row r="61" spans="1:21" ht="12.75">
      <c r="A61" s="225"/>
      <c r="B61" s="270"/>
      <c r="C61" s="232"/>
      <c r="D61" s="22" t="s">
        <v>93</v>
      </c>
      <c r="E61" s="23">
        <f>F61+G61+H61+I61+J61+K61+L61</f>
        <v>215169200</v>
      </c>
      <c r="F61" s="24">
        <v>23667600</v>
      </c>
      <c r="G61" s="24">
        <f>13070900+15172300</f>
        <v>28243200</v>
      </c>
      <c r="H61" s="24">
        <f>12275000+21905300-5160700+650000</f>
        <v>29669600</v>
      </c>
      <c r="I61" s="23">
        <f>17297200+500000+15600000</f>
        <v>33397200</v>
      </c>
      <c r="J61" s="24">
        <f>17297200+500000+15600000</f>
        <v>33397200</v>
      </c>
      <c r="K61" s="24">
        <f>17297200+500000+15600000</f>
        <v>33397200</v>
      </c>
      <c r="L61" s="24">
        <v>33397200</v>
      </c>
      <c r="M61" s="261"/>
      <c r="N61" s="211"/>
      <c r="O61" s="211"/>
      <c r="P61" s="211"/>
      <c r="Q61" s="211"/>
      <c r="R61" s="211"/>
      <c r="S61" s="211"/>
      <c r="T61" s="211"/>
      <c r="U61" s="261"/>
    </row>
    <row r="62" spans="1:21" ht="12.75">
      <c r="A62" s="225"/>
      <c r="B62" s="270"/>
      <c r="C62" s="232"/>
      <c r="D62" s="22" t="s">
        <v>94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61"/>
      <c r="N62" s="211"/>
      <c r="O62" s="211"/>
      <c r="P62" s="211"/>
      <c r="Q62" s="211"/>
      <c r="R62" s="211"/>
      <c r="S62" s="211"/>
      <c r="T62" s="211"/>
      <c r="U62" s="261"/>
    </row>
    <row r="63" spans="1:21" ht="12.75">
      <c r="A63" s="225"/>
      <c r="B63" s="271"/>
      <c r="C63" s="233"/>
      <c r="D63" s="22" t="s">
        <v>96</v>
      </c>
      <c r="E63" s="23">
        <f>F63+G63+H63+I63+J63+K63+L63</f>
        <v>0</v>
      </c>
      <c r="F63" s="24"/>
      <c r="G63" s="24"/>
      <c r="H63" s="24"/>
      <c r="I63" s="23"/>
      <c r="J63" s="24"/>
      <c r="K63" s="24"/>
      <c r="L63" s="24"/>
      <c r="M63" s="262"/>
      <c r="N63" s="212"/>
      <c r="O63" s="212"/>
      <c r="P63" s="212"/>
      <c r="Q63" s="212"/>
      <c r="R63" s="212"/>
      <c r="S63" s="212"/>
      <c r="T63" s="212"/>
      <c r="U63" s="262"/>
    </row>
    <row r="64" spans="1:21" ht="13.5">
      <c r="A64" s="236"/>
      <c r="B64" s="266" t="s">
        <v>156</v>
      </c>
      <c r="C64" s="236"/>
      <c r="D64" s="102" t="s">
        <v>97</v>
      </c>
      <c r="E64" s="103">
        <f aca="true" t="shared" si="12" ref="E64:L64">E66+E67+E68+E69</f>
        <v>269619100</v>
      </c>
      <c r="F64" s="103">
        <f t="shared" si="12"/>
        <v>30768200</v>
      </c>
      <c r="G64" s="103">
        <f t="shared" si="12"/>
        <v>34894200</v>
      </c>
      <c r="H64" s="103">
        <f t="shared" si="12"/>
        <v>36604800</v>
      </c>
      <c r="I64" s="103">
        <f t="shared" si="12"/>
        <v>41769800</v>
      </c>
      <c r="J64" s="103">
        <f t="shared" si="12"/>
        <v>42070100</v>
      </c>
      <c r="K64" s="103">
        <f t="shared" si="12"/>
        <v>41756000</v>
      </c>
      <c r="L64" s="103">
        <f t="shared" si="12"/>
        <v>41756000</v>
      </c>
      <c r="M64" s="238"/>
      <c r="N64" s="246"/>
      <c r="O64" s="246"/>
      <c r="P64" s="246"/>
      <c r="Q64" s="246"/>
      <c r="R64" s="246"/>
      <c r="S64" s="246"/>
      <c r="T64" s="246"/>
      <c r="U64" s="249"/>
    </row>
    <row r="65" spans="1:21" ht="12.75">
      <c r="A65" s="236"/>
      <c r="B65" s="267"/>
      <c r="C65" s="236"/>
      <c r="D65" s="241" t="s">
        <v>117</v>
      </c>
      <c r="E65" s="242"/>
      <c r="F65" s="242"/>
      <c r="G65" s="242"/>
      <c r="H65" s="242"/>
      <c r="I65" s="242"/>
      <c r="J65" s="242"/>
      <c r="K65" s="242"/>
      <c r="L65" s="243"/>
      <c r="M65" s="239"/>
      <c r="N65" s="247"/>
      <c r="O65" s="247"/>
      <c r="P65" s="247"/>
      <c r="Q65" s="247"/>
      <c r="R65" s="247"/>
      <c r="S65" s="247"/>
      <c r="T65" s="247"/>
      <c r="U65" s="250"/>
    </row>
    <row r="66" spans="1:21" ht="13.5">
      <c r="A66" s="236"/>
      <c r="B66" s="267"/>
      <c r="C66" s="236"/>
      <c r="D66" s="104" t="s">
        <v>95</v>
      </c>
      <c r="E66" s="103">
        <f>F66+G66+H66+I66+J66+K66+L66</f>
        <v>0</v>
      </c>
      <c r="F66" s="105">
        <f>F30+F36+F42+F48+F54+F60</f>
        <v>0</v>
      </c>
      <c r="G66" s="105">
        <f aca="true" t="shared" si="13" ref="G66:L69">G30+G36+G42+G48+G54+G60</f>
        <v>0</v>
      </c>
      <c r="H66" s="105">
        <f t="shared" si="13"/>
        <v>0</v>
      </c>
      <c r="I66" s="105">
        <f t="shared" si="13"/>
        <v>0</v>
      </c>
      <c r="J66" s="105">
        <f t="shared" si="13"/>
        <v>0</v>
      </c>
      <c r="K66" s="105">
        <f t="shared" si="13"/>
        <v>0</v>
      </c>
      <c r="L66" s="105">
        <f t="shared" si="13"/>
        <v>0</v>
      </c>
      <c r="M66" s="239"/>
      <c r="N66" s="247"/>
      <c r="O66" s="247"/>
      <c r="P66" s="247"/>
      <c r="Q66" s="247"/>
      <c r="R66" s="247"/>
      <c r="S66" s="247"/>
      <c r="T66" s="247"/>
      <c r="U66" s="250"/>
    </row>
    <row r="67" spans="1:21" ht="13.5">
      <c r="A67" s="236"/>
      <c r="B67" s="267"/>
      <c r="C67" s="236"/>
      <c r="D67" s="104" t="s">
        <v>93</v>
      </c>
      <c r="E67" s="103">
        <f>F67+G67+H67+I67+J67+K67+L67</f>
        <v>269619100</v>
      </c>
      <c r="F67" s="105">
        <f>F31+F37+F43+F49+F55+F61</f>
        <v>30768200</v>
      </c>
      <c r="G67" s="105">
        <f aca="true" t="shared" si="14" ref="G67:H69">G31+G37+G43+G49+G55+G61</f>
        <v>34894200</v>
      </c>
      <c r="H67" s="105">
        <f t="shared" si="14"/>
        <v>36604800</v>
      </c>
      <c r="I67" s="105">
        <f t="shared" si="13"/>
        <v>41769800</v>
      </c>
      <c r="J67" s="105">
        <f t="shared" si="13"/>
        <v>42070100</v>
      </c>
      <c r="K67" s="105">
        <f t="shared" si="13"/>
        <v>41756000</v>
      </c>
      <c r="L67" s="105">
        <f t="shared" si="13"/>
        <v>41756000</v>
      </c>
      <c r="M67" s="239"/>
      <c r="N67" s="247"/>
      <c r="O67" s="247"/>
      <c r="P67" s="247"/>
      <c r="Q67" s="247"/>
      <c r="R67" s="247"/>
      <c r="S67" s="247"/>
      <c r="T67" s="247"/>
      <c r="U67" s="250"/>
    </row>
    <row r="68" spans="1:21" ht="13.5">
      <c r="A68" s="236"/>
      <c r="B68" s="267"/>
      <c r="C68" s="236"/>
      <c r="D68" s="104" t="s">
        <v>94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39"/>
      <c r="N68" s="247"/>
      <c r="O68" s="247"/>
      <c r="P68" s="247"/>
      <c r="Q68" s="247"/>
      <c r="R68" s="247"/>
      <c r="S68" s="247"/>
      <c r="T68" s="247"/>
      <c r="U68" s="250"/>
    </row>
    <row r="69" spans="1:21" ht="13.5">
      <c r="A69" s="236"/>
      <c r="B69" s="268"/>
      <c r="C69" s="236"/>
      <c r="D69" s="104" t="s">
        <v>96</v>
      </c>
      <c r="E69" s="103">
        <f>F69+G69+H69+I69+J69+K69+L69</f>
        <v>0</v>
      </c>
      <c r="F69" s="105">
        <f>F33+F39+F45+F51+F57+F63</f>
        <v>0</v>
      </c>
      <c r="G69" s="105">
        <f t="shared" si="14"/>
        <v>0</v>
      </c>
      <c r="H69" s="105">
        <f t="shared" si="14"/>
        <v>0</v>
      </c>
      <c r="I69" s="105">
        <f t="shared" si="13"/>
        <v>0</v>
      </c>
      <c r="J69" s="105">
        <f t="shared" si="13"/>
        <v>0</v>
      </c>
      <c r="K69" s="105">
        <f t="shared" si="13"/>
        <v>0</v>
      </c>
      <c r="L69" s="105">
        <f t="shared" si="13"/>
        <v>0</v>
      </c>
      <c r="M69" s="240"/>
      <c r="N69" s="248"/>
      <c r="O69" s="248"/>
      <c r="P69" s="248"/>
      <c r="Q69" s="248"/>
      <c r="R69" s="248"/>
      <c r="S69" s="248"/>
      <c r="T69" s="248"/>
      <c r="U69" s="251"/>
    </row>
    <row r="70" spans="1:21" ht="12.75">
      <c r="A70" s="21">
        <v>3</v>
      </c>
      <c r="B70" s="215" t="s">
        <v>38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7"/>
    </row>
    <row r="71" spans="1:21" ht="12.75" customHeight="1">
      <c r="A71" s="292" t="s">
        <v>187</v>
      </c>
      <c r="B71" s="269" t="s">
        <v>168</v>
      </c>
      <c r="C71" s="231" t="s">
        <v>82</v>
      </c>
      <c r="D71" s="22" t="s">
        <v>97</v>
      </c>
      <c r="E71" s="23">
        <f>E73+E74+E75+E76</f>
        <v>1954132.8399999999</v>
      </c>
      <c r="F71" s="23">
        <f aca="true" t="shared" si="15" ref="F71:L71">F73+F74+F75+F76</f>
        <v>952526</v>
      </c>
      <c r="G71" s="23">
        <f t="shared" si="15"/>
        <v>1001606.84</v>
      </c>
      <c r="H71" s="23">
        <f t="shared" si="15"/>
        <v>0</v>
      </c>
      <c r="I71" s="23">
        <f t="shared" si="15"/>
        <v>0</v>
      </c>
      <c r="J71" s="23">
        <f t="shared" si="15"/>
        <v>0</v>
      </c>
      <c r="K71" s="23">
        <f t="shared" si="15"/>
        <v>0</v>
      </c>
      <c r="L71" s="23">
        <f t="shared" si="15"/>
        <v>0</v>
      </c>
      <c r="M71" s="260" t="s">
        <v>16</v>
      </c>
      <c r="N71" s="204">
        <v>1</v>
      </c>
      <c r="O71" s="204">
        <v>1</v>
      </c>
      <c r="P71" s="204">
        <v>1</v>
      </c>
      <c r="Q71" s="204">
        <v>1</v>
      </c>
      <c r="R71" s="204">
        <v>1</v>
      </c>
      <c r="S71" s="204">
        <v>1</v>
      </c>
      <c r="T71" s="204">
        <v>1</v>
      </c>
      <c r="U71" s="207" t="s">
        <v>59</v>
      </c>
    </row>
    <row r="72" spans="1:21" ht="12.75">
      <c r="A72" s="292"/>
      <c r="B72" s="270"/>
      <c r="C72" s="232"/>
      <c r="D72" s="218" t="s">
        <v>117</v>
      </c>
      <c r="E72" s="219"/>
      <c r="F72" s="219"/>
      <c r="G72" s="219"/>
      <c r="H72" s="219"/>
      <c r="I72" s="219"/>
      <c r="J72" s="219"/>
      <c r="K72" s="219"/>
      <c r="L72" s="220"/>
      <c r="M72" s="261"/>
      <c r="N72" s="205"/>
      <c r="O72" s="205"/>
      <c r="P72" s="205"/>
      <c r="Q72" s="205"/>
      <c r="R72" s="205"/>
      <c r="S72" s="205"/>
      <c r="T72" s="205"/>
      <c r="U72" s="208"/>
    </row>
    <row r="73" spans="1:21" ht="12.75">
      <c r="A73" s="292"/>
      <c r="B73" s="270"/>
      <c r="C73" s="232"/>
      <c r="D73" s="22" t="s">
        <v>95</v>
      </c>
      <c r="E73" s="23">
        <f>F73+G73+H73+I73+J73+K73+L73</f>
        <v>1954132.8399999999</v>
      </c>
      <c r="F73" s="24">
        <v>952526</v>
      </c>
      <c r="G73" s="24">
        <f>1054322.98-52716.14</f>
        <v>1001606.84</v>
      </c>
      <c r="H73" s="24">
        <v>0</v>
      </c>
      <c r="I73" s="23">
        <v>0</v>
      </c>
      <c r="J73" s="24"/>
      <c r="K73" s="24"/>
      <c r="L73" s="24"/>
      <c r="M73" s="261"/>
      <c r="N73" s="205"/>
      <c r="O73" s="205"/>
      <c r="P73" s="205"/>
      <c r="Q73" s="205"/>
      <c r="R73" s="205"/>
      <c r="S73" s="205"/>
      <c r="T73" s="205"/>
      <c r="U73" s="208"/>
    </row>
    <row r="74" spans="1:21" ht="12.75">
      <c r="A74" s="292"/>
      <c r="B74" s="270"/>
      <c r="C74" s="232"/>
      <c r="D74" s="22" t="s">
        <v>93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61"/>
      <c r="N74" s="205"/>
      <c r="O74" s="205"/>
      <c r="P74" s="205"/>
      <c r="Q74" s="205"/>
      <c r="R74" s="205"/>
      <c r="S74" s="205"/>
      <c r="T74" s="205"/>
      <c r="U74" s="208"/>
    </row>
    <row r="75" spans="1:21" ht="12.75">
      <c r="A75" s="292"/>
      <c r="B75" s="270"/>
      <c r="C75" s="232"/>
      <c r="D75" s="22" t="s">
        <v>94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61"/>
      <c r="N75" s="205"/>
      <c r="O75" s="205"/>
      <c r="P75" s="205"/>
      <c r="Q75" s="205"/>
      <c r="R75" s="205"/>
      <c r="S75" s="205"/>
      <c r="T75" s="205"/>
      <c r="U75" s="208"/>
    </row>
    <row r="76" spans="1:21" ht="12.75">
      <c r="A76" s="292"/>
      <c r="B76" s="271"/>
      <c r="C76" s="233"/>
      <c r="D76" s="22" t="s">
        <v>96</v>
      </c>
      <c r="E76" s="23">
        <f>F76+G76+H76+I76+J76+K76+L76</f>
        <v>0</v>
      </c>
      <c r="F76" s="24"/>
      <c r="G76" s="24"/>
      <c r="H76" s="24"/>
      <c r="I76" s="23"/>
      <c r="J76" s="24"/>
      <c r="K76" s="24"/>
      <c r="L76" s="24"/>
      <c r="M76" s="262"/>
      <c r="N76" s="206"/>
      <c r="O76" s="206"/>
      <c r="P76" s="206"/>
      <c r="Q76" s="206"/>
      <c r="R76" s="206"/>
      <c r="S76" s="206"/>
      <c r="T76" s="206"/>
      <c r="U76" s="209"/>
    </row>
    <row r="77" spans="1:21" ht="13.5">
      <c r="A77" s="236"/>
      <c r="B77" s="266" t="s">
        <v>171</v>
      </c>
      <c r="C77" s="236"/>
      <c r="D77" s="102" t="s">
        <v>97</v>
      </c>
      <c r="E77" s="103">
        <f aca="true" t="shared" si="16" ref="E77:L77">E79+E80+E81+E82</f>
        <v>1954132.8399999999</v>
      </c>
      <c r="F77" s="103">
        <f t="shared" si="16"/>
        <v>952526</v>
      </c>
      <c r="G77" s="103">
        <f t="shared" si="16"/>
        <v>1001606.84</v>
      </c>
      <c r="H77" s="103">
        <f t="shared" si="16"/>
        <v>0</v>
      </c>
      <c r="I77" s="103">
        <f t="shared" si="16"/>
        <v>0</v>
      </c>
      <c r="J77" s="103">
        <f t="shared" si="16"/>
        <v>0</v>
      </c>
      <c r="K77" s="103">
        <f t="shared" si="16"/>
        <v>0</v>
      </c>
      <c r="L77" s="103">
        <f t="shared" si="16"/>
        <v>0</v>
      </c>
      <c r="M77" s="238"/>
      <c r="N77" s="246"/>
      <c r="O77" s="246"/>
      <c r="P77" s="246"/>
      <c r="Q77" s="246"/>
      <c r="R77" s="246"/>
      <c r="S77" s="246"/>
      <c r="T77" s="246"/>
      <c r="U77" s="249"/>
    </row>
    <row r="78" spans="1:21" ht="12.75">
      <c r="A78" s="236"/>
      <c r="B78" s="267"/>
      <c r="C78" s="236"/>
      <c r="D78" s="241" t="s">
        <v>117</v>
      </c>
      <c r="E78" s="242"/>
      <c r="F78" s="242"/>
      <c r="G78" s="242"/>
      <c r="H78" s="242"/>
      <c r="I78" s="242"/>
      <c r="J78" s="242"/>
      <c r="K78" s="242"/>
      <c r="L78" s="243"/>
      <c r="M78" s="239"/>
      <c r="N78" s="247"/>
      <c r="O78" s="247"/>
      <c r="P78" s="247"/>
      <c r="Q78" s="247"/>
      <c r="R78" s="247"/>
      <c r="S78" s="247"/>
      <c r="T78" s="247"/>
      <c r="U78" s="250"/>
    </row>
    <row r="79" spans="1:21" ht="13.5">
      <c r="A79" s="236"/>
      <c r="B79" s="267"/>
      <c r="C79" s="236"/>
      <c r="D79" s="104" t="s">
        <v>95</v>
      </c>
      <c r="E79" s="103">
        <f>F79+G79+H79+I79+J79+K79+L79</f>
        <v>1954132.8399999999</v>
      </c>
      <c r="F79" s="105">
        <f>F73</f>
        <v>952526</v>
      </c>
      <c r="G79" s="105">
        <f aca="true" t="shared" si="17" ref="G79:L82">G73</f>
        <v>1001606.84</v>
      </c>
      <c r="H79" s="105">
        <f t="shared" si="17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39"/>
      <c r="N79" s="247"/>
      <c r="O79" s="247"/>
      <c r="P79" s="247"/>
      <c r="Q79" s="247"/>
      <c r="R79" s="247"/>
      <c r="S79" s="247"/>
      <c r="T79" s="247"/>
      <c r="U79" s="250"/>
    </row>
    <row r="80" spans="1:21" ht="13.5">
      <c r="A80" s="236"/>
      <c r="B80" s="267"/>
      <c r="C80" s="236"/>
      <c r="D80" s="104" t="s">
        <v>93</v>
      </c>
      <c r="E80" s="103">
        <f>F80+G80+H80+I80+J80+K80+L80</f>
        <v>0</v>
      </c>
      <c r="F80" s="105">
        <f>F74</f>
        <v>0</v>
      </c>
      <c r="G80" s="105">
        <f aca="true" t="shared" si="18" ref="G80:H82">G74</f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39"/>
      <c r="N80" s="247"/>
      <c r="O80" s="247"/>
      <c r="P80" s="247"/>
      <c r="Q80" s="247"/>
      <c r="R80" s="247"/>
      <c r="S80" s="247"/>
      <c r="T80" s="247"/>
      <c r="U80" s="250"/>
    </row>
    <row r="81" spans="1:21" ht="13.5">
      <c r="A81" s="236"/>
      <c r="B81" s="267"/>
      <c r="C81" s="236"/>
      <c r="D81" s="104" t="s">
        <v>94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39"/>
      <c r="N81" s="247"/>
      <c r="O81" s="247"/>
      <c r="P81" s="247"/>
      <c r="Q81" s="247"/>
      <c r="R81" s="247"/>
      <c r="S81" s="247"/>
      <c r="T81" s="247"/>
      <c r="U81" s="250"/>
    </row>
    <row r="82" spans="1:21" ht="13.5">
      <c r="A82" s="236"/>
      <c r="B82" s="268"/>
      <c r="C82" s="236"/>
      <c r="D82" s="104" t="s">
        <v>96</v>
      </c>
      <c r="E82" s="103">
        <f>F82+G82+H82+I82+J82+K82+L82</f>
        <v>0</v>
      </c>
      <c r="F82" s="105">
        <f>F76</f>
        <v>0</v>
      </c>
      <c r="G82" s="105">
        <f t="shared" si="18"/>
        <v>0</v>
      </c>
      <c r="H82" s="105">
        <f t="shared" si="18"/>
        <v>0</v>
      </c>
      <c r="I82" s="105">
        <f t="shared" si="17"/>
        <v>0</v>
      </c>
      <c r="J82" s="105">
        <f t="shared" si="17"/>
        <v>0</v>
      </c>
      <c r="K82" s="105">
        <f t="shared" si="17"/>
        <v>0</v>
      </c>
      <c r="L82" s="105">
        <f t="shared" si="17"/>
        <v>0</v>
      </c>
      <c r="M82" s="240"/>
      <c r="N82" s="248"/>
      <c r="O82" s="248"/>
      <c r="P82" s="248"/>
      <c r="Q82" s="248"/>
      <c r="R82" s="248"/>
      <c r="S82" s="248"/>
      <c r="T82" s="248"/>
      <c r="U82" s="251"/>
    </row>
    <row r="83" spans="1:21" ht="12.75">
      <c r="A83" s="21">
        <v>4</v>
      </c>
      <c r="B83" s="215" t="s">
        <v>36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7"/>
    </row>
    <row r="84" spans="1:21" ht="12.75" customHeight="1">
      <c r="A84" s="292" t="s">
        <v>188</v>
      </c>
      <c r="B84" s="269" t="s">
        <v>169</v>
      </c>
      <c r="C84" s="231" t="s">
        <v>82</v>
      </c>
      <c r="D84" s="22" t="s">
        <v>97</v>
      </c>
      <c r="E84" s="23">
        <f>E86+E87+E88+E89</f>
        <v>3908260</v>
      </c>
      <c r="F84" s="23">
        <f aca="true" t="shared" si="19" ref="F84:L84">F86+F87+F88+F89</f>
        <v>1905052</v>
      </c>
      <c r="G84" s="23">
        <f t="shared" si="19"/>
        <v>2003208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60" t="s">
        <v>83</v>
      </c>
      <c r="N84" s="204">
        <v>1</v>
      </c>
      <c r="O84" s="204">
        <v>1</v>
      </c>
      <c r="P84" s="204">
        <v>1</v>
      </c>
      <c r="Q84" s="204">
        <v>1</v>
      </c>
      <c r="R84" s="204">
        <v>1</v>
      </c>
      <c r="S84" s="204">
        <v>1</v>
      </c>
      <c r="T84" s="204">
        <v>1</v>
      </c>
      <c r="U84" s="207" t="s">
        <v>59</v>
      </c>
    </row>
    <row r="85" spans="1:21" ht="12.75">
      <c r="A85" s="292"/>
      <c r="B85" s="270"/>
      <c r="C85" s="232"/>
      <c r="D85" s="218" t="s">
        <v>117</v>
      </c>
      <c r="E85" s="219"/>
      <c r="F85" s="219"/>
      <c r="G85" s="219"/>
      <c r="H85" s="219"/>
      <c r="I85" s="219"/>
      <c r="J85" s="219"/>
      <c r="K85" s="219"/>
      <c r="L85" s="220"/>
      <c r="M85" s="261"/>
      <c r="N85" s="205"/>
      <c r="O85" s="205"/>
      <c r="P85" s="205"/>
      <c r="Q85" s="205"/>
      <c r="R85" s="205"/>
      <c r="S85" s="205"/>
      <c r="T85" s="205"/>
      <c r="U85" s="208"/>
    </row>
    <row r="86" spans="1:21" ht="12.75">
      <c r="A86" s="292"/>
      <c r="B86" s="270"/>
      <c r="C86" s="232"/>
      <c r="D86" s="22" t="s">
        <v>95</v>
      </c>
      <c r="E86" s="23">
        <f>F86+G86+H86+I86+J86+K86+L86</f>
        <v>3908260</v>
      </c>
      <c r="F86" s="24">
        <v>1905052</v>
      </c>
      <c r="G86" s="24">
        <f>2108640-105432</f>
        <v>2003208</v>
      </c>
      <c r="H86" s="24">
        <v>0</v>
      </c>
      <c r="I86" s="23">
        <v>0</v>
      </c>
      <c r="J86" s="24"/>
      <c r="K86" s="24"/>
      <c r="L86" s="24"/>
      <c r="M86" s="261"/>
      <c r="N86" s="205"/>
      <c r="O86" s="205"/>
      <c r="P86" s="205"/>
      <c r="Q86" s="205"/>
      <c r="R86" s="205"/>
      <c r="S86" s="205"/>
      <c r="T86" s="205"/>
      <c r="U86" s="208"/>
    </row>
    <row r="87" spans="1:21" ht="12.75">
      <c r="A87" s="292"/>
      <c r="B87" s="270"/>
      <c r="C87" s="232"/>
      <c r="D87" s="22" t="s">
        <v>93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61"/>
      <c r="N87" s="205"/>
      <c r="O87" s="205"/>
      <c r="P87" s="205"/>
      <c r="Q87" s="205"/>
      <c r="R87" s="205"/>
      <c r="S87" s="205"/>
      <c r="T87" s="205"/>
      <c r="U87" s="208"/>
    </row>
    <row r="88" spans="1:21" ht="12.75">
      <c r="A88" s="292"/>
      <c r="B88" s="270"/>
      <c r="C88" s="232"/>
      <c r="D88" s="22" t="s">
        <v>94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61"/>
      <c r="N88" s="205"/>
      <c r="O88" s="205"/>
      <c r="P88" s="205"/>
      <c r="Q88" s="205"/>
      <c r="R88" s="205"/>
      <c r="S88" s="205"/>
      <c r="T88" s="205"/>
      <c r="U88" s="208"/>
    </row>
    <row r="89" spans="1:21" ht="12.75">
      <c r="A89" s="292"/>
      <c r="B89" s="271"/>
      <c r="C89" s="233"/>
      <c r="D89" s="22" t="s">
        <v>96</v>
      </c>
      <c r="E89" s="23">
        <f>F89+G89+H89+I89+J89+K89+L89</f>
        <v>0</v>
      </c>
      <c r="F89" s="24"/>
      <c r="G89" s="24"/>
      <c r="H89" s="24"/>
      <c r="I89" s="23"/>
      <c r="J89" s="24"/>
      <c r="K89" s="24"/>
      <c r="L89" s="24"/>
      <c r="M89" s="262"/>
      <c r="N89" s="206"/>
      <c r="O89" s="206"/>
      <c r="P89" s="206"/>
      <c r="Q89" s="206"/>
      <c r="R89" s="206"/>
      <c r="S89" s="206"/>
      <c r="T89" s="206"/>
      <c r="U89" s="209"/>
    </row>
    <row r="90" spans="1:21" ht="12.75" customHeight="1">
      <c r="A90" s="292" t="s">
        <v>189</v>
      </c>
      <c r="B90" s="269" t="s">
        <v>7</v>
      </c>
      <c r="C90" s="231" t="s">
        <v>82</v>
      </c>
      <c r="D90" s="22" t="s">
        <v>97</v>
      </c>
      <c r="E90" s="23">
        <f>E92+E93+E94+E95</f>
        <v>3908260</v>
      </c>
      <c r="F90" s="23">
        <f aca="true" t="shared" si="20" ref="F90:L90">F92+F93+F94+F95</f>
        <v>1905052</v>
      </c>
      <c r="G90" s="23">
        <f t="shared" si="20"/>
        <v>2003208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60" t="s">
        <v>41</v>
      </c>
      <c r="N90" s="204">
        <v>1</v>
      </c>
      <c r="O90" s="204">
        <v>1</v>
      </c>
      <c r="P90" s="204">
        <v>1</v>
      </c>
      <c r="Q90" s="204">
        <v>1</v>
      </c>
      <c r="R90" s="204">
        <v>1</v>
      </c>
      <c r="S90" s="204">
        <v>1</v>
      </c>
      <c r="T90" s="204">
        <v>1</v>
      </c>
      <c r="U90" s="207" t="s">
        <v>59</v>
      </c>
    </row>
    <row r="91" spans="1:21" ht="12.75">
      <c r="A91" s="292"/>
      <c r="B91" s="270"/>
      <c r="C91" s="232"/>
      <c r="D91" s="218" t="s">
        <v>117</v>
      </c>
      <c r="E91" s="219"/>
      <c r="F91" s="219"/>
      <c r="G91" s="219"/>
      <c r="H91" s="219"/>
      <c r="I91" s="219"/>
      <c r="J91" s="219"/>
      <c r="K91" s="219"/>
      <c r="L91" s="220"/>
      <c r="M91" s="261"/>
      <c r="N91" s="205"/>
      <c r="O91" s="205"/>
      <c r="P91" s="205"/>
      <c r="Q91" s="205"/>
      <c r="R91" s="205"/>
      <c r="S91" s="205"/>
      <c r="T91" s="205"/>
      <c r="U91" s="208"/>
    </row>
    <row r="92" spans="1:21" ht="12.75">
      <c r="A92" s="292"/>
      <c r="B92" s="270"/>
      <c r="C92" s="232"/>
      <c r="D92" s="22" t="s">
        <v>95</v>
      </c>
      <c r="E92" s="23">
        <f>F92+G92+H92+I92+J92+K92+L92</f>
        <v>3908260</v>
      </c>
      <c r="F92" s="24">
        <v>1905052</v>
      </c>
      <c r="G92" s="24">
        <f>2108640-105432</f>
        <v>2003208</v>
      </c>
      <c r="H92" s="24">
        <v>0</v>
      </c>
      <c r="I92" s="23">
        <v>0</v>
      </c>
      <c r="J92" s="24"/>
      <c r="K92" s="24"/>
      <c r="L92" s="24"/>
      <c r="M92" s="261"/>
      <c r="N92" s="205"/>
      <c r="O92" s="205"/>
      <c r="P92" s="205"/>
      <c r="Q92" s="205"/>
      <c r="R92" s="205"/>
      <c r="S92" s="205"/>
      <c r="T92" s="205"/>
      <c r="U92" s="208"/>
    </row>
    <row r="93" spans="1:21" ht="12.75">
      <c r="A93" s="292"/>
      <c r="B93" s="270"/>
      <c r="C93" s="232"/>
      <c r="D93" s="22" t="s">
        <v>93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61"/>
      <c r="N93" s="205"/>
      <c r="O93" s="205"/>
      <c r="P93" s="205"/>
      <c r="Q93" s="205"/>
      <c r="R93" s="205"/>
      <c r="S93" s="205"/>
      <c r="T93" s="205"/>
      <c r="U93" s="208"/>
    </row>
    <row r="94" spans="1:21" ht="12.75">
      <c r="A94" s="292"/>
      <c r="B94" s="270"/>
      <c r="C94" s="232"/>
      <c r="D94" s="22" t="s">
        <v>94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61"/>
      <c r="N94" s="205"/>
      <c r="O94" s="205"/>
      <c r="P94" s="205"/>
      <c r="Q94" s="205"/>
      <c r="R94" s="205"/>
      <c r="S94" s="205"/>
      <c r="T94" s="205"/>
      <c r="U94" s="208"/>
    </row>
    <row r="95" spans="1:21" ht="12.75">
      <c r="A95" s="292"/>
      <c r="B95" s="271"/>
      <c r="C95" s="233"/>
      <c r="D95" s="22" t="s">
        <v>96</v>
      </c>
      <c r="E95" s="23">
        <f>F95+G95+H95+I95+J95+K95+L95</f>
        <v>0</v>
      </c>
      <c r="F95" s="24"/>
      <c r="G95" s="24"/>
      <c r="H95" s="24"/>
      <c r="I95" s="23"/>
      <c r="J95" s="24"/>
      <c r="K95" s="24"/>
      <c r="L95" s="24"/>
      <c r="M95" s="262"/>
      <c r="N95" s="206"/>
      <c r="O95" s="206"/>
      <c r="P95" s="206"/>
      <c r="Q95" s="206"/>
      <c r="R95" s="206"/>
      <c r="S95" s="206"/>
      <c r="T95" s="206"/>
      <c r="U95" s="209"/>
    </row>
    <row r="96" spans="1:21" ht="12.75" customHeight="1">
      <c r="A96" s="292" t="s">
        <v>190</v>
      </c>
      <c r="B96" s="269" t="s">
        <v>170</v>
      </c>
      <c r="C96" s="231" t="s">
        <v>82</v>
      </c>
      <c r="D96" s="22" t="s">
        <v>97</v>
      </c>
      <c r="E96" s="23">
        <f>E98+E99+E100+E101</f>
        <v>32739455.540000007</v>
      </c>
      <c r="F96" s="23">
        <f aca="true" t="shared" si="21" ref="F96:L96">F98+F99+F100+F101</f>
        <v>1905052</v>
      </c>
      <c r="G96" s="23">
        <f t="shared" si="21"/>
        <v>2366532.1</v>
      </c>
      <c r="H96" s="23">
        <f t="shared" si="21"/>
        <v>4606452.909999999</v>
      </c>
      <c r="I96" s="23">
        <f t="shared" si="21"/>
        <v>6074534.600000001</v>
      </c>
      <c r="J96" s="23">
        <f t="shared" si="21"/>
        <v>5928961.3100000005</v>
      </c>
      <c r="K96" s="23">
        <f t="shared" si="21"/>
        <v>5928961.3100000005</v>
      </c>
      <c r="L96" s="23">
        <f t="shared" si="21"/>
        <v>5928961.3100000005</v>
      </c>
      <c r="M96" s="260" t="s">
        <v>42</v>
      </c>
      <c r="N96" s="204">
        <v>1</v>
      </c>
      <c r="O96" s="204">
        <v>1</v>
      </c>
      <c r="P96" s="204">
        <v>1</v>
      </c>
      <c r="Q96" s="204">
        <v>1</v>
      </c>
      <c r="R96" s="204">
        <v>1</v>
      </c>
      <c r="S96" s="204">
        <v>1</v>
      </c>
      <c r="T96" s="204">
        <v>1</v>
      </c>
      <c r="U96" s="207" t="s">
        <v>59</v>
      </c>
    </row>
    <row r="97" spans="1:21" ht="12.75">
      <c r="A97" s="292"/>
      <c r="B97" s="270"/>
      <c r="C97" s="232"/>
      <c r="D97" s="218" t="s">
        <v>117</v>
      </c>
      <c r="E97" s="219"/>
      <c r="F97" s="219"/>
      <c r="G97" s="219"/>
      <c r="H97" s="219"/>
      <c r="I97" s="219"/>
      <c r="J97" s="219"/>
      <c r="K97" s="219"/>
      <c r="L97" s="220"/>
      <c r="M97" s="261"/>
      <c r="N97" s="205"/>
      <c r="O97" s="205"/>
      <c r="P97" s="205"/>
      <c r="Q97" s="205"/>
      <c r="R97" s="205"/>
      <c r="S97" s="205"/>
      <c r="T97" s="205"/>
      <c r="U97" s="208"/>
    </row>
    <row r="98" spans="1:21" ht="12.75">
      <c r="A98" s="292"/>
      <c r="B98" s="270"/>
      <c r="C98" s="232"/>
      <c r="D98" s="22" t="s">
        <v>95</v>
      </c>
      <c r="E98" s="23">
        <f>F98+G98+H98+I98+J98+K98+L98</f>
        <v>32739455.540000007</v>
      </c>
      <c r="F98" s="24">
        <v>1905052</v>
      </c>
      <c r="G98" s="24">
        <f>2108640-105432+363324.1</f>
        <v>2366532.1</v>
      </c>
      <c r="H98" s="24">
        <f>3901605.13+87764+553547.23+73076.55+122.5-9662.5</f>
        <v>4606452.909999999</v>
      </c>
      <c r="I98" s="23">
        <f>4486326.66+1354870.65+61382+171955.29</f>
        <v>6074534.600000001</v>
      </c>
      <c r="J98" s="24">
        <f>4486326.66+1354870.65+87764</f>
        <v>5928961.3100000005</v>
      </c>
      <c r="K98" s="24">
        <f>4486326.66+1354870.65+87764</f>
        <v>5928961.3100000005</v>
      </c>
      <c r="L98" s="24">
        <f>K98</f>
        <v>5928961.3100000005</v>
      </c>
      <c r="M98" s="261"/>
      <c r="N98" s="205"/>
      <c r="O98" s="205"/>
      <c r="P98" s="205"/>
      <c r="Q98" s="205"/>
      <c r="R98" s="205"/>
      <c r="S98" s="205"/>
      <c r="T98" s="205"/>
      <c r="U98" s="208"/>
    </row>
    <row r="99" spans="1:21" ht="12.75">
      <c r="A99" s="292"/>
      <c r="B99" s="270"/>
      <c r="C99" s="232"/>
      <c r="D99" s="22" t="s">
        <v>93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61"/>
      <c r="N99" s="205"/>
      <c r="O99" s="205"/>
      <c r="P99" s="205"/>
      <c r="Q99" s="205"/>
      <c r="R99" s="205"/>
      <c r="S99" s="205"/>
      <c r="T99" s="205"/>
      <c r="U99" s="208"/>
    </row>
    <row r="100" spans="1:21" ht="12.75">
      <c r="A100" s="292"/>
      <c r="B100" s="270"/>
      <c r="C100" s="232"/>
      <c r="D100" s="22" t="s">
        <v>94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61"/>
      <c r="N100" s="205"/>
      <c r="O100" s="205"/>
      <c r="P100" s="205"/>
      <c r="Q100" s="205"/>
      <c r="R100" s="205"/>
      <c r="S100" s="205"/>
      <c r="T100" s="205"/>
      <c r="U100" s="208"/>
    </row>
    <row r="101" spans="1:21" ht="12.75">
      <c r="A101" s="292"/>
      <c r="B101" s="271"/>
      <c r="C101" s="233"/>
      <c r="D101" s="22" t="s">
        <v>96</v>
      </c>
      <c r="E101" s="23">
        <f>F101+G101+H101+I101+J101+K101+L101</f>
        <v>0</v>
      </c>
      <c r="F101" s="24"/>
      <c r="G101" s="24"/>
      <c r="H101" s="24"/>
      <c r="I101" s="23"/>
      <c r="J101" s="24"/>
      <c r="K101" s="24"/>
      <c r="L101" s="24"/>
      <c r="M101" s="262"/>
      <c r="N101" s="206"/>
      <c r="O101" s="206"/>
      <c r="P101" s="206"/>
      <c r="Q101" s="206"/>
      <c r="R101" s="206"/>
      <c r="S101" s="206"/>
      <c r="T101" s="206"/>
      <c r="U101" s="209"/>
    </row>
    <row r="102" spans="1:21" ht="12.75" customHeight="1">
      <c r="A102" s="292" t="s">
        <v>191</v>
      </c>
      <c r="B102" s="269" t="s">
        <v>8</v>
      </c>
      <c r="C102" s="231" t="s">
        <v>82</v>
      </c>
      <c r="D102" s="22" t="s">
        <v>97</v>
      </c>
      <c r="E102" s="23">
        <f>E104+E105+E106+E107</f>
        <v>39767886.09</v>
      </c>
      <c r="F102" s="23">
        <f aca="true" t="shared" si="22" ref="F102:L102">F104+F105+F106+F107</f>
        <v>1951881</v>
      </c>
      <c r="G102" s="23">
        <f t="shared" si="22"/>
        <v>2961790.7699999996</v>
      </c>
      <c r="H102" s="23">
        <f t="shared" si="22"/>
        <v>6790822.280000002</v>
      </c>
      <c r="I102" s="23">
        <f t="shared" si="22"/>
        <v>7019942.2299999995</v>
      </c>
      <c r="J102" s="23">
        <f t="shared" si="22"/>
        <v>7014483.27</v>
      </c>
      <c r="K102" s="23">
        <f t="shared" si="22"/>
        <v>7014483.27</v>
      </c>
      <c r="L102" s="23">
        <f t="shared" si="22"/>
        <v>7014483.27</v>
      </c>
      <c r="M102" s="260" t="s">
        <v>84</v>
      </c>
      <c r="N102" s="204">
        <v>1</v>
      </c>
      <c r="O102" s="204">
        <v>1</v>
      </c>
      <c r="P102" s="204">
        <v>1</v>
      </c>
      <c r="Q102" s="204">
        <v>1</v>
      </c>
      <c r="R102" s="204">
        <v>1</v>
      </c>
      <c r="S102" s="204">
        <v>1</v>
      </c>
      <c r="T102" s="204">
        <v>1</v>
      </c>
      <c r="U102" s="207" t="s">
        <v>59</v>
      </c>
    </row>
    <row r="103" spans="1:21" ht="12.75">
      <c r="A103" s="292"/>
      <c r="B103" s="270"/>
      <c r="C103" s="232"/>
      <c r="D103" s="218" t="s">
        <v>117</v>
      </c>
      <c r="E103" s="219"/>
      <c r="F103" s="219"/>
      <c r="G103" s="219"/>
      <c r="H103" s="219"/>
      <c r="I103" s="219"/>
      <c r="J103" s="219"/>
      <c r="K103" s="219"/>
      <c r="L103" s="220"/>
      <c r="M103" s="261"/>
      <c r="N103" s="205"/>
      <c r="O103" s="205"/>
      <c r="P103" s="205"/>
      <c r="Q103" s="205"/>
      <c r="R103" s="205"/>
      <c r="S103" s="205"/>
      <c r="T103" s="205"/>
      <c r="U103" s="208"/>
    </row>
    <row r="104" spans="1:21" ht="12.75">
      <c r="A104" s="292"/>
      <c r="B104" s="270"/>
      <c r="C104" s="232"/>
      <c r="D104" s="22" t="s">
        <v>95</v>
      </c>
      <c r="E104" s="23">
        <f>F104+G104+H104+I104+J104+K104+L104</f>
        <v>39767886.09</v>
      </c>
      <c r="F104" s="24">
        <v>1951881</v>
      </c>
      <c r="G104" s="24">
        <f>2048080-102404+821842.97+194271.8</f>
        <v>2961790.7699999996</v>
      </c>
      <c r="H104" s="24">
        <f>9947626.98+1800+103200-1850787.39-494386.39-10663.8-792668.31-113298.81</f>
        <v>6790822.280000002</v>
      </c>
      <c r="I104" s="23">
        <f>5385739.84+1626493.43+2250+61382-50500.32-5422.72</f>
        <v>7019942.2299999995</v>
      </c>
      <c r="J104" s="24">
        <f>5385739.84+1626493.43+2250</f>
        <v>7014483.27</v>
      </c>
      <c r="K104" s="24">
        <f>5385739.84+1626493.43+2250</f>
        <v>7014483.27</v>
      </c>
      <c r="L104" s="24">
        <f>K104</f>
        <v>7014483.27</v>
      </c>
      <c r="M104" s="261"/>
      <c r="N104" s="205"/>
      <c r="O104" s="205"/>
      <c r="P104" s="205"/>
      <c r="Q104" s="205"/>
      <c r="R104" s="205"/>
      <c r="S104" s="205"/>
      <c r="T104" s="205"/>
      <c r="U104" s="208"/>
    </row>
    <row r="105" spans="1:21" ht="12.75">
      <c r="A105" s="292"/>
      <c r="B105" s="270"/>
      <c r="C105" s="232"/>
      <c r="D105" s="22" t="s">
        <v>93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61"/>
      <c r="N105" s="205"/>
      <c r="O105" s="205"/>
      <c r="P105" s="205"/>
      <c r="Q105" s="205"/>
      <c r="R105" s="205"/>
      <c r="S105" s="205"/>
      <c r="T105" s="205"/>
      <c r="U105" s="208"/>
    </row>
    <row r="106" spans="1:21" ht="12.75">
      <c r="A106" s="292"/>
      <c r="B106" s="270"/>
      <c r="C106" s="232"/>
      <c r="D106" s="22" t="s">
        <v>94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61"/>
      <c r="N106" s="205"/>
      <c r="O106" s="205"/>
      <c r="P106" s="205"/>
      <c r="Q106" s="205"/>
      <c r="R106" s="205"/>
      <c r="S106" s="205"/>
      <c r="T106" s="205"/>
      <c r="U106" s="208"/>
    </row>
    <row r="107" spans="1:21" ht="12.75">
      <c r="A107" s="292"/>
      <c r="B107" s="271"/>
      <c r="C107" s="233"/>
      <c r="D107" s="22" t="s">
        <v>96</v>
      </c>
      <c r="E107" s="23">
        <f>F107+G107+H107+I107+J107+K107+L107</f>
        <v>0</v>
      </c>
      <c r="F107" s="24"/>
      <c r="G107" s="24"/>
      <c r="H107" s="24"/>
      <c r="I107" s="23"/>
      <c r="J107" s="24"/>
      <c r="K107" s="24"/>
      <c r="L107" s="24"/>
      <c r="M107" s="262"/>
      <c r="N107" s="206"/>
      <c r="O107" s="206"/>
      <c r="P107" s="206"/>
      <c r="Q107" s="206"/>
      <c r="R107" s="206"/>
      <c r="S107" s="206"/>
      <c r="T107" s="206"/>
      <c r="U107" s="209"/>
    </row>
    <row r="108" spans="1:21" ht="13.5">
      <c r="A108" s="236"/>
      <c r="B108" s="266" t="s">
        <v>172</v>
      </c>
      <c r="C108" s="236"/>
      <c r="D108" s="102" t="s">
        <v>97</v>
      </c>
      <c r="E108" s="103">
        <f>E110+E111+E112+E113</f>
        <v>80323861.63</v>
      </c>
      <c r="F108" s="103">
        <f>F110+F111+F112+F113</f>
        <v>7667037</v>
      </c>
      <c r="G108" s="103">
        <f aca="true" t="shared" si="23" ref="G108:L108">G110+G111+G112+G113</f>
        <v>9334738.87</v>
      </c>
      <c r="H108" s="103">
        <f t="shared" si="23"/>
        <v>11397275.190000001</v>
      </c>
      <c r="I108" s="103">
        <f t="shared" si="23"/>
        <v>13094476.83</v>
      </c>
      <c r="J108" s="103">
        <f t="shared" si="23"/>
        <v>12943444.58</v>
      </c>
      <c r="K108" s="103">
        <f t="shared" si="23"/>
        <v>12943444.58</v>
      </c>
      <c r="L108" s="103">
        <f t="shared" si="23"/>
        <v>12943444.58</v>
      </c>
      <c r="M108" s="238"/>
      <c r="N108" s="246"/>
      <c r="O108" s="246"/>
      <c r="P108" s="246"/>
      <c r="Q108" s="246"/>
      <c r="R108" s="246"/>
      <c r="S108" s="246"/>
      <c r="T108" s="246"/>
      <c r="U108" s="249"/>
    </row>
    <row r="109" spans="1:21" ht="12.75">
      <c r="A109" s="236"/>
      <c r="B109" s="267"/>
      <c r="C109" s="236"/>
      <c r="D109" s="241" t="s">
        <v>117</v>
      </c>
      <c r="E109" s="242"/>
      <c r="F109" s="242"/>
      <c r="G109" s="242"/>
      <c r="H109" s="242"/>
      <c r="I109" s="242"/>
      <c r="J109" s="242"/>
      <c r="K109" s="242"/>
      <c r="L109" s="243"/>
      <c r="M109" s="239"/>
      <c r="N109" s="247"/>
      <c r="O109" s="247"/>
      <c r="P109" s="247"/>
      <c r="Q109" s="247"/>
      <c r="R109" s="247"/>
      <c r="S109" s="247"/>
      <c r="T109" s="247"/>
      <c r="U109" s="250"/>
    </row>
    <row r="110" spans="1:21" ht="13.5">
      <c r="A110" s="236"/>
      <c r="B110" s="267"/>
      <c r="C110" s="236"/>
      <c r="D110" s="104" t="s">
        <v>95</v>
      </c>
      <c r="E110" s="103">
        <f>SUM(F110:L110)</f>
        <v>80323861.63</v>
      </c>
      <c r="F110" s="105">
        <f>F86+F92+F98+F104</f>
        <v>7667037</v>
      </c>
      <c r="G110" s="105">
        <f aca="true" t="shared" si="24" ref="G110:L113">G86+G92+G98+G104</f>
        <v>9334738.87</v>
      </c>
      <c r="H110" s="105">
        <f t="shared" si="24"/>
        <v>11397275.190000001</v>
      </c>
      <c r="I110" s="105">
        <f t="shared" si="24"/>
        <v>13094476.83</v>
      </c>
      <c r="J110" s="105">
        <f t="shared" si="24"/>
        <v>12943444.58</v>
      </c>
      <c r="K110" s="105">
        <f t="shared" si="24"/>
        <v>12943444.58</v>
      </c>
      <c r="L110" s="105">
        <f t="shared" si="24"/>
        <v>12943444.58</v>
      </c>
      <c r="M110" s="239"/>
      <c r="N110" s="247"/>
      <c r="O110" s="247"/>
      <c r="P110" s="247"/>
      <c r="Q110" s="247"/>
      <c r="R110" s="247"/>
      <c r="S110" s="247"/>
      <c r="T110" s="247"/>
      <c r="U110" s="250"/>
    </row>
    <row r="111" spans="1:21" ht="13.5">
      <c r="A111" s="236"/>
      <c r="B111" s="267"/>
      <c r="C111" s="236"/>
      <c r="D111" s="104" t="s">
        <v>93</v>
      </c>
      <c r="E111" s="103">
        <f>SUM(F111:L111)</f>
        <v>0</v>
      </c>
      <c r="F111" s="105">
        <f>F87+F93+F99+F105</f>
        <v>0</v>
      </c>
      <c r="G111" s="105">
        <f aca="true" t="shared" si="25" ref="G111:H113">G87+G93+G99+G105</f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39"/>
      <c r="N111" s="247"/>
      <c r="O111" s="247"/>
      <c r="P111" s="247"/>
      <c r="Q111" s="247"/>
      <c r="R111" s="247"/>
      <c r="S111" s="247"/>
      <c r="T111" s="247"/>
      <c r="U111" s="250"/>
    </row>
    <row r="112" spans="1:21" ht="13.5">
      <c r="A112" s="236"/>
      <c r="B112" s="267"/>
      <c r="C112" s="236"/>
      <c r="D112" s="104" t="s">
        <v>94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39"/>
      <c r="N112" s="247"/>
      <c r="O112" s="247"/>
      <c r="P112" s="247"/>
      <c r="Q112" s="247"/>
      <c r="R112" s="247"/>
      <c r="S112" s="247"/>
      <c r="T112" s="247"/>
      <c r="U112" s="250"/>
    </row>
    <row r="113" spans="1:21" ht="13.5">
      <c r="A113" s="236"/>
      <c r="B113" s="268"/>
      <c r="C113" s="236"/>
      <c r="D113" s="104" t="s">
        <v>96</v>
      </c>
      <c r="E113" s="103">
        <f>SUM(F113:L113)</f>
        <v>0</v>
      </c>
      <c r="F113" s="105">
        <f>F89+F95+F101+F107</f>
        <v>0</v>
      </c>
      <c r="G113" s="105">
        <f t="shared" si="25"/>
        <v>0</v>
      </c>
      <c r="H113" s="105">
        <f t="shared" si="25"/>
        <v>0</v>
      </c>
      <c r="I113" s="105">
        <f t="shared" si="24"/>
        <v>0</v>
      </c>
      <c r="J113" s="105">
        <f t="shared" si="24"/>
        <v>0</v>
      </c>
      <c r="K113" s="105">
        <f t="shared" si="24"/>
        <v>0</v>
      </c>
      <c r="L113" s="105">
        <f t="shared" si="24"/>
        <v>0</v>
      </c>
      <c r="M113" s="240"/>
      <c r="N113" s="248"/>
      <c r="O113" s="248"/>
      <c r="P113" s="248"/>
      <c r="Q113" s="248"/>
      <c r="R113" s="248"/>
      <c r="S113" s="248"/>
      <c r="T113" s="248"/>
      <c r="U113" s="251"/>
    </row>
    <row r="114" spans="1:21" ht="13.5">
      <c r="A114" s="236"/>
      <c r="B114" s="266" t="s">
        <v>85</v>
      </c>
      <c r="C114" s="236"/>
      <c r="D114" s="102" t="s">
        <v>97</v>
      </c>
      <c r="E114" s="103">
        <f aca="true" t="shared" si="26" ref="E114:L114">E116+E117+E118+E119</f>
        <v>378120720.53999996</v>
      </c>
      <c r="F114" s="103">
        <f t="shared" si="26"/>
        <v>43291513</v>
      </c>
      <c r="G114" s="103">
        <f t="shared" si="26"/>
        <v>49712022.47</v>
      </c>
      <c r="H114" s="103">
        <f t="shared" si="26"/>
        <v>51860010.43</v>
      </c>
      <c r="I114" s="103">
        <f t="shared" si="26"/>
        <v>58246118.66</v>
      </c>
      <c r="J114" s="103">
        <f t="shared" si="26"/>
        <v>58546418.66</v>
      </c>
      <c r="K114" s="103">
        <f t="shared" si="26"/>
        <v>58232318.66</v>
      </c>
      <c r="L114" s="103">
        <f t="shared" si="26"/>
        <v>58232318.66</v>
      </c>
      <c r="M114" s="238"/>
      <c r="N114" s="246"/>
      <c r="O114" s="246"/>
      <c r="P114" s="246"/>
      <c r="Q114" s="246"/>
      <c r="R114" s="246"/>
      <c r="S114" s="246"/>
      <c r="T114" s="246"/>
      <c r="U114" s="249"/>
    </row>
    <row r="115" spans="1:21" ht="12.75">
      <c r="A115" s="236"/>
      <c r="B115" s="267"/>
      <c r="C115" s="236"/>
      <c r="D115" s="241" t="s">
        <v>117</v>
      </c>
      <c r="E115" s="242"/>
      <c r="F115" s="242"/>
      <c r="G115" s="242"/>
      <c r="H115" s="242"/>
      <c r="I115" s="242"/>
      <c r="J115" s="242"/>
      <c r="K115" s="242"/>
      <c r="L115" s="243"/>
      <c r="M115" s="239"/>
      <c r="N115" s="247"/>
      <c r="O115" s="247"/>
      <c r="P115" s="247"/>
      <c r="Q115" s="247"/>
      <c r="R115" s="247"/>
      <c r="S115" s="247"/>
      <c r="T115" s="247"/>
      <c r="U115" s="250"/>
    </row>
    <row r="116" spans="1:21" ht="13.5">
      <c r="A116" s="236"/>
      <c r="B116" s="267"/>
      <c r="C116" s="236"/>
      <c r="D116" s="104" t="s">
        <v>95</v>
      </c>
      <c r="E116" s="103">
        <f>SUM(F116:L116)</f>
        <v>108501620.53999999</v>
      </c>
      <c r="F116" s="105">
        <f aca="true" t="shared" si="27" ref="F116:L119">F23+F66+F79+F110</f>
        <v>12523313</v>
      </c>
      <c r="G116" s="105">
        <f t="shared" si="27"/>
        <v>14817822.469999999</v>
      </c>
      <c r="H116" s="105">
        <f t="shared" si="27"/>
        <v>15255210.430000002</v>
      </c>
      <c r="I116" s="105">
        <f t="shared" si="27"/>
        <v>16476318.66</v>
      </c>
      <c r="J116" s="105">
        <f t="shared" si="27"/>
        <v>16476318.66</v>
      </c>
      <c r="K116" s="105">
        <f t="shared" si="27"/>
        <v>16476318.66</v>
      </c>
      <c r="L116" s="105">
        <f t="shared" si="27"/>
        <v>16476318.66</v>
      </c>
      <c r="M116" s="239"/>
      <c r="N116" s="247"/>
      <c r="O116" s="247"/>
      <c r="P116" s="247"/>
      <c r="Q116" s="247"/>
      <c r="R116" s="247"/>
      <c r="S116" s="247"/>
      <c r="T116" s="247"/>
      <c r="U116" s="250"/>
    </row>
    <row r="117" spans="1:21" ht="13.5">
      <c r="A117" s="236"/>
      <c r="B117" s="267"/>
      <c r="C117" s="236"/>
      <c r="D117" s="104" t="s">
        <v>93</v>
      </c>
      <c r="E117" s="103">
        <f>SUM(F117:L117)</f>
        <v>269619100</v>
      </c>
      <c r="F117" s="105">
        <f t="shared" si="27"/>
        <v>30768200</v>
      </c>
      <c r="G117" s="105">
        <f t="shared" si="27"/>
        <v>34894200</v>
      </c>
      <c r="H117" s="105">
        <f t="shared" si="27"/>
        <v>36604800</v>
      </c>
      <c r="I117" s="105">
        <f t="shared" si="27"/>
        <v>41769800</v>
      </c>
      <c r="J117" s="105">
        <f t="shared" si="27"/>
        <v>42070100</v>
      </c>
      <c r="K117" s="105">
        <f t="shared" si="27"/>
        <v>41756000</v>
      </c>
      <c r="L117" s="105">
        <f t="shared" si="27"/>
        <v>41756000</v>
      </c>
      <c r="M117" s="239"/>
      <c r="N117" s="247"/>
      <c r="O117" s="247"/>
      <c r="P117" s="247"/>
      <c r="Q117" s="247"/>
      <c r="R117" s="247"/>
      <c r="S117" s="247"/>
      <c r="T117" s="247"/>
      <c r="U117" s="250"/>
    </row>
    <row r="118" spans="1:21" ht="13.5">
      <c r="A118" s="236"/>
      <c r="B118" s="267"/>
      <c r="C118" s="236"/>
      <c r="D118" s="104" t="s">
        <v>94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39"/>
      <c r="N118" s="247"/>
      <c r="O118" s="247"/>
      <c r="P118" s="247"/>
      <c r="Q118" s="247"/>
      <c r="R118" s="247"/>
      <c r="S118" s="247"/>
      <c r="T118" s="247"/>
      <c r="U118" s="250"/>
    </row>
    <row r="119" spans="1:21" ht="13.5">
      <c r="A119" s="236"/>
      <c r="B119" s="268"/>
      <c r="C119" s="236"/>
      <c r="D119" s="104" t="s">
        <v>96</v>
      </c>
      <c r="E119" s="103">
        <f>SUM(F119:L119)</f>
        <v>0</v>
      </c>
      <c r="F119" s="105">
        <f t="shared" si="27"/>
        <v>0</v>
      </c>
      <c r="G119" s="105">
        <f t="shared" si="27"/>
        <v>0</v>
      </c>
      <c r="H119" s="105">
        <f t="shared" si="27"/>
        <v>0</v>
      </c>
      <c r="I119" s="105">
        <f t="shared" si="27"/>
        <v>0</v>
      </c>
      <c r="J119" s="105">
        <f t="shared" si="27"/>
        <v>0</v>
      </c>
      <c r="K119" s="105">
        <f t="shared" si="27"/>
        <v>0</v>
      </c>
      <c r="L119" s="105">
        <f t="shared" si="27"/>
        <v>0</v>
      </c>
      <c r="M119" s="240"/>
      <c r="N119" s="248"/>
      <c r="O119" s="248"/>
      <c r="P119" s="248"/>
      <c r="Q119" s="248"/>
      <c r="R119" s="248"/>
      <c r="S119" s="248"/>
      <c r="T119" s="248"/>
      <c r="U119" s="251"/>
    </row>
    <row r="121" spans="6:9" ht="12.75">
      <c r="F121" s="25"/>
      <c r="G121" s="25"/>
      <c r="H121" s="26"/>
      <c r="I121" s="173"/>
    </row>
    <row r="122" spans="5:9" ht="12.75">
      <c r="E122" s="49"/>
      <c r="F122" s="25"/>
      <c r="G122" s="50"/>
      <c r="H122" s="26"/>
      <c r="I122" s="173"/>
    </row>
    <row r="123" spans="5:9" ht="12.75">
      <c r="E123" s="27"/>
      <c r="F123" s="25"/>
      <c r="G123" s="25"/>
      <c r="H123" s="26"/>
      <c r="I123" s="173"/>
    </row>
    <row r="124" spans="5:9" ht="12.75">
      <c r="E124" s="27"/>
      <c r="F124" s="25"/>
      <c r="G124" s="25"/>
      <c r="H124" s="26"/>
      <c r="I124" s="173"/>
    </row>
    <row r="125" spans="6:8" ht="12.75">
      <c r="F125" s="25"/>
      <c r="G125" s="25"/>
      <c r="H125" s="26"/>
    </row>
    <row r="126" spans="6:7" ht="12.75">
      <c r="F126" s="25"/>
      <c r="G126" s="25">
        <f>+G122-G124</f>
        <v>0</v>
      </c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</sheetData>
  <sheetProtection/>
  <mergeCells count="248"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C58:C63"/>
    <mergeCell ref="R64:R69"/>
    <mergeCell ref="S64:S69"/>
    <mergeCell ref="Q58:Q63"/>
    <mergeCell ref="R58:R63"/>
    <mergeCell ref="S58:S63"/>
    <mergeCell ref="P64:P69"/>
    <mergeCell ref="Q64:Q69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Q108:Q113"/>
    <mergeCell ref="R108:R113"/>
    <mergeCell ref="M102:M107"/>
    <mergeCell ref="N102:N107"/>
    <mergeCell ref="O102:O107"/>
    <mergeCell ref="R96:R101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D97:L97"/>
    <mergeCell ref="A108:A113"/>
    <mergeCell ref="B108:B113"/>
    <mergeCell ref="C108:C113"/>
    <mergeCell ref="M108:M113"/>
    <mergeCell ref="N108:N113"/>
    <mergeCell ref="C102:C107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S84:S89"/>
    <mergeCell ref="T84:T89"/>
    <mergeCell ref="O90:O95"/>
    <mergeCell ref="P90:P95"/>
    <mergeCell ref="Q90:Q95"/>
    <mergeCell ref="R90:R95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A71:A76"/>
    <mergeCell ref="B71:B76"/>
    <mergeCell ref="C71:C76"/>
    <mergeCell ref="M71:M76"/>
    <mergeCell ref="N71:N76"/>
    <mergeCell ref="O71:O76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N52:N57"/>
    <mergeCell ref="O52:O57"/>
    <mergeCell ref="D53:L53"/>
    <mergeCell ref="P52:P57"/>
    <mergeCell ref="A52:A57"/>
    <mergeCell ref="B52:B57"/>
    <mergeCell ref="C52:C57"/>
    <mergeCell ref="M52:M57"/>
    <mergeCell ref="U52:U57"/>
    <mergeCell ref="Q52:Q57"/>
    <mergeCell ref="R52:R57"/>
    <mergeCell ref="S52:S57"/>
    <mergeCell ref="T46:T51"/>
    <mergeCell ref="U46:U51"/>
    <mergeCell ref="T52:T57"/>
    <mergeCell ref="A46:A51"/>
    <mergeCell ref="B46:B51"/>
    <mergeCell ref="C46:C51"/>
    <mergeCell ref="M46:M51"/>
    <mergeCell ref="N46:N51"/>
    <mergeCell ref="O46:O51"/>
    <mergeCell ref="D47:L47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293" t="s">
        <v>280</v>
      </c>
      <c r="G1" s="293"/>
      <c r="H1" s="293"/>
      <c r="I1" s="293"/>
      <c r="J1" s="168"/>
    </row>
    <row r="2" spans="5:10" ht="18.75" customHeight="1">
      <c r="E2" s="124"/>
      <c r="G2" s="100"/>
      <c r="H2" s="100"/>
      <c r="I2" s="143" t="s">
        <v>218</v>
      </c>
      <c r="J2" s="100"/>
    </row>
    <row r="4" spans="1:9" ht="36.75" customHeight="1">
      <c r="A4" s="198" t="s">
        <v>219</v>
      </c>
      <c r="B4" s="198"/>
      <c r="C4" s="198"/>
      <c r="D4" s="198"/>
      <c r="E4" s="198"/>
      <c r="F4" s="198"/>
      <c r="G4" s="198"/>
      <c r="H4" s="198"/>
      <c r="I4" s="198"/>
    </row>
    <row r="5" spans="1:9" ht="30" customHeight="1">
      <c r="A5" s="184" t="s">
        <v>103</v>
      </c>
      <c r="B5" s="186" t="s">
        <v>104</v>
      </c>
      <c r="C5" s="188" t="s">
        <v>105</v>
      </c>
      <c r="D5" s="188"/>
      <c r="E5" s="188"/>
      <c r="F5" s="188"/>
      <c r="G5" s="188"/>
      <c r="H5" s="188"/>
      <c r="I5" s="188"/>
    </row>
    <row r="6" spans="1:9" ht="16.5" customHeight="1">
      <c r="A6" s="185"/>
      <c r="B6" s="187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220</v>
      </c>
      <c r="B8" s="126">
        <f>B10+B11+B12+B13</f>
        <v>129595306.91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21301599.51</v>
      </c>
      <c r="G8" s="126">
        <f t="shared" si="0"/>
        <v>20530722.699999996</v>
      </c>
      <c r="H8" s="126">
        <f t="shared" si="0"/>
        <v>20585083.659999996</v>
      </c>
      <c r="I8" s="126">
        <f t="shared" si="0"/>
        <v>63000</v>
      </c>
    </row>
    <row r="9" spans="1:9" ht="16.5" customHeight="1">
      <c r="A9" s="252" t="s">
        <v>106</v>
      </c>
      <c r="B9" s="253"/>
      <c r="C9" s="253"/>
      <c r="D9" s="253"/>
      <c r="E9" s="253"/>
      <c r="F9" s="253"/>
      <c r="G9" s="253"/>
      <c r="H9" s="253"/>
      <c r="I9" s="254"/>
    </row>
    <row r="10" spans="1:9" ht="16.5" customHeight="1">
      <c r="A10" s="87" t="s">
        <v>107</v>
      </c>
      <c r="B10" s="126">
        <f>C10+D10+E10+F10+G10+H10+I10</f>
        <v>129349306.91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21301599.51</v>
      </c>
      <c r="G10" s="84">
        <f t="shared" si="1"/>
        <v>20467722.699999996</v>
      </c>
      <c r="H10" s="84">
        <f t="shared" si="1"/>
        <v>20522083.659999996</v>
      </c>
      <c r="I10" s="84">
        <f t="shared" si="1"/>
        <v>0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110</v>
      </c>
      <c r="B13" s="126">
        <f>C13+D13+E13+F13+G13+H13+I13</f>
        <v>246000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0</v>
      </c>
      <c r="G13" s="84">
        <f t="shared" si="2"/>
        <v>63000</v>
      </c>
      <c r="H13" s="84">
        <f t="shared" si="2"/>
        <v>63000</v>
      </c>
      <c r="I13" s="84">
        <f t="shared" si="2"/>
        <v>63000</v>
      </c>
    </row>
    <row r="14" spans="1:9" ht="16.5" customHeight="1">
      <c r="A14" s="189" t="s">
        <v>111</v>
      </c>
      <c r="B14" s="190"/>
      <c r="C14" s="190"/>
      <c r="D14" s="190"/>
      <c r="E14" s="190"/>
      <c r="F14" s="190"/>
      <c r="G14" s="190"/>
      <c r="H14" s="190"/>
      <c r="I14" s="191"/>
    </row>
    <row r="15" spans="1:9" ht="39.75" customHeight="1">
      <c r="A15" s="145" t="s">
        <v>118</v>
      </c>
      <c r="B15" s="126">
        <f>B17+B18+B19+B20</f>
        <v>129595306.91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21301599.51</v>
      </c>
      <c r="G15" s="126">
        <f t="shared" si="3"/>
        <v>20530722.699999996</v>
      </c>
      <c r="H15" s="126">
        <f t="shared" si="3"/>
        <v>20585083.659999996</v>
      </c>
      <c r="I15" s="126">
        <f t="shared" si="3"/>
        <v>63000</v>
      </c>
    </row>
    <row r="16" spans="1:9" ht="16.5" customHeight="1">
      <c r="A16" s="252" t="s">
        <v>106</v>
      </c>
      <c r="B16" s="253"/>
      <c r="C16" s="253"/>
      <c r="D16" s="253"/>
      <c r="E16" s="253"/>
      <c r="F16" s="253"/>
      <c r="G16" s="253"/>
      <c r="H16" s="253"/>
      <c r="I16" s="254"/>
    </row>
    <row r="17" spans="1:9" ht="16.5" customHeight="1">
      <c r="A17" s="87" t="s">
        <v>107</v>
      </c>
      <c r="B17" s="126">
        <f>C17+D17+E17+F17+G17+H17+I17</f>
        <v>129349306.91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21301599.51</v>
      </c>
      <c r="G17" s="84">
        <f>'таб 3(4)'!J41</f>
        <v>20467722.699999996</v>
      </c>
      <c r="H17" s="84">
        <f>'таб 3(4)'!K41</f>
        <v>20522083.659999996</v>
      </c>
      <c r="I17" s="84">
        <f>'таб 3(4)'!L41</f>
        <v>0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110</v>
      </c>
      <c r="B20" s="126">
        <f>C20+D20+E20+F20+G20+H20+I20</f>
        <v>246000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+'[2]таб 3(4)'!I43</f>
        <v>0</v>
      </c>
      <c r="G20" s="84">
        <v>63000</v>
      </c>
      <c r="H20" s="84">
        <v>63000</v>
      </c>
      <c r="I20" s="84">
        <v>63000</v>
      </c>
    </row>
    <row r="21" spans="1:9" ht="25.5">
      <c r="A21" s="4" t="s">
        <v>112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L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293" t="s">
        <v>281</v>
      </c>
      <c r="P1" s="293"/>
      <c r="Q1" s="293"/>
      <c r="R1" s="293"/>
      <c r="S1" s="293"/>
      <c r="T1" s="293"/>
      <c r="U1" s="293"/>
    </row>
    <row r="2" spans="20:21" ht="12.75">
      <c r="T2" s="100"/>
      <c r="U2" s="100" t="s">
        <v>221</v>
      </c>
    </row>
    <row r="3" spans="1:21" ht="47.25" customHeight="1">
      <c r="A3" s="245" t="s">
        <v>222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31.5" customHeight="1">
      <c r="A4" s="188" t="s">
        <v>101</v>
      </c>
      <c r="B4" s="188" t="s">
        <v>113</v>
      </c>
      <c r="C4" s="188" t="s">
        <v>114</v>
      </c>
      <c r="D4" s="188" t="s">
        <v>103</v>
      </c>
      <c r="E4" s="188" t="s">
        <v>115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4" t="s">
        <v>116</v>
      </c>
    </row>
    <row r="5" spans="1:21" ht="33" customHeight="1">
      <c r="A5" s="188"/>
      <c r="B5" s="188"/>
      <c r="C5" s="188"/>
      <c r="D5" s="188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35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5" t="s">
        <v>223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</row>
    <row r="8" spans="1:21" ht="12.75">
      <c r="A8" s="21">
        <v>1</v>
      </c>
      <c r="B8" s="215" t="s">
        <v>224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16.5" customHeight="1">
      <c r="A9" s="225" t="s">
        <v>125</v>
      </c>
      <c r="B9" s="289" t="s">
        <v>225</v>
      </c>
      <c r="C9" s="231" t="s">
        <v>82</v>
      </c>
      <c r="D9" s="22" t="s">
        <v>97</v>
      </c>
      <c r="E9" s="23">
        <f>E11+E12+E13+E14</f>
        <v>127026798.42999999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20184453.119999997</v>
      </c>
      <c r="K9" s="23">
        <f t="shared" si="0"/>
        <v>20238814.08</v>
      </c>
      <c r="L9" s="23">
        <f t="shared" si="0"/>
        <v>0</v>
      </c>
      <c r="M9" s="260" t="s">
        <v>226</v>
      </c>
      <c r="N9" s="296">
        <v>35</v>
      </c>
      <c r="O9" s="296">
        <v>35</v>
      </c>
      <c r="P9" s="296">
        <v>35</v>
      </c>
      <c r="Q9" s="296">
        <v>35</v>
      </c>
      <c r="R9" s="296">
        <v>35</v>
      </c>
      <c r="S9" s="296">
        <v>35</v>
      </c>
      <c r="T9" s="296">
        <v>35</v>
      </c>
      <c r="U9" s="260" t="s">
        <v>227</v>
      </c>
    </row>
    <row r="10" spans="1:21" ht="16.5" customHeight="1">
      <c r="A10" s="225"/>
      <c r="B10" s="290"/>
      <c r="C10" s="232"/>
      <c r="D10" s="218" t="s">
        <v>117</v>
      </c>
      <c r="E10" s="219"/>
      <c r="F10" s="219"/>
      <c r="G10" s="219"/>
      <c r="H10" s="219"/>
      <c r="I10" s="219"/>
      <c r="J10" s="219"/>
      <c r="K10" s="219"/>
      <c r="L10" s="220"/>
      <c r="M10" s="294"/>
      <c r="N10" s="297"/>
      <c r="O10" s="297"/>
      <c r="P10" s="297"/>
      <c r="Q10" s="297"/>
      <c r="R10" s="297"/>
      <c r="S10" s="297"/>
      <c r="T10" s="297"/>
      <c r="U10" s="261"/>
    </row>
    <row r="11" spans="1:21" ht="12.75">
      <c r="A11" s="225"/>
      <c r="B11" s="290"/>
      <c r="C11" s="232"/>
      <c r="D11" s="22" t="s">
        <v>95</v>
      </c>
      <c r="E11" s="23">
        <f>F11+G11+H11+I11+J11+K11+L11</f>
        <v>127026798.42999999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10189901.04+9994552.08</f>
        <v>20184453.119999997</v>
      </c>
      <c r="K11" s="23">
        <v>20238814.08</v>
      </c>
      <c r="L11" s="23">
        <v>0</v>
      </c>
      <c r="M11" s="294"/>
      <c r="N11" s="297"/>
      <c r="O11" s="297"/>
      <c r="P11" s="297"/>
      <c r="Q11" s="297"/>
      <c r="R11" s="297"/>
      <c r="S11" s="297"/>
      <c r="T11" s="297"/>
      <c r="U11" s="261"/>
    </row>
    <row r="12" spans="1:21" ht="12.75">
      <c r="A12" s="225"/>
      <c r="B12" s="290"/>
      <c r="C12" s="232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94"/>
      <c r="N12" s="297"/>
      <c r="O12" s="297"/>
      <c r="P12" s="297"/>
      <c r="Q12" s="297"/>
      <c r="R12" s="297"/>
      <c r="S12" s="297"/>
      <c r="T12" s="297"/>
      <c r="U12" s="261"/>
    </row>
    <row r="13" spans="1:21" ht="12.75" customHeight="1">
      <c r="A13" s="225"/>
      <c r="B13" s="290"/>
      <c r="C13" s="232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94"/>
      <c r="N13" s="297"/>
      <c r="O13" s="297"/>
      <c r="P13" s="297"/>
      <c r="Q13" s="297"/>
      <c r="R13" s="297"/>
      <c r="S13" s="297"/>
      <c r="T13" s="297"/>
      <c r="U13" s="261"/>
    </row>
    <row r="14" spans="1:21" ht="25.5" customHeight="1">
      <c r="A14" s="225"/>
      <c r="B14" s="291"/>
      <c r="C14" s="233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95"/>
      <c r="N14" s="298"/>
      <c r="O14" s="298"/>
      <c r="P14" s="298"/>
      <c r="Q14" s="298"/>
      <c r="R14" s="298"/>
      <c r="S14" s="298"/>
      <c r="T14" s="298"/>
      <c r="U14" s="262"/>
    </row>
    <row r="15" spans="1:21" ht="24" customHeight="1">
      <c r="A15" s="225" t="s">
        <v>126</v>
      </c>
      <c r="B15" s="289" t="s">
        <v>228</v>
      </c>
      <c r="C15" s="231" t="s">
        <v>82</v>
      </c>
      <c r="D15" s="22" t="s">
        <v>97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0" t="s">
        <v>3</v>
      </c>
      <c r="N15" s="204">
        <v>1</v>
      </c>
      <c r="O15" s="204">
        <v>1</v>
      </c>
      <c r="P15" s="204">
        <v>1</v>
      </c>
      <c r="Q15" s="204">
        <v>1</v>
      </c>
      <c r="R15" s="204">
        <v>1</v>
      </c>
      <c r="S15" s="204">
        <v>1</v>
      </c>
      <c r="T15" s="204">
        <v>1</v>
      </c>
      <c r="U15" s="260" t="s">
        <v>227</v>
      </c>
    </row>
    <row r="16" spans="1:21" ht="16.5" customHeight="1">
      <c r="A16" s="225"/>
      <c r="B16" s="290"/>
      <c r="C16" s="232"/>
      <c r="D16" s="218" t="s">
        <v>117</v>
      </c>
      <c r="E16" s="219"/>
      <c r="F16" s="219"/>
      <c r="G16" s="219"/>
      <c r="H16" s="219"/>
      <c r="I16" s="219"/>
      <c r="J16" s="219"/>
      <c r="K16" s="219"/>
      <c r="L16" s="220"/>
      <c r="M16" s="261"/>
      <c r="N16" s="205"/>
      <c r="O16" s="205"/>
      <c r="P16" s="205"/>
      <c r="Q16" s="205"/>
      <c r="R16" s="205"/>
      <c r="S16" s="205"/>
      <c r="T16" s="205"/>
      <c r="U16" s="261"/>
    </row>
    <row r="17" spans="1:21" ht="18" customHeight="1">
      <c r="A17" s="225"/>
      <c r="B17" s="290"/>
      <c r="C17" s="232"/>
      <c r="D17" s="22" t="s">
        <v>95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1"/>
      <c r="N17" s="205"/>
      <c r="O17" s="205"/>
      <c r="P17" s="205"/>
      <c r="Q17" s="205"/>
      <c r="R17" s="205"/>
      <c r="S17" s="205"/>
      <c r="T17" s="205"/>
      <c r="U17" s="261"/>
    </row>
    <row r="18" spans="1:21" ht="12.75" customHeight="1">
      <c r="A18" s="225"/>
      <c r="B18" s="290"/>
      <c r="C18" s="232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1"/>
      <c r="N18" s="205"/>
      <c r="O18" s="205"/>
      <c r="P18" s="205"/>
      <c r="Q18" s="205"/>
      <c r="R18" s="205"/>
      <c r="S18" s="205"/>
      <c r="T18" s="205"/>
      <c r="U18" s="261"/>
    </row>
    <row r="19" spans="1:21" ht="12.75" customHeight="1">
      <c r="A19" s="225"/>
      <c r="B19" s="290"/>
      <c r="C19" s="232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1"/>
      <c r="N19" s="205"/>
      <c r="O19" s="205"/>
      <c r="P19" s="205"/>
      <c r="Q19" s="205"/>
      <c r="R19" s="205"/>
      <c r="S19" s="205"/>
      <c r="T19" s="205"/>
      <c r="U19" s="261"/>
    </row>
    <row r="20" spans="1:21" ht="24" customHeight="1">
      <c r="A20" s="225"/>
      <c r="B20" s="291"/>
      <c r="C20" s="233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2"/>
      <c r="N20" s="206"/>
      <c r="O20" s="206"/>
      <c r="P20" s="206"/>
      <c r="Q20" s="206"/>
      <c r="R20" s="206"/>
      <c r="S20" s="206"/>
      <c r="T20" s="206"/>
      <c r="U20" s="262"/>
    </row>
    <row r="21" spans="1:21" ht="19.5" customHeight="1">
      <c r="A21" s="236" t="s">
        <v>100</v>
      </c>
      <c r="B21" s="226" t="s">
        <v>186</v>
      </c>
      <c r="C21" s="231" t="s">
        <v>82</v>
      </c>
      <c r="D21" s="22" t="s">
        <v>97</v>
      </c>
      <c r="E21" s="23">
        <f>E23+E24+E25+E26</f>
        <v>1471014.9600000002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335418.51</v>
      </c>
      <c r="J21" s="23">
        <f t="shared" si="2"/>
        <v>283269.58</v>
      </c>
      <c r="K21" s="23">
        <f t="shared" si="2"/>
        <v>283269.58</v>
      </c>
      <c r="L21" s="23">
        <f t="shared" si="2"/>
        <v>0</v>
      </c>
      <c r="M21" s="260" t="s">
        <v>198</v>
      </c>
      <c r="N21" s="204">
        <v>1</v>
      </c>
      <c r="O21" s="204">
        <v>1</v>
      </c>
      <c r="P21" s="204">
        <v>1</v>
      </c>
      <c r="Q21" s="204">
        <v>1</v>
      </c>
      <c r="R21" s="204">
        <v>1</v>
      </c>
      <c r="S21" s="204">
        <v>1</v>
      </c>
      <c r="T21" s="204">
        <v>1</v>
      </c>
      <c r="U21" s="260" t="s">
        <v>227</v>
      </c>
    </row>
    <row r="22" spans="1:21" ht="16.5" customHeight="1">
      <c r="A22" s="236"/>
      <c r="B22" s="226"/>
      <c r="C22" s="232"/>
      <c r="D22" s="218" t="s">
        <v>117</v>
      </c>
      <c r="E22" s="219"/>
      <c r="F22" s="219"/>
      <c r="G22" s="219"/>
      <c r="H22" s="219"/>
      <c r="I22" s="219"/>
      <c r="J22" s="219"/>
      <c r="K22" s="219"/>
      <c r="L22" s="220"/>
      <c r="M22" s="261"/>
      <c r="N22" s="205"/>
      <c r="O22" s="205"/>
      <c r="P22" s="205"/>
      <c r="Q22" s="205"/>
      <c r="R22" s="205"/>
      <c r="S22" s="205"/>
      <c r="T22" s="205"/>
      <c r="U22" s="261"/>
    </row>
    <row r="23" spans="1:21" ht="23.25" customHeight="1">
      <c r="A23" s="236"/>
      <c r="B23" s="226"/>
      <c r="C23" s="232"/>
      <c r="D23" s="22" t="s">
        <v>95</v>
      </c>
      <c r="E23" s="23">
        <f>F23+G23+H23+I23+J23+K23+L23</f>
        <v>1471014.9600000002</v>
      </c>
      <c r="F23" s="23"/>
      <c r="G23" s="23">
        <v>332726.37</v>
      </c>
      <c r="H23" s="23">
        <f>295072.75-88472.01+29730.18</f>
        <v>236330.91999999998</v>
      </c>
      <c r="I23" s="23">
        <f>295072.48+40346.03</f>
        <v>335418.51</v>
      </c>
      <c r="J23" s="23">
        <f>141634.79+141634.79</f>
        <v>283269.58</v>
      </c>
      <c r="K23" s="23">
        <v>283269.58</v>
      </c>
      <c r="L23" s="23">
        <v>0</v>
      </c>
      <c r="M23" s="261"/>
      <c r="N23" s="205"/>
      <c r="O23" s="205"/>
      <c r="P23" s="205"/>
      <c r="Q23" s="205"/>
      <c r="R23" s="205"/>
      <c r="S23" s="205"/>
      <c r="T23" s="205"/>
      <c r="U23" s="261"/>
    </row>
    <row r="24" spans="1:21" ht="12.75">
      <c r="A24" s="236"/>
      <c r="B24" s="226"/>
      <c r="C24" s="232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1"/>
      <c r="N24" s="205"/>
      <c r="O24" s="205"/>
      <c r="P24" s="205"/>
      <c r="Q24" s="205"/>
      <c r="R24" s="205"/>
      <c r="S24" s="205"/>
      <c r="T24" s="205"/>
      <c r="U24" s="261"/>
    </row>
    <row r="25" spans="1:21" ht="12.75">
      <c r="A25" s="236"/>
      <c r="B25" s="226"/>
      <c r="C25" s="232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1"/>
      <c r="N25" s="205"/>
      <c r="O25" s="205"/>
      <c r="P25" s="205"/>
      <c r="Q25" s="205"/>
      <c r="R25" s="205"/>
      <c r="S25" s="205"/>
      <c r="T25" s="205"/>
      <c r="U25" s="261"/>
    </row>
    <row r="26" spans="1:21" ht="12.75">
      <c r="A26" s="236"/>
      <c r="B26" s="226"/>
      <c r="C26" s="233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2"/>
      <c r="N26" s="206"/>
      <c r="O26" s="206"/>
      <c r="P26" s="206"/>
      <c r="Q26" s="206"/>
      <c r="R26" s="206"/>
      <c r="S26" s="206"/>
      <c r="T26" s="206"/>
      <c r="U26" s="262"/>
    </row>
    <row r="27" spans="1:21" ht="15" customHeight="1">
      <c r="A27" s="225" t="s">
        <v>128</v>
      </c>
      <c r="B27" s="289" t="s">
        <v>123</v>
      </c>
      <c r="C27" s="231" t="s">
        <v>82</v>
      </c>
      <c r="D27" s="22" t="s">
        <v>97</v>
      </c>
      <c r="E27" s="23">
        <f>E29+E30+E31+E32</f>
        <v>246000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63000</v>
      </c>
      <c r="K27" s="23">
        <f t="shared" si="3"/>
        <v>63000</v>
      </c>
      <c r="L27" s="23">
        <f t="shared" si="3"/>
        <v>63000</v>
      </c>
      <c r="M27" s="260" t="s">
        <v>229</v>
      </c>
      <c r="N27" s="204">
        <v>1</v>
      </c>
      <c r="O27" s="204">
        <v>1</v>
      </c>
      <c r="P27" s="204">
        <v>1</v>
      </c>
      <c r="Q27" s="204">
        <v>1</v>
      </c>
      <c r="R27" s="204">
        <v>1</v>
      </c>
      <c r="S27" s="204">
        <v>1</v>
      </c>
      <c r="T27" s="204">
        <v>1</v>
      </c>
      <c r="U27" s="260" t="s">
        <v>227</v>
      </c>
    </row>
    <row r="28" spans="1:21" ht="16.5" customHeight="1">
      <c r="A28" s="225"/>
      <c r="B28" s="290"/>
      <c r="C28" s="232"/>
      <c r="D28" s="218" t="s">
        <v>117</v>
      </c>
      <c r="E28" s="219"/>
      <c r="F28" s="219"/>
      <c r="G28" s="219"/>
      <c r="H28" s="219"/>
      <c r="I28" s="219"/>
      <c r="J28" s="219"/>
      <c r="K28" s="219"/>
      <c r="L28" s="220"/>
      <c r="M28" s="261"/>
      <c r="N28" s="205"/>
      <c r="O28" s="205"/>
      <c r="P28" s="205"/>
      <c r="Q28" s="205"/>
      <c r="R28" s="205"/>
      <c r="S28" s="205"/>
      <c r="T28" s="205"/>
      <c r="U28" s="261"/>
    </row>
    <row r="29" spans="1:21" ht="12.75" customHeight="1">
      <c r="A29" s="225"/>
      <c r="B29" s="290"/>
      <c r="C29" s="232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1"/>
      <c r="N29" s="205"/>
      <c r="O29" s="205"/>
      <c r="P29" s="205"/>
      <c r="Q29" s="205"/>
      <c r="R29" s="205"/>
      <c r="S29" s="205"/>
      <c r="T29" s="205"/>
      <c r="U29" s="261"/>
    </row>
    <row r="30" spans="1:21" ht="12.75" customHeight="1">
      <c r="A30" s="225"/>
      <c r="B30" s="290"/>
      <c r="C30" s="232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1"/>
      <c r="N30" s="205"/>
      <c r="O30" s="205"/>
      <c r="P30" s="205"/>
      <c r="Q30" s="205"/>
      <c r="R30" s="205"/>
      <c r="S30" s="205"/>
      <c r="T30" s="205"/>
      <c r="U30" s="261"/>
    </row>
    <row r="31" spans="1:21" ht="12.75" customHeight="1">
      <c r="A31" s="225"/>
      <c r="B31" s="290"/>
      <c r="C31" s="232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1"/>
      <c r="N31" s="205"/>
      <c r="O31" s="205"/>
      <c r="P31" s="205"/>
      <c r="Q31" s="205"/>
      <c r="R31" s="205"/>
      <c r="S31" s="205"/>
      <c r="T31" s="205"/>
      <c r="U31" s="261"/>
    </row>
    <row r="32" spans="1:21" ht="12.75" customHeight="1">
      <c r="A32" s="225"/>
      <c r="B32" s="291"/>
      <c r="C32" s="233"/>
      <c r="D32" s="22" t="s">
        <v>96</v>
      </c>
      <c r="E32" s="23">
        <f>F32+G32+H32+I32+J32+K32+L32</f>
        <v>246000</v>
      </c>
      <c r="F32" s="23">
        <v>57000</v>
      </c>
      <c r="G32" s="23">
        <v>0</v>
      </c>
      <c r="H32" s="84">
        <v>0</v>
      </c>
      <c r="I32" s="84">
        <v>0</v>
      </c>
      <c r="J32" s="84">
        <v>63000</v>
      </c>
      <c r="K32" s="84">
        <v>63000</v>
      </c>
      <c r="L32" s="84">
        <v>63000</v>
      </c>
      <c r="M32" s="262"/>
      <c r="N32" s="206"/>
      <c r="O32" s="206"/>
      <c r="P32" s="206"/>
      <c r="Q32" s="206"/>
      <c r="R32" s="206"/>
      <c r="S32" s="206"/>
      <c r="T32" s="206"/>
      <c r="U32" s="262"/>
    </row>
    <row r="33" spans="1:21" ht="13.5" customHeight="1">
      <c r="A33" s="236"/>
      <c r="B33" s="266" t="s">
        <v>157</v>
      </c>
      <c r="C33" s="236"/>
      <c r="D33" s="102" t="s">
        <v>97</v>
      </c>
      <c r="E33" s="103">
        <f aca="true" t="shared" si="4" ref="E33:L33">E35+E36+E37+E38</f>
        <v>129595306.91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21301599.51</v>
      </c>
      <c r="J33" s="103">
        <f t="shared" si="4"/>
        <v>20530722.699999996</v>
      </c>
      <c r="K33" s="103">
        <f t="shared" si="4"/>
        <v>20585083.659999996</v>
      </c>
      <c r="L33" s="103">
        <f t="shared" si="4"/>
        <v>63000</v>
      </c>
      <c r="M33" s="238"/>
      <c r="N33" s="246"/>
      <c r="O33" s="246"/>
      <c r="P33" s="246"/>
      <c r="Q33" s="246"/>
      <c r="R33" s="246"/>
      <c r="S33" s="246"/>
      <c r="T33" s="246"/>
      <c r="U33" s="249"/>
    </row>
    <row r="34" spans="1:21" ht="12.75" customHeight="1">
      <c r="A34" s="236"/>
      <c r="B34" s="267"/>
      <c r="C34" s="236"/>
      <c r="D34" s="241" t="s">
        <v>117</v>
      </c>
      <c r="E34" s="242"/>
      <c r="F34" s="242"/>
      <c r="G34" s="242"/>
      <c r="H34" s="242"/>
      <c r="I34" s="242"/>
      <c r="J34" s="242"/>
      <c r="K34" s="242"/>
      <c r="L34" s="243"/>
      <c r="M34" s="239"/>
      <c r="N34" s="247"/>
      <c r="O34" s="247"/>
      <c r="P34" s="247"/>
      <c r="Q34" s="247"/>
      <c r="R34" s="247"/>
      <c r="S34" s="247"/>
      <c r="T34" s="247"/>
      <c r="U34" s="250"/>
    </row>
    <row r="35" spans="1:21" ht="13.5" customHeight="1">
      <c r="A35" s="236"/>
      <c r="B35" s="267"/>
      <c r="C35" s="236"/>
      <c r="D35" s="104" t="s">
        <v>95</v>
      </c>
      <c r="E35" s="103">
        <f>F35+G35+H35+I35+J35+K35+L35</f>
        <v>129349306.91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21301599.51</v>
      </c>
      <c r="J35" s="105">
        <f>J11+J17+J29+J23</f>
        <v>20467722.699999996</v>
      </c>
      <c r="K35" s="105">
        <f t="shared" si="5"/>
        <v>20522083.659999996</v>
      </c>
      <c r="L35" s="105">
        <f t="shared" si="5"/>
        <v>0</v>
      </c>
      <c r="M35" s="239"/>
      <c r="N35" s="247"/>
      <c r="O35" s="247"/>
      <c r="P35" s="247"/>
      <c r="Q35" s="247"/>
      <c r="R35" s="247"/>
      <c r="S35" s="247"/>
      <c r="T35" s="247"/>
      <c r="U35" s="250"/>
    </row>
    <row r="36" spans="1:21" ht="13.5" customHeight="1">
      <c r="A36" s="236"/>
      <c r="B36" s="267"/>
      <c r="C36" s="236"/>
      <c r="D36" s="104" t="s">
        <v>93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9"/>
      <c r="N36" s="247"/>
      <c r="O36" s="247"/>
      <c r="P36" s="247"/>
      <c r="Q36" s="247"/>
      <c r="R36" s="247"/>
      <c r="S36" s="247"/>
      <c r="T36" s="247"/>
      <c r="U36" s="250"/>
    </row>
    <row r="37" spans="1:21" ht="13.5" customHeight="1">
      <c r="A37" s="236"/>
      <c r="B37" s="267"/>
      <c r="C37" s="236"/>
      <c r="D37" s="104" t="s">
        <v>94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9"/>
      <c r="N37" s="247"/>
      <c r="O37" s="247"/>
      <c r="P37" s="247"/>
      <c r="Q37" s="247"/>
      <c r="R37" s="247"/>
      <c r="S37" s="247"/>
      <c r="T37" s="247"/>
      <c r="U37" s="250"/>
    </row>
    <row r="38" spans="1:21" ht="13.5" customHeight="1">
      <c r="A38" s="236"/>
      <c r="B38" s="268"/>
      <c r="C38" s="236"/>
      <c r="D38" s="104" t="s">
        <v>96</v>
      </c>
      <c r="E38" s="103">
        <f>F38+G38+H38+I38+J38+K38+L38</f>
        <v>246000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63000</v>
      </c>
      <c r="K38" s="105">
        <f t="shared" si="6"/>
        <v>63000</v>
      </c>
      <c r="L38" s="105">
        <f t="shared" si="6"/>
        <v>63000</v>
      </c>
      <c r="M38" s="240"/>
      <c r="N38" s="248"/>
      <c r="O38" s="248"/>
      <c r="P38" s="248"/>
      <c r="Q38" s="248"/>
      <c r="R38" s="248"/>
      <c r="S38" s="248"/>
      <c r="T38" s="248"/>
      <c r="U38" s="251"/>
    </row>
    <row r="39" spans="1:21" ht="13.5" customHeight="1">
      <c r="A39" s="236"/>
      <c r="B39" s="266" t="s">
        <v>230</v>
      </c>
      <c r="C39" s="236"/>
      <c r="D39" s="102" t="s">
        <v>97</v>
      </c>
      <c r="E39" s="103">
        <f aca="true" t="shared" si="7" ref="E39:L39">E41+E42+E43+E44</f>
        <v>129595306.91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21301599.51</v>
      </c>
      <c r="J39" s="103">
        <f t="shared" si="7"/>
        <v>20530722.699999996</v>
      </c>
      <c r="K39" s="103">
        <f t="shared" si="7"/>
        <v>20585083.659999996</v>
      </c>
      <c r="L39" s="103">
        <f t="shared" si="7"/>
        <v>63000</v>
      </c>
      <c r="M39" s="238"/>
      <c r="N39" s="246"/>
      <c r="O39" s="246"/>
      <c r="P39" s="246"/>
      <c r="Q39" s="246"/>
      <c r="R39" s="246"/>
      <c r="S39" s="246"/>
      <c r="T39" s="246"/>
      <c r="U39" s="249"/>
    </row>
    <row r="40" spans="1:21" ht="12.75" customHeight="1">
      <c r="A40" s="236"/>
      <c r="B40" s="267"/>
      <c r="C40" s="236"/>
      <c r="D40" s="241" t="s">
        <v>117</v>
      </c>
      <c r="E40" s="242"/>
      <c r="F40" s="242"/>
      <c r="G40" s="242"/>
      <c r="H40" s="242"/>
      <c r="I40" s="242"/>
      <c r="J40" s="242"/>
      <c r="K40" s="242"/>
      <c r="L40" s="243"/>
      <c r="M40" s="239"/>
      <c r="N40" s="247"/>
      <c r="O40" s="247"/>
      <c r="P40" s="247"/>
      <c r="Q40" s="247"/>
      <c r="R40" s="247"/>
      <c r="S40" s="247"/>
      <c r="T40" s="247"/>
      <c r="U40" s="250"/>
    </row>
    <row r="41" spans="1:21" ht="13.5" customHeight="1">
      <c r="A41" s="236"/>
      <c r="B41" s="267"/>
      <c r="C41" s="236"/>
      <c r="D41" s="104" t="s">
        <v>95</v>
      </c>
      <c r="E41" s="103">
        <f>F41+G41+H41+I41+J41+K41+L41</f>
        <v>129349306.91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21301599.51</v>
      </c>
      <c r="J41" s="105">
        <f t="shared" si="8"/>
        <v>20467722.699999996</v>
      </c>
      <c r="K41" s="105">
        <f t="shared" si="8"/>
        <v>20522083.659999996</v>
      </c>
      <c r="L41" s="105">
        <f t="shared" si="8"/>
        <v>0</v>
      </c>
      <c r="M41" s="239"/>
      <c r="N41" s="247"/>
      <c r="O41" s="247"/>
      <c r="P41" s="247"/>
      <c r="Q41" s="247"/>
      <c r="R41" s="247"/>
      <c r="S41" s="247"/>
      <c r="T41" s="247"/>
      <c r="U41" s="250"/>
    </row>
    <row r="42" spans="1:21" ht="13.5" customHeight="1">
      <c r="A42" s="236"/>
      <c r="B42" s="267"/>
      <c r="C42" s="236"/>
      <c r="D42" s="104" t="s">
        <v>93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39"/>
      <c r="N42" s="247"/>
      <c r="O42" s="247"/>
      <c r="P42" s="247"/>
      <c r="Q42" s="247"/>
      <c r="R42" s="247"/>
      <c r="S42" s="247"/>
      <c r="T42" s="247"/>
      <c r="U42" s="250"/>
    </row>
    <row r="43" spans="1:21" ht="13.5" customHeight="1">
      <c r="A43" s="236"/>
      <c r="B43" s="267"/>
      <c r="C43" s="236"/>
      <c r="D43" s="104" t="s">
        <v>94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39"/>
      <c r="N43" s="247"/>
      <c r="O43" s="247"/>
      <c r="P43" s="247"/>
      <c r="Q43" s="247"/>
      <c r="R43" s="247"/>
      <c r="S43" s="247"/>
      <c r="T43" s="247"/>
      <c r="U43" s="250"/>
    </row>
    <row r="44" spans="1:21" ht="13.5" customHeight="1">
      <c r="A44" s="236"/>
      <c r="B44" s="268"/>
      <c r="C44" s="236"/>
      <c r="D44" s="104" t="s">
        <v>96</v>
      </c>
      <c r="E44" s="103">
        <f>F44+G44+H44+I44+J44+K44+L44</f>
        <v>246000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0</v>
      </c>
      <c r="J44" s="105">
        <f t="shared" si="8"/>
        <v>63000</v>
      </c>
      <c r="K44" s="105">
        <f t="shared" si="8"/>
        <v>63000</v>
      </c>
      <c r="L44" s="105">
        <f t="shared" si="8"/>
        <v>63000</v>
      </c>
      <c r="M44" s="240"/>
      <c r="N44" s="248"/>
      <c r="O44" s="248"/>
      <c r="P44" s="248"/>
      <c r="Q44" s="248"/>
      <c r="R44" s="248"/>
      <c r="S44" s="248"/>
      <c r="T44" s="248"/>
      <c r="U44" s="251"/>
    </row>
    <row r="48" ht="12.75">
      <c r="G48" s="26"/>
    </row>
  </sheetData>
  <sheetProtection/>
  <mergeCells count="89"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2017-10-27T14:04:24Z</cp:lastPrinted>
  <dcterms:created xsi:type="dcterms:W3CDTF">2013-06-06T11:09:14Z</dcterms:created>
  <dcterms:modified xsi:type="dcterms:W3CDTF">2017-12-12T13:57:50Z</dcterms:modified>
  <cp:category/>
  <cp:version/>
  <cp:contentType/>
  <cp:contentStatus/>
</cp:coreProperties>
</file>