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 windowWidth="11340" windowHeight="9345" tabRatio="775" activeTab="0"/>
  </bookViews>
  <sheets>
    <sheet name="прил6" sheetId="1" r:id="rId1"/>
    <sheet name="прил7" sheetId="2" r:id="rId2"/>
    <sheet name="прил 8" sheetId="3" r:id="rId3"/>
    <sheet name="прил 9" sheetId="4" r:id="rId4"/>
  </sheets>
  <externalReferences>
    <externalReference r:id="rId7"/>
    <externalReference r:id="rId8"/>
    <externalReference r:id="rId9"/>
    <externalReference r:id="rId10"/>
  </externalReferences>
  <definedNames>
    <definedName name="_xlnm.Print_Titles" localSheetId="2">'прил 8'!$9:$10</definedName>
    <definedName name="_xlnm.Print_Titles" localSheetId="3">'прил 9'!$9:$11</definedName>
    <definedName name="_xlnm.Print_Titles" localSheetId="0">'прил6'!$9:$10</definedName>
    <definedName name="_xlnm.Print_Titles" localSheetId="1">'прил7'!$9:$10</definedName>
  </definedNames>
  <calcPr fullCalcOnLoad="1"/>
</workbook>
</file>

<file path=xl/sharedStrings.xml><?xml version="1.0" encoding="utf-8"?>
<sst xmlns="http://schemas.openxmlformats.org/spreadsheetml/2006/main" count="9287" uniqueCount="469">
  <si>
    <t>Муниципальная программа ЗАТО Александровск "Охрана окружающей среды" на 2014 - 2016 годы</t>
  </si>
  <si>
    <t>7600000</t>
  </si>
  <si>
    <t>7602999</t>
  </si>
  <si>
    <t>Муниципальная программа "Развитие инвестиционной деятельности муниципального образования ЗАТО Александровск" на 2014 - 2016 годы</t>
  </si>
  <si>
    <t>7900000</t>
  </si>
  <si>
    <t>7902999</t>
  </si>
  <si>
    <t>Муниципальная программа ЗАТО Александровск "Эффективное управление муниципальными финансами и оптимизация муниципального долга ЗАТО Александровск" на 2014 - 2016 годы</t>
  </si>
  <si>
    <t>8100000</t>
  </si>
  <si>
    <t>Физическая культура</t>
  </si>
  <si>
    <t>Средства массовой информации</t>
  </si>
  <si>
    <t>Связь и информатика</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</si>
  <si>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</si>
  <si>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</si>
  <si>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12</t>
  </si>
  <si>
    <t>0700502</t>
  </si>
  <si>
    <t>в том числе за счет средств бюджетов других уровней бюджетной системы Российской Федерации</t>
  </si>
  <si>
    <t>13</t>
  </si>
  <si>
    <t>Органы юстиции</t>
  </si>
  <si>
    <t>100</t>
  </si>
  <si>
    <t>200</t>
  </si>
  <si>
    <t>Культура и кинематография</t>
  </si>
  <si>
    <t>700</t>
  </si>
  <si>
    <t>800</t>
  </si>
  <si>
    <t>600</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</si>
  <si>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</si>
  <si>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окружающей среды</t>
  </si>
  <si>
    <t>Другие вопросы в области охраны окружающей среды</t>
  </si>
  <si>
    <t xml:space="preserve">                                             Приложение № 9</t>
  </si>
  <si>
    <t>Распределение бюджетных ассигнований местного бюджета ЗАТО Александровск на реализацию муниципальных  программ ЗАТО Александровск на 2014 год и на плановый период 2015 и 2016 годов</t>
  </si>
  <si>
    <t>Код ведомства</t>
  </si>
  <si>
    <t>Реализация Закона Мурманской области "О региональных нормативах финансового обеспечения образовательной деятельности в Мурманской области"</t>
  </si>
  <si>
    <t>Субвенция местным бюджетамна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</si>
  <si>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</si>
  <si>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</si>
  <si>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Муниципальная программа ЗАТО Александровск "Обеспечение комфортной среды проживания населения муниципального образования" на 2014 - 2016 годы</t>
  </si>
  <si>
    <t>7400000</t>
  </si>
  <si>
    <t>Подпрограмма 6 "Транспортное обслуживание населения ЗАТО Александровск"</t>
  </si>
  <si>
    <t>7460000</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</si>
  <si>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</si>
  <si>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7467760</t>
  </si>
  <si>
    <t>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</si>
  <si>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7037524</t>
  </si>
  <si>
    <t>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</si>
  <si>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7037525</t>
  </si>
  <si>
    <t>8217551</t>
  </si>
  <si>
    <t>Подпрограмма 5 "Осуществление муниципальных функций, направленных на повышение эффективности управления муниципальным имуществом"</t>
  </si>
  <si>
    <t>8250000</t>
  </si>
  <si>
    <t>Иные межбюджетные трансферты на переселение граждан из закрытых административно-территориальных образований</t>
  </si>
  <si>
    <t>8255159</t>
  </si>
  <si>
    <t>Капитальные вложения в объекты недвижимого имущества государственной (муниципальной) собственности</t>
  </si>
  <si>
    <t>Муниципальная программа ЗАТО Александровск "Развитие культуры и сохранение культурного наследия" на 2014 - 2016 годы</t>
  </si>
  <si>
    <t>7300000</t>
  </si>
  <si>
    <t>8262009</t>
  </si>
  <si>
    <t>Подпрограмма 2 "Библиотечное дело ЗАТО Александровск"</t>
  </si>
  <si>
    <t>7320000</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</si>
  <si>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</si>
  <si>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7325144</t>
  </si>
  <si>
    <t>Подпрограмма 8 "Развитие современной инфраструктуры системы образования ЗАТО Александровск"</t>
  </si>
  <si>
    <t>7080000</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</si>
  <si>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</si>
  <si>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Защита населения и территории от чрезвычайных ситуаций природного и техногенного характера, гражданская оборона</t>
  </si>
  <si>
    <t>Молодежная политика и оздоровление детей</t>
  </si>
  <si>
    <t>Код ведом-ства</t>
  </si>
  <si>
    <t>913</t>
  </si>
  <si>
    <t>914</t>
  </si>
  <si>
    <t>915</t>
  </si>
  <si>
    <t>919</t>
  </si>
  <si>
    <t>916</t>
  </si>
  <si>
    <t>Управление образования  администрации ЗАТО Александровск</t>
  </si>
  <si>
    <t>918</t>
  </si>
  <si>
    <t>Функционирование высшего должностного лица субъекта Российской Федерации и муниципального образования</t>
  </si>
  <si>
    <t>Муниципальная программа ЗАТО Александровск "Энергоэффективность и развитие энергетики" на 2014 - 2016 годы</t>
  </si>
  <si>
    <t>7800000</t>
  </si>
  <si>
    <t>7802009</t>
  </si>
  <si>
    <t>7802999</t>
  </si>
  <si>
    <t>Возмещение затрат, связанное с приобретением и установкой приборов учета воды малоимущим гражданам</t>
  </si>
  <si>
    <t>7806008</t>
  </si>
  <si>
    <t>Подпрограмма 1 "Управление развитием информационного общества и формированием электронного правительства"</t>
  </si>
  <si>
    <t>8010000</t>
  </si>
  <si>
    <t>8010002</t>
  </si>
  <si>
    <t>Подпрограмма 3 "Информационное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t>
  </si>
  <si>
    <t>8030000</t>
  </si>
  <si>
    <t>Возмещение расходов на опубликование нормативных актов ЗАТО Александровск</t>
  </si>
  <si>
    <t>8036007</t>
  </si>
  <si>
    <t>8040002</t>
  </si>
  <si>
    <t>8044001</t>
  </si>
  <si>
    <t>Подпрограмма 2 "Обеспечение деятельности управления муниципальной собственностью администрации ЗАТО Александровск"</t>
  </si>
  <si>
    <t>Подпрограмма 4 "Архивное дело ЗАТО Александровск"</t>
  </si>
  <si>
    <t>8240000</t>
  </si>
  <si>
    <t>8240002</t>
  </si>
  <si>
    <t>8250002</t>
  </si>
  <si>
    <t>Подпрограмма 6 "Обслуживание деятельности органов местного самоуправления"</t>
  </si>
  <si>
    <t>8260000</t>
  </si>
  <si>
    <t>8260002</t>
  </si>
  <si>
    <t>Подпрограмма 7 "Повышение эффективности управления капитальным строительством и капитальным ремонтом объектов инфраструктуры ЗАТО Александровск"</t>
  </si>
  <si>
    <t>8270000</t>
  </si>
  <si>
    <t>8270002</t>
  </si>
  <si>
    <t>8222014</t>
  </si>
  <si>
    <t>8220000</t>
  </si>
  <si>
    <t>8222015</t>
  </si>
  <si>
    <t>8215930</t>
  </si>
  <si>
    <t>Подпрограмма 1 "Совершенствование финансовой и бюджетной политики"</t>
  </si>
  <si>
    <t>8110000</t>
  </si>
  <si>
    <t>Обслуживание государственного внутреннего и муниципального долга</t>
  </si>
  <si>
    <t>Подпрограмма 2 "Эффективное управление муниципальным долгом"</t>
  </si>
  <si>
    <t>8120000</t>
  </si>
  <si>
    <t>Процентные платежи по муниципальному долгу</t>
  </si>
  <si>
    <t>8122012</t>
  </si>
  <si>
    <t>7102009</t>
  </si>
  <si>
    <t>7700000</t>
  </si>
  <si>
    <t>Ремонт автомобильных дорог общего пользования местного значения</t>
  </si>
  <si>
    <t>7702004</t>
  </si>
  <si>
    <t>Содержание автомобильных дорог общего пользования местного значения, за исключением капитального ремонта и ремонта</t>
  </si>
  <si>
    <t>7702005</t>
  </si>
  <si>
    <t>7702999</t>
  </si>
  <si>
    <t>Муниципальная программа "Обеспечение комплексной безопасности населения ЗАТО Александровск" на 2014 - 2016 годы</t>
  </si>
  <si>
    <t>7500000</t>
  </si>
  <si>
    <t>Подпрограмма 1 "Профилактика правонарушений, обеспечение безопасности населения ЗАТО Александровск"</t>
  </si>
  <si>
    <t>7510000</t>
  </si>
  <si>
    <t>Мероприятия по развитию и обслуживанию системы АПК "Безопасный город"</t>
  </si>
  <si>
    <t>7512011</t>
  </si>
  <si>
    <t>Подпрограмма 2 "Повышение безопасности дорожного движения и снижение дорожно-транспортного травматизма в ЗАТО Александровск"</t>
  </si>
  <si>
    <t>7520000</t>
  </si>
  <si>
    <t>7522999</t>
  </si>
  <si>
    <t>Подпрограмма 3 "Защита населения и территории ЗАТО Александровск от чрезвычайных ситуаций, мероприятия в области гражданской обороны"</t>
  </si>
  <si>
    <t>7530000</t>
  </si>
  <si>
    <t>7530002</t>
  </si>
  <si>
    <t>7532999</t>
  </si>
  <si>
    <t>7514001</t>
  </si>
  <si>
    <t>8042999</t>
  </si>
  <si>
    <t>Подпрограмма 8 "Развитие муниципальной службы ЗАТО Александровск"</t>
  </si>
  <si>
    <t>8280000</t>
  </si>
  <si>
    <t>8282999</t>
  </si>
  <si>
    <t>7534001</t>
  </si>
  <si>
    <t>Предоставление дополнительного пенсионного обеспечения муниципальным служащим в органах местного самоуправления ЗАТО Александровск и лицам, замещавшим муниципальные должности в муниципальном образовании ЗАТО Александровск"</t>
  </si>
  <si>
    <t>9908001</t>
  </si>
  <si>
    <t>7312999</t>
  </si>
  <si>
    <t>7310002</t>
  </si>
  <si>
    <t>7320002</t>
  </si>
  <si>
    <t>Подпрограмма 3 "Музейное дело ЗАТО Александровск"</t>
  </si>
  <si>
    <t>7330000</t>
  </si>
  <si>
    <t>7330002</t>
  </si>
  <si>
    <t>Подпрограмма 4 "Сохранение и реконструкция военно-мемориальных объектов ЗАТО Александровск"</t>
  </si>
  <si>
    <t>7340000</t>
  </si>
  <si>
    <t>7342009</t>
  </si>
  <si>
    <t>7342999</t>
  </si>
  <si>
    <t>Подпрограмма 5 "Модернизация учреждений культуры и дополнительного образования в сфере культуры ЗАТО Александровск"</t>
  </si>
  <si>
    <t>7350000</t>
  </si>
  <si>
    <t>7352009</t>
  </si>
  <si>
    <t>7352999</t>
  </si>
  <si>
    <t>7212999</t>
  </si>
  <si>
    <t>Подпрограмма 2 "Молодежь ЗАТО Александровск"</t>
  </si>
  <si>
    <t>7220000</t>
  </si>
  <si>
    <t>Стипендии и премии главы администрации ЗАТО Александровск</t>
  </si>
  <si>
    <t>7222001</t>
  </si>
  <si>
    <t>7222999</t>
  </si>
  <si>
    <t>Подпрограмма 3 "Патриотическое воспитание граждан"</t>
  </si>
  <si>
    <t>7230000</t>
  </si>
  <si>
    <t>7230002</t>
  </si>
  <si>
    <t>Подпрограмма 4 "SOS!"</t>
  </si>
  <si>
    <t>7240000</t>
  </si>
  <si>
    <t>7242999</t>
  </si>
  <si>
    <t>Подпрограмма 3 "Обеспечение деятельности управления культуры, спорта и молодежной политики администрации ЗАТО Александровск"</t>
  </si>
  <si>
    <t>8230000</t>
  </si>
  <si>
    <t>Мероприятия по землеустройству и землепользованию</t>
  </si>
  <si>
    <t>Периодическая печать и издательства</t>
  </si>
  <si>
    <t>Физическая культура и спорт</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</si>
  <si>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</si>
  <si>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Обслуживание государственного и муниципального долга</t>
  </si>
  <si>
    <t>11</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</si>
  <si>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</si>
  <si>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7082009</t>
  </si>
  <si>
    <t>Распределение бюджетных ассигнований по разделам, подразделам, целевым статьям (муниципальным программам ЗАТО Александровск и непрограммным направлениям
деятельности), группам видов расходов классификации расходов местного бюджета ЗАТО Александровск на 2014 год</t>
  </si>
  <si>
    <t>Распределение бюджетных ассигнований по целевым статьям (муниципальным программам ЗАТО Александровск и непрограммным направлениям деятельности), группам видов расходов, разделам, подразделам классификации расходов местного бюджета ЗАТО Александровск на 2014 год</t>
  </si>
  <si>
    <t>Целевая статья</t>
  </si>
  <si>
    <t>Вид расхода</t>
  </si>
  <si>
    <t>Раздел</t>
  </si>
  <si>
    <t>Подраздел</t>
  </si>
  <si>
    <t>контрольно-счетная палата ЗАТО Александровск</t>
  </si>
  <si>
    <t xml:space="preserve">               от 20 декабря 2013 года № 87</t>
  </si>
  <si>
    <t>в редакции решения Совета депутатов ЗАТО Александровск</t>
  </si>
  <si>
    <t>7017103</t>
  </si>
  <si>
    <t>7027103</t>
  </si>
  <si>
    <t>Подпрограмма 1 "Развитие творческого потенциала и организация досуга населения ЗАТО Александровск"</t>
  </si>
  <si>
    <t>7310000</t>
  </si>
  <si>
    <t>7317103</t>
  </si>
  <si>
    <t>7327103</t>
  </si>
  <si>
    <t>7017533</t>
  </si>
  <si>
    <t>7027533</t>
  </si>
  <si>
    <t>7037552</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</si>
  <si>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</si>
  <si>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7017511</t>
  </si>
  <si>
    <t>7027511</t>
  </si>
  <si>
    <t>7317511</t>
  </si>
  <si>
    <t>7327511</t>
  </si>
  <si>
    <t>Субсидия муниципальным образованиям на предоставление поддержки малоимущим гражданам на установку приборов учета используемых энергоресурсов (подтвержденные остатки прошлых лет)</t>
  </si>
  <si>
    <t>7807917</t>
  </si>
  <si>
    <t>Охрана объектов растительного и животного мира и среды их обитания</t>
  </si>
  <si>
    <t>Субсидии бюджетам муниципальных образований на реализацию мероприятий, направленных на снижение негативного воздействия отходов производства и потребления на природную среду (подтвержденные остатки прошлых лет)</t>
  </si>
  <si>
    <t>7607911</t>
  </si>
  <si>
    <t>Адресная программа поэтапного перехода на отпуск ресурсопотреблений в соответствии с показаниями коллективных приборов учета (подтвержденные остатки прошлых лет)</t>
  </si>
  <si>
    <t>7807918</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</si>
  <si>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</si>
  <si>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7317510</t>
  </si>
  <si>
    <t>7327510</t>
  </si>
  <si>
    <t>7017510</t>
  </si>
  <si>
    <t>7027510</t>
  </si>
  <si>
    <t>8217556</t>
  </si>
  <si>
    <t>Субвенция на государственную регистрацию актов гражданского состояния</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</si>
  <si>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</si>
  <si>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7010002</t>
  </si>
  <si>
    <t>7020002</t>
  </si>
  <si>
    <t>Подпрограмма 4 "Обеспечение информационно-методического сопровождения образовательного процесса муниципальных учреждений"</t>
  </si>
  <si>
    <t>7040000</t>
  </si>
  <si>
    <t>7040002</t>
  </si>
  <si>
    <t>Подпрограмма 5 "Обеспечение хозяйственно-эксплуатационного обслуживания учреждений системы образования ЗАТО Александровск"</t>
  </si>
  <si>
    <t>7050000</t>
  </si>
  <si>
    <t>7050002</t>
  </si>
  <si>
    <t>7060002</t>
  </si>
  <si>
    <t>Подпрограмма 7 "Организация отдыха, оздоровления и занятости детей и молодежи ЗАТО Александровск"</t>
  </si>
  <si>
    <t>7070000</t>
  </si>
  <si>
    <t>7072999</t>
  </si>
  <si>
    <t>Мероприятия, связанные со строительством (реконструкцией) объектов муниципальной собственности</t>
  </si>
  <si>
    <t>7084001</t>
  </si>
  <si>
    <t>Возмещение затрат в связи с осуществлением регулярных пассажирских перевозок на социально-значимых маршрутах</t>
  </si>
  <si>
    <t>7466001</t>
  </si>
  <si>
    <t>Подпрограмма 1 "Капитальный ремонт многоквартирных домов ЗАТО Александровск"</t>
  </si>
  <si>
    <t>7410000</t>
  </si>
  <si>
    <t>Капитальный и текущий ремонт объектов муниципальной собственности</t>
  </si>
  <si>
    <t>7412009</t>
  </si>
  <si>
    <t>Капитальный и текущий ремонт объектов жилищно-коммунального хозяйства</t>
  </si>
  <si>
    <t>7422010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</si>
  <si>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</si>
  <si>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</si>
  <si>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Дорожное хозяйство (дорожные фонды)</t>
  </si>
  <si>
    <t>Иные бюджетные ассигнования</t>
  </si>
  <si>
    <t>Резервные средства</t>
  </si>
  <si>
    <t>870</t>
  </si>
  <si>
    <t>Организация отдыха детей Мурманской области в оздоровительных учреждениях с дневныи пребываением, организованных на базе муниципальных учреждений</t>
  </si>
  <si>
    <t>Социальное обеспечение и иные выплаты населению</t>
  </si>
  <si>
    <t>300</t>
  </si>
  <si>
    <t>7002002</t>
  </si>
  <si>
    <t>Муниципальная программа "Развитие транспортной системы ЗАТО Александровск" на 2014 - 2016 годы</t>
  </si>
  <si>
    <t>14</t>
  </si>
  <si>
    <t>Благоустройство</t>
  </si>
  <si>
    <t>Управление финансов администрации ЗАТО Александровск</t>
  </si>
  <si>
    <t xml:space="preserve">                 к решению Совета депутатов ЗАТО Александровск</t>
  </si>
  <si>
    <t>Совет депутатов муниципального образования закрытое административно-территориальное образование Александровск Мурманской области</t>
  </si>
  <si>
    <t>администрация муниципального образования закрытое административно-территориальное образование Александровск Мурманской области</t>
  </si>
  <si>
    <t>Управление муниципальной собственностью администрации ЗАТО Александровск</t>
  </si>
  <si>
    <t xml:space="preserve">                                             Приложение № 6</t>
  </si>
  <si>
    <t xml:space="preserve">                                             Приложение № 7</t>
  </si>
  <si>
    <t>Оценка недвижимости, признание прав и регулирование отношений по государственной и муниципальной собственности</t>
  </si>
  <si>
    <t>Наименование</t>
  </si>
  <si>
    <t>Сумма</t>
  </si>
  <si>
    <t>01</t>
  </si>
  <si>
    <t>06</t>
  </si>
  <si>
    <t>05</t>
  </si>
  <si>
    <t>07</t>
  </si>
  <si>
    <t>08</t>
  </si>
  <si>
    <t>02</t>
  </si>
  <si>
    <t>09</t>
  </si>
  <si>
    <t>03</t>
  </si>
  <si>
    <t>10</t>
  </si>
  <si>
    <t>Жилищно-коммунальное хозяйство</t>
  </si>
  <si>
    <t>04</t>
  </si>
  <si>
    <t>Образование</t>
  </si>
  <si>
    <t>Дошкольное образование</t>
  </si>
  <si>
    <t>Общее образование</t>
  </si>
  <si>
    <t>Социальная политика</t>
  </si>
  <si>
    <t>Жилищное хозяйство</t>
  </si>
  <si>
    <t>Под-раздел</t>
  </si>
  <si>
    <t>Вид расходов</t>
  </si>
  <si>
    <t>Целевая статья расходов</t>
  </si>
  <si>
    <t>Общегосударственные вопросы</t>
  </si>
  <si>
    <t>Национальная безопасность и правоохранительная деятельность</t>
  </si>
  <si>
    <t>Национальная экономика</t>
  </si>
  <si>
    <t>Транспорт</t>
  </si>
  <si>
    <t>Другие вопросы в области национальной экономики</t>
  </si>
  <si>
    <t>Другие вопросы в области образования</t>
  </si>
  <si>
    <t>Культура</t>
  </si>
  <si>
    <t>Социальное обеспечение населения</t>
  </si>
  <si>
    <t>Другие вопросы в области жилищно-коммунального хозяйства</t>
  </si>
  <si>
    <t>Резервные фонды</t>
  </si>
  <si>
    <t>Другие общегосударственные вопросы</t>
  </si>
  <si>
    <t>00</t>
  </si>
  <si>
    <t>рублей</t>
  </si>
  <si>
    <t>Пенсионное обеспечение</t>
  </si>
  <si>
    <t>Раз-дел</t>
  </si>
  <si>
    <t>Другие вопросы в области национальной безопасности и правоохранительной деятельности</t>
  </si>
  <si>
    <t>Другие вопросы в области социальной политики</t>
  </si>
  <si>
    <t>Прочие расходы администрации ЗАТО Александровск</t>
  </si>
  <si>
    <t>Управление культуры, спорта и молодежной политики администрации ЗАТО Александровск</t>
  </si>
  <si>
    <t>Реализация Закона Мурманской области "О комиссиях по делам несовершеннолетних и защите их прав в Мурманской области"</t>
  </si>
  <si>
    <t>Обеспечение бесплатным питанием отдельных категорий обучающихся</t>
  </si>
  <si>
    <t>Охрана семьи и детства</t>
  </si>
  <si>
    <t xml:space="preserve">                                             Приложение № 8</t>
  </si>
  <si>
    <t>400</t>
  </si>
  <si>
    <t>Обслуживание государственного (муниципального) долга</t>
  </si>
  <si>
    <t>924</t>
  </si>
  <si>
    <t>Обеспечение деятельности финансовых, налоговых и таможенных органов и органов финансового (финансово-бюджетного) надзора</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</si>
  <si>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</si>
  <si>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Ведомственная структура расходов местного бюджета ЗАТО Александровск на 2014 год</t>
  </si>
  <si>
    <t>Непрограммная деятельность</t>
  </si>
  <si>
    <t>9900000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</si>
  <si>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</si>
  <si>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</si>
  <si>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Муниципальная программа ЗАТО Александровск "Информационное общество" на 2014 - 2016 годы</t>
  </si>
  <si>
    <t>8000000</t>
  </si>
  <si>
    <t>Подпрограмма 2 "Развитие информационного общества и формирование электронного правительства"</t>
  </si>
  <si>
    <t>8020000</t>
  </si>
  <si>
    <t>Прочие направления деятельности муниципальной программы</t>
  </si>
  <si>
    <t>8022999</t>
  </si>
  <si>
    <t>Муниципальная программа ЗАТО Александровск "Эффективное муниципальное управление" на 2014 - 2016 годы</t>
  </si>
  <si>
    <t>8200000</t>
  </si>
  <si>
    <t>Подпрограмма 1 "Обеспечение деятельности администрации ЗАТО Александровск"</t>
  </si>
  <si>
    <t>8210000</t>
  </si>
  <si>
    <t>Непрограммная часть</t>
  </si>
  <si>
    <t>Резервный фонд администрации ЗАТО Александровск</t>
  </si>
  <si>
    <t>9902002</t>
  </si>
  <si>
    <t>8217554</t>
  </si>
  <si>
    <t>Реализация Закона Мурманской области "Об административных комиссиях"</t>
  </si>
  <si>
    <t>8217555</t>
  </si>
  <si>
    <t>9902013</t>
  </si>
  <si>
    <t>Муниципальная программа "Повышение качества жизни отдельных категорий граждан ЗАТО Александровск" на 2014 - 2016 годы</t>
  </si>
  <si>
    <t>7100000</t>
  </si>
  <si>
    <t>Прочие направления расходов муниципальной программы</t>
  </si>
  <si>
    <t>7102999</t>
  </si>
  <si>
    <t>Предоставление субсидий социально-ориентированным некоммерческим организациям</t>
  </si>
  <si>
    <t>7106004</t>
  </si>
  <si>
    <t>Предоставление субсидий бюджетным, автономным учреждениям и иным некоммерческим организациям</t>
  </si>
  <si>
    <t>Муниципальная программа ЗАТО Александровск "Развитие образования" на 2014 - 2016 годы</t>
  </si>
  <si>
    <t>7000000</t>
  </si>
  <si>
    <t>Подпрограмма 6 "Школьное здоровое питание"</t>
  </si>
  <si>
    <t>7067104</t>
  </si>
  <si>
    <t>7060000</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</si>
  <si>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</si>
  <si>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8027057</t>
  </si>
  <si>
    <t>Подпрограмма 4 "Создание и развитие многофункционального центра предоставления государственных и муниципальных услуг ЗАТО Александровск"</t>
  </si>
  <si>
    <t>8040000</t>
  </si>
  <si>
    <t>Создание и развитие сети МФЦ предоставления государственных и муниципальных услуг</t>
  </si>
  <si>
    <t>8047056</t>
  </si>
  <si>
    <t>Другие вопросы в области физической культуры и спорта</t>
  </si>
  <si>
    <t>Муниципальная программа ЗАТО Александровск "Развитие физической культуры, спорта и молодежной политики" на 2014 - 2016 годы</t>
  </si>
  <si>
    <t>7200000</t>
  </si>
  <si>
    <t>7077105</t>
  </si>
  <si>
    <t>7332999</t>
  </si>
  <si>
    <t>Подпрограмма 1 "Развитие физической культуры и спорта"</t>
  </si>
  <si>
    <t>7210000</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</si>
  <si>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</si>
  <si>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7217539</t>
  </si>
  <si>
    <t>Подпрограмма 2 "Обеспечение предоставления муниципальных услуг в сфере общего и дополнительного образования"</t>
  </si>
  <si>
    <t>7020000</t>
  </si>
  <si>
    <t>7027531</t>
  </si>
  <si>
    <t>Подпрограмма 1 "Качественное и доступное дошкольное образование"</t>
  </si>
  <si>
    <t>7010000</t>
  </si>
  <si>
    <t>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</si>
  <si>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7017538</t>
  </si>
  <si>
    <t>ВСЕГО расходов</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</si>
  <si>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</si>
  <si>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8217553</t>
  </si>
  <si>
    <t>7067532</t>
  </si>
  <si>
    <t>Подпрограмма 3 "Развитие системы образования через эффективное выполнение муниципальных функций"</t>
  </si>
  <si>
    <t>7030000</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</si>
  <si>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</si>
  <si>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7037520</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</si>
  <si>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</si>
  <si>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7037521</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</si>
  <si>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</si>
  <si>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7037534</t>
  </si>
  <si>
    <t>7037535</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</si>
  <si>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</si>
  <si>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(банковские, почтовые услуги, расходы на компенсацию затрат деятельности органов местного самоуправления и учреждений, находящихся в их ведении)</t>
  </si>
  <si>
    <t>7017536</t>
  </si>
  <si>
    <t>Компенсация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</si>
  <si>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7017537</t>
  </si>
  <si>
    <t>Подпрограмма 2 "Подготовка объектов и систем жизнеобеспечения ЗАТО Александровск к работе в осенне-зимний период"</t>
  </si>
  <si>
    <t>7420000</t>
  </si>
  <si>
    <t>Подпрограмма 3 "Обеспечение собираемости платежей населения за оказанные жилищно-коммунальные услуги в ЗАТО Александровск"</t>
  </si>
  <si>
    <t>7430000</t>
  </si>
  <si>
    <t>7432999</t>
  </si>
  <si>
    <t>Возмещение убытков по жилищно-коммунальному хозяйству</t>
  </si>
  <si>
    <t>7436003</t>
  </si>
  <si>
    <t>Расходы на обеспечение деятельности (оказание услуг) подведомтсвенных учреждений, в том числе на предоставление муниципальным бюджетным и автономным учреждениям субсидий</t>
  </si>
  <si>
    <t>7430002</t>
  </si>
  <si>
    <t>Подпрограмма 4 "Благоустройство территории муниципального образования ЗАТО Александровск"</t>
  </si>
  <si>
    <t>7440000</t>
  </si>
  <si>
    <t>Организация наружного освещения улиц и дворовых территорий муниципального образования</t>
  </si>
  <si>
    <t>7442006</t>
  </si>
  <si>
    <t>Выплаты по решениям судов и оплата государственной пошлины</t>
  </si>
  <si>
    <t>9909999</t>
  </si>
  <si>
    <t>Обеспечение сохранности, технического обслуживания и содержания прочих объектов благоустройства</t>
  </si>
  <si>
    <t>7442007</t>
  </si>
  <si>
    <t>Мероприятия, связанные с отловом и транспортировкой безнадзорных животных</t>
  </si>
  <si>
    <t>7442008</t>
  </si>
  <si>
    <t>7442009</t>
  </si>
  <si>
    <t>7442010</t>
  </si>
  <si>
    <t>7442999</t>
  </si>
  <si>
    <t>Возмещение затрат, связанное с санитарным содержанием, техническим обслуживанием и ремонтом детских игровых площадок, расположенных на внутриквартальных территориях и (или) дворовых территориях</t>
  </si>
  <si>
    <t>7446005</t>
  </si>
  <si>
    <t>Возмещение затрат, связанное с проведением работ по поставке и установке малых архитектурных форм на детских площадках, расположенных на внутриквартальных территориях и (или) дворовых территориях</t>
  </si>
  <si>
    <t>7446006</t>
  </si>
  <si>
    <t>Подпрограмма 5 "Управление развитием системы жилищно-коммунального хозяйства ЗАТО Александровск"</t>
  </si>
  <si>
    <t>7450000</t>
  </si>
  <si>
    <t>7450002</t>
  </si>
  <si>
    <t>7422999</t>
  </si>
  <si>
    <t>7082999</t>
  </si>
  <si>
    <t>Расходы на выплаты по оплате труда главы муниципального образования</t>
  </si>
  <si>
    <t>9900101</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</si>
  <si>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</si>
  <si>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9901306</t>
  </si>
  <si>
    <t>Расходы на выплаты по оплате труда депутатов представительного органа муниципального образования</t>
  </si>
  <si>
    <t>9900301</t>
  </si>
  <si>
    <t>Расходы на выплаты по оплате труда работников органов местного самоуправления</t>
  </si>
  <si>
    <t>9900601</t>
  </si>
  <si>
    <t>Расходы на обеспечение функций работников органов местного самоуправления</t>
  </si>
  <si>
    <t>9900603</t>
  </si>
  <si>
    <t>Расходы на выплату персоналу  в целях обеспечения выполнения функций госдарственными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</si>
  <si>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главы местной администрации</t>
  </si>
  <si>
    <t>8210401</t>
  </si>
  <si>
    <t>8210601</t>
  </si>
  <si>
    <t>8210603</t>
  </si>
  <si>
    <t>8211306</t>
  </si>
  <si>
    <t>8241306</t>
  </si>
  <si>
    <t>8261306</t>
  </si>
  <si>
    <t>7531306</t>
  </si>
  <si>
    <t>8011306</t>
  </si>
  <si>
    <t>8220601</t>
  </si>
  <si>
    <t>8220603</t>
  </si>
  <si>
    <t>8221306</t>
  </si>
  <si>
    <t>8251306</t>
  </si>
  <si>
    <t>8271306</t>
  </si>
  <si>
    <t>7451306</t>
  </si>
  <si>
    <t>8110601</t>
  </si>
  <si>
    <t xml:space="preserve"> Расходы на выплату персоналу  в целях обеспечения выполнения функций госдарственными (муниципальными) органами, казенными учреждениями, органами управления государственными внебюджетными фондами</t>
  </si>
  <si>
    <t>8110603</t>
  </si>
  <si>
    <t>8111306</t>
  </si>
  <si>
    <t>Расходы на единовременное поощрение за многолетнюю безупречную муниципальную службу и компенсационных выплат муниципальным служащим, высвобождаемым в связи с выходом на трудовую пенсию</t>
  </si>
  <si>
    <t>7030601</t>
  </si>
  <si>
    <t>7030603</t>
  </si>
  <si>
    <t>7030820</t>
  </si>
  <si>
    <t>7031306</t>
  </si>
  <si>
    <t>8230601</t>
  </si>
  <si>
    <t>8230603</t>
  </si>
  <si>
    <t>8231306</t>
  </si>
  <si>
    <t>Расходы на выплаты по оплате труда руководителя контрольно-счетной палаты муниципального образования и его заместителей</t>
  </si>
  <si>
    <t>9900501</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</si>
  <si>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</si>
  <si>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7085898</t>
  </si>
  <si>
    <t>Развитие и поддержка социальной и инженерной инфраструктуры закрытых административно-территориальных образований</t>
  </si>
  <si>
    <t>8262999</t>
  </si>
  <si>
    <t>7532009</t>
  </si>
  <si>
    <t>Мероприятия государственной программы Российской Федерации "Доступная среда" на 2011-2015 годы</t>
  </si>
  <si>
    <t>7105027</t>
  </si>
  <si>
    <t>Строительство, реконструкция, ремонт и капитальный ремонт автомобильных дорог общего пользования местного значения (на конкурсной основе)</t>
  </si>
  <si>
    <t>7707093</t>
  </si>
  <si>
    <t>Модернизация региональных систем дошкольного образования</t>
  </si>
  <si>
    <t>7085059</t>
  </si>
  <si>
    <t>Субсидия муниципальным районам (городским округам) на приобретение и установку спортивных площадок</t>
  </si>
  <si>
    <t>7217060</t>
  </si>
  <si>
    <t>7 приложение</t>
  </si>
  <si>
    <t>6 приложение</t>
  </si>
  <si>
    <t>Резервный фонд Правительства Мурманской области</t>
  </si>
  <si>
    <t>9992001</t>
  </si>
  <si>
    <t>Иная непрограммная деятельность</t>
  </si>
  <si>
    <t>9990000</t>
  </si>
  <si>
    <t>7419601</t>
  </si>
  <si>
    <t>Обеспечение мероприятий по капитальному ремонту многоквартирных домов</t>
  </si>
  <si>
    <t>от 25 ноября 2014 года №82</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</si>
</sst>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_-* #,##0.0_р_._-;\-* #,##0.0_р_._-;_-* &quot;-&quot;??_р_._-;_-@_-"/>
    <numFmt numFmtId="170" formatCode="_-* #,##0.0_р_._-;\-* #,##0.0_р_._-;_-* &quot;-&quot;?_р_._-;_-@_-"/>
    <numFmt numFmtId="171" formatCode="[$€-2]\ ###,000_);[Red]\([$€-2]\ ###,000\)"/>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
  </numFmts>
  <fonts count="29">
    <font>
      <sz val="10"/>
      <name val="Arial Cyr"/>
      <family val="0"/>
    </font>
    <font>
      <sz val="12"/>
      <name val="Times New Roman"/>
      <family val="1"/>
    </font>
    <font>
      <b/>
      <sz val="12"/>
      <name val="Times New Roman"/>
      <family val="1"/>
    </font>
    <font>
      <b/>
      <sz val="14"/>
      <name val="Times New Roman"/>
      <family val="1"/>
    </font>
    <font>
      <sz val="14"/>
      <name val="Times New Roman"/>
      <family val="1"/>
    </font>
    <font>
      <u val="single"/>
      <sz val="10"/>
      <color indexed="12"/>
      <name val="Arial Cyr"/>
      <family val="0"/>
    </font>
    <font>
      <u val="single"/>
      <sz val="10"/>
      <color indexed="20"/>
      <name val="Arial Cyr"/>
      <family val="0"/>
    </font>
    <font>
      <sz val="8"/>
      <name val="Arial Cyr"/>
      <family val="0"/>
    </font>
    <font>
      <b/>
      <sz val="15"/>
      <name val="Times New Roman"/>
      <family val="1"/>
    </font>
    <font>
      <b/>
      <sz val="13"/>
      <name val="Times New Roman"/>
      <family val="1"/>
    </font>
    <font>
      <sz val="16"/>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thin">
        <color indexed="8"/>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6"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cellStyleXfs>
  <cellXfs count="118">
    <xf numFmtId="0" fontId="0" fillId="0" borderId="0" xfId="0" applyAlignment="1">
      <alignment/>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49" fontId="1" fillId="0" borderId="12" xfId="0" applyNumberFormat="1" applyFont="1" applyFill="1" applyBorder="1" applyAlignment="1">
      <alignment horizontal="center"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wrapText="1"/>
    </xf>
    <xf numFmtId="0" fontId="1" fillId="0" borderId="0" xfId="0" applyFont="1" applyFill="1" applyAlignment="1">
      <alignment/>
    </xf>
    <xf numFmtId="0" fontId="2" fillId="0" borderId="11" xfId="0" applyFont="1" applyFill="1" applyBorder="1" applyAlignment="1">
      <alignment vertical="center" wrapText="1"/>
    </xf>
    <xf numFmtId="0" fontId="3" fillId="0" borderId="0" xfId="0" applyFont="1" applyFill="1" applyAlignment="1">
      <alignment/>
    </xf>
    <xf numFmtId="0" fontId="1" fillId="0" borderId="13" xfId="0" applyFont="1" applyFill="1" applyBorder="1" applyAlignment="1">
      <alignment horizontal="center" vertical="center" wrapText="1"/>
    </xf>
    <xf numFmtId="0" fontId="2" fillId="0" borderId="0" xfId="0" applyFont="1" applyFill="1" applyAlignment="1">
      <alignment/>
    </xf>
    <xf numFmtId="0" fontId="1" fillId="0" borderId="0" xfId="0" applyFont="1" applyFill="1" applyAlignment="1">
      <alignment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xf>
    <xf numFmtId="49" fontId="2" fillId="0" borderId="1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0" fontId="1" fillId="0" borderId="0" xfId="0" applyFont="1" applyFill="1" applyAlignment="1">
      <alignment horizontal="center"/>
    </xf>
    <xf numFmtId="49" fontId="1"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1" fillId="0" borderId="0" xfId="0" applyFont="1" applyFill="1" applyAlignment="1">
      <alignment vertical="center"/>
    </xf>
    <xf numFmtId="4" fontId="1" fillId="0" borderId="0" xfId="0" applyNumberFormat="1" applyFont="1" applyFill="1" applyAlignment="1">
      <alignment/>
    </xf>
    <xf numFmtId="2" fontId="1" fillId="0" borderId="10" xfId="0" applyNumberFormat="1" applyFont="1" applyFill="1" applyBorder="1" applyAlignment="1">
      <alignment vertical="center" wrapText="1"/>
    </xf>
    <xf numFmtId="4" fontId="2" fillId="0" borderId="11" xfId="0" applyNumberFormat="1" applyFont="1" applyFill="1" applyBorder="1" applyAlignment="1">
      <alignment vertical="center" wrapText="1"/>
    </xf>
    <xf numFmtId="4" fontId="1" fillId="0" borderId="10" xfId="0" applyNumberFormat="1" applyFont="1" applyFill="1" applyBorder="1" applyAlignment="1">
      <alignment vertical="center" wrapText="1"/>
    </xf>
    <xf numFmtId="0" fontId="1" fillId="0" borderId="0" xfId="0" applyFont="1" applyFill="1" applyAlignment="1">
      <alignment/>
    </xf>
    <xf numFmtId="4" fontId="1" fillId="0" borderId="12" xfId="0" applyNumberFormat="1" applyFont="1" applyFill="1" applyBorder="1" applyAlignment="1">
      <alignment vertical="center" wrapText="1"/>
    </xf>
    <xf numFmtId="4" fontId="9" fillId="0" borderId="11"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0" fontId="8" fillId="0" borderId="11" xfId="0" applyFont="1" applyFill="1" applyBorder="1" applyAlignment="1">
      <alignment vertical="center" wrapText="1"/>
    </xf>
    <xf numFmtId="4" fontId="3" fillId="0" borderId="11"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center" vertical="center" wrapText="1"/>
    </xf>
    <xf numFmtId="2" fontId="2" fillId="0" borderId="11" xfId="0" applyNumberFormat="1" applyFont="1" applyFill="1" applyBorder="1" applyAlignment="1">
      <alignment vertical="center" wrapText="1"/>
    </xf>
    <xf numFmtId="4" fontId="1" fillId="0" borderId="13" xfId="0" applyNumberFormat="1" applyFont="1" applyFill="1" applyBorder="1" applyAlignment="1">
      <alignment horizontal="center" vertical="center" wrapText="1"/>
    </xf>
    <xf numFmtId="4" fontId="1" fillId="0" borderId="0" xfId="0" applyNumberFormat="1" applyFont="1" applyFill="1" applyAlignment="1">
      <alignment horizontal="center"/>
    </xf>
    <xf numFmtId="3" fontId="1" fillId="0" borderId="13" xfId="0" applyNumberFormat="1" applyFont="1" applyFill="1" applyBorder="1" applyAlignment="1">
      <alignment horizontal="center" vertical="center" wrapText="1"/>
    </xf>
    <xf numFmtId="0" fontId="10" fillId="0" borderId="0" xfId="0" applyFont="1" applyFill="1" applyAlignment="1">
      <alignment/>
    </xf>
    <xf numFmtId="4" fontId="1" fillId="0" borderId="0" xfId="0" applyNumberFormat="1" applyFont="1" applyFill="1" applyAlignment="1">
      <alignment vertical="center" wrapText="1"/>
    </xf>
    <xf numFmtId="4" fontId="2" fillId="0" borderId="11"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4" fontId="1" fillId="0" borderId="0" xfId="0" applyNumberFormat="1" applyFont="1" applyFill="1" applyAlignment="1">
      <alignment vertical="center"/>
    </xf>
    <xf numFmtId="4" fontId="2" fillId="0" borderId="0" xfId="0" applyNumberFormat="1" applyFont="1" applyFill="1" applyAlignment="1">
      <alignment/>
    </xf>
    <xf numFmtId="0" fontId="1" fillId="0" borderId="14" xfId="0" applyFont="1" applyFill="1" applyBorder="1" applyAlignment="1">
      <alignment vertical="center" wrapText="1"/>
    </xf>
    <xf numFmtId="2" fontId="2" fillId="0" borderId="10" xfId="0" applyNumberFormat="1" applyFont="1" applyFill="1" applyBorder="1" applyAlignment="1">
      <alignment vertical="center" wrapText="1"/>
    </xf>
    <xf numFmtId="4" fontId="3" fillId="0" borderId="0" xfId="0" applyNumberFormat="1" applyFont="1" applyFill="1" applyAlignment="1">
      <alignment/>
    </xf>
    <xf numFmtId="0" fontId="1" fillId="0" borderId="0" xfId="0" applyFont="1" applyFill="1" applyAlignment="1">
      <alignment horizontal="right"/>
    </xf>
    <xf numFmtId="4" fontId="11" fillId="0" borderId="10" xfId="0" applyNumberFormat="1" applyFont="1" applyFill="1" applyBorder="1" applyAlignment="1">
      <alignment vertical="center" wrapText="1"/>
    </xf>
    <xf numFmtId="0" fontId="2" fillId="0" borderId="13" xfId="0" applyFont="1" applyFill="1" applyBorder="1" applyAlignment="1">
      <alignment vertical="center" wrapText="1"/>
    </xf>
    <xf numFmtId="0" fontId="1" fillId="0" borderId="13" xfId="0"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 fontId="2" fillId="0" borderId="13" xfId="0" applyNumberFormat="1" applyFont="1" applyFill="1" applyBorder="1" applyAlignment="1">
      <alignment vertical="center" wrapText="1"/>
    </xf>
    <xf numFmtId="0" fontId="1" fillId="0" borderId="0"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1" fillId="0" borderId="14" xfId="0" applyFont="1" applyFill="1" applyBorder="1" applyAlignment="1" applyProtection="1">
      <alignment vertical="top" wrapText="1" readingOrder="1"/>
      <protection locked="0"/>
    </xf>
    <xf numFmtId="3" fontId="1" fillId="0" borderId="1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0" xfId="0" applyFont="1" applyFill="1" applyAlignment="1">
      <alignment horizontal="left"/>
    </xf>
    <xf numFmtId="49" fontId="2" fillId="0" borderId="0" xfId="0" applyNumberFormat="1" applyFont="1" applyFill="1" applyAlignment="1">
      <alignment horizontal="left" vertical="center"/>
    </xf>
    <xf numFmtId="4" fontId="1" fillId="0" borderId="13" xfId="0" applyNumberFormat="1" applyFont="1" applyFill="1" applyBorder="1" applyAlignment="1">
      <alignment horizontal="right" vertical="center" wrapText="1"/>
    </xf>
    <xf numFmtId="49" fontId="1" fillId="0" borderId="13" xfId="0" applyNumberFormat="1" applyFont="1" applyFill="1" applyBorder="1" applyAlignment="1">
      <alignment horizontal="left" vertical="center" wrapText="1"/>
    </xf>
    <xf numFmtId="4" fontId="2" fillId="0" borderId="13" xfId="0" applyNumberFormat="1" applyFont="1" applyFill="1" applyBorder="1" applyAlignment="1">
      <alignment horizontal="right" vertical="center" wrapText="1"/>
    </xf>
    <xf numFmtId="49" fontId="1" fillId="0" borderId="13"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0" fontId="1" fillId="0" borderId="0" xfId="0" applyFont="1" applyFill="1" applyBorder="1" applyAlignment="1" applyProtection="1">
      <alignment vertical="top" wrapText="1"/>
      <protection locked="0"/>
    </xf>
    <xf numFmtId="0" fontId="2" fillId="0" borderId="0" xfId="0" applyFont="1" applyFill="1" applyBorder="1" applyAlignment="1">
      <alignment horizontal="left" vertical="center" wrapText="1"/>
    </xf>
    <xf numFmtId="0" fontId="11" fillId="0" borderId="0" xfId="0" applyFont="1" applyFill="1" applyAlignment="1">
      <alignment/>
    </xf>
    <xf numFmtId="49" fontId="1" fillId="0" borderId="0" xfId="0" applyNumberFormat="1" applyFont="1" applyFill="1" applyAlignment="1">
      <alignment wrapText="1"/>
    </xf>
    <xf numFmtId="0" fontId="1" fillId="0" borderId="0" xfId="0" applyFont="1" applyFill="1" applyBorder="1" applyAlignment="1">
      <alignment vertical="center" wrapText="1"/>
    </xf>
    <xf numFmtId="4" fontId="1" fillId="0" borderId="14" xfId="0" applyNumberFormat="1" applyFont="1" applyFill="1" applyBorder="1" applyAlignment="1">
      <alignment vertical="center" wrapText="1"/>
    </xf>
    <xf numFmtId="49" fontId="1" fillId="0" borderId="14" xfId="0" applyNumberFormat="1" applyFont="1" applyFill="1" applyBorder="1" applyAlignment="1">
      <alignment horizontal="center" vertical="center" wrapText="1"/>
    </xf>
    <xf numFmtId="0" fontId="3" fillId="0" borderId="14" xfId="0" applyFont="1" applyFill="1" applyBorder="1" applyAlignment="1">
      <alignment vertical="center" wrapText="1"/>
    </xf>
    <xf numFmtId="0" fontId="2" fillId="0" borderId="11" xfId="0" applyFont="1" applyFill="1" applyBorder="1" applyAlignment="1" applyProtection="1">
      <alignment vertical="top" wrapText="1" readingOrder="1"/>
      <protection locked="0"/>
    </xf>
    <xf numFmtId="0" fontId="1" fillId="0" borderId="18" xfId="0" applyFont="1" applyFill="1" applyBorder="1" applyAlignment="1">
      <alignment horizontal="left" vertical="center" wrapText="1"/>
    </xf>
    <xf numFmtId="0" fontId="2" fillId="0" borderId="19" xfId="0" applyFont="1" applyFill="1" applyBorder="1" applyAlignment="1">
      <alignment horizontal="left" vertical="top" wrapText="1"/>
    </xf>
    <xf numFmtId="4" fontId="2" fillId="0" borderId="14" xfId="0" applyNumberFormat="1" applyFont="1" applyFill="1" applyBorder="1" applyAlignment="1">
      <alignment vertical="center" wrapText="1"/>
    </xf>
    <xf numFmtId="49" fontId="2" fillId="0" borderId="14" xfId="0" applyNumberFormat="1" applyFont="1" applyFill="1" applyBorder="1" applyAlignment="1">
      <alignment horizontal="center" vertical="center" wrapText="1"/>
    </xf>
    <xf numFmtId="4" fontId="10" fillId="0" borderId="0" xfId="0" applyNumberFormat="1" applyFont="1" applyFill="1" applyAlignment="1">
      <alignment/>
    </xf>
    <xf numFmtId="4" fontId="9" fillId="0" borderId="10" xfId="0" applyNumberFormat="1" applyFont="1" applyFill="1" applyBorder="1" applyAlignment="1">
      <alignment vertical="center" wrapText="1"/>
    </xf>
    <xf numFmtId="49" fontId="1" fillId="0" borderId="2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pplyProtection="1">
      <alignment vertical="top" wrapText="1" readingOrder="1"/>
      <protection locked="0"/>
    </xf>
    <xf numFmtId="4" fontId="1" fillId="0" borderId="0" xfId="0" applyNumberFormat="1" applyFont="1" applyFill="1" applyAlignment="1">
      <alignment horizontal="center" vertical="center"/>
    </xf>
    <xf numFmtId="0" fontId="1" fillId="24" borderId="0" xfId="0" applyFont="1" applyFill="1" applyAlignment="1">
      <alignment/>
    </xf>
    <xf numFmtId="0" fontId="1" fillId="24" borderId="10" xfId="0" applyFont="1" applyFill="1" applyBorder="1" applyAlignment="1">
      <alignment vertical="center" wrapText="1"/>
    </xf>
    <xf numFmtId="49" fontId="1" fillId="24" borderId="10" xfId="0" applyNumberFormat="1" applyFont="1" applyFill="1" applyBorder="1" applyAlignment="1">
      <alignment horizontal="center" vertical="center" wrapText="1"/>
    </xf>
    <xf numFmtId="4" fontId="1" fillId="24" borderId="10" xfId="0" applyNumberFormat="1" applyFont="1" applyFill="1" applyBorder="1" applyAlignment="1">
      <alignment vertical="center" wrapText="1"/>
    </xf>
    <xf numFmtId="0" fontId="1" fillId="0" borderId="0" xfId="0" applyFont="1" applyFill="1" applyAlignment="1">
      <alignment horizontal="right"/>
    </xf>
    <xf numFmtId="4" fontId="1" fillId="0" borderId="10" xfId="0" applyNumberFormat="1" applyFont="1" applyFill="1" applyBorder="1" applyAlignment="1">
      <alignment horizontal="right" vertical="center" wrapText="1"/>
    </xf>
    <xf numFmtId="0" fontId="2" fillId="0" borderId="0" xfId="0" applyFont="1" applyFill="1" applyAlignment="1">
      <alignment horizontal="center" wrapText="1"/>
    </xf>
    <xf numFmtId="0" fontId="2" fillId="0" borderId="0" xfId="0" applyFont="1" applyFill="1" applyAlignment="1">
      <alignment horizontal="center"/>
    </xf>
    <xf numFmtId="49" fontId="1"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2" fontId="2" fillId="0" borderId="15" xfId="0" applyNumberFormat="1" applyFont="1" applyFill="1" applyBorder="1" applyAlignment="1">
      <alignment horizontal="left" vertical="center" wrapText="1"/>
    </xf>
    <xf numFmtId="2" fontId="2" fillId="0" borderId="21" xfId="0" applyNumberFormat="1"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IKAND~1\AppData\Local\Temp\notes83A5B1\&#1055;&#1088;&#1080;&#1083;&#1086;&#1078;&#1077;&#1085;&#1080;&#1103;%202015-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IKAND~1\AppData\Local\Temp\notes83A5B1\&#1055;&#1088;&#1080;&#1083;&#1086;&#1078;&#1077;&#1085;&#1080;&#1103;%20&#1082;%20&#1088;&#1077;&#1096;&#1077;&#1085;&#1080;&#1102;%202015-20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IKAND~1\AppData\Local\Temp\notes83A5B1\&#1055;&#1088;&#1080;&#1083;&#1086;&#1078;&#1077;&#1085;&#1080;&#1103;%202015-2016_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vindinaGV\&#1056;&#1072;&#1073;&#1086;&#1095;&#1080;&#1081;%20&#1089;&#1090;&#1086;&#1083;\&#1052;&#1086;&#1080;%20&#1076;&#1086;&#1082;&#1091;&#1084;&#1077;&#1090;&#1099;\&#1041;&#1102;&#1076;&#1078;&#1077;&#1090;%20&#1047;&#1040;&#1058;&#1054;%20&#1040;&#1083;&#1077;&#1082;&#1089;&#1072;&#1085;&#1076;&#1088;&#1086;&#1074;&#1089;&#1082;\&#1041;&#1102;&#1076;&#1078;&#1077;&#1090;%202014-2016\&#1048;&#1089;&#1087;&#1086;&#1083;&#1085;&#1077;&#1085;&#1080;&#1077;%20&#1073;&#1102;&#1076;&#1078;&#1077;&#1090;&#1072;%202014-2016\&#1048;&#1079;&#1084;&#1077;&#1085;&#1077;&#1085;&#1080;&#1077;_7\&#1044;&#1086;&#1082;&#1091;&#1084;&#1077;&#1085;&#1090;&#1099;%20&#1087;&#1086;%20&#1073;&#1102;&#1076;&#1078;&#1077;&#1090;&#1091;\&#1055;&#1088;&#1080;&#1083;&#1086;&#1078;&#1077;&#1085;&#1080;&#1103;%20(1)%20&#1082;%20&#1088;&#1077;&#1096;&#1077;&#1085;&#1080;&#1102;%2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 4.1"/>
      <sheetName val="прил 5_1"/>
      <sheetName val="прил 6_1"/>
      <sheetName val="прил 7_1"/>
      <sheetName val="прил 8_1"/>
    </sheetNames>
    <sheetDataSet>
      <sheetData sheetId="3">
        <row r="28">
          <cell r="G28">
            <v>200000</v>
          </cell>
          <cell r="I28">
            <v>190000</v>
          </cell>
        </row>
        <row r="35">
          <cell r="G35">
            <v>29213786</v>
          </cell>
          <cell r="I35">
            <v>29213786</v>
          </cell>
        </row>
        <row r="66">
          <cell r="G66">
            <v>680824</v>
          </cell>
          <cell r="I66">
            <v>1282756</v>
          </cell>
        </row>
        <row r="71">
          <cell r="G71">
            <v>5000</v>
          </cell>
          <cell r="I71">
            <v>0</v>
          </cell>
        </row>
        <row r="75">
          <cell r="G75">
            <v>22272703</v>
          </cell>
          <cell r="I75">
            <v>22272703</v>
          </cell>
        </row>
        <row r="84">
          <cell r="G84">
            <v>41129932</v>
          </cell>
          <cell r="I84">
            <v>41790235</v>
          </cell>
        </row>
        <row r="105">
          <cell r="G105">
            <v>2306200</v>
          </cell>
          <cell r="I105">
            <v>2306200</v>
          </cell>
        </row>
        <row r="111">
          <cell r="G111">
            <v>37319307</v>
          </cell>
          <cell r="I111">
            <v>37819681</v>
          </cell>
        </row>
        <row r="122">
          <cell r="G122">
            <v>34665130</v>
          </cell>
          <cell r="I122">
            <v>32996204</v>
          </cell>
        </row>
        <row r="129">
          <cell r="G129">
            <v>11912778</v>
          </cell>
          <cell r="I129">
            <v>12138830</v>
          </cell>
        </row>
        <row r="140">
          <cell r="G140">
            <v>57300</v>
          </cell>
          <cell r="I140">
            <v>38200</v>
          </cell>
        </row>
        <row r="150">
          <cell r="G150">
            <v>1355300</v>
          </cell>
          <cell r="I150">
            <v>1355300</v>
          </cell>
        </row>
        <row r="159">
          <cell r="G159">
            <v>1500000</v>
          </cell>
          <cell r="I159">
            <v>1425000</v>
          </cell>
        </row>
        <row r="166">
          <cell r="G166">
            <v>10189810</v>
          </cell>
          <cell r="I166">
            <v>10189810</v>
          </cell>
        </row>
        <row r="173">
          <cell r="G173">
            <v>0</v>
          </cell>
          <cell r="I173">
            <v>0</v>
          </cell>
        </row>
        <row r="179">
          <cell r="G179">
            <v>200000</v>
          </cell>
          <cell r="I179">
            <v>200000</v>
          </cell>
        </row>
        <row r="182">
          <cell r="G182">
            <v>19655603</v>
          </cell>
          <cell r="I182">
            <v>20333797</v>
          </cell>
        </row>
        <row r="198">
          <cell r="I198">
            <v>61248200</v>
          </cell>
        </row>
        <row r="206">
          <cell r="G206">
            <v>2337000</v>
          </cell>
          <cell r="I206">
            <v>2220150</v>
          </cell>
        </row>
        <row r="211">
          <cell r="G211">
            <v>0</v>
          </cell>
          <cell r="I211">
            <v>0</v>
          </cell>
        </row>
        <row r="214">
          <cell r="G214">
            <v>9597939</v>
          </cell>
          <cell r="I214">
            <v>9764897</v>
          </cell>
        </row>
        <row r="225">
          <cell r="G225">
            <v>10545400</v>
          </cell>
          <cell r="I225">
            <v>3318130</v>
          </cell>
        </row>
        <row r="229">
          <cell r="G229">
            <v>110962</v>
          </cell>
          <cell r="I229">
            <v>1530414</v>
          </cell>
        </row>
        <row r="235">
          <cell r="G235">
            <v>4474480</v>
          </cell>
          <cell r="I235">
            <v>4646486</v>
          </cell>
        </row>
        <row r="247">
          <cell r="G247">
            <v>29626424</v>
          </cell>
          <cell r="I247">
            <v>21879328</v>
          </cell>
        </row>
        <row r="266">
          <cell r="G266">
            <v>19244763</v>
          </cell>
          <cell r="I266">
            <v>19689295</v>
          </cell>
        </row>
        <row r="274">
          <cell r="G274">
            <v>66452430</v>
          </cell>
          <cell r="I274">
            <v>66452430</v>
          </cell>
        </row>
        <row r="280">
          <cell r="G280">
            <v>1120000</v>
          </cell>
          <cell r="I280">
            <v>5369000</v>
          </cell>
        </row>
        <row r="285">
          <cell r="I285">
            <v>0</v>
          </cell>
        </row>
        <row r="292">
          <cell r="I292">
            <v>0</v>
          </cell>
        </row>
        <row r="298">
          <cell r="G298">
            <v>16245570</v>
          </cell>
          <cell r="I298">
            <v>16245570</v>
          </cell>
        </row>
        <row r="304">
          <cell r="G304">
            <v>0</v>
          </cell>
          <cell r="I304">
            <v>0</v>
          </cell>
        </row>
        <row r="310">
          <cell r="I310">
            <v>10286434</v>
          </cell>
        </row>
        <row r="319">
          <cell r="G319">
            <v>396150</v>
          </cell>
          <cell r="I319">
            <v>376343</v>
          </cell>
        </row>
        <row r="325">
          <cell r="I325">
            <v>1966250</v>
          </cell>
        </row>
        <row r="332">
          <cell r="I332">
            <v>12382844</v>
          </cell>
        </row>
        <row r="340">
          <cell r="G340">
            <v>808116</v>
          </cell>
          <cell r="I340">
            <v>767710</v>
          </cell>
        </row>
        <row r="346">
          <cell r="G346">
            <v>6855732</v>
          </cell>
          <cell r="I346">
            <v>6523145</v>
          </cell>
        </row>
        <row r="353">
          <cell r="I353">
            <v>483532542</v>
          </cell>
        </row>
        <row r="364">
          <cell r="I364">
            <v>635432360</v>
          </cell>
        </row>
        <row r="374">
          <cell r="I374">
            <v>2550000</v>
          </cell>
        </row>
        <row r="378">
          <cell r="I378">
            <v>10475273</v>
          </cell>
        </row>
        <row r="386">
          <cell r="I386">
            <v>93287633</v>
          </cell>
        </row>
        <row r="408">
          <cell r="G408">
            <v>58662</v>
          </cell>
          <cell r="I408">
            <v>0</v>
          </cell>
        </row>
        <row r="412">
          <cell r="G412">
            <v>180200</v>
          </cell>
          <cell r="I412">
            <v>180200</v>
          </cell>
        </row>
        <row r="416">
          <cell r="G416">
            <v>2013200</v>
          </cell>
          <cell r="I416">
            <v>10687125</v>
          </cell>
        </row>
        <row r="423">
          <cell r="I423">
            <v>5426747</v>
          </cell>
        </row>
        <row r="444">
          <cell r="I444">
            <v>47011700</v>
          </cell>
        </row>
        <row r="464">
          <cell r="G464">
            <v>7153375</v>
          </cell>
          <cell r="I464">
            <v>7153375</v>
          </cell>
        </row>
        <row r="472">
          <cell r="G472">
            <v>1890746</v>
          </cell>
          <cell r="I472">
            <v>1796209</v>
          </cell>
        </row>
        <row r="479">
          <cell r="G479">
            <v>60000</v>
          </cell>
          <cell r="I479">
            <v>0</v>
          </cell>
        </row>
        <row r="482">
          <cell r="G482">
            <v>63936203</v>
          </cell>
          <cell r="I482">
            <v>65361544</v>
          </cell>
        </row>
        <row r="489">
          <cell r="G489">
            <v>199100</v>
          </cell>
          <cell r="I489">
            <v>199100</v>
          </cell>
        </row>
        <row r="495">
          <cell r="G495">
            <v>16461038</v>
          </cell>
          <cell r="I495">
            <v>16878549</v>
          </cell>
        </row>
        <row r="507">
          <cell r="G507">
            <v>56110</v>
          </cell>
          <cell r="I507">
            <v>61180</v>
          </cell>
        </row>
        <row r="511">
          <cell r="G511">
            <v>33200</v>
          </cell>
          <cell r="I511">
            <v>33200</v>
          </cell>
        </row>
        <row r="518">
          <cell r="G518">
            <v>810000</v>
          </cell>
          <cell r="I518">
            <v>2750000</v>
          </cell>
        </row>
        <row r="523">
          <cell r="G523">
            <v>0</v>
          </cell>
          <cell r="I523">
            <v>0</v>
          </cell>
        </row>
        <row r="527">
          <cell r="G527">
            <v>156072812</v>
          </cell>
          <cell r="I527">
            <v>159036407</v>
          </cell>
        </row>
        <row r="550">
          <cell r="G550">
            <v>193490</v>
          </cell>
          <cell r="I550">
            <v>210960</v>
          </cell>
        </row>
        <row r="554">
          <cell r="G554">
            <v>846000</v>
          </cell>
          <cell r="I554">
            <v>846000</v>
          </cell>
        </row>
        <row r="561">
          <cell r="G561">
            <v>636710</v>
          </cell>
          <cell r="I561">
            <v>688653</v>
          </cell>
        </row>
        <row r="574">
          <cell r="G574">
            <v>1579000</v>
          </cell>
          <cell r="I574">
            <v>1579000</v>
          </cell>
        </row>
        <row r="579">
          <cell r="G579">
            <v>74500</v>
          </cell>
          <cell r="I579">
            <v>74500</v>
          </cell>
        </row>
        <row r="600">
          <cell r="G600">
            <v>81225</v>
          </cell>
          <cell r="I600">
            <v>77164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 5_1"/>
      <sheetName val="прил 6_1"/>
      <sheetName val="прил 7_1"/>
      <sheetName val="прил 8_1"/>
    </sheetNames>
    <sheetDataSet>
      <sheetData sheetId="2">
        <row r="197">
          <cell r="G197">
            <v>30929118.57</v>
          </cell>
        </row>
      </sheetData>
      <sheetData sheetId="3">
        <row r="493">
          <cell r="F493">
            <v>11247690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рил 5_1"/>
      <sheetName val="прил 6_1"/>
      <sheetName val="прил 7_1"/>
      <sheetName val="прил 8_1"/>
    </sheetNames>
    <sheetDataSet>
      <sheetData sheetId="2">
        <row r="285">
          <cell r="G285">
            <v>160958985.71</v>
          </cell>
        </row>
        <row r="292">
          <cell r="G292">
            <v>0</v>
          </cell>
        </row>
        <row r="332">
          <cell r="G332">
            <v>12382844</v>
          </cell>
        </row>
        <row r="353">
          <cell r="G353">
            <v>469855551</v>
          </cell>
        </row>
        <row r="364">
          <cell r="G364">
            <v>600659489</v>
          </cell>
        </row>
        <row r="378">
          <cell r="G378">
            <v>10623454</v>
          </cell>
        </row>
        <row r="386">
          <cell r="G386">
            <v>86763441</v>
          </cell>
        </row>
        <row r="423">
          <cell r="G423">
            <v>5330090</v>
          </cell>
        </row>
        <row r="444">
          <cell r="G444">
            <v>46209800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рил 1"/>
      <sheetName val="прил4"/>
      <sheetName val="прил 5"/>
      <sheetName val="прил6"/>
      <sheetName val="прил7"/>
      <sheetName val="прил 8"/>
      <sheetName val="прил 9"/>
    </sheetNames>
    <sheetDataSet>
      <sheetData sheetId="4">
        <row r="45">
          <cell r="G45">
            <v>182829279.63</v>
          </cell>
        </row>
        <row r="200">
          <cell r="G200">
            <v>733886179.62</v>
          </cell>
        </row>
        <row r="401">
          <cell r="G401">
            <v>14837917.209999999</v>
          </cell>
        </row>
        <row r="751">
          <cell r="G751">
            <v>2471239410.18</v>
          </cell>
          <cell r="H751">
            <v>919596979.34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825"/>
  <sheetViews>
    <sheetView tabSelected="1" zoomScale="85" zoomScaleNormal="85" zoomScalePageLayoutView="0" workbookViewId="0" topLeftCell="A1">
      <selection activeCell="F5" sqref="F5:G5"/>
    </sheetView>
  </sheetViews>
  <sheetFormatPr defaultColWidth="9.00390625" defaultRowHeight="12.75"/>
  <cols>
    <col min="1" max="1" width="35.125" style="12" customWidth="1"/>
    <col min="2" max="2" width="6.875" style="12" customWidth="1"/>
    <col min="3" max="3" width="8.875" style="12" customWidth="1"/>
    <col min="4" max="4" width="12.25390625" style="12" customWidth="1"/>
    <col min="5" max="5" width="10.125" style="12" customWidth="1"/>
    <col min="6" max="7" width="19.75390625" style="26" customWidth="1"/>
    <col min="8" max="8" width="9.125" style="12" customWidth="1"/>
    <col min="9" max="9" width="22.75390625" style="12" customWidth="1"/>
    <col min="10" max="10" width="11.125" style="12" customWidth="1"/>
    <col min="11" max="16384" width="9.125" style="12" customWidth="1"/>
  </cols>
  <sheetData>
    <row r="1" spans="2:7" ht="15.75">
      <c r="B1" s="30"/>
      <c r="C1" s="30"/>
      <c r="D1" s="30"/>
      <c r="E1" s="30"/>
      <c r="F1" s="95" t="s">
        <v>250</v>
      </c>
      <c r="G1" s="95"/>
    </row>
    <row r="2" spans="2:7" ht="15.75">
      <c r="B2" s="30"/>
      <c r="C2" s="95" t="s">
        <v>246</v>
      </c>
      <c r="D2" s="95"/>
      <c r="E2" s="95"/>
      <c r="F2" s="95"/>
      <c r="G2" s="95"/>
    </row>
    <row r="3" spans="2:7" ht="15.75">
      <c r="B3" s="30"/>
      <c r="C3" s="30"/>
      <c r="D3" s="30"/>
      <c r="E3" s="30"/>
      <c r="F3" s="95" t="s">
        <v>179</v>
      </c>
      <c r="G3" s="95"/>
    </row>
    <row r="4" spans="2:7" ht="15.75">
      <c r="B4" s="30"/>
      <c r="C4" s="95" t="s">
        <v>180</v>
      </c>
      <c r="D4" s="95"/>
      <c r="E4" s="95"/>
      <c r="F4" s="95"/>
      <c r="G4" s="95"/>
    </row>
    <row r="5" spans="2:7" ht="15.75" customHeight="1">
      <c r="B5" s="30"/>
      <c r="C5" s="30"/>
      <c r="D5" s="95"/>
      <c r="E5" s="95"/>
      <c r="F5" s="95" t="s">
        <v>468</v>
      </c>
      <c r="G5" s="95"/>
    </row>
    <row r="7" spans="1:7" ht="64.5" customHeight="1">
      <c r="A7" s="97" t="s">
        <v>172</v>
      </c>
      <c r="B7" s="98"/>
      <c r="C7" s="98"/>
      <c r="D7" s="98"/>
      <c r="E7" s="98"/>
      <c r="F7" s="98"/>
      <c r="G7" s="98"/>
    </row>
    <row r="8" spans="6:7" ht="15.75">
      <c r="F8" s="41"/>
      <c r="G8" s="41" t="s">
        <v>286</v>
      </c>
    </row>
    <row r="9" spans="1:7" ht="126">
      <c r="A9" s="15" t="s">
        <v>253</v>
      </c>
      <c r="B9" s="15" t="s">
        <v>288</v>
      </c>
      <c r="C9" s="15" t="s">
        <v>271</v>
      </c>
      <c r="D9" s="15" t="s">
        <v>273</v>
      </c>
      <c r="E9" s="15" t="s">
        <v>272</v>
      </c>
      <c r="F9" s="40" t="s">
        <v>254</v>
      </c>
      <c r="G9" s="15" t="s">
        <v>15</v>
      </c>
    </row>
    <row r="10" spans="1:7" ht="15.75">
      <c r="A10" s="15">
        <v>1</v>
      </c>
      <c r="B10" s="15">
        <v>2</v>
      </c>
      <c r="C10" s="15">
        <v>3</v>
      </c>
      <c r="D10" s="15">
        <v>4</v>
      </c>
      <c r="E10" s="15">
        <v>5</v>
      </c>
      <c r="F10" s="42">
        <v>6</v>
      </c>
      <c r="G10" s="42">
        <v>7</v>
      </c>
    </row>
    <row r="11" spans="1:7" s="43" customFormat="1" ht="28.5" customHeight="1">
      <c r="A11" s="1" t="s">
        <v>274</v>
      </c>
      <c r="B11" s="2" t="s">
        <v>255</v>
      </c>
      <c r="C11" s="2"/>
      <c r="D11" s="9"/>
      <c r="E11" s="9"/>
      <c r="F11" s="32">
        <f>F12+F18+F29+F86+F90+F77</f>
        <v>179519790.65</v>
      </c>
      <c r="G11" s="32">
        <f>G12+G18+G29+G86+G90+G77</f>
        <v>2517800</v>
      </c>
    </row>
    <row r="12" spans="1:7" s="43" customFormat="1" ht="77.25" customHeight="1">
      <c r="A12" s="1" t="s">
        <v>70</v>
      </c>
      <c r="B12" s="2" t="s">
        <v>255</v>
      </c>
      <c r="C12" s="2" t="s">
        <v>260</v>
      </c>
      <c r="D12" s="2"/>
      <c r="E12" s="2"/>
      <c r="F12" s="86">
        <f>F13</f>
        <v>1990139</v>
      </c>
      <c r="G12" s="86"/>
    </row>
    <row r="13" spans="1:7" s="43" customFormat="1" ht="20.25">
      <c r="A13" s="27" t="s">
        <v>303</v>
      </c>
      <c r="B13" s="4" t="s">
        <v>255</v>
      </c>
      <c r="C13" s="4" t="s">
        <v>260</v>
      </c>
      <c r="D13" s="4" t="s">
        <v>304</v>
      </c>
      <c r="E13" s="4"/>
      <c r="F13" s="29">
        <f>F14+F16</f>
        <v>1990139</v>
      </c>
      <c r="G13" s="29"/>
    </row>
    <row r="14" spans="1:7" s="43" customFormat="1" ht="47.25">
      <c r="A14" s="3" t="s">
        <v>407</v>
      </c>
      <c r="B14" s="4" t="s">
        <v>255</v>
      </c>
      <c r="C14" s="4" t="s">
        <v>260</v>
      </c>
      <c r="D14" s="4" t="s">
        <v>408</v>
      </c>
      <c r="E14" s="4"/>
      <c r="F14" s="29">
        <f>F15</f>
        <v>1975139</v>
      </c>
      <c r="G14" s="29"/>
    </row>
    <row r="15" spans="1:7" s="43" customFormat="1" ht="141" customHeight="1">
      <c r="A15" s="3" t="s">
        <v>305</v>
      </c>
      <c r="B15" s="4" t="s">
        <v>255</v>
      </c>
      <c r="C15" s="4" t="s">
        <v>260</v>
      </c>
      <c r="D15" s="4" t="s">
        <v>408</v>
      </c>
      <c r="E15" s="4" t="s">
        <v>18</v>
      </c>
      <c r="F15" s="29">
        <f>прил7!G16</f>
        <v>1975139</v>
      </c>
      <c r="G15" s="29"/>
    </row>
    <row r="16" spans="1:7" s="43" customFormat="1" ht="141" customHeight="1">
      <c r="A16" s="3" t="s">
        <v>409</v>
      </c>
      <c r="B16" s="4" t="s">
        <v>255</v>
      </c>
      <c r="C16" s="4" t="s">
        <v>260</v>
      </c>
      <c r="D16" s="4" t="s">
        <v>410</v>
      </c>
      <c r="E16" s="4"/>
      <c r="F16" s="29">
        <f>F17</f>
        <v>15000</v>
      </c>
      <c r="G16" s="29"/>
    </row>
    <row r="17" spans="1:7" s="43" customFormat="1" ht="141" customHeight="1">
      <c r="A17" s="3" t="s">
        <v>305</v>
      </c>
      <c r="B17" s="4" t="s">
        <v>255</v>
      </c>
      <c r="C17" s="4" t="s">
        <v>260</v>
      </c>
      <c r="D17" s="4" t="s">
        <v>410</v>
      </c>
      <c r="E17" s="4" t="s">
        <v>18</v>
      </c>
      <c r="F17" s="29">
        <f>прил7!G18</f>
        <v>15000</v>
      </c>
      <c r="G17" s="29"/>
    </row>
    <row r="18" spans="1:7" s="43" customFormat="1" ht="94.5">
      <c r="A18" s="1" t="s">
        <v>24</v>
      </c>
      <c r="B18" s="2" t="s">
        <v>255</v>
      </c>
      <c r="C18" s="2" t="s">
        <v>262</v>
      </c>
      <c r="D18" s="2"/>
      <c r="E18" s="2"/>
      <c r="F18" s="33">
        <f>F19</f>
        <v>5306968</v>
      </c>
      <c r="G18" s="33"/>
    </row>
    <row r="19" spans="1:7" s="43" customFormat="1" ht="20.25">
      <c r="A19" s="27" t="s">
        <v>303</v>
      </c>
      <c r="B19" s="4" t="s">
        <v>255</v>
      </c>
      <c r="C19" s="4" t="s">
        <v>262</v>
      </c>
      <c r="D19" s="4" t="s">
        <v>304</v>
      </c>
      <c r="E19" s="4"/>
      <c r="F19" s="29">
        <f>F20+F22+F24+F27</f>
        <v>5306968</v>
      </c>
      <c r="G19" s="29"/>
    </row>
    <row r="20" spans="1:7" s="16" customFormat="1" ht="63">
      <c r="A20" s="3" t="s">
        <v>411</v>
      </c>
      <c r="B20" s="4" t="s">
        <v>255</v>
      </c>
      <c r="C20" s="4" t="s">
        <v>262</v>
      </c>
      <c r="D20" s="4" t="s">
        <v>412</v>
      </c>
      <c r="E20" s="4"/>
      <c r="F20" s="29">
        <f>F21</f>
        <v>1610000</v>
      </c>
      <c r="G20" s="33"/>
    </row>
    <row r="21" spans="1:7" ht="126">
      <c r="A21" s="3" t="s">
        <v>305</v>
      </c>
      <c r="B21" s="4" t="s">
        <v>255</v>
      </c>
      <c r="C21" s="4" t="s">
        <v>262</v>
      </c>
      <c r="D21" s="4" t="s">
        <v>412</v>
      </c>
      <c r="E21" s="4" t="s">
        <v>18</v>
      </c>
      <c r="F21" s="29">
        <f>прил7!G21</f>
        <v>1610000</v>
      </c>
      <c r="G21" s="29"/>
    </row>
    <row r="22" spans="1:7" ht="47.25">
      <c r="A22" s="3" t="s">
        <v>413</v>
      </c>
      <c r="B22" s="4" t="s">
        <v>255</v>
      </c>
      <c r="C22" s="4" t="s">
        <v>262</v>
      </c>
      <c r="D22" s="4" t="s">
        <v>414</v>
      </c>
      <c r="E22" s="4"/>
      <c r="F22" s="29">
        <f>F23</f>
        <v>3492576</v>
      </c>
      <c r="G22" s="29"/>
    </row>
    <row r="23" spans="1:7" ht="126">
      <c r="A23" s="3" t="s">
        <v>305</v>
      </c>
      <c r="B23" s="4" t="s">
        <v>255</v>
      </c>
      <c r="C23" s="4" t="s">
        <v>262</v>
      </c>
      <c r="D23" s="4" t="s">
        <v>414</v>
      </c>
      <c r="E23" s="4" t="s">
        <v>18</v>
      </c>
      <c r="F23" s="29">
        <f>прил7!G24</f>
        <v>3492576</v>
      </c>
      <c r="G23" s="33"/>
    </row>
    <row r="24" spans="1:7" ht="47.25">
      <c r="A24" s="3" t="s">
        <v>415</v>
      </c>
      <c r="B24" s="4" t="s">
        <v>255</v>
      </c>
      <c r="C24" s="4" t="s">
        <v>262</v>
      </c>
      <c r="D24" s="4" t="s">
        <v>416</v>
      </c>
      <c r="E24" s="4"/>
      <c r="F24" s="29">
        <f>F25+F26</f>
        <v>174392</v>
      </c>
      <c r="G24" s="29"/>
    </row>
    <row r="25" spans="1:7" ht="126">
      <c r="A25" s="3" t="s">
        <v>305</v>
      </c>
      <c r="B25" s="4" t="s">
        <v>255</v>
      </c>
      <c r="C25" s="4" t="s">
        <v>262</v>
      </c>
      <c r="D25" s="4" t="s">
        <v>416</v>
      </c>
      <c r="E25" s="4" t="s">
        <v>18</v>
      </c>
      <c r="F25" s="29">
        <f>прил7!G26</f>
        <v>21196</v>
      </c>
      <c r="G25" s="29"/>
    </row>
    <row r="26" spans="1:7" ht="47.25">
      <c r="A26" s="3" t="s">
        <v>306</v>
      </c>
      <c r="B26" s="4" t="s">
        <v>255</v>
      </c>
      <c r="C26" s="4" t="s">
        <v>262</v>
      </c>
      <c r="D26" s="4" t="s">
        <v>416</v>
      </c>
      <c r="E26" s="4" t="s">
        <v>19</v>
      </c>
      <c r="F26" s="29">
        <f>прил7!G27</f>
        <v>153196</v>
      </c>
      <c r="G26" s="29"/>
    </row>
    <row r="27" spans="1:7" ht="110.25">
      <c r="A27" s="3" t="s">
        <v>409</v>
      </c>
      <c r="B27" s="4" t="s">
        <v>255</v>
      </c>
      <c r="C27" s="4" t="s">
        <v>262</v>
      </c>
      <c r="D27" s="4" t="s">
        <v>410</v>
      </c>
      <c r="E27" s="4"/>
      <c r="F27" s="29">
        <f>F28</f>
        <v>30000</v>
      </c>
      <c r="G27" s="29"/>
    </row>
    <row r="28" spans="1:7" ht="126">
      <c r="A28" s="3" t="s">
        <v>417</v>
      </c>
      <c r="B28" s="4" t="s">
        <v>255</v>
      </c>
      <c r="C28" s="4" t="s">
        <v>262</v>
      </c>
      <c r="D28" s="4" t="s">
        <v>410</v>
      </c>
      <c r="E28" s="4" t="s">
        <v>18</v>
      </c>
      <c r="F28" s="29">
        <f>прил7!G29</f>
        <v>30000</v>
      </c>
      <c r="G28" s="29"/>
    </row>
    <row r="29" spans="1:7" ht="126">
      <c r="A29" s="1" t="s">
        <v>12</v>
      </c>
      <c r="B29" s="2" t="s">
        <v>255</v>
      </c>
      <c r="C29" s="2" t="s">
        <v>265</v>
      </c>
      <c r="D29" s="2"/>
      <c r="E29" s="2"/>
      <c r="F29" s="33">
        <f>F50+F41+F30</f>
        <v>70446841</v>
      </c>
      <c r="G29" s="33"/>
    </row>
    <row r="30" spans="1:7" ht="47.25">
      <c r="A30" s="3" t="s">
        <v>331</v>
      </c>
      <c r="B30" s="4" t="s">
        <v>255</v>
      </c>
      <c r="C30" s="4" t="s">
        <v>265</v>
      </c>
      <c r="D30" s="4" t="s">
        <v>332</v>
      </c>
      <c r="E30" s="2"/>
      <c r="F30" s="29">
        <f>F31</f>
        <v>12523313</v>
      </c>
      <c r="G30" s="33"/>
    </row>
    <row r="31" spans="1:7" ht="63">
      <c r="A31" s="21" t="s">
        <v>362</v>
      </c>
      <c r="B31" s="4" t="s">
        <v>255</v>
      </c>
      <c r="C31" s="4" t="s">
        <v>265</v>
      </c>
      <c r="D31" s="4" t="s">
        <v>363</v>
      </c>
      <c r="E31" s="4"/>
      <c r="F31" s="29">
        <f>F32+F34+F37+F39</f>
        <v>12523313</v>
      </c>
      <c r="G31" s="33"/>
    </row>
    <row r="32" spans="1:7" ht="47.25">
      <c r="A32" s="21" t="s">
        <v>413</v>
      </c>
      <c r="B32" s="4" t="s">
        <v>255</v>
      </c>
      <c r="C32" s="4" t="s">
        <v>265</v>
      </c>
      <c r="D32" s="4" t="s">
        <v>438</v>
      </c>
      <c r="E32" s="4"/>
      <c r="F32" s="29">
        <f>F33</f>
        <v>11753736.52</v>
      </c>
      <c r="G32" s="33"/>
    </row>
    <row r="33" spans="1:7" ht="126">
      <c r="A33" s="21" t="s">
        <v>417</v>
      </c>
      <c r="B33" s="4" t="s">
        <v>255</v>
      </c>
      <c r="C33" s="4" t="s">
        <v>265</v>
      </c>
      <c r="D33" s="4" t="s">
        <v>438</v>
      </c>
      <c r="E33" s="4" t="s">
        <v>18</v>
      </c>
      <c r="F33" s="29">
        <f>прил7!G444</f>
        <v>11753736.52</v>
      </c>
      <c r="G33" s="33"/>
    </row>
    <row r="34" spans="1:7" ht="47.25">
      <c r="A34" s="21" t="s">
        <v>415</v>
      </c>
      <c r="B34" s="4" t="s">
        <v>255</v>
      </c>
      <c r="C34" s="4" t="s">
        <v>265</v>
      </c>
      <c r="D34" s="4" t="s">
        <v>439</v>
      </c>
      <c r="E34" s="4"/>
      <c r="F34" s="29">
        <f>F35+F36</f>
        <v>217797.87</v>
      </c>
      <c r="G34" s="33"/>
    </row>
    <row r="35" spans="1:7" ht="126">
      <c r="A35" s="21" t="s">
        <v>417</v>
      </c>
      <c r="B35" s="4" t="s">
        <v>255</v>
      </c>
      <c r="C35" s="4" t="s">
        <v>265</v>
      </c>
      <c r="D35" s="4" t="s">
        <v>439</v>
      </c>
      <c r="E35" s="4" t="s">
        <v>18</v>
      </c>
      <c r="F35" s="29">
        <f>прил7!G446</f>
        <v>55442.87</v>
      </c>
      <c r="G35" s="33"/>
    </row>
    <row r="36" spans="1:7" ht="47.25">
      <c r="A36" s="21" t="s">
        <v>306</v>
      </c>
      <c r="B36" s="4" t="s">
        <v>255</v>
      </c>
      <c r="C36" s="4" t="s">
        <v>265</v>
      </c>
      <c r="D36" s="4" t="s">
        <v>439</v>
      </c>
      <c r="E36" s="4" t="s">
        <v>19</v>
      </c>
      <c r="F36" s="29">
        <f>прил7!G447</f>
        <v>162355</v>
      </c>
      <c r="G36" s="33"/>
    </row>
    <row r="37" spans="1:7" ht="126">
      <c r="A37" s="21" t="s">
        <v>437</v>
      </c>
      <c r="B37" s="4" t="s">
        <v>255</v>
      </c>
      <c r="C37" s="4" t="s">
        <v>265</v>
      </c>
      <c r="D37" s="4" t="s">
        <v>440</v>
      </c>
      <c r="E37" s="4"/>
      <c r="F37" s="29">
        <f>F38</f>
        <v>437810.65</v>
      </c>
      <c r="G37" s="33"/>
    </row>
    <row r="38" spans="1:7" ht="126">
      <c r="A38" s="21" t="s">
        <v>417</v>
      </c>
      <c r="B38" s="4" t="s">
        <v>255</v>
      </c>
      <c r="C38" s="4" t="s">
        <v>265</v>
      </c>
      <c r="D38" s="4" t="s">
        <v>440</v>
      </c>
      <c r="E38" s="4" t="s">
        <v>18</v>
      </c>
      <c r="F38" s="29">
        <f>прил7!G449</f>
        <v>437810.65</v>
      </c>
      <c r="G38" s="33"/>
    </row>
    <row r="39" spans="1:7" ht="110.25">
      <c r="A39" s="21" t="s">
        <v>409</v>
      </c>
      <c r="B39" s="4" t="s">
        <v>255</v>
      </c>
      <c r="C39" s="4" t="s">
        <v>265</v>
      </c>
      <c r="D39" s="4" t="s">
        <v>441</v>
      </c>
      <c r="E39" s="4"/>
      <c r="F39" s="29">
        <f>F40</f>
        <v>113967.95999999999</v>
      </c>
      <c r="G39" s="33"/>
    </row>
    <row r="40" spans="1:7" ht="126">
      <c r="A40" s="21" t="s">
        <v>417</v>
      </c>
      <c r="B40" s="4" t="s">
        <v>255</v>
      </c>
      <c r="C40" s="4" t="s">
        <v>265</v>
      </c>
      <c r="D40" s="4" t="s">
        <v>441</v>
      </c>
      <c r="E40" s="4" t="s">
        <v>18</v>
      </c>
      <c r="F40" s="29">
        <f>прил7!G451</f>
        <v>113967.95999999999</v>
      </c>
      <c r="G40" s="33"/>
    </row>
    <row r="41" spans="1:7" ht="110.25">
      <c r="A41" s="61" t="s">
        <v>6</v>
      </c>
      <c r="B41" s="4" t="s">
        <v>255</v>
      </c>
      <c r="C41" s="4" t="s">
        <v>265</v>
      </c>
      <c r="D41" s="4" t="s">
        <v>7</v>
      </c>
      <c r="E41" s="4"/>
      <c r="F41" s="29">
        <f>F42</f>
        <v>10151679</v>
      </c>
      <c r="G41" s="33"/>
    </row>
    <row r="42" spans="1:7" ht="47.25">
      <c r="A42" s="61" t="s">
        <v>101</v>
      </c>
      <c r="B42" s="4" t="s">
        <v>255</v>
      </c>
      <c r="C42" s="4" t="s">
        <v>265</v>
      </c>
      <c r="D42" s="4" t="s">
        <v>102</v>
      </c>
      <c r="E42" s="4"/>
      <c r="F42" s="29">
        <f>F43+F45+F48</f>
        <v>10151679</v>
      </c>
      <c r="G42" s="33"/>
    </row>
    <row r="43" spans="1:7" ht="47.25">
      <c r="A43" s="61" t="s">
        <v>413</v>
      </c>
      <c r="B43" s="4" t="s">
        <v>255</v>
      </c>
      <c r="C43" s="4" t="s">
        <v>265</v>
      </c>
      <c r="D43" s="4" t="s">
        <v>433</v>
      </c>
      <c r="E43" s="4"/>
      <c r="F43" s="29">
        <f>F44</f>
        <v>9730617.03</v>
      </c>
      <c r="G43" s="33"/>
    </row>
    <row r="44" spans="1:7" ht="126">
      <c r="A44" s="61" t="s">
        <v>434</v>
      </c>
      <c r="B44" s="4" t="s">
        <v>255</v>
      </c>
      <c r="C44" s="4" t="s">
        <v>265</v>
      </c>
      <c r="D44" s="4" t="s">
        <v>433</v>
      </c>
      <c r="E44" s="4" t="s">
        <v>18</v>
      </c>
      <c r="F44" s="29">
        <f>прил7!G412</f>
        <v>9730617.03</v>
      </c>
      <c r="G44" s="33"/>
    </row>
    <row r="45" spans="1:7" ht="47.25">
      <c r="A45" s="61" t="s">
        <v>415</v>
      </c>
      <c r="B45" s="4" t="s">
        <v>255</v>
      </c>
      <c r="C45" s="4" t="s">
        <v>265</v>
      </c>
      <c r="D45" s="4" t="s">
        <v>435</v>
      </c>
      <c r="E45" s="4"/>
      <c r="F45" s="29">
        <f>F46+F47</f>
        <v>154910.62999999998</v>
      </c>
      <c r="G45" s="33"/>
    </row>
    <row r="46" spans="1:7" ht="126">
      <c r="A46" s="61" t="s">
        <v>417</v>
      </c>
      <c r="B46" s="4" t="s">
        <v>255</v>
      </c>
      <c r="C46" s="4" t="s">
        <v>265</v>
      </c>
      <c r="D46" s="4" t="s">
        <v>435</v>
      </c>
      <c r="E46" s="4" t="s">
        <v>18</v>
      </c>
      <c r="F46" s="29">
        <f>прил7!G414</f>
        <v>10210.33</v>
      </c>
      <c r="G46" s="33"/>
    </row>
    <row r="47" spans="1:7" ht="47.25">
      <c r="A47" s="61" t="s">
        <v>306</v>
      </c>
      <c r="B47" s="4" t="s">
        <v>255</v>
      </c>
      <c r="C47" s="4" t="s">
        <v>265</v>
      </c>
      <c r="D47" s="4" t="s">
        <v>435</v>
      </c>
      <c r="E47" s="4" t="s">
        <v>19</v>
      </c>
      <c r="F47" s="29">
        <f>прил7!G415</f>
        <v>144700.3</v>
      </c>
      <c r="G47" s="33"/>
    </row>
    <row r="48" spans="1:7" ht="110.25">
      <c r="A48" s="3" t="s">
        <v>409</v>
      </c>
      <c r="B48" s="4" t="s">
        <v>255</v>
      </c>
      <c r="C48" s="4" t="s">
        <v>265</v>
      </c>
      <c r="D48" s="4" t="s">
        <v>436</v>
      </c>
      <c r="E48" s="4"/>
      <c r="F48" s="29">
        <f>F49</f>
        <v>266151.33999999997</v>
      </c>
      <c r="G48" s="33"/>
    </row>
    <row r="49" spans="1:7" ht="126">
      <c r="A49" s="3" t="s">
        <v>417</v>
      </c>
      <c r="B49" s="4" t="s">
        <v>255</v>
      </c>
      <c r="C49" s="4" t="s">
        <v>265</v>
      </c>
      <c r="D49" s="4" t="s">
        <v>436</v>
      </c>
      <c r="E49" s="4" t="s">
        <v>18</v>
      </c>
      <c r="F49" s="29">
        <f>прил7!G417</f>
        <v>266151.33999999997</v>
      </c>
      <c r="G49" s="33"/>
    </row>
    <row r="50" spans="1:7" s="16" customFormat="1" ht="63">
      <c r="A50" s="27" t="s">
        <v>313</v>
      </c>
      <c r="B50" s="4" t="s">
        <v>255</v>
      </c>
      <c r="C50" s="4" t="s">
        <v>265</v>
      </c>
      <c r="D50" s="4" t="s">
        <v>314</v>
      </c>
      <c r="E50" s="4"/>
      <c r="F50" s="29">
        <f>F51+F61+F69</f>
        <v>47771849</v>
      </c>
      <c r="G50" s="33"/>
    </row>
    <row r="51" spans="1:7" s="16" customFormat="1" ht="47.25">
      <c r="A51" s="27" t="s">
        <v>315</v>
      </c>
      <c r="B51" s="4" t="s">
        <v>255</v>
      </c>
      <c r="C51" s="4" t="s">
        <v>265</v>
      </c>
      <c r="D51" s="4" t="s">
        <v>316</v>
      </c>
      <c r="E51" s="4"/>
      <c r="F51" s="29">
        <f>F52+F54+F56+F59</f>
        <v>29496952.000000004</v>
      </c>
      <c r="G51" s="29"/>
    </row>
    <row r="52" spans="1:7" s="16" customFormat="1" ht="47.25">
      <c r="A52" s="27" t="s">
        <v>418</v>
      </c>
      <c r="B52" s="4" t="s">
        <v>255</v>
      </c>
      <c r="C52" s="4" t="s">
        <v>265</v>
      </c>
      <c r="D52" s="4" t="s">
        <v>419</v>
      </c>
      <c r="E52" s="4"/>
      <c r="F52" s="29">
        <f>F53</f>
        <v>2165093.24</v>
      </c>
      <c r="G52" s="29"/>
    </row>
    <row r="53" spans="1:7" ht="126">
      <c r="A53" s="27" t="s">
        <v>417</v>
      </c>
      <c r="B53" s="4" t="s">
        <v>255</v>
      </c>
      <c r="C53" s="4" t="s">
        <v>265</v>
      </c>
      <c r="D53" s="4" t="s">
        <v>419</v>
      </c>
      <c r="E53" s="4" t="s">
        <v>18</v>
      </c>
      <c r="F53" s="29">
        <f>прил7!G51</f>
        <v>2165093.24</v>
      </c>
      <c r="G53" s="29"/>
    </row>
    <row r="54" spans="1:7" ht="47.25">
      <c r="A54" s="27" t="s">
        <v>413</v>
      </c>
      <c r="B54" s="4" t="s">
        <v>255</v>
      </c>
      <c r="C54" s="4" t="s">
        <v>265</v>
      </c>
      <c r="D54" s="4" t="s">
        <v>420</v>
      </c>
      <c r="E54" s="4"/>
      <c r="F54" s="29">
        <f>F55</f>
        <v>26243443.830000002</v>
      </c>
      <c r="G54" s="29"/>
    </row>
    <row r="55" spans="1:7" ht="126">
      <c r="A55" s="27" t="s">
        <v>417</v>
      </c>
      <c r="B55" s="4" t="s">
        <v>255</v>
      </c>
      <c r="C55" s="4" t="s">
        <v>265</v>
      </c>
      <c r="D55" s="4" t="s">
        <v>420</v>
      </c>
      <c r="E55" s="4" t="s">
        <v>18</v>
      </c>
      <c r="F55" s="29">
        <f>прил7!G53</f>
        <v>26243443.830000002</v>
      </c>
      <c r="G55" s="29"/>
    </row>
    <row r="56" spans="1:7" ht="47.25">
      <c r="A56" s="27" t="s">
        <v>415</v>
      </c>
      <c r="B56" s="4" t="s">
        <v>255</v>
      </c>
      <c r="C56" s="4" t="s">
        <v>265</v>
      </c>
      <c r="D56" s="4" t="s">
        <v>421</v>
      </c>
      <c r="E56" s="4"/>
      <c r="F56" s="29">
        <f>F57+F58</f>
        <v>730494.1699999999</v>
      </c>
      <c r="G56" s="29"/>
    </row>
    <row r="57" spans="1:7" ht="126">
      <c r="A57" s="27" t="s">
        <v>417</v>
      </c>
      <c r="B57" s="4" t="s">
        <v>255</v>
      </c>
      <c r="C57" s="4" t="s">
        <v>265</v>
      </c>
      <c r="D57" s="4" t="s">
        <v>421</v>
      </c>
      <c r="E57" s="4" t="s">
        <v>18</v>
      </c>
      <c r="F57" s="29">
        <f>прил7!G55</f>
        <v>122237.54999999999</v>
      </c>
      <c r="G57" s="29"/>
    </row>
    <row r="58" spans="1:7" ht="47.25">
      <c r="A58" s="27" t="s">
        <v>306</v>
      </c>
      <c r="B58" s="4" t="s">
        <v>255</v>
      </c>
      <c r="C58" s="4" t="s">
        <v>265</v>
      </c>
      <c r="D58" s="4" t="s">
        <v>421</v>
      </c>
      <c r="E58" s="4" t="s">
        <v>19</v>
      </c>
      <c r="F58" s="29">
        <f>прил7!G56</f>
        <v>608256.62</v>
      </c>
      <c r="G58" s="29"/>
    </row>
    <row r="59" spans="1:7" ht="110.25">
      <c r="A59" s="27" t="s">
        <v>409</v>
      </c>
      <c r="B59" s="4" t="s">
        <v>255</v>
      </c>
      <c r="C59" s="4" t="s">
        <v>265</v>
      </c>
      <c r="D59" s="4" t="s">
        <v>422</v>
      </c>
      <c r="E59" s="4"/>
      <c r="F59" s="29">
        <f>F60</f>
        <v>357920.76</v>
      </c>
      <c r="G59" s="29"/>
    </row>
    <row r="60" spans="1:7" ht="126">
      <c r="A60" s="27" t="s">
        <v>417</v>
      </c>
      <c r="B60" s="4" t="s">
        <v>255</v>
      </c>
      <c r="C60" s="4" t="s">
        <v>265</v>
      </c>
      <c r="D60" s="4" t="s">
        <v>422</v>
      </c>
      <c r="E60" s="4" t="s">
        <v>18</v>
      </c>
      <c r="F60" s="29">
        <f>прил7!G58</f>
        <v>357920.76</v>
      </c>
      <c r="G60" s="29"/>
    </row>
    <row r="61" spans="1:7" ht="78.75">
      <c r="A61" s="27" t="s">
        <v>86</v>
      </c>
      <c r="B61" s="4" t="s">
        <v>255</v>
      </c>
      <c r="C61" s="4" t="s">
        <v>265</v>
      </c>
      <c r="D61" s="4" t="s">
        <v>98</v>
      </c>
      <c r="E61" s="4"/>
      <c r="F61" s="29">
        <f>F62+F64+F67</f>
        <v>11063768</v>
      </c>
      <c r="G61" s="29"/>
    </row>
    <row r="62" spans="1:7" ht="47.25">
      <c r="A62" s="27" t="s">
        <v>413</v>
      </c>
      <c r="B62" s="4" t="s">
        <v>255</v>
      </c>
      <c r="C62" s="4" t="s">
        <v>265</v>
      </c>
      <c r="D62" s="4" t="s">
        <v>427</v>
      </c>
      <c r="E62" s="4"/>
      <c r="F62" s="29">
        <f>F63</f>
        <v>10642447</v>
      </c>
      <c r="G62" s="29"/>
    </row>
    <row r="63" spans="1:7" ht="126">
      <c r="A63" s="27" t="s">
        <v>417</v>
      </c>
      <c r="B63" s="4" t="s">
        <v>255</v>
      </c>
      <c r="C63" s="4" t="s">
        <v>265</v>
      </c>
      <c r="D63" s="4" t="s">
        <v>427</v>
      </c>
      <c r="E63" s="4" t="s">
        <v>18</v>
      </c>
      <c r="F63" s="29">
        <f>прил7!G207</f>
        <v>10642447</v>
      </c>
      <c r="G63" s="29"/>
    </row>
    <row r="64" spans="1:7" ht="47.25">
      <c r="A64" s="27" t="s">
        <v>415</v>
      </c>
      <c r="B64" s="4" t="s">
        <v>255</v>
      </c>
      <c r="C64" s="4" t="s">
        <v>265</v>
      </c>
      <c r="D64" s="4" t="s">
        <v>428</v>
      </c>
      <c r="E64" s="4"/>
      <c r="F64" s="29">
        <f>F65+F66</f>
        <v>241880</v>
      </c>
      <c r="G64" s="29"/>
    </row>
    <row r="65" spans="1:7" ht="126">
      <c r="A65" s="27" t="s">
        <v>417</v>
      </c>
      <c r="B65" s="4" t="s">
        <v>255</v>
      </c>
      <c r="C65" s="4" t="s">
        <v>265</v>
      </c>
      <c r="D65" s="4" t="s">
        <v>428</v>
      </c>
      <c r="E65" s="4" t="s">
        <v>18</v>
      </c>
      <c r="F65" s="29">
        <f>прил7!G209</f>
        <v>3750</v>
      </c>
      <c r="G65" s="29"/>
    </row>
    <row r="66" spans="1:7" ht="47.25">
      <c r="A66" s="27" t="s">
        <v>306</v>
      </c>
      <c r="B66" s="4" t="s">
        <v>255</v>
      </c>
      <c r="C66" s="4" t="s">
        <v>265</v>
      </c>
      <c r="D66" s="4" t="s">
        <v>428</v>
      </c>
      <c r="E66" s="4" t="s">
        <v>19</v>
      </c>
      <c r="F66" s="29">
        <f>прил7!G210</f>
        <v>238130</v>
      </c>
      <c r="G66" s="29"/>
    </row>
    <row r="67" spans="1:7" ht="110.25">
      <c r="A67" s="27" t="s">
        <v>409</v>
      </c>
      <c r="B67" s="4" t="s">
        <v>255</v>
      </c>
      <c r="C67" s="4" t="s">
        <v>265</v>
      </c>
      <c r="D67" s="4" t="s">
        <v>429</v>
      </c>
      <c r="E67" s="4"/>
      <c r="F67" s="29">
        <f>F68</f>
        <v>179441</v>
      </c>
      <c r="G67" s="29"/>
    </row>
    <row r="68" spans="1:7" ht="126">
      <c r="A68" s="27" t="s">
        <v>417</v>
      </c>
      <c r="B68" s="4" t="s">
        <v>255</v>
      </c>
      <c r="C68" s="4" t="s">
        <v>265</v>
      </c>
      <c r="D68" s="4" t="s">
        <v>429</v>
      </c>
      <c r="E68" s="4" t="s">
        <v>18</v>
      </c>
      <c r="F68" s="29">
        <f>прил7!G212</f>
        <v>179441</v>
      </c>
      <c r="G68" s="29"/>
    </row>
    <row r="69" spans="1:7" ht="78.75">
      <c r="A69" s="21" t="s">
        <v>162</v>
      </c>
      <c r="B69" s="4" t="s">
        <v>255</v>
      </c>
      <c r="C69" s="4" t="s">
        <v>265</v>
      </c>
      <c r="D69" s="4" t="s">
        <v>163</v>
      </c>
      <c r="E69" s="4"/>
      <c r="F69" s="29">
        <f>F70+F72+F75</f>
        <v>7211129</v>
      </c>
      <c r="G69" s="29"/>
    </row>
    <row r="70" spans="1:7" ht="47.25">
      <c r="A70" s="21" t="s">
        <v>413</v>
      </c>
      <c r="B70" s="4" t="s">
        <v>255</v>
      </c>
      <c r="C70" s="4" t="s">
        <v>265</v>
      </c>
      <c r="D70" s="4" t="s">
        <v>442</v>
      </c>
      <c r="E70" s="4"/>
      <c r="F70" s="29">
        <f>F71</f>
        <v>6937697.01</v>
      </c>
      <c r="G70" s="29"/>
    </row>
    <row r="71" spans="1:7" ht="126">
      <c r="A71" s="21" t="s">
        <v>417</v>
      </c>
      <c r="B71" s="4" t="s">
        <v>255</v>
      </c>
      <c r="C71" s="4" t="s">
        <v>265</v>
      </c>
      <c r="D71" s="4" t="s">
        <v>442</v>
      </c>
      <c r="E71" s="4" t="s">
        <v>18</v>
      </c>
      <c r="F71" s="29">
        <f>прил7!G600</f>
        <v>6937697.01</v>
      </c>
      <c r="G71" s="29"/>
    </row>
    <row r="72" spans="1:7" ht="47.25">
      <c r="A72" s="21" t="s">
        <v>415</v>
      </c>
      <c r="B72" s="4" t="s">
        <v>255</v>
      </c>
      <c r="C72" s="4" t="s">
        <v>265</v>
      </c>
      <c r="D72" s="4" t="s">
        <v>443</v>
      </c>
      <c r="E72" s="4"/>
      <c r="F72" s="29">
        <f>F73+F74</f>
        <v>166191.2</v>
      </c>
      <c r="G72" s="29"/>
    </row>
    <row r="73" spans="1:7" ht="126">
      <c r="A73" s="21" t="s">
        <v>417</v>
      </c>
      <c r="B73" s="4" t="s">
        <v>255</v>
      </c>
      <c r="C73" s="4" t="s">
        <v>265</v>
      </c>
      <c r="D73" s="4" t="s">
        <v>443</v>
      </c>
      <c r="E73" s="4" t="s">
        <v>18</v>
      </c>
      <c r="F73" s="29">
        <f>прил7!G602</f>
        <v>37144.2</v>
      </c>
      <c r="G73" s="29"/>
    </row>
    <row r="74" spans="1:7" ht="47.25">
      <c r="A74" s="21" t="s">
        <v>306</v>
      </c>
      <c r="B74" s="4" t="s">
        <v>255</v>
      </c>
      <c r="C74" s="4" t="s">
        <v>265</v>
      </c>
      <c r="D74" s="4" t="s">
        <v>443</v>
      </c>
      <c r="E74" s="4" t="s">
        <v>19</v>
      </c>
      <c r="F74" s="29">
        <f>прил7!G603</f>
        <v>129047</v>
      </c>
      <c r="G74" s="29"/>
    </row>
    <row r="75" spans="1:7" ht="110.25">
      <c r="A75" s="21" t="s">
        <v>409</v>
      </c>
      <c r="B75" s="4" t="s">
        <v>255</v>
      </c>
      <c r="C75" s="4" t="s">
        <v>265</v>
      </c>
      <c r="D75" s="4" t="s">
        <v>444</v>
      </c>
      <c r="E75" s="4"/>
      <c r="F75" s="29">
        <f>F76</f>
        <v>107240.79000000001</v>
      </c>
      <c r="G75" s="29"/>
    </row>
    <row r="76" spans="1:7" ht="126">
      <c r="A76" s="21" t="s">
        <v>417</v>
      </c>
      <c r="B76" s="4" t="s">
        <v>255</v>
      </c>
      <c r="C76" s="4" t="s">
        <v>265</v>
      </c>
      <c r="D76" s="4" t="s">
        <v>444</v>
      </c>
      <c r="E76" s="4" t="s">
        <v>18</v>
      </c>
      <c r="F76" s="29">
        <f>прил7!G605</f>
        <v>107240.79000000001</v>
      </c>
      <c r="G76" s="29"/>
    </row>
    <row r="77" spans="1:7" ht="78.75">
      <c r="A77" s="1" t="s">
        <v>300</v>
      </c>
      <c r="B77" s="2" t="s">
        <v>255</v>
      </c>
      <c r="C77" s="2" t="s">
        <v>256</v>
      </c>
      <c r="D77" s="2"/>
      <c r="E77" s="2"/>
      <c r="F77" s="29">
        <f>F78</f>
        <v>3493463</v>
      </c>
      <c r="G77" s="29"/>
    </row>
    <row r="78" spans="1:7" ht="15.75">
      <c r="A78" s="27" t="s">
        <v>303</v>
      </c>
      <c r="B78" s="4" t="s">
        <v>255</v>
      </c>
      <c r="C78" s="4" t="s">
        <v>256</v>
      </c>
      <c r="D78" s="4" t="s">
        <v>304</v>
      </c>
      <c r="E78" s="4"/>
      <c r="F78" s="29">
        <f>F79+F81+F83</f>
        <v>3493463</v>
      </c>
      <c r="G78" s="29"/>
    </row>
    <row r="79" spans="1:7" ht="63">
      <c r="A79" s="27" t="s">
        <v>445</v>
      </c>
      <c r="B79" s="4" t="s">
        <v>255</v>
      </c>
      <c r="C79" s="4" t="s">
        <v>256</v>
      </c>
      <c r="D79" s="4" t="s">
        <v>446</v>
      </c>
      <c r="E79" s="4"/>
      <c r="F79" s="29">
        <f>F80</f>
        <v>1310000</v>
      </c>
      <c r="G79" s="29"/>
    </row>
    <row r="80" spans="1:7" ht="126">
      <c r="A80" s="27" t="s">
        <v>417</v>
      </c>
      <c r="B80" s="4" t="s">
        <v>255</v>
      </c>
      <c r="C80" s="4" t="s">
        <v>256</v>
      </c>
      <c r="D80" s="4" t="s">
        <v>446</v>
      </c>
      <c r="E80" s="4" t="s">
        <v>18</v>
      </c>
      <c r="F80" s="29">
        <f>прил7!G738</f>
        <v>1310000</v>
      </c>
      <c r="G80" s="29"/>
    </row>
    <row r="81" spans="1:7" ht="47.25">
      <c r="A81" s="27" t="s">
        <v>413</v>
      </c>
      <c r="B81" s="4" t="s">
        <v>255</v>
      </c>
      <c r="C81" s="4" t="s">
        <v>256</v>
      </c>
      <c r="D81" s="4" t="s">
        <v>414</v>
      </c>
      <c r="E81" s="4"/>
      <c r="F81" s="29">
        <f>F82</f>
        <v>1845010</v>
      </c>
      <c r="G81" s="29"/>
    </row>
    <row r="82" spans="1:7" ht="126">
      <c r="A82" s="27" t="s">
        <v>417</v>
      </c>
      <c r="B82" s="4" t="s">
        <v>255</v>
      </c>
      <c r="C82" s="4" t="s">
        <v>256</v>
      </c>
      <c r="D82" s="4" t="s">
        <v>414</v>
      </c>
      <c r="E82" s="4" t="s">
        <v>18</v>
      </c>
      <c r="F82" s="29">
        <f>прил7!G740</f>
        <v>1845010</v>
      </c>
      <c r="G82" s="29"/>
    </row>
    <row r="83" spans="1:7" ht="47.25">
      <c r="A83" s="27" t="s">
        <v>415</v>
      </c>
      <c r="B83" s="4" t="s">
        <v>255</v>
      </c>
      <c r="C83" s="4" t="s">
        <v>256</v>
      </c>
      <c r="D83" s="4" t="s">
        <v>416</v>
      </c>
      <c r="E83" s="4"/>
      <c r="F83" s="29">
        <f>F84+F85</f>
        <v>338453</v>
      </c>
      <c r="G83" s="29"/>
    </row>
    <row r="84" spans="1:7" ht="126">
      <c r="A84" s="27" t="s">
        <v>417</v>
      </c>
      <c r="B84" s="4" t="s">
        <v>255</v>
      </c>
      <c r="C84" s="4" t="s">
        <v>256</v>
      </c>
      <c r="D84" s="4" t="s">
        <v>416</v>
      </c>
      <c r="E84" s="4" t="s">
        <v>18</v>
      </c>
      <c r="F84" s="29">
        <f>прил7!G742</f>
        <v>20000</v>
      </c>
      <c r="G84" s="29"/>
    </row>
    <row r="85" spans="1:7" ht="47.25">
      <c r="A85" s="27" t="s">
        <v>306</v>
      </c>
      <c r="B85" s="4" t="s">
        <v>255</v>
      </c>
      <c r="C85" s="4" t="s">
        <v>256</v>
      </c>
      <c r="D85" s="4" t="s">
        <v>416</v>
      </c>
      <c r="E85" s="4" t="s">
        <v>19</v>
      </c>
      <c r="F85" s="29">
        <f>прил7!G743</f>
        <v>318453</v>
      </c>
      <c r="G85" s="29"/>
    </row>
    <row r="86" spans="1:7" ht="22.5" customHeight="1">
      <c r="A86" s="13" t="s">
        <v>283</v>
      </c>
      <c r="B86" s="5" t="s">
        <v>255</v>
      </c>
      <c r="C86" s="5" t="s">
        <v>169</v>
      </c>
      <c r="D86" s="5"/>
      <c r="E86" s="5"/>
      <c r="F86" s="28">
        <f>F87</f>
        <v>100000</v>
      </c>
      <c r="G86" s="28"/>
    </row>
    <row r="87" spans="1:7" ht="31.5" customHeight="1">
      <c r="A87" s="3" t="s">
        <v>317</v>
      </c>
      <c r="B87" s="4" t="s">
        <v>255</v>
      </c>
      <c r="C87" s="4" t="s">
        <v>169</v>
      </c>
      <c r="D87" s="4" t="s">
        <v>304</v>
      </c>
      <c r="E87" s="4"/>
      <c r="F87" s="29">
        <f>F88</f>
        <v>100000</v>
      </c>
      <c r="G87" s="29"/>
    </row>
    <row r="88" spans="1:7" ht="31.5" customHeight="1">
      <c r="A88" s="3" t="s">
        <v>318</v>
      </c>
      <c r="B88" s="4" t="s">
        <v>255</v>
      </c>
      <c r="C88" s="4" t="s">
        <v>169</v>
      </c>
      <c r="D88" s="4" t="s">
        <v>319</v>
      </c>
      <c r="E88" s="4"/>
      <c r="F88" s="29">
        <f>F89</f>
        <v>100000</v>
      </c>
      <c r="G88" s="29"/>
    </row>
    <row r="89" spans="1:7" ht="31.5" customHeight="1">
      <c r="A89" s="3" t="s">
        <v>235</v>
      </c>
      <c r="B89" s="4" t="s">
        <v>255</v>
      </c>
      <c r="C89" s="4" t="s">
        <v>169</v>
      </c>
      <c r="D89" s="4" t="s">
        <v>319</v>
      </c>
      <c r="E89" s="4" t="s">
        <v>22</v>
      </c>
      <c r="F89" s="29">
        <f>прил7!G62</f>
        <v>100000</v>
      </c>
      <c r="G89" s="29"/>
    </row>
    <row r="90" spans="1:7" ht="31.5">
      <c r="A90" s="13" t="s">
        <v>284</v>
      </c>
      <c r="B90" s="5" t="s">
        <v>255</v>
      </c>
      <c r="C90" s="5" t="s">
        <v>16</v>
      </c>
      <c r="D90" s="23"/>
      <c r="E90" s="23"/>
      <c r="F90" s="28">
        <f>F91+F117+F97+F166+F101+F114+F129+F111+F107</f>
        <v>98182379.65</v>
      </c>
      <c r="G90" s="28">
        <f>G91+G117+G97+G166+G101+G114+G129+G111+G107</f>
        <v>2517800</v>
      </c>
    </row>
    <row r="91" spans="1:7" ht="78.75">
      <c r="A91" s="3" t="s">
        <v>324</v>
      </c>
      <c r="B91" s="4" t="s">
        <v>255</v>
      </c>
      <c r="C91" s="4" t="s">
        <v>16</v>
      </c>
      <c r="D91" s="4" t="s">
        <v>325</v>
      </c>
      <c r="E91" s="4"/>
      <c r="F91" s="29">
        <f>F92+F95</f>
        <v>892800</v>
      </c>
      <c r="G91" s="29"/>
    </row>
    <row r="92" spans="1:7" ht="31.5">
      <c r="A92" s="3" t="s">
        <v>326</v>
      </c>
      <c r="B92" s="4" t="s">
        <v>255</v>
      </c>
      <c r="C92" s="4" t="s">
        <v>16</v>
      </c>
      <c r="D92" s="4" t="s">
        <v>327</v>
      </c>
      <c r="E92" s="4"/>
      <c r="F92" s="29">
        <f>F94+F93</f>
        <v>723800</v>
      </c>
      <c r="G92" s="29"/>
    </row>
    <row r="93" spans="1:7" ht="47.25">
      <c r="A93" s="3" t="s">
        <v>306</v>
      </c>
      <c r="B93" s="4" t="s">
        <v>255</v>
      </c>
      <c r="C93" s="4" t="s">
        <v>16</v>
      </c>
      <c r="D93" s="4" t="s">
        <v>327</v>
      </c>
      <c r="E93" s="4" t="s">
        <v>19</v>
      </c>
      <c r="F93" s="29">
        <f>прил7!G80</f>
        <v>60000</v>
      </c>
      <c r="G93" s="29"/>
    </row>
    <row r="94" spans="1:7" s="16" customFormat="1" ht="31.5">
      <c r="A94" s="3" t="s">
        <v>239</v>
      </c>
      <c r="B94" s="4" t="s">
        <v>255</v>
      </c>
      <c r="C94" s="4" t="s">
        <v>16</v>
      </c>
      <c r="D94" s="4" t="s">
        <v>327</v>
      </c>
      <c r="E94" s="4" t="s">
        <v>240</v>
      </c>
      <c r="F94" s="29">
        <f>прил7!G81</f>
        <v>663800</v>
      </c>
      <c r="G94" s="29"/>
    </row>
    <row r="95" spans="1:7" ht="47.25">
      <c r="A95" s="3" t="s">
        <v>328</v>
      </c>
      <c r="B95" s="4" t="s">
        <v>255</v>
      </c>
      <c r="C95" s="4" t="s">
        <v>16</v>
      </c>
      <c r="D95" s="4" t="s">
        <v>329</v>
      </c>
      <c r="E95" s="4"/>
      <c r="F95" s="29">
        <f>F96</f>
        <v>169000</v>
      </c>
      <c r="G95" s="29"/>
    </row>
    <row r="96" spans="1:7" ht="63">
      <c r="A96" s="61" t="s">
        <v>330</v>
      </c>
      <c r="B96" s="4" t="s">
        <v>255</v>
      </c>
      <c r="C96" s="4" t="s">
        <v>16</v>
      </c>
      <c r="D96" s="4" t="s">
        <v>329</v>
      </c>
      <c r="E96" s="4" t="s">
        <v>23</v>
      </c>
      <c r="F96" s="29">
        <f>прил7!G83</f>
        <v>169000</v>
      </c>
      <c r="G96" s="29"/>
    </row>
    <row r="97" spans="1:7" ht="78.75">
      <c r="A97" s="27" t="s">
        <v>343</v>
      </c>
      <c r="B97" s="4" t="s">
        <v>255</v>
      </c>
      <c r="C97" s="4" t="s">
        <v>16</v>
      </c>
      <c r="D97" s="4" t="s">
        <v>344</v>
      </c>
      <c r="E97" s="4"/>
      <c r="F97" s="29">
        <f>F98</f>
        <v>5000</v>
      </c>
      <c r="G97" s="29"/>
    </row>
    <row r="98" spans="1:7" ht="15.75">
      <c r="A98" s="61" t="s">
        <v>159</v>
      </c>
      <c r="B98" s="4" t="s">
        <v>255</v>
      </c>
      <c r="C98" s="4" t="s">
        <v>16</v>
      </c>
      <c r="D98" s="4" t="s">
        <v>160</v>
      </c>
      <c r="E98" s="4"/>
      <c r="F98" s="29">
        <f>F99</f>
        <v>5000</v>
      </c>
      <c r="G98" s="29"/>
    </row>
    <row r="99" spans="1:7" ht="31.5">
      <c r="A99" s="3" t="s">
        <v>326</v>
      </c>
      <c r="B99" s="4" t="s">
        <v>255</v>
      </c>
      <c r="C99" s="4" t="s">
        <v>16</v>
      </c>
      <c r="D99" s="4" t="s">
        <v>161</v>
      </c>
      <c r="E99" s="4"/>
      <c r="F99" s="29">
        <f>F100</f>
        <v>5000</v>
      </c>
      <c r="G99" s="29"/>
    </row>
    <row r="100" spans="1:7" ht="47.25">
      <c r="A100" s="3" t="s">
        <v>306</v>
      </c>
      <c r="B100" s="4" t="s">
        <v>255</v>
      </c>
      <c r="C100" s="4" t="s">
        <v>16</v>
      </c>
      <c r="D100" s="4" t="s">
        <v>161</v>
      </c>
      <c r="E100" s="4" t="s">
        <v>19</v>
      </c>
      <c r="F100" s="29">
        <f>прил7!G87</f>
        <v>5000</v>
      </c>
      <c r="G100" s="29"/>
    </row>
    <row r="101" spans="1:7" ht="78.75">
      <c r="A101" s="3" t="s">
        <v>50</v>
      </c>
      <c r="B101" s="4" t="s">
        <v>255</v>
      </c>
      <c r="C101" s="4" t="s">
        <v>16</v>
      </c>
      <c r="D101" s="4" t="s">
        <v>51</v>
      </c>
      <c r="E101" s="2"/>
      <c r="F101" s="29">
        <f>F102</f>
        <v>1870000</v>
      </c>
      <c r="G101" s="29"/>
    </row>
    <row r="102" spans="1:7" ht="63">
      <c r="A102" s="3" t="s">
        <v>142</v>
      </c>
      <c r="B102" s="4" t="s">
        <v>255</v>
      </c>
      <c r="C102" s="4" t="s">
        <v>16</v>
      </c>
      <c r="D102" s="4" t="s">
        <v>143</v>
      </c>
      <c r="E102" s="4"/>
      <c r="F102" s="29">
        <f>F103+F105</f>
        <v>1870000</v>
      </c>
      <c r="G102" s="29"/>
    </row>
    <row r="103" spans="1:7" ht="47.25">
      <c r="A103" s="3" t="s">
        <v>228</v>
      </c>
      <c r="B103" s="4" t="s">
        <v>255</v>
      </c>
      <c r="C103" s="4" t="s">
        <v>16</v>
      </c>
      <c r="D103" s="4" t="s">
        <v>144</v>
      </c>
      <c r="E103" s="4"/>
      <c r="F103" s="29">
        <f>F104</f>
        <v>1820000</v>
      </c>
      <c r="G103" s="29"/>
    </row>
    <row r="104" spans="1:7" ht="47.25">
      <c r="A104" s="3" t="s">
        <v>306</v>
      </c>
      <c r="B104" s="4" t="s">
        <v>255</v>
      </c>
      <c r="C104" s="4" t="s">
        <v>16</v>
      </c>
      <c r="D104" s="4" t="s">
        <v>144</v>
      </c>
      <c r="E104" s="4" t="s">
        <v>19</v>
      </c>
      <c r="F104" s="29">
        <f>прил7!G217</f>
        <v>1820000</v>
      </c>
      <c r="G104" s="29"/>
    </row>
    <row r="105" spans="1:7" ht="31.5">
      <c r="A105" s="3" t="s">
        <v>326</v>
      </c>
      <c r="B105" s="4" t="s">
        <v>255</v>
      </c>
      <c r="C105" s="4" t="s">
        <v>16</v>
      </c>
      <c r="D105" s="4" t="s">
        <v>145</v>
      </c>
      <c r="E105" s="4"/>
      <c r="F105" s="29">
        <f>F106</f>
        <v>50000</v>
      </c>
      <c r="G105" s="29"/>
    </row>
    <row r="106" spans="1:7" ht="47.25">
      <c r="A106" s="3" t="s">
        <v>306</v>
      </c>
      <c r="B106" s="4" t="s">
        <v>255</v>
      </c>
      <c r="C106" s="4" t="s">
        <v>16</v>
      </c>
      <c r="D106" s="4" t="s">
        <v>145</v>
      </c>
      <c r="E106" s="4" t="s">
        <v>19</v>
      </c>
      <c r="F106" s="29">
        <f>прил7!G219</f>
        <v>50000</v>
      </c>
      <c r="G106" s="29"/>
    </row>
    <row r="107" spans="1:7" ht="78.75">
      <c r="A107" s="3" t="s">
        <v>115</v>
      </c>
      <c r="B107" s="4" t="s">
        <v>255</v>
      </c>
      <c r="C107" s="4" t="s">
        <v>16</v>
      </c>
      <c r="D107" s="4" t="s">
        <v>116</v>
      </c>
      <c r="E107" s="4"/>
      <c r="F107" s="29">
        <f>F108</f>
        <v>445471.41</v>
      </c>
      <c r="G107" s="29"/>
    </row>
    <row r="108" spans="1:7" ht="63">
      <c r="A108" s="3" t="s">
        <v>117</v>
      </c>
      <c r="B108" s="4" t="s">
        <v>255</v>
      </c>
      <c r="C108" s="4" t="s">
        <v>16</v>
      </c>
      <c r="D108" s="4" t="s">
        <v>118</v>
      </c>
      <c r="E108" s="4"/>
      <c r="F108" s="29">
        <f>F109</f>
        <v>445471.41</v>
      </c>
      <c r="G108" s="29"/>
    </row>
    <row r="109" spans="1:7" ht="63">
      <c r="A109" s="3" t="s">
        <v>222</v>
      </c>
      <c r="B109" s="4" t="s">
        <v>255</v>
      </c>
      <c r="C109" s="4" t="s">
        <v>16</v>
      </c>
      <c r="D109" s="4" t="s">
        <v>128</v>
      </c>
      <c r="E109" s="4"/>
      <c r="F109" s="29">
        <f>F110</f>
        <v>445471.41</v>
      </c>
      <c r="G109" s="29"/>
    </row>
    <row r="110" spans="1:7" ht="63">
      <c r="A110" s="3" t="s">
        <v>49</v>
      </c>
      <c r="B110" s="4" t="s">
        <v>255</v>
      </c>
      <c r="C110" s="4" t="s">
        <v>16</v>
      </c>
      <c r="D110" s="4" t="s">
        <v>128</v>
      </c>
      <c r="E110" s="4" t="s">
        <v>297</v>
      </c>
      <c r="F110" s="29">
        <f>прил7!G223</f>
        <v>445471.41</v>
      </c>
      <c r="G110" s="29"/>
    </row>
    <row r="111" spans="1:7" ht="78.75">
      <c r="A111" s="3" t="s">
        <v>71</v>
      </c>
      <c r="B111" s="4" t="s">
        <v>255</v>
      </c>
      <c r="C111" s="4" t="s">
        <v>16</v>
      </c>
      <c r="D111" s="4" t="s">
        <v>72</v>
      </c>
      <c r="E111" s="4"/>
      <c r="F111" s="29">
        <f>F112</f>
        <v>2200000</v>
      </c>
      <c r="G111" s="29"/>
    </row>
    <row r="112" spans="1:7" ht="47.25">
      <c r="A112" s="3" t="s">
        <v>228</v>
      </c>
      <c r="B112" s="4" t="s">
        <v>255</v>
      </c>
      <c r="C112" s="4" t="s">
        <v>16</v>
      </c>
      <c r="D112" s="4" t="s">
        <v>73</v>
      </c>
      <c r="E112" s="4"/>
      <c r="F112" s="29">
        <f>F113</f>
        <v>2200000</v>
      </c>
      <c r="G112" s="29"/>
    </row>
    <row r="113" spans="1:7" ht="47.25">
      <c r="A113" s="3" t="s">
        <v>306</v>
      </c>
      <c r="B113" s="4" t="s">
        <v>255</v>
      </c>
      <c r="C113" s="4" t="s">
        <v>16</v>
      </c>
      <c r="D113" s="4" t="s">
        <v>73</v>
      </c>
      <c r="E113" s="4" t="s">
        <v>19</v>
      </c>
      <c r="F113" s="29">
        <f>прил7!G226</f>
        <v>2200000</v>
      </c>
      <c r="G113" s="29"/>
    </row>
    <row r="114" spans="1:7" ht="94.5">
      <c r="A114" s="3" t="s">
        <v>3</v>
      </c>
      <c r="B114" s="4" t="s">
        <v>255</v>
      </c>
      <c r="C114" s="4" t="s">
        <v>16</v>
      </c>
      <c r="D114" s="4" t="s">
        <v>4</v>
      </c>
      <c r="E114" s="4"/>
      <c r="F114" s="29">
        <f>F115</f>
        <v>200000</v>
      </c>
      <c r="G114" s="29"/>
    </row>
    <row r="115" spans="1:7" ht="31.5">
      <c r="A115" s="3" t="s">
        <v>326</v>
      </c>
      <c r="B115" s="4" t="s">
        <v>255</v>
      </c>
      <c r="C115" s="4" t="s">
        <v>16</v>
      </c>
      <c r="D115" s="4" t="s">
        <v>5</v>
      </c>
      <c r="E115" s="4"/>
      <c r="F115" s="29">
        <f>F116</f>
        <v>200000</v>
      </c>
      <c r="G115" s="29"/>
    </row>
    <row r="116" spans="1:7" ht="47.25">
      <c r="A116" s="3" t="s">
        <v>306</v>
      </c>
      <c r="B116" s="4" t="s">
        <v>255</v>
      </c>
      <c r="C116" s="4" t="s">
        <v>16</v>
      </c>
      <c r="D116" s="4" t="s">
        <v>5</v>
      </c>
      <c r="E116" s="4" t="s">
        <v>19</v>
      </c>
      <c r="F116" s="29">
        <f>прил7!G229</f>
        <v>200000</v>
      </c>
      <c r="G116" s="29"/>
    </row>
    <row r="117" spans="1:7" ht="47.25">
      <c r="A117" s="3" t="s">
        <v>307</v>
      </c>
      <c r="B117" s="4" t="s">
        <v>255</v>
      </c>
      <c r="C117" s="4" t="s">
        <v>16</v>
      </c>
      <c r="D117" s="4" t="s">
        <v>308</v>
      </c>
      <c r="E117" s="4"/>
      <c r="F117" s="29">
        <f>F118</f>
        <v>26975189</v>
      </c>
      <c r="G117" s="29">
        <f>G118</f>
        <v>1147000</v>
      </c>
    </row>
    <row r="118" spans="1:7" ht="94.5">
      <c r="A118" s="61" t="s">
        <v>338</v>
      </c>
      <c r="B118" s="4" t="s">
        <v>255</v>
      </c>
      <c r="C118" s="4" t="s">
        <v>16</v>
      </c>
      <c r="D118" s="4" t="s">
        <v>339</v>
      </c>
      <c r="E118" s="4"/>
      <c r="F118" s="29">
        <f>F127+F119+F125+F123</f>
        <v>26975189</v>
      </c>
      <c r="G118" s="29">
        <f>G127+G119+G125+G123</f>
        <v>1147000</v>
      </c>
    </row>
    <row r="119" spans="1:7" ht="110.25">
      <c r="A119" s="3" t="s">
        <v>209</v>
      </c>
      <c r="B119" s="4" t="s">
        <v>255</v>
      </c>
      <c r="C119" s="4" t="s">
        <v>16</v>
      </c>
      <c r="D119" s="4" t="s">
        <v>84</v>
      </c>
      <c r="E119" s="4"/>
      <c r="F119" s="29">
        <f>F120+F121+F122</f>
        <v>8485829.8</v>
      </c>
      <c r="G119" s="29"/>
    </row>
    <row r="120" spans="1:7" ht="126">
      <c r="A120" s="3" t="s">
        <v>305</v>
      </c>
      <c r="B120" s="4" t="s">
        <v>255</v>
      </c>
      <c r="C120" s="4" t="s">
        <v>16</v>
      </c>
      <c r="D120" s="4" t="s">
        <v>84</v>
      </c>
      <c r="E120" s="4" t="s">
        <v>18</v>
      </c>
      <c r="F120" s="29">
        <f>прил7!G91</f>
        <v>0</v>
      </c>
      <c r="G120" s="29"/>
    </row>
    <row r="121" spans="1:7" ht="47.25">
      <c r="A121" s="3" t="s">
        <v>306</v>
      </c>
      <c r="B121" s="4" t="s">
        <v>255</v>
      </c>
      <c r="C121" s="4" t="s">
        <v>16</v>
      </c>
      <c r="D121" s="4" t="s">
        <v>84</v>
      </c>
      <c r="E121" s="4" t="s">
        <v>19</v>
      </c>
      <c r="F121" s="29">
        <f>прил7!G92+прил7!G232</f>
        <v>3318199.8</v>
      </c>
      <c r="G121" s="29"/>
    </row>
    <row r="122" spans="1:7" ht="78.75" customHeight="1">
      <c r="A122" s="3" t="s">
        <v>330</v>
      </c>
      <c r="B122" s="4" t="s">
        <v>255</v>
      </c>
      <c r="C122" s="4" t="s">
        <v>16</v>
      </c>
      <c r="D122" s="4" t="s">
        <v>84</v>
      </c>
      <c r="E122" s="4" t="s">
        <v>23</v>
      </c>
      <c r="F122" s="29">
        <f>прил7!G97</f>
        <v>5167630</v>
      </c>
      <c r="G122" s="29"/>
    </row>
    <row r="123" spans="1:7" ht="31.5">
      <c r="A123" s="3" t="s">
        <v>326</v>
      </c>
      <c r="B123" s="4" t="s">
        <v>255</v>
      </c>
      <c r="C123" s="4" t="s">
        <v>16</v>
      </c>
      <c r="D123" s="4" t="s">
        <v>129</v>
      </c>
      <c r="E123" s="4"/>
      <c r="F123" s="29">
        <f>F124</f>
        <v>1958395.72</v>
      </c>
      <c r="G123" s="29"/>
    </row>
    <row r="124" spans="1:7" ht="47.25">
      <c r="A124" s="3" t="s">
        <v>306</v>
      </c>
      <c r="B124" s="4" t="s">
        <v>255</v>
      </c>
      <c r="C124" s="4" t="s">
        <v>16</v>
      </c>
      <c r="D124" s="4" t="s">
        <v>129</v>
      </c>
      <c r="E124" s="4" t="s">
        <v>19</v>
      </c>
      <c r="F124" s="29">
        <f>прил7!G235</f>
        <v>1958395.72</v>
      </c>
      <c r="G124" s="29"/>
    </row>
    <row r="125" spans="1:7" ht="63">
      <c r="A125" s="3" t="s">
        <v>222</v>
      </c>
      <c r="B125" s="4" t="s">
        <v>255</v>
      </c>
      <c r="C125" s="4" t="s">
        <v>16</v>
      </c>
      <c r="D125" s="4" t="s">
        <v>85</v>
      </c>
      <c r="E125" s="4"/>
      <c r="F125" s="29">
        <f>F126</f>
        <v>15383963.479999999</v>
      </c>
      <c r="G125" s="29"/>
    </row>
    <row r="126" spans="1:7" ht="63">
      <c r="A126" s="3" t="s">
        <v>49</v>
      </c>
      <c r="B126" s="4" t="s">
        <v>255</v>
      </c>
      <c r="C126" s="4" t="s">
        <v>16</v>
      </c>
      <c r="D126" s="4" t="s">
        <v>85</v>
      </c>
      <c r="E126" s="4" t="s">
        <v>297</v>
      </c>
      <c r="F126" s="29">
        <f>прил7!G236</f>
        <v>15383963.479999999</v>
      </c>
      <c r="G126" s="29"/>
    </row>
    <row r="127" spans="1:7" ht="47.25">
      <c r="A127" s="61" t="s">
        <v>340</v>
      </c>
      <c r="B127" s="4" t="s">
        <v>255</v>
      </c>
      <c r="C127" s="4" t="s">
        <v>16</v>
      </c>
      <c r="D127" s="4" t="s">
        <v>341</v>
      </c>
      <c r="E127" s="4"/>
      <c r="F127" s="29">
        <f>F128</f>
        <v>1147000</v>
      </c>
      <c r="G127" s="29">
        <f>G128</f>
        <v>1147000</v>
      </c>
    </row>
    <row r="128" spans="1:7" ht="47.25">
      <c r="A128" s="3" t="s">
        <v>306</v>
      </c>
      <c r="B128" s="4" t="s">
        <v>255</v>
      </c>
      <c r="C128" s="4" t="s">
        <v>16</v>
      </c>
      <c r="D128" s="4" t="s">
        <v>341</v>
      </c>
      <c r="E128" s="4" t="s">
        <v>19</v>
      </c>
      <c r="F128" s="29">
        <f>прил7!G239</f>
        <v>1147000</v>
      </c>
      <c r="G128" s="29">
        <f>F128</f>
        <v>1147000</v>
      </c>
    </row>
    <row r="129" spans="1:7" ht="63">
      <c r="A129" s="27" t="s">
        <v>313</v>
      </c>
      <c r="B129" s="4" t="s">
        <v>255</v>
      </c>
      <c r="C129" s="4" t="s">
        <v>16</v>
      </c>
      <c r="D129" s="4" t="s">
        <v>314</v>
      </c>
      <c r="E129" s="4"/>
      <c r="F129" s="29">
        <f>F130+F139+F151+F136+F145+F162</f>
        <v>63637111.690000005</v>
      </c>
      <c r="G129" s="29">
        <f>G130+G139+G151+G136+G145</f>
        <v>1370800</v>
      </c>
    </row>
    <row r="130" spans="1:7" ht="47.25">
      <c r="A130" s="27" t="s">
        <v>315</v>
      </c>
      <c r="B130" s="4" t="s">
        <v>255</v>
      </c>
      <c r="C130" s="4" t="s">
        <v>16</v>
      </c>
      <c r="D130" s="4" t="s">
        <v>316</v>
      </c>
      <c r="E130" s="4"/>
      <c r="F130" s="29">
        <f>F131+F133</f>
        <v>1370800</v>
      </c>
      <c r="G130" s="29">
        <f>G131+G133</f>
        <v>1370800</v>
      </c>
    </row>
    <row r="131" spans="1:7" ht="220.5">
      <c r="A131" s="3" t="s">
        <v>31</v>
      </c>
      <c r="B131" s="4" t="s">
        <v>255</v>
      </c>
      <c r="C131" s="4" t="s">
        <v>16</v>
      </c>
      <c r="D131" s="4" t="s">
        <v>320</v>
      </c>
      <c r="E131" s="4"/>
      <c r="F131" s="29">
        <f>F132</f>
        <v>6000</v>
      </c>
      <c r="G131" s="29">
        <f>G132</f>
        <v>6000</v>
      </c>
    </row>
    <row r="132" spans="1:7" ht="47.25">
      <c r="A132" s="3" t="s">
        <v>306</v>
      </c>
      <c r="B132" s="4" t="s">
        <v>255</v>
      </c>
      <c r="C132" s="4" t="s">
        <v>16</v>
      </c>
      <c r="D132" s="4" t="s">
        <v>320</v>
      </c>
      <c r="E132" s="4" t="s">
        <v>19</v>
      </c>
      <c r="F132" s="29">
        <f>прил7!G101</f>
        <v>6000</v>
      </c>
      <c r="G132" s="29">
        <f>F132</f>
        <v>6000</v>
      </c>
    </row>
    <row r="133" spans="1:7" ht="47.25">
      <c r="A133" s="3" t="s">
        <v>321</v>
      </c>
      <c r="B133" s="4" t="s">
        <v>255</v>
      </c>
      <c r="C133" s="4" t="s">
        <v>16</v>
      </c>
      <c r="D133" s="4" t="s">
        <v>322</v>
      </c>
      <c r="E133" s="4"/>
      <c r="F133" s="29">
        <f>F134+F135</f>
        <v>1364800</v>
      </c>
      <c r="G133" s="29">
        <f>G134+G135</f>
        <v>1364800</v>
      </c>
    </row>
    <row r="134" spans="1:7" ht="126">
      <c r="A134" s="3" t="s">
        <v>305</v>
      </c>
      <c r="B134" s="4" t="s">
        <v>255</v>
      </c>
      <c r="C134" s="4" t="s">
        <v>16</v>
      </c>
      <c r="D134" s="4" t="s">
        <v>322</v>
      </c>
      <c r="E134" s="4" t="s">
        <v>18</v>
      </c>
      <c r="F134" s="29">
        <f>прил7!G103</f>
        <v>1119753</v>
      </c>
      <c r="G134" s="29">
        <f>F134</f>
        <v>1119753</v>
      </c>
    </row>
    <row r="135" spans="1:7" ht="47.25">
      <c r="A135" s="3" t="s">
        <v>306</v>
      </c>
      <c r="B135" s="4" t="s">
        <v>255</v>
      </c>
      <c r="C135" s="4" t="s">
        <v>16</v>
      </c>
      <c r="D135" s="4" t="s">
        <v>322</v>
      </c>
      <c r="E135" s="4" t="s">
        <v>19</v>
      </c>
      <c r="F135" s="29">
        <f>прил7!G104</f>
        <v>245047</v>
      </c>
      <c r="G135" s="29">
        <f>F135</f>
        <v>245047</v>
      </c>
    </row>
    <row r="136" spans="1:7" ht="78.75">
      <c r="A136" s="27" t="s">
        <v>86</v>
      </c>
      <c r="B136" s="4" t="s">
        <v>255</v>
      </c>
      <c r="C136" s="4" t="s">
        <v>16</v>
      </c>
      <c r="D136" s="4" t="s">
        <v>98</v>
      </c>
      <c r="E136" s="4"/>
      <c r="F136" s="29">
        <f>F137</f>
        <v>411245.24</v>
      </c>
      <c r="G136" s="29"/>
    </row>
    <row r="137" spans="1:7" ht="63">
      <c r="A137" s="27" t="s">
        <v>252</v>
      </c>
      <c r="B137" s="4" t="s">
        <v>255</v>
      </c>
      <c r="C137" s="4" t="s">
        <v>16</v>
      </c>
      <c r="D137" s="4" t="s">
        <v>97</v>
      </c>
      <c r="E137" s="4"/>
      <c r="F137" s="29">
        <f>F138</f>
        <v>411245.24</v>
      </c>
      <c r="G137" s="29"/>
    </row>
    <row r="138" spans="1:7" ht="47.25">
      <c r="A138" s="3" t="s">
        <v>306</v>
      </c>
      <c r="B138" s="4" t="s">
        <v>255</v>
      </c>
      <c r="C138" s="4" t="s">
        <v>16</v>
      </c>
      <c r="D138" s="4" t="s">
        <v>97</v>
      </c>
      <c r="E138" s="4" t="s">
        <v>19</v>
      </c>
      <c r="F138" s="29">
        <f>прил7!G243</f>
        <v>411245.24</v>
      </c>
      <c r="G138" s="29"/>
    </row>
    <row r="139" spans="1:7" ht="31.5">
      <c r="A139" s="3" t="s">
        <v>87</v>
      </c>
      <c r="B139" s="4" t="s">
        <v>255</v>
      </c>
      <c r="C139" s="4" t="s">
        <v>16</v>
      </c>
      <c r="D139" s="4" t="s">
        <v>88</v>
      </c>
      <c r="E139" s="4"/>
      <c r="F139" s="29">
        <f>F140+F143</f>
        <v>6702782</v>
      </c>
      <c r="G139" s="29"/>
    </row>
    <row r="140" spans="1:7" ht="110.25">
      <c r="A140" s="3" t="s">
        <v>209</v>
      </c>
      <c r="B140" s="4" t="s">
        <v>255</v>
      </c>
      <c r="C140" s="4" t="s">
        <v>16</v>
      </c>
      <c r="D140" s="4" t="s">
        <v>89</v>
      </c>
      <c r="E140" s="4"/>
      <c r="F140" s="29">
        <f>F141+F142</f>
        <v>6634505.54</v>
      </c>
      <c r="G140" s="29"/>
    </row>
    <row r="141" spans="1:7" ht="126">
      <c r="A141" s="3" t="s">
        <v>305</v>
      </c>
      <c r="B141" s="4" t="s">
        <v>255</v>
      </c>
      <c r="C141" s="4" t="s">
        <v>16</v>
      </c>
      <c r="D141" s="4" t="s">
        <v>89</v>
      </c>
      <c r="E141" s="4" t="s">
        <v>18</v>
      </c>
      <c r="F141" s="29">
        <f>прил7!G107</f>
        <v>5211486.84</v>
      </c>
      <c r="G141" s="29"/>
    </row>
    <row r="142" spans="1:7" ht="47.25">
      <c r="A142" s="3" t="s">
        <v>306</v>
      </c>
      <c r="B142" s="4" t="s">
        <v>255</v>
      </c>
      <c r="C142" s="4" t="s">
        <v>16</v>
      </c>
      <c r="D142" s="4" t="s">
        <v>89</v>
      </c>
      <c r="E142" s="4" t="s">
        <v>19</v>
      </c>
      <c r="F142" s="29">
        <f>прил7!G108</f>
        <v>1423018.7</v>
      </c>
      <c r="G142" s="29"/>
    </row>
    <row r="143" spans="1:7" ht="110.25">
      <c r="A143" s="3" t="s">
        <v>409</v>
      </c>
      <c r="B143" s="4" t="s">
        <v>255</v>
      </c>
      <c r="C143" s="4" t="s">
        <v>16</v>
      </c>
      <c r="D143" s="4" t="s">
        <v>423</v>
      </c>
      <c r="E143" s="4"/>
      <c r="F143" s="29">
        <f>F144</f>
        <v>68276.46</v>
      </c>
      <c r="G143" s="29"/>
    </row>
    <row r="144" spans="1:7" ht="126">
      <c r="A144" s="3" t="s">
        <v>417</v>
      </c>
      <c r="B144" s="4" t="s">
        <v>255</v>
      </c>
      <c r="C144" s="4" t="s">
        <v>16</v>
      </c>
      <c r="D144" s="4" t="s">
        <v>423</v>
      </c>
      <c r="E144" s="4" t="s">
        <v>18</v>
      </c>
      <c r="F144" s="29">
        <f>прил7!G110</f>
        <v>68276.46</v>
      </c>
      <c r="G144" s="29"/>
    </row>
    <row r="145" spans="1:7" ht="78.75">
      <c r="A145" s="3" t="s">
        <v>45</v>
      </c>
      <c r="B145" s="4" t="s">
        <v>255</v>
      </c>
      <c r="C145" s="4" t="s">
        <v>16</v>
      </c>
      <c r="D145" s="4" t="s">
        <v>46</v>
      </c>
      <c r="E145" s="4"/>
      <c r="F145" s="29">
        <f>F146+F149</f>
        <v>20639481.86</v>
      </c>
      <c r="G145" s="29"/>
    </row>
    <row r="146" spans="1:7" ht="110.25">
      <c r="A146" s="3" t="s">
        <v>209</v>
      </c>
      <c r="B146" s="4" t="s">
        <v>255</v>
      </c>
      <c r="C146" s="4" t="s">
        <v>16</v>
      </c>
      <c r="D146" s="4" t="s">
        <v>90</v>
      </c>
      <c r="E146" s="4"/>
      <c r="F146" s="29">
        <f>F147+F148</f>
        <v>20245020.33</v>
      </c>
      <c r="G146" s="29"/>
    </row>
    <row r="147" spans="1:7" ht="126">
      <c r="A147" s="3" t="s">
        <v>305</v>
      </c>
      <c r="B147" s="4" t="s">
        <v>255</v>
      </c>
      <c r="C147" s="4" t="s">
        <v>16</v>
      </c>
      <c r="D147" s="4" t="s">
        <v>90</v>
      </c>
      <c r="E147" s="4" t="s">
        <v>18</v>
      </c>
      <c r="F147" s="29">
        <f>прил7!G246</f>
        <v>19148718.909999996</v>
      </c>
      <c r="G147" s="29"/>
    </row>
    <row r="148" spans="1:7" ht="47.25">
      <c r="A148" s="3" t="s">
        <v>306</v>
      </c>
      <c r="B148" s="4" t="s">
        <v>255</v>
      </c>
      <c r="C148" s="4" t="s">
        <v>16</v>
      </c>
      <c r="D148" s="4" t="s">
        <v>90</v>
      </c>
      <c r="E148" s="4" t="s">
        <v>19</v>
      </c>
      <c r="F148" s="29">
        <f>прил7!G247</f>
        <v>1096301.42</v>
      </c>
      <c r="G148" s="29"/>
    </row>
    <row r="149" spans="1:7" ht="110.25">
      <c r="A149" s="3" t="s">
        <v>409</v>
      </c>
      <c r="B149" s="4" t="s">
        <v>255</v>
      </c>
      <c r="C149" s="4" t="s">
        <v>16</v>
      </c>
      <c r="D149" s="4" t="s">
        <v>430</v>
      </c>
      <c r="E149" s="4"/>
      <c r="F149" s="29">
        <f>F150</f>
        <v>394461.53</v>
      </c>
      <c r="G149" s="29"/>
    </row>
    <row r="150" spans="1:7" ht="126">
      <c r="A150" s="3" t="s">
        <v>417</v>
      </c>
      <c r="B150" s="4" t="s">
        <v>255</v>
      </c>
      <c r="C150" s="4" t="s">
        <v>16</v>
      </c>
      <c r="D150" s="4" t="s">
        <v>430</v>
      </c>
      <c r="E150" s="4" t="s">
        <v>18</v>
      </c>
      <c r="F150" s="29">
        <f>прил7!G249</f>
        <v>394461.53</v>
      </c>
      <c r="G150" s="29"/>
    </row>
    <row r="151" spans="1:7" ht="47.25">
      <c r="A151" s="3" t="s">
        <v>91</v>
      </c>
      <c r="B151" s="4" t="s">
        <v>255</v>
      </c>
      <c r="C151" s="4" t="s">
        <v>16</v>
      </c>
      <c r="D151" s="4" t="s">
        <v>92</v>
      </c>
      <c r="E151" s="4"/>
      <c r="F151" s="29">
        <f>F152+F160+F156+F158</f>
        <v>32641910.59</v>
      </c>
      <c r="G151" s="29"/>
    </row>
    <row r="152" spans="1:7" ht="110.25">
      <c r="A152" s="3" t="s">
        <v>209</v>
      </c>
      <c r="B152" s="4" t="s">
        <v>255</v>
      </c>
      <c r="C152" s="4" t="s">
        <v>16</v>
      </c>
      <c r="D152" s="4" t="s">
        <v>93</v>
      </c>
      <c r="E152" s="4"/>
      <c r="F152" s="29">
        <f>F153+F154+F155</f>
        <v>32177641.24</v>
      </c>
      <c r="G152" s="29"/>
    </row>
    <row r="153" spans="1:7" ht="126">
      <c r="A153" s="3" t="s">
        <v>305</v>
      </c>
      <c r="B153" s="4" t="s">
        <v>255</v>
      </c>
      <c r="C153" s="4" t="s">
        <v>16</v>
      </c>
      <c r="D153" s="4" t="s">
        <v>93</v>
      </c>
      <c r="E153" s="4" t="s">
        <v>18</v>
      </c>
      <c r="F153" s="29">
        <f>прил7!G113</f>
        <v>17521421</v>
      </c>
      <c r="G153" s="29"/>
    </row>
    <row r="154" spans="1:7" ht="47.25">
      <c r="A154" s="3" t="s">
        <v>306</v>
      </c>
      <c r="B154" s="4" t="s">
        <v>255</v>
      </c>
      <c r="C154" s="4" t="s">
        <v>16</v>
      </c>
      <c r="D154" s="4" t="s">
        <v>93</v>
      </c>
      <c r="E154" s="4" t="s">
        <v>19</v>
      </c>
      <c r="F154" s="77">
        <f>прил7!G114</f>
        <v>14601187.479999999</v>
      </c>
      <c r="G154" s="29"/>
    </row>
    <row r="155" spans="1:7" ht="15.75">
      <c r="A155" s="3" t="s">
        <v>235</v>
      </c>
      <c r="B155" s="4" t="s">
        <v>255</v>
      </c>
      <c r="C155" s="4" t="s">
        <v>16</v>
      </c>
      <c r="D155" s="4" t="s">
        <v>93</v>
      </c>
      <c r="E155" s="62">
        <v>800</v>
      </c>
      <c r="F155" s="77">
        <f>прил7!G115</f>
        <v>55032.759999999995</v>
      </c>
      <c r="G155" s="29"/>
    </row>
    <row r="156" spans="1:7" ht="47.25">
      <c r="A156" s="3" t="s">
        <v>228</v>
      </c>
      <c r="B156" s="4" t="s">
        <v>255</v>
      </c>
      <c r="C156" s="4" t="s">
        <v>16</v>
      </c>
      <c r="D156" s="4" t="s">
        <v>52</v>
      </c>
      <c r="E156" s="62"/>
      <c r="F156" s="77">
        <f>F157</f>
        <v>165732.64</v>
      </c>
      <c r="G156" s="29"/>
    </row>
    <row r="157" spans="1:7" ht="47.25">
      <c r="A157" s="3" t="s">
        <v>306</v>
      </c>
      <c r="B157" s="4" t="s">
        <v>255</v>
      </c>
      <c r="C157" s="4" t="s">
        <v>16</v>
      </c>
      <c r="D157" s="4" t="s">
        <v>52</v>
      </c>
      <c r="E157" s="62">
        <v>200</v>
      </c>
      <c r="F157" s="77">
        <f>прил7!G117</f>
        <v>165732.64</v>
      </c>
      <c r="G157" s="29"/>
    </row>
    <row r="158" spans="1:7" ht="31.5">
      <c r="A158" s="3" t="s">
        <v>326</v>
      </c>
      <c r="B158" s="4" t="s">
        <v>255</v>
      </c>
      <c r="C158" s="4" t="s">
        <v>16</v>
      </c>
      <c r="D158" s="4" t="s">
        <v>450</v>
      </c>
      <c r="E158" s="62"/>
      <c r="F158" s="77">
        <f>F159</f>
        <v>93680</v>
      </c>
      <c r="G158" s="29"/>
    </row>
    <row r="159" spans="1:7" ht="47.25">
      <c r="A159" s="3" t="s">
        <v>306</v>
      </c>
      <c r="B159" s="4" t="s">
        <v>255</v>
      </c>
      <c r="C159" s="4" t="s">
        <v>16</v>
      </c>
      <c r="D159" s="4" t="s">
        <v>450</v>
      </c>
      <c r="E159" s="62">
        <v>200</v>
      </c>
      <c r="F159" s="77">
        <f>прил7!G119+прил7!G34</f>
        <v>93680</v>
      </c>
      <c r="G159" s="29"/>
    </row>
    <row r="160" spans="1:7" ht="110.25">
      <c r="A160" s="3" t="s">
        <v>409</v>
      </c>
      <c r="B160" s="4" t="s">
        <v>255</v>
      </c>
      <c r="C160" s="4" t="s">
        <v>16</v>
      </c>
      <c r="D160" s="4" t="s">
        <v>424</v>
      </c>
      <c r="E160" s="4"/>
      <c r="F160" s="77">
        <f>F161</f>
        <v>204856.71</v>
      </c>
      <c r="G160" s="29"/>
    </row>
    <row r="161" spans="1:7" ht="126">
      <c r="A161" s="3" t="s">
        <v>417</v>
      </c>
      <c r="B161" s="4" t="s">
        <v>255</v>
      </c>
      <c r="C161" s="4" t="s">
        <v>16</v>
      </c>
      <c r="D161" s="4" t="s">
        <v>424</v>
      </c>
      <c r="E161" s="4" t="s">
        <v>18</v>
      </c>
      <c r="F161" s="77">
        <f>прил7!G121</f>
        <v>204856.71</v>
      </c>
      <c r="G161" s="29"/>
    </row>
    <row r="162" spans="1:7" ht="47.25">
      <c r="A162" s="3" t="s">
        <v>130</v>
      </c>
      <c r="B162" s="4" t="s">
        <v>255</v>
      </c>
      <c r="C162" s="4" t="s">
        <v>16</v>
      </c>
      <c r="D162" s="4" t="s">
        <v>131</v>
      </c>
      <c r="E162" s="62"/>
      <c r="F162" s="29">
        <f>F163</f>
        <v>1870892</v>
      </c>
      <c r="G162" s="29"/>
    </row>
    <row r="163" spans="1:7" ht="31.5">
      <c r="A163" s="3" t="s">
        <v>326</v>
      </c>
      <c r="B163" s="4" t="s">
        <v>255</v>
      </c>
      <c r="C163" s="4" t="s">
        <v>16</v>
      </c>
      <c r="D163" s="4" t="s">
        <v>132</v>
      </c>
      <c r="E163" s="62"/>
      <c r="F163" s="29">
        <f>F164+F165</f>
        <v>1870892</v>
      </c>
      <c r="G163" s="29"/>
    </row>
    <row r="164" spans="1:7" ht="126">
      <c r="A164" s="3" t="s">
        <v>417</v>
      </c>
      <c r="B164" s="4" t="s">
        <v>255</v>
      </c>
      <c r="C164" s="4" t="s">
        <v>16</v>
      </c>
      <c r="D164" s="4" t="s">
        <v>132</v>
      </c>
      <c r="E164" s="62">
        <v>100</v>
      </c>
      <c r="F164" s="29">
        <f>прил7!G37+прил7!G124+прил7!G456+прил7!G748</f>
        <v>488180</v>
      </c>
      <c r="G164" s="29"/>
    </row>
    <row r="165" spans="1:7" ht="47.25">
      <c r="A165" s="3" t="s">
        <v>306</v>
      </c>
      <c r="B165" s="4" t="s">
        <v>255</v>
      </c>
      <c r="C165" s="4" t="s">
        <v>16</v>
      </c>
      <c r="D165" s="4" t="s">
        <v>132</v>
      </c>
      <c r="E165" s="62">
        <v>200</v>
      </c>
      <c r="F165" s="29">
        <f>прил7!G749+прил7!G610+прил7!G457+прил7!G422+прил7!G252+прил7!G125+прил7!G38</f>
        <v>1382712</v>
      </c>
      <c r="G165" s="29"/>
    </row>
    <row r="166" spans="1:7" ht="25.5" customHeight="1">
      <c r="A166" s="3" t="s">
        <v>303</v>
      </c>
      <c r="B166" s="4" t="s">
        <v>255</v>
      </c>
      <c r="C166" s="4" t="s">
        <v>16</v>
      </c>
      <c r="D166" s="4" t="s">
        <v>304</v>
      </c>
      <c r="E166" s="4"/>
      <c r="F166" s="77">
        <f>F167+F170</f>
        <v>1956807.5499999998</v>
      </c>
      <c r="G166" s="29"/>
    </row>
    <row r="167" spans="1:7" ht="31.5">
      <c r="A167" s="49" t="s">
        <v>291</v>
      </c>
      <c r="B167" s="4" t="s">
        <v>255</v>
      </c>
      <c r="C167" s="4" t="s">
        <v>16</v>
      </c>
      <c r="D167" s="4" t="s">
        <v>323</v>
      </c>
      <c r="E167" s="4"/>
      <c r="F167" s="29">
        <f>F168+F169</f>
        <v>516785.41000000003</v>
      </c>
      <c r="G167" s="29"/>
    </row>
    <row r="168" spans="1:7" ht="47.25">
      <c r="A168" s="76" t="s">
        <v>306</v>
      </c>
      <c r="B168" s="4" t="s">
        <v>255</v>
      </c>
      <c r="C168" s="4" t="s">
        <v>16</v>
      </c>
      <c r="D168" s="4" t="s">
        <v>323</v>
      </c>
      <c r="E168" s="4" t="s">
        <v>19</v>
      </c>
      <c r="F168" s="29">
        <f>прил7!G128+прил7!G255</f>
        <v>163177</v>
      </c>
      <c r="G168" s="29"/>
    </row>
    <row r="169" spans="1:7" ht="15.75">
      <c r="A169" s="76" t="s">
        <v>235</v>
      </c>
      <c r="B169" s="4" t="s">
        <v>255</v>
      </c>
      <c r="C169" s="4" t="s">
        <v>16</v>
      </c>
      <c r="D169" s="4" t="s">
        <v>323</v>
      </c>
      <c r="E169" s="62">
        <v>800</v>
      </c>
      <c r="F169" s="29">
        <f>прил7!G129</f>
        <v>353608.41000000003</v>
      </c>
      <c r="G169" s="29"/>
    </row>
    <row r="170" spans="1:7" ht="47.25">
      <c r="A170" s="3" t="s">
        <v>389</v>
      </c>
      <c r="B170" s="4" t="s">
        <v>255</v>
      </c>
      <c r="C170" s="4" t="s">
        <v>16</v>
      </c>
      <c r="D170" s="4" t="s">
        <v>390</v>
      </c>
      <c r="E170" s="62"/>
      <c r="F170" s="29">
        <f>F171+F172</f>
        <v>1440022.14</v>
      </c>
      <c r="G170" s="29"/>
    </row>
    <row r="171" spans="1:7" ht="47.25">
      <c r="A171" s="3" t="s">
        <v>306</v>
      </c>
      <c r="B171" s="4" t="s">
        <v>255</v>
      </c>
      <c r="C171" s="4" t="s">
        <v>16</v>
      </c>
      <c r="D171" s="4" t="s">
        <v>390</v>
      </c>
      <c r="E171" s="4" t="s">
        <v>19</v>
      </c>
      <c r="F171" s="29">
        <f>прил7!G131+прил7!G257+прил7!G424</f>
        <v>1008750.94</v>
      </c>
      <c r="G171" s="29"/>
    </row>
    <row r="172" spans="1:7" ht="35.25" customHeight="1">
      <c r="A172" s="3" t="s">
        <v>235</v>
      </c>
      <c r="B172" s="4" t="s">
        <v>255</v>
      </c>
      <c r="C172" s="4" t="s">
        <v>16</v>
      </c>
      <c r="D172" s="4" t="s">
        <v>390</v>
      </c>
      <c r="E172" s="62">
        <v>800</v>
      </c>
      <c r="F172" s="29">
        <f>прил7!G132+прил7!G258+прил7!G425</f>
        <v>431271.2</v>
      </c>
      <c r="G172" s="29"/>
    </row>
    <row r="173" spans="1:7" ht="75">
      <c r="A173" s="79" t="s">
        <v>275</v>
      </c>
      <c r="B173" s="9" t="s">
        <v>262</v>
      </c>
      <c r="C173" s="9"/>
      <c r="D173" s="9"/>
      <c r="E173" s="78"/>
      <c r="F173" s="33">
        <f>F174+F180+F201</f>
        <v>54058734</v>
      </c>
      <c r="G173" s="33">
        <f>G174+G180+G201</f>
        <v>2885400.0000000005</v>
      </c>
    </row>
    <row r="174" spans="1:7" ht="18.75">
      <c r="A174" s="8" t="s">
        <v>17</v>
      </c>
      <c r="B174" s="9" t="s">
        <v>262</v>
      </c>
      <c r="C174" s="9" t="s">
        <v>265</v>
      </c>
      <c r="D174" s="9"/>
      <c r="E174" s="4"/>
      <c r="F174" s="33">
        <f aca="true" t="shared" si="0" ref="F174:G176">F175</f>
        <v>2235400.0000000005</v>
      </c>
      <c r="G174" s="33">
        <f t="shared" si="0"/>
        <v>2235400.0000000005</v>
      </c>
    </row>
    <row r="175" spans="1:7" ht="63">
      <c r="A175" s="27" t="s">
        <v>313</v>
      </c>
      <c r="B175" s="4" t="s">
        <v>262</v>
      </c>
      <c r="C175" s="4" t="s">
        <v>265</v>
      </c>
      <c r="D175" s="4" t="s">
        <v>314</v>
      </c>
      <c r="E175" s="4"/>
      <c r="F175" s="29">
        <f t="shared" si="0"/>
        <v>2235400.0000000005</v>
      </c>
      <c r="G175" s="29">
        <f t="shared" si="0"/>
        <v>2235400.0000000005</v>
      </c>
    </row>
    <row r="176" spans="1:7" ht="47.25">
      <c r="A176" s="27" t="s">
        <v>315</v>
      </c>
      <c r="B176" s="4" t="s">
        <v>262</v>
      </c>
      <c r="C176" s="4" t="s">
        <v>265</v>
      </c>
      <c r="D176" s="4" t="s">
        <v>316</v>
      </c>
      <c r="E176" s="4"/>
      <c r="F176" s="29">
        <f t="shared" si="0"/>
        <v>2235400.0000000005</v>
      </c>
      <c r="G176" s="29">
        <f t="shared" si="0"/>
        <v>2235400.0000000005</v>
      </c>
    </row>
    <row r="177" spans="1:7" ht="47.25">
      <c r="A177" s="3" t="s">
        <v>208</v>
      </c>
      <c r="B177" s="4" t="s">
        <v>262</v>
      </c>
      <c r="C177" s="4" t="s">
        <v>265</v>
      </c>
      <c r="D177" s="4" t="s">
        <v>100</v>
      </c>
      <c r="E177" s="4"/>
      <c r="F177" s="29">
        <f>F178+F179</f>
        <v>2235400.0000000005</v>
      </c>
      <c r="G177" s="29">
        <f>G178+G179</f>
        <v>2235400.0000000005</v>
      </c>
    </row>
    <row r="178" spans="1:7" ht="126">
      <c r="A178" s="3" t="s">
        <v>305</v>
      </c>
      <c r="B178" s="4" t="s">
        <v>262</v>
      </c>
      <c r="C178" s="4" t="s">
        <v>265</v>
      </c>
      <c r="D178" s="4" t="s">
        <v>100</v>
      </c>
      <c r="E178" s="4" t="s">
        <v>18</v>
      </c>
      <c r="F178" s="29">
        <f>прил7!G138</f>
        <v>2183775.8000000003</v>
      </c>
      <c r="G178" s="29">
        <f>F178</f>
        <v>2183775.8000000003</v>
      </c>
    </row>
    <row r="179" spans="1:7" ht="47.25">
      <c r="A179" s="3" t="s">
        <v>306</v>
      </c>
      <c r="B179" s="4" t="s">
        <v>262</v>
      </c>
      <c r="C179" s="4" t="s">
        <v>265</v>
      </c>
      <c r="D179" s="4" t="s">
        <v>100</v>
      </c>
      <c r="E179" s="4" t="s">
        <v>19</v>
      </c>
      <c r="F179" s="29">
        <f>прил7!G139</f>
        <v>51624.200000000004</v>
      </c>
      <c r="G179" s="29">
        <f>F179</f>
        <v>51624.200000000004</v>
      </c>
    </row>
    <row r="180" spans="1:7" ht="78.75">
      <c r="A180" s="1" t="s">
        <v>60</v>
      </c>
      <c r="B180" s="2" t="s">
        <v>262</v>
      </c>
      <c r="C180" s="2" t="s">
        <v>261</v>
      </c>
      <c r="D180" s="2"/>
      <c r="E180" s="2"/>
      <c r="F180" s="33">
        <f>F181+F195+F198</f>
        <v>50972686</v>
      </c>
      <c r="G180" s="33">
        <f>G181+G195+G198</f>
        <v>650000</v>
      </c>
    </row>
    <row r="181" spans="1:7" ht="78.75">
      <c r="A181" s="3" t="s">
        <v>115</v>
      </c>
      <c r="B181" s="4" t="s">
        <v>262</v>
      </c>
      <c r="C181" s="4" t="s">
        <v>261</v>
      </c>
      <c r="D181" s="4" t="s">
        <v>116</v>
      </c>
      <c r="E181" s="4"/>
      <c r="F181" s="29">
        <f>F182</f>
        <v>49822686</v>
      </c>
      <c r="G181" s="29"/>
    </row>
    <row r="182" spans="1:7" ht="78.75">
      <c r="A182" s="3" t="s">
        <v>124</v>
      </c>
      <c r="B182" s="4" t="s">
        <v>262</v>
      </c>
      <c r="C182" s="4" t="s">
        <v>261</v>
      </c>
      <c r="D182" s="4" t="s">
        <v>125</v>
      </c>
      <c r="E182" s="4"/>
      <c r="F182" s="29">
        <f>F183+F191+F193+F187+F189</f>
        <v>49822686</v>
      </c>
      <c r="G182" s="29"/>
    </row>
    <row r="183" spans="1:7" ht="110.25">
      <c r="A183" s="3" t="s">
        <v>209</v>
      </c>
      <c r="B183" s="4" t="s">
        <v>262</v>
      </c>
      <c r="C183" s="4" t="s">
        <v>261</v>
      </c>
      <c r="D183" s="4" t="s">
        <v>126</v>
      </c>
      <c r="E183" s="4"/>
      <c r="F183" s="29">
        <f>F184+F185+F186</f>
        <v>33003526.42</v>
      </c>
      <c r="G183" s="29"/>
    </row>
    <row r="184" spans="1:7" ht="126">
      <c r="A184" s="3" t="s">
        <v>305</v>
      </c>
      <c r="B184" s="4" t="s">
        <v>262</v>
      </c>
      <c r="C184" s="4" t="s">
        <v>261</v>
      </c>
      <c r="D184" s="4" t="s">
        <v>126</v>
      </c>
      <c r="E184" s="4" t="s">
        <v>18</v>
      </c>
      <c r="F184" s="29">
        <f>прил7!G144</f>
        <v>29228025.57</v>
      </c>
      <c r="G184" s="29"/>
    </row>
    <row r="185" spans="1:7" ht="47.25">
      <c r="A185" s="3" t="s">
        <v>306</v>
      </c>
      <c r="B185" s="4" t="s">
        <v>262</v>
      </c>
      <c r="C185" s="4" t="s">
        <v>261</v>
      </c>
      <c r="D185" s="4" t="s">
        <v>126</v>
      </c>
      <c r="E185" s="4" t="s">
        <v>19</v>
      </c>
      <c r="F185" s="29">
        <f>прил7!G145</f>
        <v>3752628.85</v>
      </c>
      <c r="G185" s="29"/>
    </row>
    <row r="186" spans="1:7" ht="36" customHeight="1">
      <c r="A186" s="3" t="s">
        <v>235</v>
      </c>
      <c r="B186" s="4" t="s">
        <v>262</v>
      </c>
      <c r="C186" s="4" t="s">
        <v>261</v>
      </c>
      <c r="D186" s="4" t="s">
        <v>126</v>
      </c>
      <c r="E186" s="4" t="s">
        <v>22</v>
      </c>
      <c r="F186" s="29">
        <f>22872</f>
        <v>22872</v>
      </c>
      <c r="G186" s="29"/>
    </row>
    <row r="187" spans="1:7" ht="110.25">
      <c r="A187" s="3" t="s">
        <v>409</v>
      </c>
      <c r="B187" s="4" t="s">
        <v>262</v>
      </c>
      <c r="C187" s="4" t="s">
        <v>261</v>
      </c>
      <c r="D187" s="4" t="s">
        <v>425</v>
      </c>
      <c r="E187" s="4"/>
      <c r="F187" s="29">
        <f>F188</f>
        <v>540917</v>
      </c>
      <c r="G187" s="29"/>
    </row>
    <row r="188" spans="1:7" ht="126">
      <c r="A188" s="3" t="s">
        <v>417</v>
      </c>
      <c r="B188" s="4" t="s">
        <v>262</v>
      </c>
      <c r="C188" s="4" t="s">
        <v>261</v>
      </c>
      <c r="D188" s="4" t="s">
        <v>425</v>
      </c>
      <c r="E188" s="4" t="s">
        <v>18</v>
      </c>
      <c r="F188" s="29">
        <f>прил7!G148</f>
        <v>540917</v>
      </c>
      <c r="G188" s="29"/>
    </row>
    <row r="189" spans="1:7" ht="47.25" hidden="1">
      <c r="A189" s="3" t="s">
        <v>228</v>
      </c>
      <c r="B189" s="4" t="s">
        <v>262</v>
      </c>
      <c r="C189" s="4" t="s">
        <v>261</v>
      </c>
      <c r="D189" s="4" t="s">
        <v>451</v>
      </c>
      <c r="E189" s="4"/>
      <c r="F189" s="29">
        <f>F190</f>
        <v>0</v>
      </c>
      <c r="G189" s="29"/>
    </row>
    <row r="190" spans="1:7" ht="47.25" hidden="1">
      <c r="A190" s="3" t="s">
        <v>306</v>
      </c>
      <c r="B190" s="4" t="s">
        <v>262</v>
      </c>
      <c r="C190" s="4" t="s">
        <v>261</v>
      </c>
      <c r="D190" s="4" t="s">
        <v>451</v>
      </c>
      <c r="E190" s="4" t="s">
        <v>19</v>
      </c>
      <c r="F190" s="29">
        <f>прил7!G150</f>
        <v>0</v>
      </c>
      <c r="G190" s="29"/>
    </row>
    <row r="191" spans="1:7" ht="31.5">
      <c r="A191" s="3" t="s">
        <v>326</v>
      </c>
      <c r="B191" s="4" t="s">
        <v>262</v>
      </c>
      <c r="C191" s="4" t="s">
        <v>261</v>
      </c>
      <c r="D191" s="4" t="s">
        <v>127</v>
      </c>
      <c r="E191" s="4"/>
      <c r="F191" s="29">
        <f>F192</f>
        <v>5142510.58</v>
      </c>
      <c r="G191" s="29"/>
    </row>
    <row r="192" spans="1:7" ht="47.25">
      <c r="A192" s="3" t="s">
        <v>306</v>
      </c>
      <c r="B192" s="4" t="s">
        <v>262</v>
      </c>
      <c r="C192" s="4" t="s">
        <v>261</v>
      </c>
      <c r="D192" s="4" t="s">
        <v>127</v>
      </c>
      <c r="E192" s="4" t="s">
        <v>19</v>
      </c>
      <c r="F192" s="29">
        <f>прил7!G152+прил7!G264</f>
        <v>5142510.58</v>
      </c>
      <c r="G192" s="29"/>
    </row>
    <row r="193" spans="1:7" ht="63">
      <c r="A193" s="3" t="s">
        <v>222</v>
      </c>
      <c r="B193" s="4" t="s">
        <v>262</v>
      </c>
      <c r="C193" s="4" t="s">
        <v>261</v>
      </c>
      <c r="D193" s="4" t="s">
        <v>133</v>
      </c>
      <c r="E193" s="4"/>
      <c r="F193" s="29">
        <f>F194</f>
        <v>11135732</v>
      </c>
      <c r="G193" s="29"/>
    </row>
    <row r="194" spans="1:7" ht="63">
      <c r="A194" s="3" t="s">
        <v>49</v>
      </c>
      <c r="B194" s="4" t="s">
        <v>262</v>
      </c>
      <c r="C194" s="4" t="s">
        <v>261</v>
      </c>
      <c r="D194" s="4" t="s">
        <v>133</v>
      </c>
      <c r="E194" s="4" t="s">
        <v>297</v>
      </c>
      <c r="F194" s="29">
        <f>прил7!G154</f>
        <v>11135732</v>
      </c>
      <c r="G194" s="29"/>
    </row>
    <row r="195" spans="1:7" ht="27" customHeight="1">
      <c r="A195" s="27" t="s">
        <v>303</v>
      </c>
      <c r="B195" s="4" t="s">
        <v>262</v>
      </c>
      <c r="C195" s="4" t="s">
        <v>261</v>
      </c>
      <c r="D195" s="4" t="s">
        <v>304</v>
      </c>
      <c r="E195" s="4"/>
      <c r="F195" s="29">
        <f>F196</f>
        <v>500000</v>
      </c>
      <c r="G195" s="29"/>
    </row>
    <row r="196" spans="1:7" ht="31.5">
      <c r="A196" s="3" t="s">
        <v>318</v>
      </c>
      <c r="B196" s="4" t="s">
        <v>262</v>
      </c>
      <c r="C196" s="4" t="s">
        <v>261</v>
      </c>
      <c r="D196" s="4" t="s">
        <v>319</v>
      </c>
      <c r="E196" s="4"/>
      <c r="F196" s="29">
        <f>F197</f>
        <v>500000</v>
      </c>
      <c r="G196" s="29"/>
    </row>
    <row r="197" spans="1:7" ht="47.25">
      <c r="A197" s="3" t="s">
        <v>306</v>
      </c>
      <c r="B197" s="4" t="s">
        <v>262</v>
      </c>
      <c r="C197" s="4" t="s">
        <v>261</v>
      </c>
      <c r="D197" s="4" t="s">
        <v>319</v>
      </c>
      <c r="E197" s="4" t="s">
        <v>19</v>
      </c>
      <c r="F197" s="29">
        <f>прил7!G267</f>
        <v>500000</v>
      </c>
      <c r="G197" s="29"/>
    </row>
    <row r="198" spans="1:7" ht="31.5">
      <c r="A198" s="3" t="s">
        <v>464</v>
      </c>
      <c r="B198" s="4" t="s">
        <v>262</v>
      </c>
      <c r="C198" s="4" t="s">
        <v>261</v>
      </c>
      <c r="D198" s="4" t="s">
        <v>465</v>
      </c>
      <c r="E198" s="4"/>
      <c r="F198" s="29">
        <f>F199</f>
        <v>650000</v>
      </c>
      <c r="G198" s="29">
        <f>G199</f>
        <v>650000</v>
      </c>
    </row>
    <row r="199" spans="1:7" ht="31.5">
      <c r="A199" s="3" t="s">
        <v>462</v>
      </c>
      <c r="B199" s="4" t="s">
        <v>262</v>
      </c>
      <c r="C199" s="4" t="s">
        <v>261</v>
      </c>
      <c r="D199" s="4" t="s">
        <v>463</v>
      </c>
      <c r="E199" s="4"/>
      <c r="F199" s="29">
        <f>F200</f>
        <v>650000</v>
      </c>
      <c r="G199" s="29">
        <f>G200</f>
        <v>650000</v>
      </c>
    </row>
    <row r="200" spans="1:7" ht="47.25">
      <c r="A200" s="3" t="s">
        <v>306</v>
      </c>
      <c r="B200" s="4" t="s">
        <v>262</v>
      </c>
      <c r="C200" s="4" t="s">
        <v>261</v>
      </c>
      <c r="D200" s="4" t="s">
        <v>463</v>
      </c>
      <c r="E200" s="4" t="s">
        <v>19</v>
      </c>
      <c r="F200" s="29">
        <f>прил7!G270</f>
        <v>650000</v>
      </c>
      <c r="G200" s="29">
        <f>F200</f>
        <v>650000</v>
      </c>
    </row>
    <row r="201" spans="1:7" ht="63">
      <c r="A201" s="1" t="s">
        <v>289</v>
      </c>
      <c r="B201" s="2" t="s">
        <v>262</v>
      </c>
      <c r="C201" s="2" t="s">
        <v>243</v>
      </c>
      <c r="D201" s="2"/>
      <c r="E201" s="2"/>
      <c r="F201" s="33">
        <f>F202</f>
        <v>850648</v>
      </c>
      <c r="G201" s="29"/>
    </row>
    <row r="202" spans="1:7" ht="78.75">
      <c r="A202" s="3" t="s">
        <v>115</v>
      </c>
      <c r="B202" s="4" t="s">
        <v>262</v>
      </c>
      <c r="C202" s="4" t="s">
        <v>243</v>
      </c>
      <c r="D202" s="4" t="s">
        <v>116</v>
      </c>
      <c r="E202" s="4"/>
      <c r="F202" s="29">
        <f>F203</f>
        <v>850648</v>
      </c>
      <c r="G202" s="29"/>
    </row>
    <row r="203" spans="1:7" ht="63">
      <c r="A203" s="3" t="s">
        <v>117</v>
      </c>
      <c r="B203" s="4" t="s">
        <v>262</v>
      </c>
      <c r="C203" s="4" t="s">
        <v>243</v>
      </c>
      <c r="D203" s="4" t="s">
        <v>118</v>
      </c>
      <c r="E203" s="4"/>
      <c r="F203" s="29">
        <f>F204</f>
        <v>850648</v>
      </c>
      <c r="G203" s="29"/>
    </row>
    <row r="204" spans="1:7" ht="47.25">
      <c r="A204" s="3" t="s">
        <v>119</v>
      </c>
      <c r="B204" s="4" t="s">
        <v>262</v>
      </c>
      <c r="C204" s="4" t="s">
        <v>243</v>
      </c>
      <c r="D204" s="4" t="s">
        <v>120</v>
      </c>
      <c r="E204" s="4"/>
      <c r="F204" s="29">
        <f>F205</f>
        <v>850648</v>
      </c>
      <c r="G204" s="29"/>
    </row>
    <row r="205" spans="1:7" ht="75" customHeight="1">
      <c r="A205" s="3" t="s">
        <v>330</v>
      </c>
      <c r="B205" s="4" t="s">
        <v>262</v>
      </c>
      <c r="C205" s="4" t="s">
        <v>243</v>
      </c>
      <c r="D205" s="4" t="s">
        <v>120</v>
      </c>
      <c r="E205" s="4" t="s">
        <v>23</v>
      </c>
      <c r="F205" s="29">
        <f>прил7!G463</f>
        <v>850648</v>
      </c>
      <c r="G205" s="29"/>
    </row>
    <row r="206" spans="1:7" ht="18.75">
      <c r="A206" s="10" t="s">
        <v>276</v>
      </c>
      <c r="B206" s="11" t="s">
        <v>265</v>
      </c>
      <c r="C206" s="57"/>
      <c r="D206" s="23"/>
      <c r="E206" s="23"/>
      <c r="F206" s="28">
        <f>F224+F207+F238+F214</f>
        <v>178341205.76</v>
      </c>
      <c r="G206" s="28">
        <f>G224+G207+G238+G214</f>
        <v>9627027.17</v>
      </c>
    </row>
    <row r="207" spans="1:7" ht="15.75">
      <c r="A207" s="20" t="s">
        <v>277</v>
      </c>
      <c r="B207" s="2" t="s">
        <v>265</v>
      </c>
      <c r="C207" s="2" t="s">
        <v>259</v>
      </c>
      <c r="D207" s="4"/>
      <c r="E207" s="4"/>
      <c r="F207" s="33">
        <f aca="true" t="shared" si="1" ref="F207:G212">F208</f>
        <v>33424500</v>
      </c>
      <c r="G207" s="33">
        <f t="shared" si="1"/>
        <v>687100</v>
      </c>
    </row>
    <row r="208" spans="1:7" ht="78.75">
      <c r="A208" s="3" t="s">
        <v>34</v>
      </c>
      <c r="B208" s="4" t="s">
        <v>265</v>
      </c>
      <c r="C208" s="4" t="s">
        <v>259</v>
      </c>
      <c r="D208" s="4" t="s">
        <v>35</v>
      </c>
      <c r="E208" s="4"/>
      <c r="F208" s="29">
        <f t="shared" si="1"/>
        <v>33424500</v>
      </c>
      <c r="G208" s="29">
        <f t="shared" si="1"/>
        <v>687100</v>
      </c>
    </row>
    <row r="209" spans="1:7" ht="47.25">
      <c r="A209" s="3" t="s">
        <v>36</v>
      </c>
      <c r="B209" s="4" t="s">
        <v>265</v>
      </c>
      <c r="C209" s="4" t="s">
        <v>259</v>
      </c>
      <c r="D209" s="4" t="s">
        <v>37</v>
      </c>
      <c r="E209" s="4"/>
      <c r="F209" s="29">
        <f>F212+F210</f>
        <v>33424500</v>
      </c>
      <c r="G209" s="29">
        <f>G212</f>
        <v>687100</v>
      </c>
    </row>
    <row r="210" spans="1:7" ht="63">
      <c r="A210" s="3" t="s">
        <v>224</v>
      </c>
      <c r="B210" s="4" t="s">
        <v>265</v>
      </c>
      <c r="C210" s="4" t="s">
        <v>259</v>
      </c>
      <c r="D210" s="4" t="s">
        <v>225</v>
      </c>
      <c r="E210" s="4"/>
      <c r="F210" s="29">
        <f>F211</f>
        <v>32737400</v>
      </c>
      <c r="G210" s="29"/>
    </row>
    <row r="211" spans="1:7" ht="15.75">
      <c r="A211" s="3" t="s">
        <v>235</v>
      </c>
      <c r="B211" s="4" t="s">
        <v>265</v>
      </c>
      <c r="C211" s="4" t="s">
        <v>259</v>
      </c>
      <c r="D211" s="4" t="s">
        <v>225</v>
      </c>
      <c r="E211" s="4" t="s">
        <v>22</v>
      </c>
      <c r="F211" s="29">
        <f>прил7!G160</f>
        <v>32737400</v>
      </c>
      <c r="G211" s="29"/>
    </row>
    <row r="212" spans="1:7" ht="157.5">
      <c r="A212" s="3" t="s">
        <v>38</v>
      </c>
      <c r="B212" s="4" t="s">
        <v>265</v>
      </c>
      <c r="C212" s="4" t="s">
        <v>259</v>
      </c>
      <c r="D212" s="4" t="s">
        <v>39</v>
      </c>
      <c r="E212" s="4"/>
      <c r="F212" s="29">
        <f t="shared" si="1"/>
        <v>687100</v>
      </c>
      <c r="G212" s="29">
        <f t="shared" si="1"/>
        <v>687100</v>
      </c>
    </row>
    <row r="213" spans="1:7" ht="31.5">
      <c r="A213" s="6" t="s">
        <v>239</v>
      </c>
      <c r="B213" s="7" t="s">
        <v>265</v>
      </c>
      <c r="C213" s="7" t="s">
        <v>259</v>
      </c>
      <c r="D213" s="7" t="s">
        <v>39</v>
      </c>
      <c r="E213" s="7" t="s">
        <v>240</v>
      </c>
      <c r="F213" s="31">
        <f>прил7!G162</f>
        <v>687100</v>
      </c>
      <c r="G213" s="31">
        <f>F213</f>
        <v>687100</v>
      </c>
    </row>
    <row r="214" spans="1:7" ht="31.5">
      <c r="A214" s="1" t="s">
        <v>234</v>
      </c>
      <c r="B214" s="2" t="s">
        <v>265</v>
      </c>
      <c r="C214" s="2" t="s">
        <v>261</v>
      </c>
      <c r="D214" s="4"/>
      <c r="E214" s="4"/>
      <c r="F214" s="33">
        <f>F215</f>
        <v>110897135.6</v>
      </c>
      <c r="G214" s="33">
        <f>G215</f>
        <v>8873027.17</v>
      </c>
    </row>
    <row r="215" spans="1:7" ht="63">
      <c r="A215" s="3" t="s">
        <v>242</v>
      </c>
      <c r="B215" s="4" t="s">
        <v>265</v>
      </c>
      <c r="C215" s="4" t="s">
        <v>261</v>
      </c>
      <c r="D215" s="4" t="s">
        <v>109</v>
      </c>
      <c r="E215" s="4"/>
      <c r="F215" s="29">
        <f>F216+F218+F220+F222</f>
        <v>110897135.6</v>
      </c>
      <c r="G215" s="29">
        <f>G216+G218+G220+G222</f>
        <v>8873027.17</v>
      </c>
    </row>
    <row r="216" spans="1:7" ht="47.25">
      <c r="A216" s="3" t="s">
        <v>110</v>
      </c>
      <c r="B216" s="4" t="s">
        <v>265</v>
      </c>
      <c r="C216" s="4" t="s">
        <v>261</v>
      </c>
      <c r="D216" s="4" t="s">
        <v>111</v>
      </c>
      <c r="E216" s="4"/>
      <c r="F216" s="29">
        <f>F217</f>
        <v>2534200</v>
      </c>
      <c r="G216" s="29"/>
    </row>
    <row r="217" spans="1:7" ht="47.25">
      <c r="A217" s="3" t="s">
        <v>306</v>
      </c>
      <c r="B217" s="4" t="s">
        <v>265</v>
      </c>
      <c r="C217" s="4" t="s">
        <v>261</v>
      </c>
      <c r="D217" s="4" t="s">
        <v>111</v>
      </c>
      <c r="E217" s="4" t="s">
        <v>19</v>
      </c>
      <c r="F217" s="29">
        <f>прил7!G275</f>
        <v>2534200</v>
      </c>
      <c r="G217" s="29"/>
    </row>
    <row r="218" spans="1:7" ht="78.75">
      <c r="A218" s="3" t="s">
        <v>112</v>
      </c>
      <c r="B218" s="4" t="s">
        <v>265</v>
      </c>
      <c r="C218" s="4" t="s">
        <v>261</v>
      </c>
      <c r="D218" s="4" t="s">
        <v>113</v>
      </c>
      <c r="E218" s="4"/>
      <c r="F218" s="29">
        <f>F219</f>
        <v>94746666.44999999</v>
      </c>
      <c r="G218" s="29"/>
    </row>
    <row r="219" spans="1:7" ht="47.25">
      <c r="A219" s="3" t="s">
        <v>306</v>
      </c>
      <c r="B219" s="4" t="s">
        <v>265</v>
      </c>
      <c r="C219" s="4" t="s">
        <v>261</v>
      </c>
      <c r="D219" s="4" t="s">
        <v>113</v>
      </c>
      <c r="E219" s="4" t="s">
        <v>19</v>
      </c>
      <c r="F219" s="29">
        <f>прил7!G277</f>
        <v>94746666.44999999</v>
      </c>
      <c r="G219" s="29"/>
    </row>
    <row r="220" spans="1:7" ht="31.5">
      <c r="A220" s="3" t="s">
        <v>326</v>
      </c>
      <c r="B220" s="4" t="s">
        <v>265</v>
      </c>
      <c r="C220" s="4" t="s">
        <v>261</v>
      </c>
      <c r="D220" s="4" t="s">
        <v>114</v>
      </c>
      <c r="E220" s="4"/>
      <c r="F220" s="29">
        <f>F221</f>
        <v>4743241.98</v>
      </c>
      <c r="G220" s="29"/>
    </row>
    <row r="221" spans="1:7" ht="47.25">
      <c r="A221" s="3" t="s">
        <v>306</v>
      </c>
      <c r="B221" s="4" t="s">
        <v>265</v>
      </c>
      <c r="C221" s="4" t="s">
        <v>261</v>
      </c>
      <c r="D221" s="4" t="s">
        <v>114</v>
      </c>
      <c r="E221" s="4" t="s">
        <v>19</v>
      </c>
      <c r="F221" s="29">
        <f>прил7!G279</f>
        <v>4743241.98</v>
      </c>
      <c r="G221" s="29"/>
    </row>
    <row r="222" spans="1:7" ht="78.75">
      <c r="A222" s="3" t="s">
        <v>454</v>
      </c>
      <c r="B222" s="4" t="s">
        <v>265</v>
      </c>
      <c r="C222" s="4" t="s">
        <v>261</v>
      </c>
      <c r="D222" s="4" t="s">
        <v>455</v>
      </c>
      <c r="E222" s="4"/>
      <c r="F222" s="29">
        <f>F223</f>
        <v>8873027.17</v>
      </c>
      <c r="G222" s="29">
        <f>G223</f>
        <v>8873027.17</v>
      </c>
    </row>
    <row r="223" spans="1:7" ht="47.25">
      <c r="A223" s="3" t="s">
        <v>306</v>
      </c>
      <c r="B223" s="4" t="s">
        <v>265</v>
      </c>
      <c r="C223" s="4" t="s">
        <v>261</v>
      </c>
      <c r="D223" s="4" t="s">
        <v>455</v>
      </c>
      <c r="E223" s="4" t="s">
        <v>19</v>
      </c>
      <c r="F223" s="29">
        <f>прил7!G281</f>
        <v>8873027.17</v>
      </c>
      <c r="G223" s="29">
        <f>F223</f>
        <v>8873027.17</v>
      </c>
    </row>
    <row r="224" spans="1:7" ht="24" customHeight="1">
      <c r="A224" s="1" t="s">
        <v>10</v>
      </c>
      <c r="B224" s="2" t="s">
        <v>265</v>
      </c>
      <c r="C224" s="2" t="s">
        <v>263</v>
      </c>
      <c r="D224" s="2"/>
      <c r="E224" s="2"/>
      <c r="F224" s="33">
        <f>F225</f>
        <v>24262932.8</v>
      </c>
      <c r="G224" s="33">
        <f>G225</f>
        <v>11400</v>
      </c>
    </row>
    <row r="225" spans="1:7" ht="47.25">
      <c r="A225" s="3" t="s">
        <v>307</v>
      </c>
      <c r="B225" s="4" t="s">
        <v>265</v>
      </c>
      <c r="C225" s="4" t="s">
        <v>263</v>
      </c>
      <c r="D225" s="4" t="s">
        <v>308</v>
      </c>
      <c r="E225" s="4"/>
      <c r="F225" s="29">
        <f>F232+F226</f>
        <v>24262932.8</v>
      </c>
      <c r="G225" s="29">
        <f>G232</f>
        <v>11400</v>
      </c>
    </row>
    <row r="226" spans="1:7" ht="63">
      <c r="A226" s="3" t="s">
        <v>77</v>
      </c>
      <c r="B226" s="4" t="s">
        <v>265</v>
      </c>
      <c r="C226" s="4" t="s">
        <v>263</v>
      </c>
      <c r="D226" s="4" t="s">
        <v>78</v>
      </c>
      <c r="E226" s="4"/>
      <c r="F226" s="29">
        <f>F227+F230</f>
        <v>9357890.76</v>
      </c>
      <c r="G226" s="29"/>
    </row>
    <row r="227" spans="1:7" ht="110.25">
      <c r="A227" s="3" t="s">
        <v>209</v>
      </c>
      <c r="B227" s="4" t="s">
        <v>265</v>
      </c>
      <c r="C227" s="4" t="s">
        <v>263</v>
      </c>
      <c r="D227" s="4" t="s">
        <v>79</v>
      </c>
      <c r="E227" s="4"/>
      <c r="F227" s="29">
        <f>F228+F229</f>
        <v>9177050.76</v>
      </c>
      <c r="G227" s="29"/>
    </row>
    <row r="228" spans="1:7" ht="126">
      <c r="A228" s="3" t="s">
        <v>305</v>
      </c>
      <c r="B228" s="4" t="s">
        <v>265</v>
      </c>
      <c r="C228" s="4" t="s">
        <v>263</v>
      </c>
      <c r="D228" s="4" t="s">
        <v>79</v>
      </c>
      <c r="E228" s="4" t="s">
        <v>18</v>
      </c>
      <c r="F228" s="29">
        <f>прил7!G167</f>
        <v>8890578.76</v>
      </c>
      <c r="G228" s="29"/>
    </row>
    <row r="229" spans="1:7" ht="47.25">
      <c r="A229" s="3" t="s">
        <v>306</v>
      </c>
      <c r="B229" s="4" t="s">
        <v>265</v>
      </c>
      <c r="C229" s="4" t="s">
        <v>263</v>
      </c>
      <c r="D229" s="4" t="s">
        <v>79</v>
      </c>
      <c r="E229" s="4" t="s">
        <v>19</v>
      </c>
      <c r="F229" s="29">
        <f>прил7!G168</f>
        <v>286472</v>
      </c>
      <c r="G229" s="29"/>
    </row>
    <row r="230" spans="1:7" ht="110.25">
      <c r="A230" s="3" t="s">
        <v>409</v>
      </c>
      <c r="B230" s="4" t="s">
        <v>265</v>
      </c>
      <c r="C230" s="4" t="s">
        <v>263</v>
      </c>
      <c r="D230" s="4" t="s">
        <v>426</v>
      </c>
      <c r="E230" s="4"/>
      <c r="F230" s="29">
        <f>F231</f>
        <v>180840</v>
      </c>
      <c r="G230" s="29"/>
    </row>
    <row r="231" spans="1:7" ht="135" customHeight="1">
      <c r="A231" s="3" t="s">
        <v>305</v>
      </c>
      <c r="B231" s="4" t="s">
        <v>265</v>
      </c>
      <c r="C231" s="4" t="s">
        <v>263</v>
      </c>
      <c r="D231" s="4" t="s">
        <v>426</v>
      </c>
      <c r="E231" s="4" t="s">
        <v>18</v>
      </c>
      <c r="F231" s="29">
        <f>прил7!G170</f>
        <v>180840</v>
      </c>
      <c r="G231" s="29"/>
    </row>
    <row r="232" spans="1:7" ht="63">
      <c r="A232" s="3" t="s">
        <v>309</v>
      </c>
      <c r="B232" s="4" t="s">
        <v>265</v>
      </c>
      <c r="C232" s="4" t="s">
        <v>263</v>
      </c>
      <c r="D232" s="4" t="s">
        <v>310</v>
      </c>
      <c r="E232" s="4"/>
      <c r="F232" s="29">
        <f>F236+F233</f>
        <v>14905042.040000001</v>
      </c>
      <c r="G232" s="29">
        <f>G236</f>
        <v>11400</v>
      </c>
    </row>
    <row r="233" spans="1:7" ht="47.25">
      <c r="A233" s="3" t="s">
        <v>311</v>
      </c>
      <c r="B233" s="4" t="s">
        <v>265</v>
      </c>
      <c r="C233" s="4" t="s">
        <v>263</v>
      </c>
      <c r="D233" s="4" t="s">
        <v>312</v>
      </c>
      <c r="E233" s="4"/>
      <c r="F233" s="29">
        <f>F234+F235</f>
        <v>14893642.040000001</v>
      </c>
      <c r="G233" s="29"/>
    </row>
    <row r="234" spans="1:7" ht="47.25">
      <c r="A234" s="3" t="s">
        <v>306</v>
      </c>
      <c r="B234" s="4" t="s">
        <v>265</v>
      </c>
      <c r="C234" s="4" t="s">
        <v>263</v>
      </c>
      <c r="D234" s="4" t="s">
        <v>312</v>
      </c>
      <c r="E234" s="4" t="s">
        <v>19</v>
      </c>
      <c r="F234" s="29">
        <f>прил7!G173+прил7!G286+прил7!G431+прил7!G469+прил7!G616+прил7!G755+прил7!G44</f>
        <v>6568527.000000001</v>
      </c>
      <c r="G234" s="29"/>
    </row>
    <row r="235" spans="1:7" ht="63">
      <c r="A235" s="3" t="s">
        <v>330</v>
      </c>
      <c r="B235" s="4" t="s">
        <v>265</v>
      </c>
      <c r="C235" s="4" t="s">
        <v>263</v>
      </c>
      <c r="D235" s="4" t="s">
        <v>312</v>
      </c>
      <c r="E235" s="4" t="s">
        <v>23</v>
      </c>
      <c r="F235" s="29">
        <f>прил7!G470+прил7!G617</f>
        <v>8325115.04</v>
      </c>
      <c r="G235" s="29"/>
    </row>
    <row r="236" spans="1:7" ht="126">
      <c r="A236" s="3" t="s">
        <v>336</v>
      </c>
      <c r="B236" s="4" t="s">
        <v>265</v>
      </c>
      <c r="C236" s="4" t="s">
        <v>263</v>
      </c>
      <c r="D236" s="4" t="s">
        <v>337</v>
      </c>
      <c r="E236" s="4"/>
      <c r="F236" s="29">
        <f>F237</f>
        <v>11400</v>
      </c>
      <c r="G236" s="29">
        <f>G237</f>
        <v>11400</v>
      </c>
    </row>
    <row r="237" spans="1:7" ht="47.25">
      <c r="A237" s="3" t="s">
        <v>306</v>
      </c>
      <c r="B237" s="4" t="s">
        <v>265</v>
      </c>
      <c r="C237" s="4" t="s">
        <v>263</v>
      </c>
      <c r="D237" s="4" t="s">
        <v>337</v>
      </c>
      <c r="E237" s="4" t="s">
        <v>19</v>
      </c>
      <c r="F237" s="29">
        <f>прил7!G175</f>
        <v>11400</v>
      </c>
      <c r="G237" s="29">
        <f>F237</f>
        <v>11400</v>
      </c>
    </row>
    <row r="238" spans="1:7" ht="31.5">
      <c r="A238" s="1" t="s">
        <v>278</v>
      </c>
      <c r="B238" s="2" t="s">
        <v>265</v>
      </c>
      <c r="C238" s="2" t="s">
        <v>13</v>
      </c>
      <c r="D238" s="4"/>
      <c r="E238" s="4"/>
      <c r="F238" s="33">
        <f>F242+F239</f>
        <v>9756637.36</v>
      </c>
      <c r="G238" s="33">
        <f>G242+G239</f>
        <v>55500</v>
      </c>
    </row>
    <row r="239" spans="1:7" ht="78.75">
      <c r="A239" s="3" t="s">
        <v>71</v>
      </c>
      <c r="B239" s="4" t="s">
        <v>265</v>
      </c>
      <c r="C239" s="4" t="s">
        <v>13</v>
      </c>
      <c r="D239" s="4" t="s">
        <v>72</v>
      </c>
      <c r="E239" s="4"/>
      <c r="F239" s="29">
        <f>F240</f>
        <v>350000</v>
      </c>
      <c r="G239" s="33"/>
    </row>
    <row r="240" spans="1:7" ht="47.25">
      <c r="A240" s="3" t="s">
        <v>228</v>
      </c>
      <c r="B240" s="4" t="s">
        <v>265</v>
      </c>
      <c r="C240" s="4" t="s">
        <v>13</v>
      </c>
      <c r="D240" s="4" t="s">
        <v>73</v>
      </c>
      <c r="E240" s="4"/>
      <c r="F240" s="29">
        <f>F241</f>
        <v>350000</v>
      </c>
      <c r="G240" s="33"/>
    </row>
    <row r="241" spans="1:7" ht="47.25">
      <c r="A241" s="3" t="s">
        <v>306</v>
      </c>
      <c r="B241" s="4" t="s">
        <v>265</v>
      </c>
      <c r="C241" s="4" t="s">
        <v>13</v>
      </c>
      <c r="D241" s="4" t="s">
        <v>73</v>
      </c>
      <c r="E241" s="4" t="s">
        <v>19</v>
      </c>
      <c r="F241" s="29">
        <f>прил7!G290</f>
        <v>350000</v>
      </c>
      <c r="G241" s="33"/>
    </row>
    <row r="242" spans="1:7" ht="63">
      <c r="A242" s="27" t="s">
        <v>313</v>
      </c>
      <c r="B242" s="4" t="s">
        <v>265</v>
      </c>
      <c r="C242" s="4" t="s">
        <v>13</v>
      </c>
      <c r="D242" s="4" t="s">
        <v>314</v>
      </c>
      <c r="E242" s="4"/>
      <c r="F242" s="29">
        <f>F243+F246+F249</f>
        <v>9406637.36</v>
      </c>
      <c r="G242" s="29">
        <f>G243+G246+G249</f>
        <v>55500</v>
      </c>
    </row>
    <row r="243" spans="1:7" ht="47.25">
      <c r="A243" s="27" t="s">
        <v>315</v>
      </c>
      <c r="B243" s="4" t="s">
        <v>265</v>
      </c>
      <c r="C243" s="4" t="s">
        <v>13</v>
      </c>
      <c r="D243" s="4" t="s">
        <v>316</v>
      </c>
      <c r="E243" s="4"/>
      <c r="F243" s="29">
        <f>F244</f>
        <v>55500</v>
      </c>
      <c r="G243" s="29">
        <f>G244</f>
        <v>55500</v>
      </c>
    </row>
    <row r="244" spans="1:7" ht="157.5">
      <c r="A244" s="3" t="s">
        <v>232</v>
      </c>
      <c r="B244" s="4" t="s">
        <v>265</v>
      </c>
      <c r="C244" s="4" t="s">
        <v>13</v>
      </c>
      <c r="D244" s="4" t="s">
        <v>44</v>
      </c>
      <c r="E244" s="4"/>
      <c r="F244" s="29">
        <f>F245</f>
        <v>55500</v>
      </c>
      <c r="G244" s="29">
        <f>G245</f>
        <v>55500</v>
      </c>
    </row>
    <row r="245" spans="1:7" ht="126">
      <c r="A245" s="3" t="s">
        <v>305</v>
      </c>
      <c r="B245" s="4" t="s">
        <v>265</v>
      </c>
      <c r="C245" s="4" t="s">
        <v>13</v>
      </c>
      <c r="D245" s="4" t="s">
        <v>44</v>
      </c>
      <c r="E245" s="4" t="s">
        <v>18</v>
      </c>
      <c r="F245" s="29">
        <f>прил7!G180</f>
        <v>55500</v>
      </c>
      <c r="G245" s="29">
        <f>F245</f>
        <v>55500</v>
      </c>
    </row>
    <row r="246" spans="1:7" ht="78.75">
      <c r="A246" s="27" t="s">
        <v>86</v>
      </c>
      <c r="B246" s="4" t="s">
        <v>265</v>
      </c>
      <c r="C246" s="4" t="s">
        <v>13</v>
      </c>
      <c r="D246" s="4" t="s">
        <v>98</v>
      </c>
      <c r="E246" s="4"/>
      <c r="F246" s="29">
        <f>F247</f>
        <v>1701282.36</v>
      </c>
      <c r="G246" s="29"/>
    </row>
    <row r="247" spans="1:7" ht="31.5">
      <c r="A247" s="27" t="s">
        <v>164</v>
      </c>
      <c r="B247" s="4" t="s">
        <v>265</v>
      </c>
      <c r="C247" s="4" t="s">
        <v>13</v>
      </c>
      <c r="D247" s="4" t="s">
        <v>99</v>
      </c>
      <c r="E247" s="4"/>
      <c r="F247" s="29">
        <f>F248</f>
        <v>1701282.36</v>
      </c>
      <c r="G247" s="29"/>
    </row>
    <row r="248" spans="1:7" ht="47.25">
      <c r="A248" s="3" t="s">
        <v>306</v>
      </c>
      <c r="B248" s="4" t="s">
        <v>265</v>
      </c>
      <c r="C248" s="4" t="s">
        <v>13</v>
      </c>
      <c r="D248" s="4" t="s">
        <v>99</v>
      </c>
      <c r="E248" s="4" t="s">
        <v>19</v>
      </c>
      <c r="F248" s="29">
        <f>прил7!G294</f>
        <v>1701282.36</v>
      </c>
      <c r="G248" s="29"/>
    </row>
    <row r="249" spans="1:7" ht="94.5">
      <c r="A249" s="3" t="s">
        <v>94</v>
      </c>
      <c r="B249" s="4" t="s">
        <v>265</v>
      </c>
      <c r="C249" s="4" t="s">
        <v>13</v>
      </c>
      <c r="D249" s="4" t="s">
        <v>95</v>
      </c>
      <c r="E249" s="4"/>
      <c r="F249" s="29">
        <f>F250+F254</f>
        <v>7649855</v>
      </c>
      <c r="G249" s="29"/>
    </row>
    <row r="250" spans="1:7" ht="110.25">
      <c r="A250" s="3" t="s">
        <v>383</v>
      </c>
      <c r="B250" s="4" t="s">
        <v>265</v>
      </c>
      <c r="C250" s="4" t="s">
        <v>13</v>
      </c>
      <c r="D250" s="4" t="s">
        <v>96</v>
      </c>
      <c r="E250" s="4"/>
      <c r="F250" s="29">
        <f>F251+F252+F253</f>
        <v>7463360</v>
      </c>
      <c r="G250" s="29"/>
    </row>
    <row r="251" spans="1:7" ht="126">
      <c r="A251" s="3" t="s">
        <v>305</v>
      </c>
      <c r="B251" s="4" t="s">
        <v>265</v>
      </c>
      <c r="C251" s="4" t="s">
        <v>13</v>
      </c>
      <c r="D251" s="4" t="s">
        <v>96</v>
      </c>
      <c r="E251" s="4" t="s">
        <v>18</v>
      </c>
      <c r="F251" s="29">
        <f>прил7!G297</f>
        <v>6822015</v>
      </c>
      <c r="G251" s="29"/>
    </row>
    <row r="252" spans="1:7" ht="47.25">
      <c r="A252" s="3" t="s">
        <v>306</v>
      </c>
      <c r="B252" s="4" t="s">
        <v>265</v>
      </c>
      <c r="C252" s="4" t="s">
        <v>13</v>
      </c>
      <c r="D252" s="4" t="s">
        <v>96</v>
      </c>
      <c r="E252" s="4" t="s">
        <v>19</v>
      </c>
      <c r="F252" s="29">
        <f>прил7!G298</f>
        <v>482082</v>
      </c>
      <c r="G252" s="29"/>
    </row>
    <row r="253" spans="1:7" ht="22.5" customHeight="1">
      <c r="A253" s="3" t="s">
        <v>235</v>
      </c>
      <c r="B253" s="4" t="s">
        <v>265</v>
      </c>
      <c r="C253" s="4" t="s">
        <v>13</v>
      </c>
      <c r="D253" s="4" t="s">
        <v>96</v>
      </c>
      <c r="E253" s="4" t="s">
        <v>22</v>
      </c>
      <c r="F253" s="29">
        <f>прил7!G299</f>
        <v>159263</v>
      </c>
      <c r="G253" s="29"/>
    </row>
    <row r="254" spans="1:7" ht="110.25">
      <c r="A254" s="3" t="s">
        <v>409</v>
      </c>
      <c r="B254" s="4" t="s">
        <v>265</v>
      </c>
      <c r="C254" s="4" t="s">
        <v>13</v>
      </c>
      <c r="D254" s="4" t="s">
        <v>431</v>
      </c>
      <c r="E254" s="4"/>
      <c r="F254" s="29">
        <f>F255</f>
        <v>186495</v>
      </c>
      <c r="G254" s="29"/>
    </row>
    <row r="255" spans="1:7" ht="126">
      <c r="A255" s="3" t="s">
        <v>417</v>
      </c>
      <c r="B255" s="4" t="s">
        <v>265</v>
      </c>
      <c r="C255" s="4" t="s">
        <v>13</v>
      </c>
      <c r="D255" s="4" t="s">
        <v>431</v>
      </c>
      <c r="E255" s="4" t="s">
        <v>18</v>
      </c>
      <c r="F255" s="29">
        <f>прил7!G301</f>
        <v>186495</v>
      </c>
      <c r="G255" s="29"/>
    </row>
    <row r="256" spans="1:7" ht="37.5">
      <c r="A256" s="10" t="s">
        <v>264</v>
      </c>
      <c r="B256" s="11" t="s">
        <v>257</v>
      </c>
      <c r="C256" s="23"/>
      <c r="D256" s="23"/>
      <c r="E256" s="23"/>
      <c r="F256" s="28">
        <f>F304+F257+F273+F285</f>
        <v>191222584.70999998</v>
      </c>
      <c r="G256" s="28">
        <f>G304+G257</f>
        <v>72114929.68</v>
      </c>
    </row>
    <row r="257" spans="1:7" ht="15.75">
      <c r="A257" s="1" t="s">
        <v>270</v>
      </c>
      <c r="B257" s="2" t="s">
        <v>257</v>
      </c>
      <c r="C257" s="2" t="s">
        <v>255</v>
      </c>
      <c r="D257" s="2"/>
      <c r="E257" s="2"/>
      <c r="F257" s="33">
        <f>F258+F264</f>
        <v>32395150.57</v>
      </c>
      <c r="G257" s="33">
        <f>G264</f>
        <v>5662499.68</v>
      </c>
    </row>
    <row r="258" spans="1:7" ht="78.75">
      <c r="A258" s="3" t="s">
        <v>34</v>
      </c>
      <c r="B258" s="4" t="s">
        <v>257</v>
      </c>
      <c r="C258" s="4" t="s">
        <v>255</v>
      </c>
      <c r="D258" s="4" t="s">
        <v>35</v>
      </c>
      <c r="E258" s="4"/>
      <c r="F258" s="29">
        <f>F259</f>
        <v>25301888.12</v>
      </c>
      <c r="G258" s="29"/>
    </row>
    <row r="259" spans="1:7" ht="47.25">
      <c r="A259" s="3" t="s">
        <v>226</v>
      </c>
      <c r="B259" s="4" t="s">
        <v>257</v>
      </c>
      <c r="C259" s="4" t="s">
        <v>255</v>
      </c>
      <c r="D259" s="4" t="s">
        <v>227</v>
      </c>
      <c r="E259" s="4"/>
      <c r="F259" s="29">
        <f>F260+F262</f>
        <v>25301888.12</v>
      </c>
      <c r="G259" s="29"/>
    </row>
    <row r="260" spans="1:7" ht="47.25">
      <c r="A260" s="3" t="s">
        <v>228</v>
      </c>
      <c r="B260" s="4" t="s">
        <v>257</v>
      </c>
      <c r="C260" s="4" t="s">
        <v>255</v>
      </c>
      <c r="D260" s="4" t="s">
        <v>229</v>
      </c>
      <c r="E260" s="4"/>
      <c r="F260" s="29">
        <f>F261</f>
        <v>18210259.03</v>
      </c>
      <c r="G260" s="29"/>
    </row>
    <row r="261" spans="1:7" ht="47.25">
      <c r="A261" s="3" t="s">
        <v>306</v>
      </c>
      <c r="B261" s="4" t="s">
        <v>257</v>
      </c>
      <c r="C261" s="4" t="s">
        <v>255</v>
      </c>
      <c r="D261" s="4" t="s">
        <v>229</v>
      </c>
      <c r="E261" s="4" t="s">
        <v>19</v>
      </c>
      <c r="F261" s="29">
        <f>прил7!G307</f>
        <v>18210259.03</v>
      </c>
      <c r="G261" s="29"/>
    </row>
    <row r="262" spans="1:7" ht="47.25">
      <c r="A262" s="3" t="s">
        <v>467</v>
      </c>
      <c r="B262" s="4" t="s">
        <v>257</v>
      </c>
      <c r="C262" s="4" t="s">
        <v>255</v>
      </c>
      <c r="D262" s="4" t="s">
        <v>466</v>
      </c>
      <c r="E262" s="4"/>
      <c r="F262" s="29">
        <f>F263</f>
        <v>7091629.09</v>
      </c>
      <c r="G262" s="29"/>
    </row>
    <row r="263" spans="1:7" ht="63">
      <c r="A263" s="3" t="s">
        <v>330</v>
      </c>
      <c r="B263" s="4" t="s">
        <v>257</v>
      </c>
      <c r="C263" s="4" t="s">
        <v>255</v>
      </c>
      <c r="D263" s="4" t="s">
        <v>466</v>
      </c>
      <c r="E263" s="4" t="s">
        <v>23</v>
      </c>
      <c r="F263" s="29">
        <f>прил7!G309</f>
        <v>7091629.09</v>
      </c>
      <c r="G263" s="29"/>
    </row>
    <row r="264" spans="1:7" ht="78.75">
      <c r="A264" s="3" t="s">
        <v>71</v>
      </c>
      <c r="B264" s="4" t="s">
        <v>257</v>
      </c>
      <c r="C264" s="4" t="s">
        <v>255</v>
      </c>
      <c r="D264" s="4" t="s">
        <v>72</v>
      </c>
      <c r="E264" s="4"/>
      <c r="F264" s="29">
        <f>F265+F267+F269+F271</f>
        <v>7093262.449999999</v>
      </c>
      <c r="G264" s="29">
        <f>G269+G271</f>
        <v>5662499.68</v>
      </c>
    </row>
    <row r="265" spans="1:7" ht="31.5">
      <c r="A265" s="3" t="s">
        <v>326</v>
      </c>
      <c r="B265" s="4" t="s">
        <v>257</v>
      </c>
      <c r="C265" s="4" t="s">
        <v>255</v>
      </c>
      <c r="D265" s="4" t="s">
        <v>74</v>
      </c>
      <c r="E265" s="4"/>
      <c r="F265" s="29">
        <f>F266</f>
        <v>1380762.77</v>
      </c>
      <c r="G265" s="29"/>
    </row>
    <row r="266" spans="1:7" ht="47.25">
      <c r="A266" s="3" t="s">
        <v>306</v>
      </c>
      <c r="B266" s="4" t="s">
        <v>257</v>
      </c>
      <c r="C266" s="4" t="s">
        <v>255</v>
      </c>
      <c r="D266" s="4" t="s">
        <v>74</v>
      </c>
      <c r="E266" s="4" t="s">
        <v>19</v>
      </c>
      <c r="F266" s="29">
        <f>прил7!G314</f>
        <v>1380762.77</v>
      </c>
      <c r="G266" s="29"/>
    </row>
    <row r="267" spans="1:7" ht="63">
      <c r="A267" s="3" t="s">
        <v>75</v>
      </c>
      <c r="B267" s="4" t="s">
        <v>257</v>
      </c>
      <c r="C267" s="4" t="s">
        <v>255</v>
      </c>
      <c r="D267" s="4" t="s">
        <v>76</v>
      </c>
      <c r="E267" s="4"/>
      <c r="F267" s="29">
        <f>F268</f>
        <v>50000</v>
      </c>
      <c r="G267" s="29"/>
    </row>
    <row r="268" spans="1:7" ht="31.5">
      <c r="A268" s="3" t="s">
        <v>239</v>
      </c>
      <c r="B268" s="4" t="s">
        <v>257</v>
      </c>
      <c r="C268" s="4" t="s">
        <v>255</v>
      </c>
      <c r="D268" s="4" t="s">
        <v>76</v>
      </c>
      <c r="E268" s="4" t="s">
        <v>240</v>
      </c>
      <c r="F268" s="29">
        <f>прил7!G316</f>
        <v>50000</v>
      </c>
      <c r="G268" s="29"/>
    </row>
    <row r="269" spans="1:7" ht="119.25" customHeight="1">
      <c r="A269" s="3" t="s">
        <v>195</v>
      </c>
      <c r="B269" s="4" t="s">
        <v>257</v>
      </c>
      <c r="C269" s="4" t="s">
        <v>255</v>
      </c>
      <c r="D269" s="4" t="s">
        <v>196</v>
      </c>
      <c r="E269" s="4"/>
      <c r="F269" s="29">
        <f>F270</f>
        <v>309629.96</v>
      </c>
      <c r="G269" s="29">
        <f>G270</f>
        <v>309629.96</v>
      </c>
    </row>
    <row r="270" spans="1:7" ht="31.5">
      <c r="A270" s="3" t="s">
        <v>239</v>
      </c>
      <c r="B270" s="4" t="s">
        <v>257</v>
      </c>
      <c r="C270" s="4" t="s">
        <v>255</v>
      </c>
      <c r="D270" s="4" t="s">
        <v>196</v>
      </c>
      <c r="E270" s="4" t="s">
        <v>240</v>
      </c>
      <c r="F270" s="29">
        <f>прил7!G318</f>
        <v>309629.96</v>
      </c>
      <c r="G270" s="29">
        <f>F270</f>
        <v>309629.96</v>
      </c>
    </row>
    <row r="271" spans="1:7" ht="110.25">
      <c r="A271" s="3" t="s">
        <v>200</v>
      </c>
      <c r="B271" s="4" t="s">
        <v>257</v>
      </c>
      <c r="C271" s="4" t="s">
        <v>255</v>
      </c>
      <c r="D271" s="4" t="s">
        <v>201</v>
      </c>
      <c r="E271" s="4"/>
      <c r="F271" s="29">
        <f>F272</f>
        <v>5352869.72</v>
      </c>
      <c r="G271" s="29">
        <f>G272</f>
        <v>5352869.72</v>
      </c>
    </row>
    <row r="272" spans="1:7" ht="47.25">
      <c r="A272" s="3" t="s">
        <v>306</v>
      </c>
      <c r="B272" s="4" t="s">
        <v>257</v>
      </c>
      <c r="C272" s="4" t="s">
        <v>255</v>
      </c>
      <c r="D272" s="4" t="s">
        <v>201</v>
      </c>
      <c r="E272" s="4" t="s">
        <v>19</v>
      </c>
      <c r="F272" s="29">
        <v>5352869.72</v>
      </c>
      <c r="G272" s="29">
        <f>F272</f>
        <v>5352869.72</v>
      </c>
    </row>
    <row r="273" spans="1:7" ht="15.75">
      <c r="A273" s="1" t="s">
        <v>11</v>
      </c>
      <c r="B273" s="2" t="s">
        <v>257</v>
      </c>
      <c r="C273" s="2" t="s">
        <v>260</v>
      </c>
      <c r="D273" s="2"/>
      <c r="E273" s="2"/>
      <c r="F273" s="33">
        <f>F274</f>
        <v>35902618.38</v>
      </c>
      <c r="G273" s="29"/>
    </row>
    <row r="274" spans="1:7" ht="78.75">
      <c r="A274" s="3" t="s">
        <v>34</v>
      </c>
      <c r="B274" s="4" t="s">
        <v>257</v>
      </c>
      <c r="C274" s="4" t="s">
        <v>260</v>
      </c>
      <c r="D274" s="4" t="s">
        <v>35</v>
      </c>
      <c r="E274" s="4"/>
      <c r="F274" s="29">
        <f>F275+F280</f>
        <v>35902618.38</v>
      </c>
      <c r="G274" s="29"/>
    </row>
    <row r="275" spans="1:7" ht="78.75">
      <c r="A275" s="3" t="s">
        <v>376</v>
      </c>
      <c r="B275" s="4" t="s">
        <v>257</v>
      </c>
      <c r="C275" s="4" t="s">
        <v>260</v>
      </c>
      <c r="D275" s="4" t="s">
        <v>377</v>
      </c>
      <c r="E275" s="4"/>
      <c r="F275" s="29">
        <f>F276+F278</f>
        <v>6987196.88</v>
      </c>
      <c r="G275" s="29"/>
    </row>
    <row r="276" spans="1:7" ht="47.25">
      <c r="A276" s="3" t="s">
        <v>230</v>
      </c>
      <c r="B276" s="4" t="s">
        <v>257</v>
      </c>
      <c r="C276" s="4" t="s">
        <v>260</v>
      </c>
      <c r="D276" s="4" t="s">
        <v>231</v>
      </c>
      <c r="E276" s="4"/>
      <c r="F276" s="29">
        <f>F277</f>
        <v>3870370.1100000003</v>
      </c>
      <c r="G276" s="29"/>
    </row>
    <row r="277" spans="1:7" ht="47.25">
      <c r="A277" s="3" t="s">
        <v>306</v>
      </c>
      <c r="B277" s="4" t="s">
        <v>257</v>
      </c>
      <c r="C277" s="4" t="s">
        <v>260</v>
      </c>
      <c r="D277" s="4" t="s">
        <v>231</v>
      </c>
      <c r="E277" s="4" t="s">
        <v>19</v>
      </c>
      <c r="F277" s="29">
        <f>прил7!G325</f>
        <v>3870370.1100000003</v>
      </c>
      <c r="G277" s="29"/>
    </row>
    <row r="278" spans="1:7" ht="31.5">
      <c r="A278" s="3" t="s">
        <v>326</v>
      </c>
      <c r="B278" s="4" t="s">
        <v>257</v>
      </c>
      <c r="C278" s="4" t="s">
        <v>260</v>
      </c>
      <c r="D278" s="4" t="s">
        <v>405</v>
      </c>
      <c r="E278" s="4"/>
      <c r="F278" s="29">
        <f>F279</f>
        <v>3116826.7699999996</v>
      </c>
      <c r="G278" s="29"/>
    </row>
    <row r="279" spans="1:7" ht="47.25">
      <c r="A279" s="3" t="s">
        <v>306</v>
      </c>
      <c r="B279" s="4" t="s">
        <v>257</v>
      </c>
      <c r="C279" s="4" t="s">
        <v>260</v>
      </c>
      <c r="D279" s="4" t="s">
        <v>405</v>
      </c>
      <c r="E279" s="4" t="s">
        <v>19</v>
      </c>
      <c r="F279" s="29">
        <f>прил7!G327</f>
        <v>3116826.7699999996</v>
      </c>
      <c r="G279" s="29"/>
    </row>
    <row r="280" spans="1:7" ht="78.75">
      <c r="A280" s="3" t="s">
        <v>378</v>
      </c>
      <c r="B280" s="4" t="s">
        <v>257</v>
      </c>
      <c r="C280" s="4" t="s">
        <v>260</v>
      </c>
      <c r="D280" s="4" t="s">
        <v>379</v>
      </c>
      <c r="E280" s="4"/>
      <c r="F280" s="29">
        <f>F281+F283</f>
        <v>28915421.5</v>
      </c>
      <c r="G280" s="29"/>
    </row>
    <row r="281" spans="1:7" ht="31.5">
      <c r="A281" s="3" t="s">
        <v>326</v>
      </c>
      <c r="B281" s="4" t="s">
        <v>257</v>
      </c>
      <c r="C281" s="4" t="s">
        <v>260</v>
      </c>
      <c r="D281" s="4" t="s">
        <v>380</v>
      </c>
      <c r="E281" s="4"/>
      <c r="F281" s="29">
        <f>F282</f>
        <v>2052306.8299999998</v>
      </c>
      <c r="G281" s="29"/>
    </row>
    <row r="282" spans="1:7" ht="47.25">
      <c r="A282" s="3" t="s">
        <v>306</v>
      </c>
      <c r="B282" s="4" t="s">
        <v>257</v>
      </c>
      <c r="C282" s="4" t="s">
        <v>260</v>
      </c>
      <c r="D282" s="4" t="s">
        <v>380</v>
      </c>
      <c r="E282" s="4" t="s">
        <v>19</v>
      </c>
      <c r="F282" s="29">
        <f>прил7!G330</f>
        <v>2052306.8299999998</v>
      </c>
      <c r="G282" s="29"/>
    </row>
    <row r="283" spans="1:7" ht="47.25">
      <c r="A283" s="3" t="s">
        <v>381</v>
      </c>
      <c r="B283" s="4" t="s">
        <v>257</v>
      </c>
      <c r="C283" s="4" t="s">
        <v>260</v>
      </c>
      <c r="D283" s="4" t="s">
        <v>382</v>
      </c>
      <c r="E283" s="4"/>
      <c r="F283" s="29">
        <f>F284</f>
        <v>26863114.67</v>
      </c>
      <c r="G283" s="29"/>
    </row>
    <row r="284" spans="1:7" ht="15.75">
      <c r="A284" s="3" t="s">
        <v>235</v>
      </c>
      <c r="B284" s="4" t="s">
        <v>257</v>
      </c>
      <c r="C284" s="4" t="s">
        <v>260</v>
      </c>
      <c r="D284" s="4" t="s">
        <v>382</v>
      </c>
      <c r="E284" s="4" t="s">
        <v>22</v>
      </c>
      <c r="F284" s="29">
        <f>прил7!G332</f>
        <v>26863114.67</v>
      </c>
      <c r="G284" s="29"/>
    </row>
    <row r="285" spans="1:7" ht="15.75">
      <c r="A285" s="1" t="s">
        <v>244</v>
      </c>
      <c r="B285" s="2" t="s">
        <v>257</v>
      </c>
      <c r="C285" s="2" t="s">
        <v>262</v>
      </c>
      <c r="D285" s="2"/>
      <c r="E285" s="2"/>
      <c r="F285" s="33">
        <f>F286</f>
        <v>36004647.910000004</v>
      </c>
      <c r="G285" s="33"/>
    </row>
    <row r="286" spans="1:7" ht="78.75">
      <c r="A286" s="3" t="s">
        <v>34</v>
      </c>
      <c r="B286" s="4" t="s">
        <v>257</v>
      </c>
      <c r="C286" s="4" t="s">
        <v>262</v>
      </c>
      <c r="D286" s="4" t="s">
        <v>35</v>
      </c>
      <c r="E286" s="4"/>
      <c r="F286" s="29">
        <f>F287</f>
        <v>36004647.910000004</v>
      </c>
      <c r="G286" s="29"/>
    </row>
    <row r="287" spans="1:7" ht="63">
      <c r="A287" s="3" t="s">
        <v>385</v>
      </c>
      <c r="B287" s="4" t="s">
        <v>257</v>
      </c>
      <c r="C287" s="4" t="s">
        <v>262</v>
      </c>
      <c r="D287" s="4" t="s">
        <v>386</v>
      </c>
      <c r="E287" s="4"/>
      <c r="F287" s="29">
        <f>F288+F290+F292+F294+F296+F298+F300+F302</f>
        <v>36004647.910000004</v>
      </c>
      <c r="G287" s="29"/>
    </row>
    <row r="288" spans="1:7" ht="63">
      <c r="A288" s="3" t="s">
        <v>387</v>
      </c>
      <c r="B288" s="4" t="s">
        <v>257</v>
      </c>
      <c r="C288" s="4" t="s">
        <v>262</v>
      </c>
      <c r="D288" s="4" t="s">
        <v>388</v>
      </c>
      <c r="E288" s="4"/>
      <c r="F288" s="29">
        <f>F289</f>
        <v>12842407.98</v>
      </c>
      <c r="G288" s="29"/>
    </row>
    <row r="289" spans="1:7" ht="47.25">
      <c r="A289" s="3" t="s">
        <v>306</v>
      </c>
      <c r="B289" s="4" t="s">
        <v>257</v>
      </c>
      <c r="C289" s="4" t="s">
        <v>262</v>
      </c>
      <c r="D289" s="4" t="s">
        <v>388</v>
      </c>
      <c r="E289" s="4" t="s">
        <v>19</v>
      </c>
      <c r="F289" s="29">
        <f>прил7!G337</f>
        <v>12842407.98</v>
      </c>
      <c r="G289" s="33"/>
    </row>
    <row r="290" spans="1:7" ht="63">
      <c r="A290" s="3" t="s">
        <v>391</v>
      </c>
      <c r="B290" s="4" t="s">
        <v>257</v>
      </c>
      <c r="C290" s="4" t="s">
        <v>262</v>
      </c>
      <c r="D290" s="4" t="s">
        <v>392</v>
      </c>
      <c r="E290" s="4"/>
      <c r="F290" s="29">
        <f>F291</f>
        <v>14257972.870000001</v>
      </c>
      <c r="G290" s="29"/>
    </row>
    <row r="291" spans="1:7" ht="47.25">
      <c r="A291" s="3" t="s">
        <v>306</v>
      </c>
      <c r="B291" s="4" t="s">
        <v>257</v>
      </c>
      <c r="C291" s="4" t="s">
        <v>262</v>
      </c>
      <c r="D291" s="4" t="s">
        <v>392</v>
      </c>
      <c r="E291" s="4" t="s">
        <v>19</v>
      </c>
      <c r="F291" s="29">
        <f>прил7!G339</f>
        <v>14257972.870000001</v>
      </c>
      <c r="G291" s="29"/>
    </row>
    <row r="292" spans="1:7" ht="47.25">
      <c r="A292" s="3" t="s">
        <v>393</v>
      </c>
      <c r="B292" s="4" t="s">
        <v>257</v>
      </c>
      <c r="C292" s="4" t="s">
        <v>262</v>
      </c>
      <c r="D292" s="4" t="s">
        <v>394</v>
      </c>
      <c r="E292" s="4"/>
      <c r="F292" s="29">
        <f>F293</f>
        <v>832000</v>
      </c>
      <c r="G292" s="29"/>
    </row>
    <row r="293" spans="1:7" ht="47.25">
      <c r="A293" s="3" t="s">
        <v>306</v>
      </c>
      <c r="B293" s="4" t="s">
        <v>257</v>
      </c>
      <c r="C293" s="4" t="s">
        <v>262</v>
      </c>
      <c r="D293" s="4" t="s">
        <v>394</v>
      </c>
      <c r="E293" s="4" t="s">
        <v>19</v>
      </c>
      <c r="F293" s="29">
        <f>прил7!G341</f>
        <v>832000</v>
      </c>
      <c r="G293" s="29"/>
    </row>
    <row r="294" spans="1:7" ht="47.25">
      <c r="A294" s="3" t="s">
        <v>228</v>
      </c>
      <c r="B294" s="4" t="s">
        <v>257</v>
      </c>
      <c r="C294" s="4" t="s">
        <v>262</v>
      </c>
      <c r="D294" s="4" t="s">
        <v>395</v>
      </c>
      <c r="E294" s="4"/>
      <c r="F294" s="29">
        <f>F295</f>
        <v>0</v>
      </c>
      <c r="G294" s="29"/>
    </row>
    <row r="295" spans="1:7" ht="47.25">
      <c r="A295" s="3" t="s">
        <v>306</v>
      </c>
      <c r="B295" s="4" t="s">
        <v>257</v>
      </c>
      <c r="C295" s="4" t="s">
        <v>262</v>
      </c>
      <c r="D295" s="4" t="s">
        <v>395</v>
      </c>
      <c r="E295" s="4" t="s">
        <v>19</v>
      </c>
      <c r="F295" s="29">
        <f>прил7!G343</f>
        <v>0</v>
      </c>
      <c r="G295" s="29"/>
    </row>
    <row r="296" spans="1:7" ht="47.25">
      <c r="A296" s="3" t="s">
        <v>230</v>
      </c>
      <c r="B296" s="4" t="s">
        <v>257</v>
      </c>
      <c r="C296" s="4" t="s">
        <v>262</v>
      </c>
      <c r="D296" s="4" t="s">
        <v>396</v>
      </c>
      <c r="E296" s="4"/>
      <c r="F296" s="29">
        <f>F297</f>
        <v>0</v>
      </c>
      <c r="G296" s="29"/>
    </row>
    <row r="297" spans="1:7" ht="47.25">
      <c r="A297" s="3" t="s">
        <v>306</v>
      </c>
      <c r="B297" s="4" t="s">
        <v>257</v>
      </c>
      <c r="C297" s="4" t="s">
        <v>262</v>
      </c>
      <c r="D297" s="4" t="s">
        <v>396</v>
      </c>
      <c r="E297" s="4" t="s">
        <v>19</v>
      </c>
      <c r="F297" s="29">
        <f>прил7!G345</f>
        <v>0</v>
      </c>
      <c r="G297" s="29"/>
    </row>
    <row r="298" spans="1:7" ht="31.5">
      <c r="A298" s="3" t="s">
        <v>326</v>
      </c>
      <c r="B298" s="4" t="s">
        <v>257</v>
      </c>
      <c r="C298" s="4" t="s">
        <v>262</v>
      </c>
      <c r="D298" s="4" t="s">
        <v>397</v>
      </c>
      <c r="E298" s="4"/>
      <c r="F298" s="29">
        <f>F299</f>
        <v>8072267.06</v>
      </c>
      <c r="G298" s="29"/>
    </row>
    <row r="299" spans="1:7" ht="47.25">
      <c r="A299" s="3" t="s">
        <v>306</v>
      </c>
      <c r="B299" s="4" t="s">
        <v>257</v>
      </c>
      <c r="C299" s="4" t="s">
        <v>262</v>
      </c>
      <c r="D299" s="4" t="s">
        <v>397</v>
      </c>
      <c r="E299" s="4" t="s">
        <v>19</v>
      </c>
      <c r="F299" s="29">
        <f>прил7!G347</f>
        <v>8072267.06</v>
      </c>
      <c r="G299" s="29"/>
    </row>
    <row r="300" spans="1:7" ht="110.25" hidden="1">
      <c r="A300" s="3" t="s">
        <v>398</v>
      </c>
      <c r="B300" s="4" t="s">
        <v>257</v>
      </c>
      <c r="C300" s="4" t="s">
        <v>262</v>
      </c>
      <c r="D300" s="4" t="s">
        <v>399</v>
      </c>
      <c r="E300" s="4"/>
      <c r="F300" s="29">
        <f>F301</f>
        <v>0</v>
      </c>
      <c r="G300" s="29"/>
    </row>
    <row r="301" spans="1:7" ht="15.75" hidden="1">
      <c r="A301" s="3" t="s">
        <v>235</v>
      </c>
      <c r="B301" s="4" t="s">
        <v>257</v>
      </c>
      <c r="C301" s="4" t="s">
        <v>262</v>
      </c>
      <c r="D301" s="4" t="s">
        <v>399</v>
      </c>
      <c r="E301" s="4" t="s">
        <v>22</v>
      </c>
      <c r="F301" s="29">
        <f>прил7!G349</f>
        <v>0</v>
      </c>
      <c r="G301" s="29"/>
    </row>
    <row r="302" spans="1:7" ht="110.25" hidden="1">
      <c r="A302" s="3" t="s">
        <v>400</v>
      </c>
      <c r="B302" s="4" t="s">
        <v>257</v>
      </c>
      <c r="C302" s="4" t="s">
        <v>262</v>
      </c>
      <c r="D302" s="4" t="s">
        <v>401</v>
      </c>
      <c r="E302" s="4"/>
      <c r="F302" s="29">
        <f>F303</f>
        <v>0</v>
      </c>
      <c r="G302" s="29"/>
    </row>
    <row r="303" spans="1:7" ht="15.75" hidden="1">
      <c r="A303" s="3" t="s">
        <v>235</v>
      </c>
      <c r="B303" s="4" t="s">
        <v>257</v>
      </c>
      <c r="C303" s="4" t="s">
        <v>262</v>
      </c>
      <c r="D303" s="4" t="s">
        <v>401</v>
      </c>
      <c r="E303" s="4" t="s">
        <v>22</v>
      </c>
      <c r="F303" s="29">
        <f>прил7!G351</f>
        <v>0</v>
      </c>
      <c r="G303" s="29"/>
    </row>
    <row r="304" spans="1:7" ht="47.25">
      <c r="A304" s="1" t="s">
        <v>282</v>
      </c>
      <c r="B304" s="2" t="s">
        <v>257</v>
      </c>
      <c r="C304" s="2" t="s">
        <v>257</v>
      </c>
      <c r="D304" s="4"/>
      <c r="E304" s="4"/>
      <c r="F304" s="33">
        <f>F316+F305</f>
        <v>86920167.85</v>
      </c>
      <c r="G304" s="33">
        <f>G316</f>
        <v>66452430</v>
      </c>
    </row>
    <row r="305" spans="1:7" ht="78.75">
      <c r="A305" s="3" t="s">
        <v>34</v>
      </c>
      <c r="B305" s="4" t="s">
        <v>257</v>
      </c>
      <c r="C305" s="4" t="s">
        <v>257</v>
      </c>
      <c r="D305" s="4" t="s">
        <v>35</v>
      </c>
      <c r="E305" s="4"/>
      <c r="F305" s="29">
        <f>F306+F309</f>
        <v>20467737.85</v>
      </c>
      <c r="G305" s="29"/>
    </row>
    <row r="306" spans="1:7" ht="78.75">
      <c r="A306" s="3" t="s">
        <v>378</v>
      </c>
      <c r="B306" s="4" t="s">
        <v>257</v>
      </c>
      <c r="C306" s="4" t="s">
        <v>257</v>
      </c>
      <c r="D306" s="4" t="s">
        <v>379</v>
      </c>
      <c r="E306" s="4"/>
      <c r="F306" s="29">
        <f>F307</f>
        <v>5743368.59</v>
      </c>
      <c r="G306" s="29"/>
    </row>
    <row r="307" spans="1:7" ht="110.25">
      <c r="A307" s="3" t="s">
        <v>383</v>
      </c>
      <c r="B307" s="4" t="s">
        <v>257</v>
      </c>
      <c r="C307" s="4" t="s">
        <v>257</v>
      </c>
      <c r="D307" s="4" t="s">
        <v>384</v>
      </c>
      <c r="E307" s="4"/>
      <c r="F307" s="29">
        <f>F308</f>
        <v>5743368.59</v>
      </c>
      <c r="G307" s="29"/>
    </row>
    <row r="308" spans="1:7" ht="63">
      <c r="A308" s="3" t="s">
        <v>330</v>
      </c>
      <c r="B308" s="4" t="s">
        <v>257</v>
      </c>
      <c r="C308" s="4" t="s">
        <v>257</v>
      </c>
      <c r="D308" s="4" t="s">
        <v>384</v>
      </c>
      <c r="E308" s="4" t="s">
        <v>23</v>
      </c>
      <c r="F308" s="29">
        <f>прил7!G356</f>
        <v>5743368.59</v>
      </c>
      <c r="G308" s="29"/>
    </row>
    <row r="309" spans="1:7" ht="63">
      <c r="A309" s="3" t="s">
        <v>402</v>
      </c>
      <c r="B309" s="4" t="s">
        <v>257</v>
      </c>
      <c r="C309" s="4" t="s">
        <v>257</v>
      </c>
      <c r="D309" s="4" t="s">
        <v>403</v>
      </c>
      <c r="E309" s="4"/>
      <c r="F309" s="29">
        <f>F310+F314</f>
        <v>14724369.26</v>
      </c>
      <c r="G309" s="29"/>
    </row>
    <row r="310" spans="1:7" ht="110.25">
      <c r="A310" s="3" t="s">
        <v>209</v>
      </c>
      <c r="B310" s="4" t="s">
        <v>257</v>
      </c>
      <c r="C310" s="4" t="s">
        <v>257</v>
      </c>
      <c r="D310" s="4" t="s">
        <v>404</v>
      </c>
      <c r="E310" s="4"/>
      <c r="F310" s="29">
        <f>F311+F312+F313</f>
        <v>14484369.26</v>
      </c>
      <c r="G310" s="29"/>
    </row>
    <row r="311" spans="1:7" ht="126">
      <c r="A311" s="3" t="s">
        <v>305</v>
      </c>
      <c r="B311" s="4" t="s">
        <v>257</v>
      </c>
      <c r="C311" s="4" t="s">
        <v>257</v>
      </c>
      <c r="D311" s="4" t="s">
        <v>404</v>
      </c>
      <c r="E311" s="4" t="s">
        <v>18</v>
      </c>
      <c r="F311" s="29">
        <f>прил7!G359</f>
        <v>12617103.26</v>
      </c>
      <c r="G311" s="29"/>
    </row>
    <row r="312" spans="1:7" ht="54" customHeight="1">
      <c r="A312" s="3" t="s">
        <v>306</v>
      </c>
      <c r="B312" s="4" t="s">
        <v>257</v>
      </c>
      <c r="C312" s="4" t="s">
        <v>257</v>
      </c>
      <c r="D312" s="4" t="s">
        <v>404</v>
      </c>
      <c r="E312" s="4" t="s">
        <v>19</v>
      </c>
      <c r="F312" s="29">
        <f>прил7!G360</f>
        <v>860959.07</v>
      </c>
      <c r="G312" s="29"/>
    </row>
    <row r="313" spans="1:7" ht="47.25" customHeight="1">
      <c r="A313" s="3" t="s">
        <v>235</v>
      </c>
      <c r="B313" s="4" t="s">
        <v>257</v>
      </c>
      <c r="C313" s="4" t="s">
        <v>257</v>
      </c>
      <c r="D313" s="4" t="s">
        <v>404</v>
      </c>
      <c r="E313" s="4" t="s">
        <v>22</v>
      </c>
      <c r="F313" s="29">
        <f>прил7!G361</f>
        <v>1006306.9299999999</v>
      </c>
      <c r="G313" s="29"/>
    </row>
    <row r="314" spans="1:7" ht="110.25">
      <c r="A314" s="3" t="s">
        <v>409</v>
      </c>
      <c r="B314" s="4" t="s">
        <v>257</v>
      </c>
      <c r="C314" s="4" t="s">
        <v>257</v>
      </c>
      <c r="D314" s="4" t="s">
        <v>432</v>
      </c>
      <c r="E314" s="4"/>
      <c r="F314" s="29">
        <f>F315</f>
        <v>240000</v>
      </c>
      <c r="G314" s="29"/>
    </row>
    <row r="315" spans="1:7" ht="126">
      <c r="A315" s="3" t="s">
        <v>417</v>
      </c>
      <c r="B315" s="4" t="s">
        <v>257</v>
      </c>
      <c r="C315" s="4" t="s">
        <v>257</v>
      </c>
      <c r="D315" s="4" t="s">
        <v>432</v>
      </c>
      <c r="E315" s="4" t="s">
        <v>18</v>
      </c>
      <c r="F315" s="29">
        <f>прил7!G363</f>
        <v>240000</v>
      </c>
      <c r="G315" s="29"/>
    </row>
    <row r="316" spans="1:7" ht="63">
      <c r="A316" s="27" t="s">
        <v>313</v>
      </c>
      <c r="B316" s="4" t="s">
        <v>257</v>
      </c>
      <c r="C316" s="4" t="s">
        <v>257</v>
      </c>
      <c r="D316" s="4" t="s">
        <v>314</v>
      </c>
      <c r="E316" s="4"/>
      <c r="F316" s="29">
        <f aca="true" t="shared" si="2" ref="F316:G318">F317</f>
        <v>66452430</v>
      </c>
      <c r="G316" s="29">
        <f t="shared" si="2"/>
        <v>66452430</v>
      </c>
    </row>
    <row r="317" spans="1:7" ht="78.75">
      <c r="A317" s="3" t="s">
        <v>45</v>
      </c>
      <c r="B317" s="4" t="s">
        <v>257</v>
      </c>
      <c r="C317" s="4" t="s">
        <v>257</v>
      </c>
      <c r="D317" s="4" t="s">
        <v>46</v>
      </c>
      <c r="E317" s="4"/>
      <c r="F317" s="29">
        <f t="shared" si="2"/>
        <v>66452430</v>
      </c>
      <c r="G317" s="29">
        <f t="shared" si="2"/>
        <v>66452430</v>
      </c>
    </row>
    <row r="318" spans="1:7" ht="78.75">
      <c r="A318" s="3" t="s">
        <v>47</v>
      </c>
      <c r="B318" s="4" t="s">
        <v>257</v>
      </c>
      <c r="C318" s="4" t="s">
        <v>257</v>
      </c>
      <c r="D318" s="4" t="s">
        <v>48</v>
      </c>
      <c r="E318" s="4"/>
      <c r="F318" s="29">
        <f t="shared" si="2"/>
        <v>66452430</v>
      </c>
      <c r="G318" s="29">
        <f t="shared" si="2"/>
        <v>66452430</v>
      </c>
    </row>
    <row r="319" spans="1:7" ht="63">
      <c r="A319" s="6" t="s">
        <v>49</v>
      </c>
      <c r="B319" s="7" t="s">
        <v>257</v>
      </c>
      <c r="C319" s="7" t="s">
        <v>257</v>
      </c>
      <c r="D319" s="7" t="s">
        <v>48</v>
      </c>
      <c r="E319" s="7" t="s">
        <v>297</v>
      </c>
      <c r="F319" s="31">
        <f>прил7!G367</f>
        <v>66452430</v>
      </c>
      <c r="G319" s="31">
        <f>F319</f>
        <v>66452430</v>
      </c>
    </row>
    <row r="320" spans="1:7" ht="15.75">
      <c r="A320" s="13" t="s">
        <v>25</v>
      </c>
      <c r="B320" s="5" t="s">
        <v>256</v>
      </c>
      <c r="C320" s="5"/>
      <c r="D320" s="5"/>
      <c r="E320" s="5"/>
      <c r="F320" s="28">
        <f>F325+F321</f>
        <v>859086.3700000001</v>
      </c>
      <c r="G320" s="33">
        <f>G321</f>
        <v>310168.31</v>
      </c>
    </row>
    <row r="321" spans="1:7" ht="47.25">
      <c r="A321" s="1" t="s">
        <v>197</v>
      </c>
      <c r="B321" s="2" t="s">
        <v>256</v>
      </c>
      <c r="C321" s="2" t="s">
        <v>262</v>
      </c>
      <c r="D321" s="2"/>
      <c r="E321" s="2"/>
      <c r="F321" s="33">
        <f>F322</f>
        <v>310168.31</v>
      </c>
      <c r="G321" s="33">
        <f>G322</f>
        <v>310168.31</v>
      </c>
    </row>
    <row r="322" spans="1:7" ht="63">
      <c r="A322" s="3" t="s">
        <v>0</v>
      </c>
      <c r="B322" s="4" t="s">
        <v>256</v>
      </c>
      <c r="C322" s="4" t="s">
        <v>262</v>
      </c>
      <c r="D322" s="4" t="s">
        <v>1</v>
      </c>
      <c r="E322" s="2"/>
      <c r="F322" s="29">
        <f>F323</f>
        <v>310168.31</v>
      </c>
      <c r="G322" s="29">
        <f>G323</f>
        <v>310168.31</v>
      </c>
    </row>
    <row r="323" spans="1:7" ht="141.75">
      <c r="A323" s="3" t="s">
        <v>198</v>
      </c>
      <c r="B323" s="4" t="s">
        <v>256</v>
      </c>
      <c r="C323" s="4" t="s">
        <v>262</v>
      </c>
      <c r="D323" s="4" t="s">
        <v>199</v>
      </c>
      <c r="E323" s="4"/>
      <c r="F323" s="29">
        <f>F324</f>
        <v>310168.31</v>
      </c>
      <c r="G323" s="29">
        <f>G324</f>
        <v>310168.31</v>
      </c>
    </row>
    <row r="324" spans="1:7" ht="47.25">
      <c r="A324" s="3" t="s">
        <v>306</v>
      </c>
      <c r="B324" s="4" t="s">
        <v>256</v>
      </c>
      <c r="C324" s="4" t="s">
        <v>262</v>
      </c>
      <c r="D324" s="4" t="s">
        <v>199</v>
      </c>
      <c r="E324" s="4" t="s">
        <v>19</v>
      </c>
      <c r="F324" s="29">
        <v>310168.31</v>
      </c>
      <c r="G324" s="29">
        <f>F324</f>
        <v>310168.31</v>
      </c>
    </row>
    <row r="325" spans="1:7" ht="31.5">
      <c r="A325" s="1" t="s">
        <v>26</v>
      </c>
      <c r="B325" s="2" t="s">
        <v>256</v>
      </c>
      <c r="C325" s="2" t="s">
        <v>257</v>
      </c>
      <c r="D325" s="2"/>
      <c r="E325" s="2"/>
      <c r="F325" s="33">
        <f>F326</f>
        <v>548918.06</v>
      </c>
      <c r="G325" s="29"/>
    </row>
    <row r="326" spans="1:7" ht="63">
      <c r="A326" s="3" t="s">
        <v>0</v>
      </c>
      <c r="B326" s="4" t="s">
        <v>256</v>
      </c>
      <c r="C326" s="4" t="s">
        <v>257</v>
      </c>
      <c r="D326" s="4" t="s">
        <v>1</v>
      </c>
      <c r="E326" s="4"/>
      <c r="F326" s="29">
        <f>F327</f>
        <v>548918.06</v>
      </c>
      <c r="G326" s="29"/>
    </row>
    <row r="327" spans="1:7" ht="31.5">
      <c r="A327" s="3" t="s">
        <v>326</v>
      </c>
      <c r="B327" s="4" t="s">
        <v>256</v>
      </c>
      <c r="C327" s="4" t="s">
        <v>257</v>
      </c>
      <c r="D327" s="4" t="s">
        <v>2</v>
      </c>
      <c r="E327" s="4"/>
      <c r="F327" s="29">
        <f>F328</f>
        <v>548918.06</v>
      </c>
      <c r="G327" s="29"/>
    </row>
    <row r="328" spans="1:7" ht="47.25">
      <c r="A328" s="6" t="s">
        <v>306</v>
      </c>
      <c r="B328" s="7" t="s">
        <v>256</v>
      </c>
      <c r="C328" s="7" t="s">
        <v>257</v>
      </c>
      <c r="D328" s="7" t="s">
        <v>2</v>
      </c>
      <c r="E328" s="7" t="s">
        <v>19</v>
      </c>
      <c r="F328" s="31">
        <f>прил7!G376</f>
        <v>548918.06</v>
      </c>
      <c r="G328" s="31"/>
    </row>
    <row r="329" spans="1:7" ht="15.75">
      <c r="A329" s="13" t="s">
        <v>266</v>
      </c>
      <c r="B329" s="5" t="s">
        <v>258</v>
      </c>
      <c r="C329" s="5"/>
      <c r="D329" s="5"/>
      <c r="E329" s="5"/>
      <c r="F329" s="28">
        <f>F330+F355+F394+F422</f>
        <v>1614428792.47</v>
      </c>
      <c r="G329" s="28">
        <f>G330+G355+G394+G422</f>
        <v>760514006.1800001</v>
      </c>
    </row>
    <row r="330" spans="1:7" ht="15.75">
      <c r="A330" s="1" t="s">
        <v>267</v>
      </c>
      <c r="B330" s="2" t="s">
        <v>258</v>
      </c>
      <c r="C330" s="2" t="s">
        <v>255</v>
      </c>
      <c r="D330" s="2"/>
      <c r="E330" s="4"/>
      <c r="F330" s="33">
        <f>F331+F350</f>
        <v>629224103.55</v>
      </c>
      <c r="G330" s="33">
        <f>G331</f>
        <v>407126702</v>
      </c>
    </row>
    <row r="331" spans="1:7" ht="47.25">
      <c r="A331" s="3" t="s">
        <v>331</v>
      </c>
      <c r="B331" s="4" t="s">
        <v>258</v>
      </c>
      <c r="C331" s="4" t="s">
        <v>255</v>
      </c>
      <c r="D331" s="4" t="s">
        <v>332</v>
      </c>
      <c r="E331" s="4"/>
      <c r="F331" s="29">
        <f>F341+F332</f>
        <v>629024103.55</v>
      </c>
      <c r="G331" s="29">
        <f>G341+G332+G350</f>
        <v>407126702</v>
      </c>
    </row>
    <row r="332" spans="1:7" ht="47.25">
      <c r="A332" s="3" t="s">
        <v>354</v>
      </c>
      <c r="B332" s="4" t="s">
        <v>258</v>
      </c>
      <c r="C332" s="4" t="s">
        <v>255</v>
      </c>
      <c r="D332" s="4" t="s">
        <v>355</v>
      </c>
      <c r="E332" s="4"/>
      <c r="F332" s="29">
        <f>F339+F335+F337+F333</f>
        <v>465640069.03</v>
      </c>
      <c r="G332" s="29">
        <f>G339+G335+G337+G333</f>
        <v>282276702</v>
      </c>
    </row>
    <row r="333" spans="1:7" ht="110.25">
      <c r="A333" s="3" t="s">
        <v>209</v>
      </c>
      <c r="B333" s="4" t="s">
        <v>258</v>
      </c>
      <c r="C333" s="4" t="s">
        <v>255</v>
      </c>
      <c r="D333" s="4" t="s">
        <v>210</v>
      </c>
      <c r="E333" s="4"/>
      <c r="F333" s="29">
        <f>F334</f>
        <v>183363367.03</v>
      </c>
      <c r="G333" s="29"/>
    </row>
    <row r="334" spans="1:7" ht="63">
      <c r="A334" s="3" t="s">
        <v>330</v>
      </c>
      <c r="B334" s="4" t="s">
        <v>258</v>
      </c>
      <c r="C334" s="4" t="s">
        <v>255</v>
      </c>
      <c r="D334" s="4" t="s">
        <v>210</v>
      </c>
      <c r="E334" s="4" t="s">
        <v>23</v>
      </c>
      <c r="F334" s="29">
        <f>прил7!G476</f>
        <v>183363367.03</v>
      </c>
      <c r="G334" s="29"/>
    </row>
    <row r="335" spans="1:7" ht="141.75">
      <c r="A335" s="3" t="s">
        <v>59</v>
      </c>
      <c r="B335" s="4" t="s">
        <v>258</v>
      </c>
      <c r="C335" s="4" t="s">
        <v>255</v>
      </c>
      <c r="D335" s="4" t="s">
        <v>181</v>
      </c>
      <c r="E335" s="4"/>
      <c r="F335" s="29">
        <f>F336</f>
        <v>889602</v>
      </c>
      <c r="G335" s="29">
        <f>G336</f>
        <v>889602</v>
      </c>
    </row>
    <row r="336" spans="1:7" ht="63">
      <c r="A336" s="3" t="s">
        <v>330</v>
      </c>
      <c r="B336" s="4" t="s">
        <v>258</v>
      </c>
      <c r="C336" s="4" t="s">
        <v>255</v>
      </c>
      <c r="D336" s="4" t="s">
        <v>181</v>
      </c>
      <c r="E336" s="4" t="s">
        <v>23</v>
      </c>
      <c r="F336" s="29">
        <f>прил7!G478</f>
        <v>889602</v>
      </c>
      <c r="G336" s="29">
        <f>F336</f>
        <v>889602</v>
      </c>
    </row>
    <row r="337" spans="1:7" ht="126">
      <c r="A337" s="3" t="s">
        <v>301</v>
      </c>
      <c r="B337" s="4" t="s">
        <v>258</v>
      </c>
      <c r="C337" s="4" t="s">
        <v>255</v>
      </c>
      <c r="D337" s="4" t="s">
        <v>187</v>
      </c>
      <c r="E337" s="4"/>
      <c r="F337" s="29">
        <f>F338</f>
        <v>4347200</v>
      </c>
      <c r="G337" s="29">
        <f>G338</f>
        <v>4347200</v>
      </c>
    </row>
    <row r="338" spans="1:7" ht="63">
      <c r="A338" s="3" t="s">
        <v>330</v>
      </c>
      <c r="B338" s="4" t="s">
        <v>258</v>
      </c>
      <c r="C338" s="4" t="s">
        <v>255</v>
      </c>
      <c r="D338" s="4" t="s">
        <v>187</v>
      </c>
      <c r="E338" s="4" t="s">
        <v>23</v>
      </c>
      <c r="F338" s="29">
        <f>прил7!G480</f>
        <v>4347200</v>
      </c>
      <c r="G338" s="29">
        <f>F338</f>
        <v>4347200</v>
      </c>
    </row>
    <row r="339" spans="1:7" ht="94.5">
      <c r="A339" s="3" t="s">
        <v>356</v>
      </c>
      <c r="B339" s="4" t="s">
        <v>258</v>
      </c>
      <c r="C339" s="4" t="s">
        <v>255</v>
      </c>
      <c r="D339" s="4" t="s">
        <v>357</v>
      </c>
      <c r="E339" s="4"/>
      <c r="F339" s="29">
        <f>F340</f>
        <v>277039900</v>
      </c>
      <c r="G339" s="29">
        <f>G340</f>
        <v>277039900</v>
      </c>
    </row>
    <row r="340" spans="1:7" ht="63">
      <c r="A340" s="3" t="s">
        <v>330</v>
      </c>
      <c r="B340" s="4" t="s">
        <v>258</v>
      </c>
      <c r="C340" s="4" t="s">
        <v>255</v>
      </c>
      <c r="D340" s="4" t="s">
        <v>357</v>
      </c>
      <c r="E340" s="4" t="s">
        <v>23</v>
      </c>
      <c r="F340" s="29">
        <f>прил7!G482</f>
        <v>277039900</v>
      </c>
      <c r="G340" s="29">
        <f>F340</f>
        <v>277039900</v>
      </c>
    </row>
    <row r="341" spans="1:7" ht="63">
      <c r="A341" s="3" t="s">
        <v>57</v>
      </c>
      <c r="B341" s="4" t="s">
        <v>258</v>
      </c>
      <c r="C341" s="4" t="s">
        <v>255</v>
      </c>
      <c r="D341" s="4" t="s">
        <v>58</v>
      </c>
      <c r="E341" s="4"/>
      <c r="F341" s="29">
        <f>F348+F346+F342+F344</f>
        <v>163384034.51999998</v>
      </c>
      <c r="G341" s="29">
        <f>G348+G346+G342</f>
        <v>124750000</v>
      </c>
    </row>
    <row r="342" spans="1:7" ht="47.25">
      <c r="A342" s="3" t="s">
        <v>228</v>
      </c>
      <c r="B342" s="4" t="s">
        <v>258</v>
      </c>
      <c r="C342" s="4" t="s">
        <v>255</v>
      </c>
      <c r="D342" s="4" t="s">
        <v>171</v>
      </c>
      <c r="E342" s="4"/>
      <c r="F342" s="29">
        <f>F343</f>
        <v>5374152.07</v>
      </c>
      <c r="G342" s="29"/>
    </row>
    <row r="343" spans="1:7" ht="63">
      <c r="A343" s="3" t="s">
        <v>330</v>
      </c>
      <c r="B343" s="4" t="s">
        <v>258</v>
      </c>
      <c r="C343" s="4" t="s">
        <v>255</v>
      </c>
      <c r="D343" s="4" t="s">
        <v>171</v>
      </c>
      <c r="E343" s="4" t="s">
        <v>23</v>
      </c>
      <c r="F343" s="29">
        <f>прил7!G485</f>
        <v>5374152.07</v>
      </c>
      <c r="G343" s="29"/>
    </row>
    <row r="344" spans="1:7" ht="47.25">
      <c r="A344" s="3" t="s">
        <v>311</v>
      </c>
      <c r="B344" s="4" t="s">
        <v>258</v>
      </c>
      <c r="C344" s="4" t="s">
        <v>255</v>
      </c>
      <c r="D344" s="4" t="s">
        <v>406</v>
      </c>
      <c r="E344" s="4"/>
      <c r="F344" s="29">
        <f>F345</f>
        <v>2542463.88</v>
      </c>
      <c r="G344" s="29"/>
    </row>
    <row r="345" spans="1:7" ht="63">
      <c r="A345" s="3" t="s">
        <v>330</v>
      </c>
      <c r="B345" s="4" t="s">
        <v>258</v>
      </c>
      <c r="C345" s="4" t="s">
        <v>255</v>
      </c>
      <c r="D345" s="4" t="s">
        <v>406</v>
      </c>
      <c r="E345" s="4" t="s">
        <v>23</v>
      </c>
      <c r="F345" s="29">
        <f>прил7!G487</f>
        <v>2542463.88</v>
      </c>
      <c r="G345" s="29"/>
    </row>
    <row r="346" spans="1:7" ht="74.25" customHeight="1">
      <c r="A346" s="3" t="s">
        <v>222</v>
      </c>
      <c r="B346" s="4" t="s">
        <v>258</v>
      </c>
      <c r="C346" s="4" t="s">
        <v>255</v>
      </c>
      <c r="D346" s="4" t="s">
        <v>223</v>
      </c>
      <c r="E346" s="4"/>
      <c r="F346" s="29">
        <f>F347</f>
        <v>30717418.57</v>
      </c>
      <c r="G346" s="29"/>
    </row>
    <row r="347" spans="1:7" ht="78" customHeight="1">
      <c r="A347" s="3" t="s">
        <v>49</v>
      </c>
      <c r="B347" s="4" t="s">
        <v>258</v>
      </c>
      <c r="C347" s="4" t="s">
        <v>255</v>
      </c>
      <c r="D347" s="4" t="s">
        <v>223</v>
      </c>
      <c r="E347" s="4" t="s">
        <v>297</v>
      </c>
      <c r="F347" s="29">
        <f>прил7!G382</f>
        <v>30717418.57</v>
      </c>
      <c r="G347" s="29"/>
    </row>
    <row r="348" spans="1:7" ht="45" customHeight="1">
      <c r="A348" s="3" t="s">
        <v>456</v>
      </c>
      <c r="B348" s="4" t="s">
        <v>258</v>
      </c>
      <c r="C348" s="4" t="s">
        <v>255</v>
      </c>
      <c r="D348" s="4" t="s">
        <v>457</v>
      </c>
      <c r="E348" s="4"/>
      <c r="F348" s="29">
        <f>F349</f>
        <v>124750000</v>
      </c>
      <c r="G348" s="29">
        <f>G349</f>
        <v>124750000</v>
      </c>
    </row>
    <row r="349" spans="1:7" ht="63">
      <c r="A349" s="3" t="s">
        <v>49</v>
      </c>
      <c r="B349" s="4" t="s">
        <v>258</v>
      </c>
      <c r="C349" s="4" t="s">
        <v>255</v>
      </c>
      <c r="D349" s="4" t="s">
        <v>457</v>
      </c>
      <c r="E349" s="4" t="s">
        <v>297</v>
      </c>
      <c r="F349" s="29">
        <f>прил7!G384</f>
        <v>124750000</v>
      </c>
      <c r="G349" s="29">
        <f>F349</f>
        <v>124750000</v>
      </c>
    </row>
    <row r="350" spans="1:7" ht="78.75">
      <c r="A350" s="3" t="s">
        <v>324</v>
      </c>
      <c r="B350" s="4" t="s">
        <v>258</v>
      </c>
      <c r="C350" s="4" t="s">
        <v>255</v>
      </c>
      <c r="D350" s="4" t="s">
        <v>325</v>
      </c>
      <c r="E350" s="4"/>
      <c r="F350" s="29">
        <f>F351+F353</f>
        <v>200000</v>
      </c>
      <c r="G350" s="29">
        <f>G351+G353</f>
        <v>100000</v>
      </c>
    </row>
    <row r="351" spans="1:7" ht="31.5">
      <c r="A351" s="3" t="s">
        <v>326</v>
      </c>
      <c r="B351" s="4" t="s">
        <v>258</v>
      </c>
      <c r="C351" s="4" t="s">
        <v>255</v>
      </c>
      <c r="D351" s="4" t="s">
        <v>327</v>
      </c>
      <c r="E351" s="4"/>
      <c r="F351" s="29">
        <f>F352</f>
        <v>100000</v>
      </c>
      <c r="G351" s="29"/>
    </row>
    <row r="352" spans="1:7" ht="63">
      <c r="A352" s="3" t="s">
        <v>330</v>
      </c>
      <c r="B352" s="4" t="s">
        <v>258</v>
      </c>
      <c r="C352" s="4" t="s">
        <v>255</v>
      </c>
      <c r="D352" s="4" t="s">
        <v>327</v>
      </c>
      <c r="E352" s="4" t="s">
        <v>23</v>
      </c>
      <c r="F352" s="29">
        <f>прил7!G490</f>
        <v>100000</v>
      </c>
      <c r="G352" s="29"/>
    </row>
    <row r="353" spans="1:7" ht="69.75" customHeight="1">
      <c r="A353" s="3" t="s">
        <v>452</v>
      </c>
      <c r="B353" s="4" t="s">
        <v>258</v>
      </c>
      <c r="C353" s="4" t="s">
        <v>255</v>
      </c>
      <c r="D353" s="4" t="s">
        <v>453</v>
      </c>
      <c r="E353" s="4"/>
      <c r="F353" s="29">
        <f>F354</f>
        <v>100000</v>
      </c>
      <c r="G353" s="29">
        <f>G354</f>
        <v>100000</v>
      </c>
    </row>
    <row r="354" spans="1:7" ht="63">
      <c r="A354" s="3" t="s">
        <v>330</v>
      </c>
      <c r="B354" s="4" t="s">
        <v>258</v>
      </c>
      <c r="C354" s="4" t="s">
        <v>255</v>
      </c>
      <c r="D354" s="4" t="s">
        <v>453</v>
      </c>
      <c r="E354" s="4" t="s">
        <v>23</v>
      </c>
      <c r="F354" s="29">
        <f>прил7!G492</f>
        <v>100000</v>
      </c>
      <c r="G354" s="29">
        <f>F354</f>
        <v>100000</v>
      </c>
    </row>
    <row r="355" spans="1:7" ht="15.75">
      <c r="A355" s="13" t="s">
        <v>268</v>
      </c>
      <c r="B355" s="5" t="s">
        <v>258</v>
      </c>
      <c r="C355" s="5" t="s">
        <v>260</v>
      </c>
      <c r="D355" s="23"/>
      <c r="E355" s="23"/>
      <c r="F355" s="28">
        <f>F356+F375+F380+F389</f>
        <v>865839867.1500001</v>
      </c>
      <c r="G355" s="28">
        <f>G356+G375+G380+G389</f>
        <v>334134004.18</v>
      </c>
    </row>
    <row r="356" spans="1:7" ht="47.25">
      <c r="A356" s="3" t="s">
        <v>331</v>
      </c>
      <c r="B356" s="4" t="s">
        <v>258</v>
      </c>
      <c r="C356" s="4" t="s">
        <v>260</v>
      </c>
      <c r="D356" s="4" t="s">
        <v>332</v>
      </c>
      <c r="E356" s="4"/>
      <c r="F356" s="29">
        <f>F357+F366</f>
        <v>798060037.1500001</v>
      </c>
      <c r="G356" s="29">
        <f>G357+G366</f>
        <v>333774004.18</v>
      </c>
    </row>
    <row r="357" spans="1:7" ht="63">
      <c r="A357" s="3" t="s">
        <v>351</v>
      </c>
      <c r="B357" s="4" t="s">
        <v>258</v>
      </c>
      <c r="C357" s="4" t="s">
        <v>260</v>
      </c>
      <c r="D357" s="4" t="s">
        <v>352</v>
      </c>
      <c r="E357" s="4"/>
      <c r="F357" s="29">
        <f>F362+F360+F364+F358</f>
        <v>582746510.97</v>
      </c>
      <c r="G357" s="29">
        <f>G362+G360+G364+G358</f>
        <v>304667520</v>
      </c>
    </row>
    <row r="358" spans="1:7" ht="110.25">
      <c r="A358" s="3" t="s">
        <v>209</v>
      </c>
      <c r="B358" s="4" t="s">
        <v>258</v>
      </c>
      <c r="C358" s="4" t="s">
        <v>260</v>
      </c>
      <c r="D358" s="4" t="s">
        <v>211</v>
      </c>
      <c r="E358" s="4"/>
      <c r="F358" s="29">
        <f>F359</f>
        <v>278078990.97</v>
      </c>
      <c r="G358" s="29"/>
    </row>
    <row r="359" spans="1:7" ht="63">
      <c r="A359" s="3" t="s">
        <v>330</v>
      </c>
      <c r="B359" s="4" t="s">
        <v>258</v>
      </c>
      <c r="C359" s="4" t="s">
        <v>260</v>
      </c>
      <c r="D359" s="4" t="s">
        <v>211</v>
      </c>
      <c r="E359" s="4" t="s">
        <v>23</v>
      </c>
      <c r="F359" s="29">
        <f>прил7!G497</f>
        <v>278078990.97</v>
      </c>
      <c r="G359" s="29"/>
    </row>
    <row r="360" spans="1:7" ht="141.75">
      <c r="A360" s="3" t="s">
        <v>59</v>
      </c>
      <c r="B360" s="4" t="s">
        <v>258</v>
      </c>
      <c r="C360" s="4" t="s">
        <v>260</v>
      </c>
      <c r="D360" s="4" t="s">
        <v>182</v>
      </c>
      <c r="E360" s="4"/>
      <c r="F360" s="29">
        <f>F361</f>
        <v>223820</v>
      </c>
      <c r="G360" s="29">
        <f>G361</f>
        <v>223820</v>
      </c>
    </row>
    <row r="361" spans="1:7" ht="63">
      <c r="A361" s="3" t="s">
        <v>330</v>
      </c>
      <c r="B361" s="4" t="s">
        <v>258</v>
      </c>
      <c r="C361" s="4" t="s">
        <v>260</v>
      </c>
      <c r="D361" s="4" t="s">
        <v>182</v>
      </c>
      <c r="E361" s="4" t="s">
        <v>23</v>
      </c>
      <c r="F361" s="29">
        <f>прил7!G499</f>
        <v>223820</v>
      </c>
      <c r="G361" s="29">
        <f>F361</f>
        <v>223820</v>
      </c>
    </row>
    <row r="362" spans="1:7" ht="94.5">
      <c r="A362" s="3" t="s">
        <v>30</v>
      </c>
      <c r="B362" s="4" t="s">
        <v>258</v>
      </c>
      <c r="C362" s="4" t="s">
        <v>260</v>
      </c>
      <c r="D362" s="4" t="s">
        <v>353</v>
      </c>
      <c r="E362" s="4"/>
      <c r="F362" s="29">
        <f>F363</f>
        <v>294096900</v>
      </c>
      <c r="G362" s="29">
        <f>G363</f>
        <v>294096900</v>
      </c>
    </row>
    <row r="363" spans="1:7" ht="63">
      <c r="A363" s="3" t="s">
        <v>330</v>
      </c>
      <c r="B363" s="4" t="s">
        <v>258</v>
      </c>
      <c r="C363" s="4" t="s">
        <v>260</v>
      </c>
      <c r="D363" s="4" t="s">
        <v>353</v>
      </c>
      <c r="E363" s="4" t="s">
        <v>23</v>
      </c>
      <c r="F363" s="29">
        <f>прил7!G501</f>
        <v>294096900</v>
      </c>
      <c r="G363" s="29">
        <f>F363</f>
        <v>294096900</v>
      </c>
    </row>
    <row r="364" spans="1:7" ht="126">
      <c r="A364" s="3" t="s">
        <v>301</v>
      </c>
      <c r="B364" s="4" t="s">
        <v>258</v>
      </c>
      <c r="C364" s="4" t="s">
        <v>260</v>
      </c>
      <c r="D364" s="4" t="s">
        <v>188</v>
      </c>
      <c r="E364" s="4"/>
      <c r="F364" s="29">
        <f>F365</f>
        <v>10346800</v>
      </c>
      <c r="G364" s="29">
        <f>G365</f>
        <v>10346800</v>
      </c>
    </row>
    <row r="365" spans="1:7" ht="63">
      <c r="A365" s="3" t="s">
        <v>330</v>
      </c>
      <c r="B365" s="4" t="s">
        <v>258</v>
      </c>
      <c r="C365" s="4" t="s">
        <v>260</v>
      </c>
      <c r="D365" s="4" t="s">
        <v>188</v>
      </c>
      <c r="E365" s="4" t="s">
        <v>23</v>
      </c>
      <c r="F365" s="29">
        <f>прил7!G503</f>
        <v>10346800</v>
      </c>
      <c r="G365" s="29">
        <f>F365</f>
        <v>10346800</v>
      </c>
    </row>
    <row r="366" spans="1:7" ht="63">
      <c r="A366" s="3" t="s">
        <v>57</v>
      </c>
      <c r="B366" s="4" t="s">
        <v>258</v>
      </c>
      <c r="C366" s="4" t="s">
        <v>260</v>
      </c>
      <c r="D366" s="4" t="s">
        <v>58</v>
      </c>
      <c r="E366" s="4"/>
      <c r="F366" s="29">
        <f>F367+F369+F371+F373</f>
        <v>215313526.18</v>
      </c>
      <c r="G366" s="29">
        <f>G367+G369+G371+G373</f>
        <v>29106484.18</v>
      </c>
    </row>
    <row r="367" spans="1:7" ht="58.5" customHeight="1">
      <c r="A367" s="3" t="s">
        <v>228</v>
      </c>
      <c r="B367" s="4" t="s">
        <v>258</v>
      </c>
      <c r="C367" s="4" t="s">
        <v>260</v>
      </c>
      <c r="D367" s="4" t="s">
        <v>171</v>
      </c>
      <c r="E367" s="4"/>
      <c r="F367" s="29">
        <f>F368</f>
        <v>21690799.33</v>
      </c>
      <c r="G367" s="29"/>
    </row>
    <row r="368" spans="1:7" ht="71.25" customHeight="1">
      <c r="A368" s="3" t="s">
        <v>330</v>
      </c>
      <c r="B368" s="4" t="s">
        <v>258</v>
      </c>
      <c r="C368" s="4" t="s">
        <v>260</v>
      </c>
      <c r="D368" s="4" t="s">
        <v>171</v>
      </c>
      <c r="E368" s="4" t="s">
        <v>23</v>
      </c>
      <c r="F368" s="29">
        <f>прил7!G506</f>
        <v>21690799.33</v>
      </c>
      <c r="G368" s="29"/>
    </row>
    <row r="369" spans="1:7" ht="71.25" customHeight="1">
      <c r="A369" s="3" t="s">
        <v>326</v>
      </c>
      <c r="B369" s="4" t="s">
        <v>258</v>
      </c>
      <c r="C369" s="4" t="s">
        <v>260</v>
      </c>
      <c r="D369" s="4" t="s">
        <v>406</v>
      </c>
      <c r="E369" s="4"/>
      <c r="F369" s="29">
        <f>F370</f>
        <v>8282642.67</v>
      </c>
      <c r="G369" s="29"/>
    </row>
    <row r="370" spans="1:7" ht="71.25" customHeight="1">
      <c r="A370" s="3" t="s">
        <v>330</v>
      </c>
      <c r="B370" s="4" t="s">
        <v>258</v>
      </c>
      <c r="C370" s="4" t="s">
        <v>260</v>
      </c>
      <c r="D370" s="4" t="s">
        <v>406</v>
      </c>
      <c r="E370" s="4" t="s">
        <v>23</v>
      </c>
      <c r="F370" s="29">
        <f>прил7!G508</f>
        <v>8282642.67</v>
      </c>
      <c r="G370" s="29"/>
    </row>
    <row r="371" spans="1:7" ht="63">
      <c r="A371" s="3" t="s">
        <v>222</v>
      </c>
      <c r="B371" s="4" t="s">
        <v>258</v>
      </c>
      <c r="C371" s="4" t="s">
        <v>260</v>
      </c>
      <c r="D371" s="4" t="s">
        <v>223</v>
      </c>
      <c r="E371" s="4"/>
      <c r="F371" s="29">
        <f>F372</f>
        <v>156233600</v>
      </c>
      <c r="G371" s="29"/>
    </row>
    <row r="372" spans="1:7" ht="63">
      <c r="A372" s="3" t="s">
        <v>49</v>
      </c>
      <c r="B372" s="4" t="s">
        <v>258</v>
      </c>
      <c r="C372" s="4" t="s">
        <v>260</v>
      </c>
      <c r="D372" s="4" t="s">
        <v>223</v>
      </c>
      <c r="E372" s="4" t="s">
        <v>297</v>
      </c>
      <c r="F372" s="29">
        <f>прил7!G389</f>
        <v>156233600</v>
      </c>
      <c r="G372" s="29"/>
    </row>
    <row r="373" spans="1:7" ht="90.75" customHeight="1">
      <c r="A373" s="3" t="s">
        <v>449</v>
      </c>
      <c r="B373" s="4" t="s">
        <v>258</v>
      </c>
      <c r="C373" s="4" t="s">
        <v>260</v>
      </c>
      <c r="D373" s="4" t="s">
        <v>448</v>
      </c>
      <c r="E373" s="4"/>
      <c r="F373" s="29">
        <f>F374</f>
        <v>29106484.18</v>
      </c>
      <c r="G373" s="29">
        <f>G374</f>
        <v>29106484.18</v>
      </c>
    </row>
    <row r="374" spans="1:7" ht="86.25" customHeight="1">
      <c r="A374" s="3" t="s">
        <v>49</v>
      </c>
      <c r="B374" s="4" t="s">
        <v>258</v>
      </c>
      <c r="C374" s="4" t="s">
        <v>260</v>
      </c>
      <c r="D374" s="4" t="s">
        <v>448</v>
      </c>
      <c r="E374" s="4" t="s">
        <v>297</v>
      </c>
      <c r="F374" s="29">
        <f>прил7!G391</f>
        <v>29106484.18</v>
      </c>
      <c r="G374" s="29">
        <f>F374</f>
        <v>29106484.18</v>
      </c>
    </row>
    <row r="375" spans="1:7" ht="78.75">
      <c r="A375" s="3" t="s">
        <v>324</v>
      </c>
      <c r="B375" s="4" t="s">
        <v>258</v>
      </c>
      <c r="C375" s="4" t="s">
        <v>260</v>
      </c>
      <c r="D375" s="4" t="s">
        <v>325</v>
      </c>
      <c r="E375" s="4"/>
      <c r="F375" s="29">
        <f>F376+F378</f>
        <v>2480000</v>
      </c>
      <c r="G375" s="29">
        <f>G376+G378</f>
        <v>360000</v>
      </c>
    </row>
    <row r="376" spans="1:7" ht="47.25">
      <c r="A376" s="3" t="s">
        <v>228</v>
      </c>
      <c r="B376" s="4" t="s">
        <v>258</v>
      </c>
      <c r="C376" s="4" t="s">
        <v>260</v>
      </c>
      <c r="D376" s="4" t="s">
        <v>108</v>
      </c>
      <c r="E376" s="4"/>
      <c r="F376" s="29">
        <f>F377</f>
        <v>2120000</v>
      </c>
      <c r="G376" s="29"/>
    </row>
    <row r="377" spans="1:7" ht="63">
      <c r="A377" s="3" t="s">
        <v>330</v>
      </c>
      <c r="B377" s="4" t="s">
        <v>258</v>
      </c>
      <c r="C377" s="4" t="s">
        <v>260</v>
      </c>
      <c r="D377" s="4" t="s">
        <v>108</v>
      </c>
      <c r="E377" s="4" t="s">
        <v>23</v>
      </c>
      <c r="F377" s="29">
        <f>прил7!G513+прил7!G622</f>
        <v>2120000</v>
      </c>
      <c r="G377" s="29"/>
    </row>
    <row r="378" spans="1:7" ht="63">
      <c r="A378" s="3" t="s">
        <v>452</v>
      </c>
      <c r="B378" s="4" t="s">
        <v>258</v>
      </c>
      <c r="C378" s="4" t="s">
        <v>260</v>
      </c>
      <c r="D378" s="4" t="s">
        <v>453</v>
      </c>
      <c r="E378" s="4"/>
      <c r="F378" s="29">
        <f>F379</f>
        <v>360000</v>
      </c>
      <c r="G378" s="29">
        <f>G379</f>
        <v>360000</v>
      </c>
    </row>
    <row r="379" spans="1:7" ht="63">
      <c r="A379" s="3" t="s">
        <v>330</v>
      </c>
      <c r="B379" s="4" t="s">
        <v>258</v>
      </c>
      <c r="C379" s="4" t="s">
        <v>260</v>
      </c>
      <c r="D379" s="4" t="s">
        <v>453</v>
      </c>
      <c r="E379" s="4" t="s">
        <v>23</v>
      </c>
      <c r="F379" s="29">
        <f>прил7!G515+прил7!G624</f>
        <v>360000</v>
      </c>
      <c r="G379" s="29">
        <f>F379</f>
        <v>360000</v>
      </c>
    </row>
    <row r="380" spans="1:7" ht="78.75">
      <c r="A380" s="3" t="s">
        <v>50</v>
      </c>
      <c r="B380" s="4" t="s">
        <v>258</v>
      </c>
      <c r="C380" s="4" t="s">
        <v>260</v>
      </c>
      <c r="D380" s="4" t="s">
        <v>51</v>
      </c>
      <c r="E380" s="4"/>
      <c r="F380" s="29">
        <f>F381+F386</f>
        <v>64773696.21</v>
      </c>
      <c r="G380" s="29"/>
    </row>
    <row r="381" spans="1:7" ht="63">
      <c r="A381" s="3" t="s">
        <v>183</v>
      </c>
      <c r="B381" s="4" t="s">
        <v>258</v>
      </c>
      <c r="C381" s="4" t="s">
        <v>260</v>
      </c>
      <c r="D381" s="4" t="s">
        <v>184</v>
      </c>
      <c r="E381" s="4"/>
      <c r="F381" s="29">
        <f>F382+F384</f>
        <v>64175694.34</v>
      </c>
      <c r="G381" s="29"/>
    </row>
    <row r="382" spans="1:7" ht="110.25">
      <c r="A382" s="3" t="s">
        <v>209</v>
      </c>
      <c r="B382" s="4" t="s">
        <v>258</v>
      </c>
      <c r="C382" s="4" t="s">
        <v>260</v>
      </c>
      <c r="D382" s="4" t="s">
        <v>137</v>
      </c>
      <c r="E382" s="4"/>
      <c r="F382" s="29">
        <f>F383</f>
        <v>63986492.34</v>
      </c>
      <c r="G382" s="29"/>
    </row>
    <row r="383" spans="1:7" ht="63">
      <c r="A383" s="3" t="s">
        <v>330</v>
      </c>
      <c r="B383" s="4" t="s">
        <v>258</v>
      </c>
      <c r="C383" s="4" t="s">
        <v>260</v>
      </c>
      <c r="D383" s="4" t="s">
        <v>137</v>
      </c>
      <c r="E383" s="4" t="s">
        <v>23</v>
      </c>
      <c r="F383" s="29">
        <f>прил7!G628</f>
        <v>63986492.34</v>
      </c>
      <c r="G383" s="29"/>
    </row>
    <row r="384" spans="1:7" ht="45" customHeight="1">
      <c r="A384" s="3" t="s">
        <v>326</v>
      </c>
      <c r="B384" s="4" t="s">
        <v>258</v>
      </c>
      <c r="C384" s="4" t="s">
        <v>260</v>
      </c>
      <c r="D384" s="4" t="s">
        <v>136</v>
      </c>
      <c r="E384" s="4"/>
      <c r="F384" s="29">
        <f>F385</f>
        <v>189202</v>
      </c>
      <c r="G384" s="29"/>
    </row>
    <row r="385" spans="1:7" ht="73.5" customHeight="1">
      <c r="A385" s="3" t="s">
        <v>330</v>
      </c>
      <c r="B385" s="4" t="s">
        <v>258</v>
      </c>
      <c r="C385" s="4" t="s">
        <v>260</v>
      </c>
      <c r="D385" s="4" t="s">
        <v>136</v>
      </c>
      <c r="E385" s="4" t="s">
        <v>23</v>
      </c>
      <c r="F385" s="29">
        <f>прил7!G630</f>
        <v>189202</v>
      </c>
      <c r="G385" s="29"/>
    </row>
    <row r="386" spans="1:7" ht="78.75">
      <c r="A386" s="3" t="s">
        <v>146</v>
      </c>
      <c r="B386" s="4" t="s">
        <v>258</v>
      </c>
      <c r="C386" s="4" t="s">
        <v>260</v>
      </c>
      <c r="D386" s="4" t="s">
        <v>147</v>
      </c>
      <c r="E386" s="4"/>
      <c r="F386" s="29">
        <f>F387</f>
        <v>598001.8700000001</v>
      </c>
      <c r="G386" s="29"/>
    </row>
    <row r="387" spans="1:7" ht="31.5">
      <c r="A387" s="3" t="s">
        <v>326</v>
      </c>
      <c r="B387" s="4" t="s">
        <v>258</v>
      </c>
      <c r="C387" s="4" t="s">
        <v>260</v>
      </c>
      <c r="D387" s="4" t="s">
        <v>149</v>
      </c>
      <c r="E387" s="4"/>
      <c r="F387" s="29">
        <f>F388</f>
        <v>598001.8700000001</v>
      </c>
      <c r="G387" s="29"/>
    </row>
    <row r="388" spans="1:7" ht="63">
      <c r="A388" s="3" t="s">
        <v>330</v>
      </c>
      <c r="B388" s="4" t="s">
        <v>258</v>
      </c>
      <c r="C388" s="4" t="s">
        <v>260</v>
      </c>
      <c r="D388" s="4" t="s">
        <v>149</v>
      </c>
      <c r="E388" s="4" t="s">
        <v>23</v>
      </c>
      <c r="F388" s="29">
        <f>прил7!G633</f>
        <v>598001.8700000001</v>
      </c>
      <c r="G388" s="29"/>
    </row>
    <row r="389" spans="1:7" ht="78.75">
      <c r="A389" s="3" t="s">
        <v>71</v>
      </c>
      <c r="B389" s="4" t="s">
        <v>258</v>
      </c>
      <c r="C389" s="4" t="s">
        <v>260</v>
      </c>
      <c r="D389" s="4" t="s">
        <v>72</v>
      </c>
      <c r="E389" s="4"/>
      <c r="F389" s="29">
        <f>F390+F392</f>
        <v>526133.79</v>
      </c>
      <c r="G389" s="29"/>
    </row>
    <row r="390" spans="1:7" ht="47.25">
      <c r="A390" s="3" t="s">
        <v>228</v>
      </c>
      <c r="B390" s="4" t="s">
        <v>258</v>
      </c>
      <c r="C390" s="4" t="s">
        <v>260</v>
      </c>
      <c r="D390" s="4" t="s">
        <v>73</v>
      </c>
      <c r="E390" s="4"/>
      <c r="F390" s="29">
        <f>F391</f>
        <v>177163.82</v>
      </c>
      <c r="G390" s="29"/>
    </row>
    <row r="391" spans="1:7" ht="63">
      <c r="A391" s="3" t="s">
        <v>330</v>
      </c>
      <c r="B391" s="4" t="s">
        <v>258</v>
      </c>
      <c r="C391" s="4" t="s">
        <v>260</v>
      </c>
      <c r="D391" s="4" t="s">
        <v>73</v>
      </c>
      <c r="E391" s="4" t="s">
        <v>23</v>
      </c>
      <c r="F391" s="29">
        <f>прил7!G636</f>
        <v>177163.82</v>
      </c>
      <c r="G391" s="29"/>
    </row>
    <row r="392" spans="1:7" ht="31.5">
      <c r="A392" s="3" t="s">
        <v>326</v>
      </c>
      <c r="B392" s="4" t="s">
        <v>258</v>
      </c>
      <c r="C392" s="4" t="s">
        <v>260</v>
      </c>
      <c r="D392" s="4" t="s">
        <v>74</v>
      </c>
      <c r="E392" s="4"/>
      <c r="F392" s="29">
        <f>F393</f>
        <v>348969.97</v>
      </c>
      <c r="G392" s="29"/>
    </row>
    <row r="393" spans="1:7" ht="63">
      <c r="A393" s="3" t="s">
        <v>330</v>
      </c>
      <c r="B393" s="4" t="s">
        <v>258</v>
      </c>
      <c r="C393" s="4" t="s">
        <v>260</v>
      </c>
      <c r="D393" s="4" t="s">
        <v>74</v>
      </c>
      <c r="E393" s="4" t="s">
        <v>23</v>
      </c>
      <c r="F393" s="29">
        <f>прил7!G638</f>
        <v>348969.97</v>
      </c>
      <c r="G393" s="29"/>
    </row>
    <row r="394" spans="1:7" ht="31.5">
      <c r="A394" s="13" t="s">
        <v>61</v>
      </c>
      <c r="B394" s="5" t="s">
        <v>258</v>
      </c>
      <c r="C394" s="5" t="s">
        <v>258</v>
      </c>
      <c r="D394" s="23"/>
      <c r="E394" s="23"/>
      <c r="F394" s="28">
        <f>F395+F401+F413+F417</f>
        <v>30166596</v>
      </c>
      <c r="G394" s="28">
        <f>G395+G401+G413+G417</f>
        <v>3072400</v>
      </c>
    </row>
    <row r="395" spans="1:7" ht="47.25">
      <c r="A395" s="3" t="s">
        <v>331</v>
      </c>
      <c r="B395" s="4" t="s">
        <v>258</v>
      </c>
      <c r="C395" s="4" t="s">
        <v>258</v>
      </c>
      <c r="D395" s="4" t="s">
        <v>332</v>
      </c>
      <c r="E395" s="4"/>
      <c r="F395" s="29">
        <f>F396</f>
        <v>12783339</v>
      </c>
      <c r="G395" s="29">
        <f aca="true" t="shared" si="3" ref="F395:G397">G396</f>
        <v>3072400</v>
      </c>
    </row>
    <row r="396" spans="1:7" ht="63">
      <c r="A396" s="3" t="s">
        <v>219</v>
      </c>
      <c r="B396" s="4" t="s">
        <v>258</v>
      </c>
      <c r="C396" s="4" t="s">
        <v>258</v>
      </c>
      <c r="D396" s="4" t="s">
        <v>220</v>
      </c>
      <c r="E396" s="4"/>
      <c r="F396" s="29">
        <f>F397+F399</f>
        <v>12783339</v>
      </c>
      <c r="G396" s="29">
        <f>G397+G399</f>
        <v>3072400</v>
      </c>
    </row>
    <row r="397" spans="1:7" ht="94.5">
      <c r="A397" s="3" t="s">
        <v>238</v>
      </c>
      <c r="B397" s="4" t="s">
        <v>258</v>
      </c>
      <c r="C397" s="4" t="s">
        <v>258</v>
      </c>
      <c r="D397" s="4" t="s">
        <v>345</v>
      </c>
      <c r="E397" s="4"/>
      <c r="F397" s="29">
        <f t="shared" si="3"/>
        <v>3072400</v>
      </c>
      <c r="G397" s="29">
        <f t="shared" si="3"/>
        <v>3072400</v>
      </c>
    </row>
    <row r="398" spans="1:7" ht="63">
      <c r="A398" s="3" t="s">
        <v>330</v>
      </c>
      <c r="B398" s="4" t="s">
        <v>258</v>
      </c>
      <c r="C398" s="4" t="s">
        <v>258</v>
      </c>
      <c r="D398" s="4" t="s">
        <v>345</v>
      </c>
      <c r="E398" s="4" t="s">
        <v>23</v>
      </c>
      <c r="F398" s="29">
        <f>прил7!G520</f>
        <v>3072400</v>
      </c>
      <c r="G398" s="29">
        <f>F398</f>
        <v>3072400</v>
      </c>
    </row>
    <row r="399" spans="1:7" ht="31.5">
      <c r="A399" s="3" t="s">
        <v>326</v>
      </c>
      <c r="B399" s="4" t="s">
        <v>258</v>
      </c>
      <c r="C399" s="4" t="s">
        <v>258</v>
      </c>
      <c r="D399" s="4" t="s">
        <v>221</v>
      </c>
      <c r="E399" s="4"/>
      <c r="F399" s="29">
        <f>F400</f>
        <v>9710939</v>
      </c>
      <c r="G399" s="29"/>
    </row>
    <row r="400" spans="1:7" ht="63">
      <c r="A400" s="3" t="s">
        <v>330</v>
      </c>
      <c r="B400" s="4" t="s">
        <v>258</v>
      </c>
      <c r="C400" s="4" t="s">
        <v>258</v>
      </c>
      <c r="D400" s="4" t="s">
        <v>221</v>
      </c>
      <c r="E400" s="4" t="s">
        <v>23</v>
      </c>
      <c r="F400" s="29">
        <f>прил7!G522</f>
        <v>9710939</v>
      </c>
      <c r="G400" s="29"/>
    </row>
    <row r="401" spans="1:7" ht="78.75">
      <c r="A401" s="3" t="s">
        <v>343</v>
      </c>
      <c r="B401" s="4" t="s">
        <v>258</v>
      </c>
      <c r="C401" s="4" t="s">
        <v>258</v>
      </c>
      <c r="D401" s="4" t="s">
        <v>344</v>
      </c>
      <c r="E401" s="2"/>
      <c r="F401" s="29">
        <f>F402+F407+F410</f>
        <v>17136944</v>
      </c>
      <c r="G401" s="29"/>
    </row>
    <row r="402" spans="1:7" ht="31.5">
      <c r="A402" s="3" t="s">
        <v>151</v>
      </c>
      <c r="B402" s="4" t="s">
        <v>258</v>
      </c>
      <c r="C402" s="4" t="s">
        <v>258</v>
      </c>
      <c r="D402" s="4" t="s">
        <v>152</v>
      </c>
      <c r="E402" s="4"/>
      <c r="F402" s="29">
        <f>F403+F405</f>
        <v>882000</v>
      </c>
      <c r="G402" s="29"/>
    </row>
    <row r="403" spans="1:7" ht="47.25">
      <c r="A403" s="3" t="s">
        <v>153</v>
      </c>
      <c r="B403" s="4" t="s">
        <v>258</v>
      </c>
      <c r="C403" s="4" t="s">
        <v>258</v>
      </c>
      <c r="D403" s="4" t="s">
        <v>154</v>
      </c>
      <c r="E403" s="4"/>
      <c r="F403" s="29">
        <f>F404</f>
        <v>300000</v>
      </c>
      <c r="G403" s="29"/>
    </row>
    <row r="404" spans="1:7" ht="47.25">
      <c r="A404" s="3" t="s">
        <v>306</v>
      </c>
      <c r="B404" s="4" t="s">
        <v>258</v>
      </c>
      <c r="C404" s="4" t="s">
        <v>258</v>
      </c>
      <c r="D404" s="4" t="s">
        <v>154</v>
      </c>
      <c r="E404" s="4" t="s">
        <v>19</v>
      </c>
      <c r="F404" s="29">
        <f>прил7!G643</f>
        <v>300000</v>
      </c>
      <c r="G404" s="29"/>
    </row>
    <row r="405" spans="1:7" ht="31.5">
      <c r="A405" s="3" t="s">
        <v>326</v>
      </c>
      <c r="B405" s="4" t="s">
        <v>258</v>
      </c>
      <c r="C405" s="4" t="s">
        <v>258</v>
      </c>
      <c r="D405" s="4" t="s">
        <v>155</v>
      </c>
      <c r="E405" s="4"/>
      <c r="F405" s="29">
        <f>F406</f>
        <v>582000</v>
      </c>
      <c r="G405" s="29"/>
    </row>
    <row r="406" spans="1:7" ht="47.25">
      <c r="A406" s="3" t="s">
        <v>306</v>
      </c>
      <c r="B406" s="4" t="s">
        <v>258</v>
      </c>
      <c r="C406" s="4" t="s">
        <v>258</v>
      </c>
      <c r="D406" s="4" t="s">
        <v>155</v>
      </c>
      <c r="E406" s="4" t="s">
        <v>19</v>
      </c>
      <c r="F406" s="29">
        <f>прил7!G645</f>
        <v>582000</v>
      </c>
      <c r="G406" s="29"/>
    </row>
    <row r="407" spans="1:7" ht="31.5">
      <c r="A407" s="3" t="s">
        <v>156</v>
      </c>
      <c r="B407" s="4" t="s">
        <v>258</v>
      </c>
      <c r="C407" s="4" t="s">
        <v>258</v>
      </c>
      <c r="D407" s="4" t="s">
        <v>157</v>
      </c>
      <c r="E407" s="4"/>
      <c r="F407" s="29">
        <f>F408</f>
        <v>16104944</v>
      </c>
      <c r="G407" s="29"/>
    </row>
    <row r="408" spans="1:7" ht="110.25">
      <c r="A408" s="3" t="s">
        <v>209</v>
      </c>
      <c r="B408" s="4" t="s">
        <v>258</v>
      </c>
      <c r="C408" s="4" t="s">
        <v>258</v>
      </c>
      <c r="D408" s="4" t="s">
        <v>158</v>
      </c>
      <c r="E408" s="4"/>
      <c r="F408" s="29">
        <f>F409</f>
        <v>16104944</v>
      </c>
      <c r="G408" s="29"/>
    </row>
    <row r="409" spans="1:7" ht="63">
      <c r="A409" s="3" t="s">
        <v>330</v>
      </c>
      <c r="B409" s="4" t="s">
        <v>258</v>
      </c>
      <c r="C409" s="4" t="s">
        <v>258</v>
      </c>
      <c r="D409" s="4" t="s">
        <v>158</v>
      </c>
      <c r="E409" s="4" t="s">
        <v>23</v>
      </c>
      <c r="F409" s="29">
        <f>прил7!G648</f>
        <v>16104944</v>
      </c>
      <c r="G409" s="29"/>
    </row>
    <row r="410" spans="1:7" ht="15.75">
      <c r="A410" s="61" t="s">
        <v>159</v>
      </c>
      <c r="B410" s="4" t="s">
        <v>258</v>
      </c>
      <c r="C410" s="4" t="s">
        <v>258</v>
      </c>
      <c r="D410" s="4" t="s">
        <v>160</v>
      </c>
      <c r="E410" s="4"/>
      <c r="F410" s="29">
        <f>F411</f>
        <v>150000</v>
      </c>
      <c r="G410" s="29"/>
    </row>
    <row r="411" spans="1:7" ht="31.5">
      <c r="A411" s="3" t="s">
        <v>326</v>
      </c>
      <c r="B411" s="4" t="s">
        <v>258</v>
      </c>
      <c r="C411" s="4" t="s">
        <v>258</v>
      </c>
      <c r="D411" s="4" t="s">
        <v>161</v>
      </c>
      <c r="E411" s="4"/>
      <c r="F411" s="29">
        <f>F412</f>
        <v>150000</v>
      </c>
      <c r="G411" s="29"/>
    </row>
    <row r="412" spans="1:7" ht="63">
      <c r="A412" s="3" t="s">
        <v>330</v>
      </c>
      <c r="B412" s="4" t="s">
        <v>258</v>
      </c>
      <c r="C412" s="4" t="s">
        <v>258</v>
      </c>
      <c r="D412" s="4" t="s">
        <v>161</v>
      </c>
      <c r="E412" s="4" t="s">
        <v>23</v>
      </c>
      <c r="F412" s="29">
        <f>прил7!G651</f>
        <v>150000</v>
      </c>
      <c r="G412" s="29"/>
    </row>
    <row r="413" spans="1:7" ht="78.75">
      <c r="A413" s="3" t="s">
        <v>115</v>
      </c>
      <c r="B413" s="4" t="s">
        <v>258</v>
      </c>
      <c r="C413" s="4" t="s">
        <v>258</v>
      </c>
      <c r="D413" s="4" t="s">
        <v>116</v>
      </c>
      <c r="E413" s="4"/>
      <c r="F413" s="29">
        <f>F414</f>
        <v>57602</v>
      </c>
      <c r="G413" s="29"/>
    </row>
    <row r="414" spans="1:7" ht="78.75">
      <c r="A414" s="3" t="s">
        <v>121</v>
      </c>
      <c r="B414" s="4" t="s">
        <v>258</v>
      </c>
      <c r="C414" s="4" t="s">
        <v>258</v>
      </c>
      <c r="D414" s="4" t="s">
        <v>122</v>
      </c>
      <c r="E414" s="4"/>
      <c r="F414" s="29">
        <f>F415</f>
        <v>57602</v>
      </c>
      <c r="G414" s="29"/>
    </row>
    <row r="415" spans="1:7" ht="31.5">
      <c r="A415" s="3" t="s">
        <v>326</v>
      </c>
      <c r="B415" s="4" t="s">
        <v>258</v>
      </c>
      <c r="C415" s="4" t="s">
        <v>258</v>
      </c>
      <c r="D415" s="4" t="s">
        <v>123</v>
      </c>
      <c r="E415" s="4"/>
      <c r="F415" s="29">
        <f>F416</f>
        <v>57602</v>
      </c>
      <c r="G415" s="29"/>
    </row>
    <row r="416" spans="1:7" ht="63">
      <c r="A416" s="3" t="s">
        <v>330</v>
      </c>
      <c r="B416" s="4" t="s">
        <v>258</v>
      </c>
      <c r="C416" s="4" t="s">
        <v>258</v>
      </c>
      <c r="D416" s="4" t="s">
        <v>123</v>
      </c>
      <c r="E416" s="4" t="s">
        <v>23</v>
      </c>
      <c r="F416" s="29">
        <f>прил7!G655</f>
        <v>57602</v>
      </c>
      <c r="G416" s="29"/>
    </row>
    <row r="417" spans="1:7" ht="78.75">
      <c r="A417" s="3" t="s">
        <v>71</v>
      </c>
      <c r="B417" s="4" t="s">
        <v>258</v>
      </c>
      <c r="C417" s="4" t="s">
        <v>258</v>
      </c>
      <c r="D417" s="4" t="s">
        <v>72</v>
      </c>
      <c r="E417" s="4"/>
      <c r="F417" s="29">
        <f>F418+F420</f>
        <v>188711</v>
      </c>
      <c r="G417" s="29"/>
    </row>
    <row r="418" spans="1:7" ht="47.25">
      <c r="A418" s="3" t="s">
        <v>228</v>
      </c>
      <c r="B418" s="4" t="s">
        <v>258</v>
      </c>
      <c r="C418" s="4" t="s">
        <v>258</v>
      </c>
      <c r="D418" s="4" t="s">
        <v>73</v>
      </c>
      <c r="E418" s="4"/>
      <c r="F418" s="29">
        <f>F419</f>
        <v>62143</v>
      </c>
      <c r="G418" s="29"/>
    </row>
    <row r="419" spans="1:7" ht="63">
      <c r="A419" s="3" t="s">
        <v>330</v>
      </c>
      <c r="B419" s="4" t="s">
        <v>258</v>
      </c>
      <c r="C419" s="4" t="s">
        <v>258</v>
      </c>
      <c r="D419" s="4" t="s">
        <v>73</v>
      </c>
      <c r="E419" s="4" t="s">
        <v>23</v>
      </c>
      <c r="F419" s="29">
        <f>прил7!G658</f>
        <v>62143</v>
      </c>
      <c r="G419" s="29"/>
    </row>
    <row r="420" spans="1:7" ht="31.5">
      <c r="A420" s="3" t="s">
        <v>326</v>
      </c>
      <c r="B420" s="4" t="s">
        <v>258</v>
      </c>
      <c r="C420" s="4" t="s">
        <v>258</v>
      </c>
      <c r="D420" s="4" t="s">
        <v>74</v>
      </c>
      <c r="E420" s="4"/>
      <c r="F420" s="29">
        <f>F421</f>
        <v>126568</v>
      </c>
      <c r="G420" s="29"/>
    </row>
    <row r="421" spans="1:7" ht="63">
      <c r="A421" s="3" t="s">
        <v>330</v>
      </c>
      <c r="B421" s="4" t="s">
        <v>258</v>
      </c>
      <c r="C421" s="4" t="s">
        <v>258</v>
      </c>
      <c r="D421" s="4" t="s">
        <v>74</v>
      </c>
      <c r="E421" s="4" t="s">
        <v>23</v>
      </c>
      <c r="F421" s="29">
        <f>прил7!G660</f>
        <v>126568</v>
      </c>
      <c r="G421" s="29"/>
    </row>
    <row r="422" spans="1:7" ht="31.5">
      <c r="A422" s="13" t="s">
        <v>279</v>
      </c>
      <c r="B422" s="5" t="s">
        <v>258</v>
      </c>
      <c r="C422" s="5" t="s">
        <v>261</v>
      </c>
      <c r="D422" s="23"/>
      <c r="E422" s="23"/>
      <c r="F422" s="28">
        <f>F423+F444+F440+F448</f>
        <v>89198225.77</v>
      </c>
      <c r="G422" s="28">
        <f>G423+G444</f>
        <v>16180900</v>
      </c>
    </row>
    <row r="423" spans="1:7" ht="47.25">
      <c r="A423" s="3" t="s">
        <v>331</v>
      </c>
      <c r="B423" s="4" t="s">
        <v>258</v>
      </c>
      <c r="C423" s="4" t="s">
        <v>261</v>
      </c>
      <c r="D423" s="4" t="s">
        <v>332</v>
      </c>
      <c r="E423" s="4"/>
      <c r="F423" s="29">
        <f>F433+F424+F427+F430</f>
        <v>82369086</v>
      </c>
      <c r="G423" s="29">
        <f>G433+G424</f>
        <v>16180900</v>
      </c>
    </row>
    <row r="424" spans="1:7" ht="63">
      <c r="A424" s="3" t="s">
        <v>351</v>
      </c>
      <c r="B424" s="4" t="s">
        <v>258</v>
      </c>
      <c r="C424" s="4" t="s">
        <v>261</v>
      </c>
      <c r="D424" s="4" t="s">
        <v>352</v>
      </c>
      <c r="E424" s="4"/>
      <c r="F424" s="29">
        <f>F425</f>
        <v>8027246</v>
      </c>
      <c r="G424" s="29"/>
    </row>
    <row r="425" spans="1:7" ht="110.25">
      <c r="A425" s="3" t="s">
        <v>209</v>
      </c>
      <c r="B425" s="4" t="s">
        <v>258</v>
      </c>
      <c r="C425" s="4" t="s">
        <v>261</v>
      </c>
      <c r="D425" s="4" t="s">
        <v>211</v>
      </c>
      <c r="E425" s="4"/>
      <c r="F425" s="29">
        <f>F426</f>
        <v>8027246</v>
      </c>
      <c r="G425" s="29"/>
    </row>
    <row r="426" spans="1:7" ht="63">
      <c r="A426" s="3" t="s">
        <v>330</v>
      </c>
      <c r="B426" s="4" t="s">
        <v>258</v>
      </c>
      <c r="C426" s="4" t="s">
        <v>261</v>
      </c>
      <c r="D426" s="4" t="s">
        <v>211</v>
      </c>
      <c r="E426" s="4" t="s">
        <v>23</v>
      </c>
      <c r="F426" s="29">
        <f>прил7!G527</f>
        <v>8027246</v>
      </c>
      <c r="G426" s="29"/>
    </row>
    <row r="427" spans="1:7" ht="78.75">
      <c r="A427" s="3" t="s">
        <v>212</v>
      </c>
      <c r="B427" s="4" t="s">
        <v>258</v>
      </c>
      <c r="C427" s="4" t="s">
        <v>261</v>
      </c>
      <c r="D427" s="4" t="s">
        <v>213</v>
      </c>
      <c r="E427" s="4"/>
      <c r="F427" s="29">
        <f>F428</f>
        <v>23839977</v>
      </c>
      <c r="G427" s="29"/>
    </row>
    <row r="428" spans="1:7" ht="110.25">
      <c r="A428" s="3" t="s">
        <v>209</v>
      </c>
      <c r="B428" s="4" t="s">
        <v>258</v>
      </c>
      <c r="C428" s="4" t="s">
        <v>261</v>
      </c>
      <c r="D428" s="4" t="s">
        <v>214</v>
      </c>
      <c r="E428" s="4"/>
      <c r="F428" s="29">
        <f>F429</f>
        <v>23839977</v>
      </c>
      <c r="G428" s="29"/>
    </row>
    <row r="429" spans="1:7" ht="63">
      <c r="A429" s="3" t="s">
        <v>330</v>
      </c>
      <c r="B429" s="4" t="s">
        <v>258</v>
      </c>
      <c r="C429" s="4" t="s">
        <v>261</v>
      </c>
      <c r="D429" s="4" t="s">
        <v>214</v>
      </c>
      <c r="E429" s="4" t="s">
        <v>23</v>
      </c>
      <c r="F429" s="29">
        <f>прил7!G530</f>
        <v>23839977</v>
      </c>
      <c r="G429" s="29"/>
    </row>
    <row r="430" spans="1:7" ht="78.75">
      <c r="A430" s="3" t="s">
        <v>215</v>
      </c>
      <c r="B430" s="4" t="s">
        <v>258</v>
      </c>
      <c r="C430" s="4" t="s">
        <v>261</v>
      </c>
      <c r="D430" s="4" t="s">
        <v>216</v>
      </c>
      <c r="E430" s="4"/>
      <c r="F430" s="29">
        <f>F431</f>
        <v>28400869</v>
      </c>
      <c r="G430" s="29"/>
    </row>
    <row r="431" spans="1:7" ht="110.25">
      <c r="A431" s="3" t="s">
        <v>209</v>
      </c>
      <c r="B431" s="4" t="s">
        <v>258</v>
      </c>
      <c r="C431" s="4" t="s">
        <v>261</v>
      </c>
      <c r="D431" s="4" t="s">
        <v>217</v>
      </c>
      <c r="E431" s="4"/>
      <c r="F431" s="29">
        <f>F432</f>
        <v>28400869</v>
      </c>
      <c r="G431" s="29"/>
    </row>
    <row r="432" spans="1:7" ht="63">
      <c r="A432" s="3" t="s">
        <v>330</v>
      </c>
      <c r="B432" s="4" t="s">
        <v>258</v>
      </c>
      <c r="C432" s="4" t="s">
        <v>261</v>
      </c>
      <c r="D432" s="4" t="s">
        <v>217</v>
      </c>
      <c r="E432" s="4" t="s">
        <v>23</v>
      </c>
      <c r="F432" s="29">
        <v>28400869</v>
      </c>
      <c r="G432" s="29"/>
    </row>
    <row r="433" spans="1:7" ht="31.5">
      <c r="A433" s="3" t="s">
        <v>333</v>
      </c>
      <c r="B433" s="4" t="s">
        <v>258</v>
      </c>
      <c r="C433" s="4" t="s">
        <v>261</v>
      </c>
      <c r="D433" s="4" t="s">
        <v>335</v>
      </c>
      <c r="E433" s="4"/>
      <c r="F433" s="29">
        <f>F436+F438+F434</f>
        <v>22100994</v>
      </c>
      <c r="G433" s="29">
        <f>G436+G438</f>
        <v>16180900</v>
      </c>
    </row>
    <row r="434" spans="1:7" ht="110.25">
      <c r="A434" s="3" t="s">
        <v>209</v>
      </c>
      <c r="B434" s="4" t="s">
        <v>258</v>
      </c>
      <c r="C434" s="4" t="s">
        <v>261</v>
      </c>
      <c r="D434" s="4" t="s">
        <v>218</v>
      </c>
      <c r="E434" s="4"/>
      <c r="F434" s="29">
        <f>F435</f>
        <v>5920094</v>
      </c>
      <c r="G434" s="29"/>
    </row>
    <row r="435" spans="1:7" ht="63">
      <c r="A435" s="3" t="s">
        <v>330</v>
      </c>
      <c r="B435" s="4" t="s">
        <v>258</v>
      </c>
      <c r="C435" s="4" t="s">
        <v>261</v>
      </c>
      <c r="D435" s="4" t="s">
        <v>218</v>
      </c>
      <c r="E435" s="4" t="s">
        <v>23</v>
      </c>
      <c r="F435" s="29">
        <f>прил7!G536</f>
        <v>5920094</v>
      </c>
      <c r="G435" s="29"/>
    </row>
    <row r="436" spans="1:7" ht="126">
      <c r="A436" s="3" t="s">
        <v>170</v>
      </c>
      <c r="B436" s="4" t="s">
        <v>258</v>
      </c>
      <c r="C436" s="4" t="s">
        <v>261</v>
      </c>
      <c r="D436" s="4" t="s">
        <v>334</v>
      </c>
      <c r="E436" s="4"/>
      <c r="F436" s="29">
        <f>F437</f>
        <v>905200</v>
      </c>
      <c r="G436" s="29">
        <f>G437</f>
        <v>905200</v>
      </c>
    </row>
    <row r="437" spans="1:7" ht="63">
      <c r="A437" s="3" t="s">
        <v>330</v>
      </c>
      <c r="B437" s="4" t="s">
        <v>258</v>
      </c>
      <c r="C437" s="4" t="s">
        <v>261</v>
      </c>
      <c r="D437" s="4" t="s">
        <v>334</v>
      </c>
      <c r="E437" s="4" t="s">
        <v>23</v>
      </c>
      <c r="F437" s="29">
        <f>прил7!G538</f>
        <v>905200</v>
      </c>
      <c r="G437" s="29">
        <f>F437</f>
        <v>905200</v>
      </c>
    </row>
    <row r="438" spans="1:7" ht="47.25">
      <c r="A438" s="3" t="s">
        <v>294</v>
      </c>
      <c r="B438" s="4" t="s">
        <v>258</v>
      </c>
      <c r="C438" s="4" t="s">
        <v>261</v>
      </c>
      <c r="D438" s="4" t="s">
        <v>361</v>
      </c>
      <c r="E438" s="4"/>
      <c r="F438" s="29">
        <f>F439</f>
        <v>15275700</v>
      </c>
      <c r="G438" s="29">
        <f>G439</f>
        <v>15275700</v>
      </c>
    </row>
    <row r="439" spans="1:7" ht="63">
      <c r="A439" s="3" t="s">
        <v>330</v>
      </c>
      <c r="B439" s="4" t="s">
        <v>258</v>
      </c>
      <c r="C439" s="4" t="s">
        <v>261</v>
      </c>
      <c r="D439" s="4" t="s">
        <v>361</v>
      </c>
      <c r="E439" s="4" t="s">
        <v>23</v>
      </c>
      <c r="F439" s="29">
        <f>прил7!G540</f>
        <v>15275700</v>
      </c>
      <c r="G439" s="29">
        <f>F439</f>
        <v>15275700</v>
      </c>
    </row>
    <row r="440" spans="1:7" ht="78.75">
      <c r="A440" s="3" t="s">
        <v>343</v>
      </c>
      <c r="B440" s="4" t="s">
        <v>258</v>
      </c>
      <c r="C440" s="4" t="s">
        <v>261</v>
      </c>
      <c r="D440" s="4" t="s">
        <v>344</v>
      </c>
      <c r="E440" s="4"/>
      <c r="F440" s="29">
        <f>F441</f>
        <v>61750</v>
      </c>
      <c r="G440" s="29"/>
    </row>
    <row r="441" spans="1:7" ht="15.75">
      <c r="A441" s="61" t="s">
        <v>159</v>
      </c>
      <c r="B441" s="4" t="s">
        <v>258</v>
      </c>
      <c r="C441" s="4" t="s">
        <v>261</v>
      </c>
      <c r="D441" s="4" t="s">
        <v>160</v>
      </c>
      <c r="E441" s="4"/>
      <c r="F441" s="29">
        <f>F442</f>
        <v>61750</v>
      </c>
      <c r="G441" s="29"/>
    </row>
    <row r="442" spans="1:7" ht="31.5">
      <c r="A442" s="3" t="s">
        <v>326</v>
      </c>
      <c r="B442" s="4" t="s">
        <v>258</v>
      </c>
      <c r="C442" s="4" t="s">
        <v>261</v>
      </c>
      <c r="D442" s="4" t="s">
        <v>161</v>
      </c>
      <c r="E442" s="4"/>
      <c r="F442" s="29">
        <f>F443</f>
        <v>61750</v>
      </c>
      <c r="G442" s="29"/>
    </row>
    <row r="443" spans="1:7" ht="63">
      <c r="A443" s="3" t="s">
        <v>330</v>
      </c>
      <c r="B443" s="4" t="s">
        <v>258</v>
      </c>
      <c r="C443" s="4" t="s">
        <v>261</v>
      </c>
      <c r="D443" s="4" t="s">
        <v>161</v>
      </c>
      <c r="E443" s="4" t="s">
        <v>23</v>
      </c>
      <c r="F443" s="29">
        <f>прил7!G544</f>
        <v>61750</v>
      </c>
      <c r="G443" s="29"/>
    </row>
    <row r="444" spans="1:7" ht="78.75">
      <c r="A444" s="3" t="s">
        <v>115</v>
      </c>
      <c r="B444" s="4" t="s">
        <v>258</v>
      </c>
      <c r="C444" s="4" t="s">
        <v>261</v>
      </c>
      <c r="D444" s="4" t="s">
        <v>116</v>
      </c>
      <c r="E444" s="4"/>
      <c r="F444" s="29">
        <f>F445</f>
        <v>153800</v>
      </c>
      <c r="G444" s="29"/>
    </row>
    <row r="445" spans="1:7" ht="78.75">
      <c r="A445" s="3" t="s">
        <v>121</v>
      </c>
      <c r="B445" s="4" t="s">
        <v>258</v>
      </c>
      <c r="C445" s="4" t="s">
        <v>261</v>
      </c>
      <c r="D445" s="4" t="s">
        <v>122</v>
      </c>
      <c r="E445" s="4"/>
      <c r="F445" s="29">
        <f>F446</f>
        <v>153800</v>
      </c>
      <c r="G445" s="29"/>
    </row>
    <row r="446" spans="1:7" ht="31.5">
      <c r="A446" s="3" t="s">
        <v>326</v>
      </c>
      <c r="B446" s="4" t="s">
        <v>258</v>
      </c>
      <c r="C446" s="4" t="s">
        <v>261</v>
      </c>
      <c r="D446" s="4" t="s">
        <v>123</v>
      </c>
      <c r="E446" s="4"/>
      <c r="F446" s="29">
        <f>F447</f>
        <v>153800</v>
      </c>
      <c r="G446" s="29"/>
    </row>
    <row r="447" spans="1:7" ht="63">
      <c r="A447" s="3" t="s">
        <v>330</v>
      </c>
      <c r="B447" s="4" t="s">
        <v>258</v>
      </c>
      <c r="C447" s="4" t="s">
        <v>261</v>
      </c>
      <c r="D447" s="4" t="s">
        <v>123</v>
      </c>
      <c r="E447" s="4" t="s">
        <v>23</v>
      </c>
      <c r="F447" s="29">
        <f>прил7!G548</f>
        <v>153800</v>
      </c>
      <c r="G447" s="29"/>
    </row>
    <row r="448" spans="1:7" ht="78.75">
      <c r="A448" s="3" t="s">
        <v>71</v>
      </c>
      <c r="B448" s="4" t="s">
        <v>258</v>
      </c>
      <c r="C448" s="4" t="s">
        <v>261</v>
      </c>
      <c r="D448" s="4" t="s">
        <v>72</v>
      </c>
      <c r="E448" s="4"/>
      <c r="F448" s="29">
        <f>F449+F451</f>
        <v>6613589.77</v>
      </c>
      <c r="G448" s="29"/>
    </row>
    <row r="449" spans="1:7" ht="47.25">
      <c r="A449" s="3" t="s">
        <v>228</v>
      </c>
      <c r="B449" s="4" t="s">
        <v>258</v>
      </c>
      <c r="C449" s="4" t="s">
        <v>261</v>
      </c>
      <c r="D449" s="4" t="s">
        <v>73</v>
      </c>
      <c r="E449" s="4"/>
      <c r="F449" s="29">
        <f>F450</f>
        <v>3505086.39</v>
      </c>
      <c r="G449" s="29"/>
    </row>
    <row r="450" spans="1:7" ht="63">
      <c r="A450" s="3" t="s">
        <v>330</v>
      </c>
      <c r="B450" s="4" t="s">
        <v>258</v>
      </c>
      <c r="C450" s="4" t="s">
        <v>261</v>
      </c>
      <c r="D450" s="4" t="s">
        <v>73</v>
      </c>
      <c r="E450" s="4" t="s">
        <v>23</v>
      </c>
      <c r="F450" s="29">
        <f>прил7!G551</f>
        <v>3505086.39</v>
      </c>
      <c r="G450" s="29"/>
    </row>
    <row r="451" spans="1:7" ht="31.5">
      <c r="A451" s="3" t="s">
        <v>326</v>
      </c>
      <c r="B451" s="4" t="s">
        <v>258</v>
      </c>
      <c r="C451" s="4" t="s">
        <v>261</v>
      </c>
      <c r="D451" s="4" t="s">
        <v>74</v>
      </c>
      <c r="E451" s="4"/>
      <c r="F451" s="29">
        <f>F452</f>
        <v>3108503.38</v>
      </c>
      <c r="G451" s="29"/>
    </row>
    <row r="452" spans="1:7" ht="63">
      <c r="A452" s="3" t="s">
        <v>330</v>
      </c>
      <c r="B452" s="4" t="s">
        <v>258</v>
      </c>
      <c r="C452" s="4" t="s">
        <v>261</v>
      </c>
      <c r="D452" s="4" t="s">
        <v>74</v>
      </c>
      <c r="E452" s="4" t="s">
        <v>23</v>
      </c>
      <c r="F452" s="29">
        <f>прил7!G553</f>
        <v>3108503.38</v>
      </c>
      <c r="G452" s="29"/>
    </row>
    <row r="453" spans="1:7" ht="15.75">
      <c r="A453" s="13" t="s">
        <v>20</v>
      </c>
      <c r="B453" s="5" t="s">
        <v>259</v>
      </c>
      <c r="C453" s="5" t="s">
        <v>285</v>
      </c>
      <c r="D453" s="23"/>
      <c r="E453" s="23"/>
      <c r="F453" s="28">
        <f>F454</f>
        <v>171517603.96000004</v>
      </c>
      <c r="G453" s="28">
        <f>G454</f>
        <v>1360078</v>
      </c>
    </row>
    <row r="454" spans="1:7" ht="15.75">
      <c r="A454" s="1" t="s">
        <v>280</v>
      </c>
      <c r="B454" s="2" t="s">
        <v>259</v>
      </c>
      <c r="C454" s="2" t="s">
        <v>255</v>
      </c>
      <c r="D454" s="4"/>
      <c r="E454" s="4"/>
      <c r="F454" s="33">
        <f>F466+F455+F492+F462+F496</f>
        <v>171517603.96000004</v>
      </c>
      <c r="G454" s="33">
        <f>G466+G455+G492+G462+G496</f>
        <v>1360078</v>
      </c>
    </row>
    <row r="455" spans="1:7" ht="78.75">
      <c r="A455" s="3" t="s">
        <v>324</v>
      </c>
      <c r="B455" s="4" t="s">
        <v>259</v>
      </c>
      <c r="C455" s="4" t="s">
        <v>255</v>
      </c>
      <c r="D455" s="4" t="s">
        <v>325</v>
      </c>
      <c r="E455" s="4"/>
      <c r="F455" s="29">
        <f>F456+F458+F460</f>
        <v>1813173</v>
      </c>
      <c r="G455" s="29">
        <f>G456+G458+G460</f>
        <v>530000</v>
      </c>
    </row>
    <row r="456" spans="1:7" ht="47.25">
      <c r="A456" s="3" t="s">
        <v>228</v>
      </c>
      <c r="B456" s="4" t="s">
        <v>259</v>
      </c>
      <c r="C456" s="4" t="s">
        <v>255</v>
      </c>
      <c r="D456" s="4" t="s">
        <v>108</v>
      </c>
      <c r="E456" s="4"/>
      <c r="F456" s="29">
        <f>F457</f>
        <v>843000</v>
      </c>
      <c r="G456" s="29"/>
    </row>
    <row r="457" spans="1:7" ht="63">
      <c r="A457" s="3" t="s">
        <v>330</v>
      </c>
      <c r="B457" s="4" t="s">
        <v>259</v>
      </c>
      <c r="C457" s="4" t="s">
        <v>255</v>
      </c>
      <c r="D457" s="4" t="s">
        <v>108</v>
      </c>
      <c r="E457" s="4" t="s">
        <v>23</v>
      </c>
      <c r="F457" s="29">
        <f>прил7!G665</f>
        <v>843000</v>
      </c>
      <c r="G457" s="29"/>
    </row>
    <row r="458" spans="1:7" ht="31.5">
      <c r="A458" s="3" t="s">
        <v>326</v>
      </c>
      <c r="B458" s="4" t="s">
        <v>259</v>
      </c>
      <c r="C458" s="4" t="s">
        <v>255</v>
      </c>
      <c r="D458" s="4" t="s">
        <v>327</v>
      </c>
      <c r="E458" s="4"/>
      <c r="F458" s="29">
        <f>F459</f>
        <v>440173</v>
      </c>
      <c r="G458" s="29"/>
    </row>
    <row r="459" spans="1:7" ht="63">
      <c r="A459" s="3" t="s">
        <v>330</v>
      </c>
      <c r="B459" s="4" t="s">
        <v>259</v>
      </c>
      <c r="C459" s="4" t="s">
        <v>255</v>
      </c>
      <c r="D459" s="4" t="s">
        <v>327</v>
      </c>
      <c r="E459" s="4" t="s">
        <v>23</v>
      </c>
      <c r="F459" s="29">
        <f>прил7!G667</f>
        <v>440173</v>
      </c>
      <c r="G459" s="29"/>
    </row>
    <row r="460" spans="1:7" ht="63">
      <c r="A460" s="3" t="s">
        <v>452</v>
      </c>
      <c r="B460" s="4" t="s">
        <v>259</v>
      </c>
      <c r="C460" s="4" t="s">
        <v>255</v>
      </c>
      <c r="D460" s="4" t="s">
        <v>453</v>
      </c>
      <c r="E460" s="4"/>
      <c r="F460" s="29">
        <f>F461</f>
        <v>530000</v>
      </c>
      <c r="G460" s="29">
        <f>G461</f>
        <v>530000</v>
      </c>
    </row>
    <row r="461" spans="1:7" ht="63">
      <c r="A461" s="3" t="s">
        <v>330</v>
      </c>
      <c r="B461" s="4" t="s">
        <v>259</v>
      </c>
      <c r="C461" s="4" t="s">
        <v>255</v>
      </c>
      <c r="D461" s="4" t="s">
        <v>453</v>
      </c>
      <c r="E461" s="4" t="s">
        <v>23</v>
      </c>
      <c r="F461" s="29">
        <f>прил7!G669</f>
        <v>530000</v>
      </c>
      <c r="G461" s="29">
        <f>F461</f>
        <v>530000</v>
      </c>
    </row>
    <row r="462" spans="1:7" ht="78.75">
      <c r="A462" s="3" t="s">
        <v>343</v>
      </c>
      <c r="B462" s="4" t="s">
        <v>259</v>
      </c>
      <c r="C462" s="4" t="s">
        <v>255</v>
      </c>
      <c r="D462" s="4" t="s">
        <v>344</v>
      </c>
      <c r="E462" s="4"/>
      <c r="F462" s="29">
        <f>F463</f>
        <v>30000</v>
      </c>
      <c r="G462" s="29"/>
    </row>
    <row r="463" spans="1:7" ht="15.75">
      <c r="A463" s="61" t="s">
        <v>159</v>
      </c>
      <c r="B463" s="4" t="s">
        <v>259</v>
      </c>
      <c r="C463" s="4" t="s">
        <v>255</v>
      </c>
      <c r="D463" s="4" t="s">
        <v>160</v>
      </c>
      <c r="E463" s="4"/>
      <c r="F463" s="29">
        <f>F464</f>
        <v>30000</v>
      </c>
      <c r="G463" s="29"/>
    </row>
    <row r="464" spans="1:7" ht="31.5">
      <c r="A464" s="3" t="s">
        <v>326</v>
      </c>
      <c r="B464" s="4" t="s">
        <v>259</v>
      </c>
      <c r="C464" s="4" t="s">
        <v>255</v>
      </c>
      <c r="D464" s="4" t="s">
        <v>161</v>
      </c>
      <c r="E464" s="4"/>
      <c r="F464" s="29">
        <f>F465</f>
        <v>30000</v>
      </c>
      <c r="G464" s="29"/>
    </row>
    <row r="465" spans="1:7" ht="63">
      <c r="A465" s="3" t="s">
        <v>330</v>
      </c>
      <c r="B465" s="4" t="s">
        <v>259</v>
      </c>
      <c r="C465" s="4" t="s">
        <v>255</v>
      </c>
      <c r="D465" s="4" t="s">
        <v>161</v>
      </c>
      <c r="E465" s="4" t="s">
        <v>23</v>
      </c>
      <c r="F465" s="29">
        <f>прил7!G673</f>
        <v>30000</v>
      </c>
      <c r="G465" s="29"/>
    </row>
    <row r="466" spans="1:7" ht="78.75">
      <c r="A466" s="3" t="s">
        <v>50</v>
      </c>
      <c r="B466" s="4" t="s">
        <v>259</v>
      </c>
      <c r="C466" s="4" t="s">
        <v>255</v>
      </c>
      <c r="D466" s="4" t="s">
        <v>51</v>
      </c>
      <c r="E466" s="4"/>
      <c r="F466" s="29">
        <f>F475+F467+F482+F487</f>
        <v>165049045.22000003</v>
      </c>
      <c r="G466" s="29">
        <f>G475+G467</f>
        <v>830078</v>
      </c>
    </row>
    <row r="467" spans="1:7" ht="63">
      <c r="A467" s="3" t="s">
        <v>183</v>
      </c>
      <c r="B467" s="4" t="s">
        <v>259</v>
      </c>
      <c r="C467" s="4" t="s">
        <v>255</v>
      </c>
      <c r="D467" s="4" t="s">
        <v>184</v>
      </c>
      <c r="E467" s="4"/>
      <c r="F467" s="29">
        <f>F473+F470+F468</f>
        <v>96577405.21000001</v>
      </c>
      <c r="G467" s="29">
        <f>G473</f>
        <v>635139.31</v>
      </c>
    </row>
    <row r="468" spans="1:7" ht="110.25">
      <c r="A468" s="3" t="s">
        <v>209</v>
      </c>
      <c r="B468" s="4" t="s">
        <v>259</v>
      </c>
      <c r="C468" s="4" t="s">
        <v>255</v>
      </c>
      <c r="D468" s="4" t="s">
        <v>137</v>
      </c>
      <c r="E468" s="4"/>
      <c r="F468" s="29">
        <f>F469</f>
        <v>94401487.9</v>
      </c>
      <c r="G468" s="29"/>
    </row>
    <row r="469" spans="1:7" ht="63">
      <c r="A469" s="3" t="s">
        <v>330</v>
      </c>
      <c r="B469" s="4" t="s">
        <v>259</v>
      </c>
      <c r="C469" s="4" t="s">
        <v>255</v>
      </c>
      <c r="D469" s="4" t="s">
        <v>137</v>
      </c>
      <c r="E469" s="4" t="s">
        <v>23</v>
      </c>
      <c r="F469" s="29">
        <f>прил7!G677</f>
        <v>94401487.9</v>
      </c>
      <c r="G469" s="29"/>
    </row>
    <row r="470" spans="1:7" ht="31.5">
      <c r="A470" s="3" t="s">
        <v>326</v>
      </c>
      <c r="B470" s="4" t="s">
        <v>259</v>
      </c>
      <c r="C470" s="4" t="s">
        <v>255</v>
      </c>
      <c r="D470" s="4" t="s">
        <v>136</v>
      </c>
      <c r="E470" s="4"/>
      <c r="F470" s="29">
        <f>F471+F472</f>
        <v>1540778</v>
      </c>
      <c r="G470" s="29"/>
    </row>
    <row r="471" spans="1:7" ht="47.25">
      <c r="A471" s="3" t="s">
        <v>306</v>
      </c>
      <c r="B471" s="4" t="s">
        <v>259</v>
      </c>
      <c r="C471" s="4" t="s">
        <v>255</v>
      </c>
      <c r="D471" s="4" t="s">
        <v>136</v>
      </c>
      <c r="E471" s="4" t="s">
        <v>19</v>
      </c>
      <c r="F471" s="29">
        <f>прил7!G679</f>
        <v>1008980</v>
      </c>
      <c r="G471" s="29"/>
    </row>
    <row r="472" spans="1:7" ht="76.5" customHeight="1">
      <c r="A472" s="3" t="s">
        <v>330</v>
      </c>
      <c r="B472" s="4" t="s">
        <v>259</v>
      </c>
      <c r="C472" s="4" t="s">
        <v>255</v>
      </c>
      <c r="D472" s="4" t="s">
        <v>136</v>
      </c>
      <c r="E472" s="4" t="s">
        <v>23</v>
      </c>
      <c r="F472" s="29">
        <f>прил7!G680</f>
        <v>531798</v>
      </c>
      <c r="G472" s="29"/>
    </row>
    <row r="473" spans="1:7" ht="141.75">
      <c r="A473" s="3" t="s">
        <v>59</v>
      </c>
      <c r="B473" s="4" t="s">
        <v>259</v>
      </c>
      <c r="C473" s="4" t="s">
        <v>255</v>
      </c>
      <c r="D473" s="4" t="s">
        <v>185</v>
      </c>
      <c r="E473" s="4"/>
      <c r="F473" s="29">
        <f>F474</f>
        <v>635139.31</v>
      </c>
      <c r="G473" s="29">
        <f>G474</f>
        <v>635139.31</v>
      </c>
    </row>
    <row r="474" spans="1:7" ht="63">
      <c r="A474" s="3" t="s">
        <v>330</v>
      </c>
      <c r="B474" s="4" t="s">
        <v>259</v>
      </c>
      <c r="C474" s="4" t="s">
        <v>255</v>
      </c>
      <c r="D474" s="4" t="s">
        <v>185</v>
      </c>
      <c r="E474" s="4" t="s">
        <v>23</v>
      </c>
      <c r="F474" s="29">
        <f>прил7!G682</f>
        <v>635139.31</v>
      </c>
      <c r="G474" s="29">
        <f>F474</f>
        <v>635139.31</v>
      </c>
    </row>
    <row r="475" spans="1:7" ht="31.5">
      <c r="A475" s="3" t="s">
        <v>53</v>
      </c>
      <c r="B475" s="4" t="s">
        <v>259</v>
      </c>
      <c r="C475" s="4" t="s">
        <v>255</v>
      </c>
      <c r="D475" s="4" t="s">
        <v>54</v>
      </c>
      <c r="E475" s="4"/>
      <c r="F475" s="29">
        <f>F478+F480+F476</f>
        <v>50198568.69</v>
      </c>
      <c r="G475" s="29">
        <f>G478+G480</f>
        <v>194938.69</v>
      </c>
    </row>
    <row r="476" spans="1:7" ht="110.25">
      <c r="A476" s="3" t="s">
        <v>209</v>
      </c>
      <c r="B476" s="4" t="s">
        <v>259</v>
      </c>
      <c r="C476" s="4" t="s">
        <v>255</v>
      </c>
      <c r="D476" s="4" t="s">
        <v>138</v>
      </c>
      <c r="E476" s="4"/>
      <c r="F476" s="29">
        <f>F477</f>
        <v>50003630</v>
      </c>
      <c r="G476" s="29"/>
    </row>
    <row r="477" spans="1:7" ht="63">
      <c r="A477" s="3" t="s">
        <v>330</v>
      </c>
      <c r="B477" s="4" t="s">
        <v>259</v>
      </c>
      <c r="C477" s="4" t="s">
        <v>255</v>
      </c>
      <c r="D477" s="4" t="s">
        <v>138</v>
      </c>
      <c r="E477" s="4" t="s">
        <v>23</v>
      </c>
      <c r="F477" s="29">
        <f>прил7!G685</f>
        <v>50003630</v>
      </c>
      <c r="G477" s="29"/>
    </row>
    <row r="478" spans="1:7" ht="110.25">
      <c r="A478" s="3" t="s">
        <v>55</v>
      </c>
      <c r="B478" s="4" t="s">
        <v>259</v>
      </c>
      <c r="C478" s="4" t="s">
        <v>255</v>
      </c>
      <c r="D478" s="4" t="s">
        <v>56</v>
      </c>
      <c r="E478" s="4"/>
      <c r="F478" s="29">
        <f>F479</f>
        <v>0</v>
      </c>
      <c r="G478" s="29">
        <f>G479</f>
        <v>0</v>
      </c>
    </row>
    <row r="479" spans="1:7" ht="63">
      <c r="A479" s="3" t="s">
        <v>330</v>
      </c>
      <c r="B479" s="4" t="s">
        <v>259</v>
      </c>
      <c r="C479" s="4" t="s">
        <v>255</v>
      </c>
      <c r="D479" s="4" t="s">
        <v>56</v>
      </c>
      <c r="E479" s="4" t="s">
        <v>23</v>
      </c>
      <c r="F479" s="29">
        <f>прил7!G687</f>
        <v>0</v>
      </c>
      <c r="G479" s="29">
        <f>F479</f>
        <v>0</v>
      </c>
    </row>
    <row r="480" spans="1:7" ht="141.75">
      <c r="A480" s="3" t="s">
        <v>59</v>
      </c>
      <c r="B480" s="4" t="s">
        <v>259</v>
      </c>
      <c r="C480" s="4" t="s">
        <v>255</v>
      </c>
      <c r="D480" s="4" t="s">
        <v>186</v>
      </c>
      <c r="E480" s="4"/>
      <c r="F480" s="29">
        <f>F481</f>
        <v>194938.69</v>
      </c>
      <c r="G480" s="29">
        <f>G481</f>
        <v>194938.69</v>
      </c>
    </row>
    <row r="481" spans="1:7" ht="63">
      <c r="A481" s="3" t="s">
        <v>330</v>
      </c>
      <c r="B481" s="4" t="s">
        <v>259</v>
      </c>
      <c r="C481" s="4" t="s">
        <v>255</v>
      </c>
      <c r="D481" s="4" t="s">
        <v>186</v>
      </c>
      <c r="E481" s="4" t="s">
        <v>23</v>
      </c>
      <c r="F481" s="29">
        <f>прил7!G689</f>
        <v>194938.69</v>
      </c>
      <c r="G481" s="29">
        <f>F481</f>
        <v>194938.69</v>
      </c>
    </row>
    <row r="482" spans="1:7" ht="31.5">
      <c r="A482" s="3" t="s">
        <v>139</v>
      </c>
      <c r="B482" s="4" t="s">
        <v>259</v>
      </c>
      <c r="C482" s="4" t="s">
        <v>255</v>
      </c>
      <c r="D482" s="4" t="s">
        <v>140</v>
      </c>
      <c r="E482" s="4"/>
      <c r="F482" s="29">
        <f>F483+F485</f>
        <v>12441660.3</v>
      </c>
      <c r="G482" s="29"/>
    </row>
    <row r="483" spans="1:7" ht="110.25">
      <c r="A483" s="3" t="s">
        <v>209</v>
      </c>
      <c r="B483" s="4" t="s">
        <v>259</v>
      </c>
      <c r="C483" s="4" t="s">
        <v>255</v>
      </c>
      <c r="D483" s="4" t="s">
        <v>141</v>
      </c>
      <c r="E483" s="4"/>
      <c r="F483" s="29">
        <f>F484</f>
        <v>12407640.3</v>
      </c>
      <c r="G483" s="29"/>
    </row>
    <row r="484" spans="1:7" ht="63">
      <c r="A484" s="3" t="s">
        <v>330</v>
      </c>
      <c r="B484" s="4" t="s">
        <v>259</v>
      </c>
      <c r="C484" s="4" t="s">
        <v>255</v>
      </c>
      <c r="D484" s="4" t="s">
        <v>141</v>
      </c>
      <c r="E484" s="4" t="s">
        <v>23</v>
      </c>
      <c r="F484" s="29">
        <f>прил7!G692</f>
        <v>12407640.3</v>
      </c>
      <c r="G484" s="29"/>
    </row>
    <row r="485" spans="1:7" ht="38.25" customHeight="1">
      <c r="A485" s="3" t="s">
        <v>326</v>
      </c>
      <c r="B485" s="4" t="s">
        <v>259</v>
      </c>
      <c r="C485" s="4" t="s">
        <v>255</v>
      </c>
      <c r="D485" s="4" t="s">
        <v>346</v>
      </c>
      <c r="E485" s="4"/>
      <c r="F485" s="29">
        <f>F486</f>
        <v>34020</v>
      </c>
      <c r="G485" s="29"/>
    </row>
    <row r="486" spans="1:7" ht="66.75" customHeight="1">
      <c r="A486" s="3" t="s">
        <v>330</v>
      </c>
      <c r="B486" s="4" t="s">
        <v>259</v>
      </c>
      <c r="C486" s="4" t="s">
        <v>255</v>
      </c>
      <c r="D486" s="4" t="s">
        <v>346</v>
      </c>
      <c r="E486" s="4" t="s">
        <v>23</v>
      </c>
      <c r="F486" s="29">
        <f>прил7!G694</f>
        <v>34020</v>
      </c>
      <c r="G486" s="29"/>
    </row>
    <row r="487" spans="1:7" ht="78.75">
      <c r="A487" s="3" t="s">
        <v>146</v>
      </c>
      <c r="B487" s="4" t="s">
        <v>259</v>
      </c>
      <c r="C487" s="4" t="s">
        <v>255</v>
      </c>
      <c r="D487" s="4" t="s">
        <v>147</v>
      </c>
      <c r="E487" s="4"/>
      <c r="F487" s="29">
        <f>F488+F490</f>
        <v>5831411.02</v>
      </c>
      <c r="G487" s="29"/>
    </row>
    <row r="488" spans="1:7" ht="47.25">
      <c r="A488" s="3" t="s">
        <v>228</v>
      </c>
      <c r="B488" s="4" t="s">
        <v>259</v>
      </c>
      <c r="C488" s="4" t="s">
        <v>255</v>
      </c>
      <c r="D488" s="4" t="s">
        <v>148</v>
      </c>
      <c r="E488" s="4"/>
      <c r="F488" s="29">
        <f>F489</f>
        <v>867000</v>
      </c>
      <c r="G488" s="29"/>
    </row>
    <row r="489" spans="1:7" ht="63">
      <c r="A489" s="3" t="s">
        <v>330</v>
      </c>
      <c r="B489" s="4" t="s">
        <v>259</v>
      </c>
      <c r="C489" s="4" t="s">
        <v>255</v>
      </c>
      <c r="D489" s="4" t="s">
        <v>148</v>
      </c>
      <c r="E489" s="4" t="s">
        <v>23</v>
      </c>
      <c r="F489" s="29">
        <f>прил7!G697</f>
        <v>867000</v>
      </c>
      <c r="G489" s="29"/>
    </row>
    <row r="490" spans="1:7" ht="31.5">
      <c r="A490" s="3" t="s">
        <v>326</v>
      </c>
      <c r="B490" s="4" t="s">
        <v>259</v>
      </c>
      <c r="C490" s="4" t="s">
        <v>255</v>
      </c>
      <c r="D490" s="4" t="s">
        <v>149</v>
      </c>
      <c r="E490" s="4"/>
      <c r="F490" s="29">
        <f>F491</f>
        <v>4964411.02</v>
      </c>
      <c r="G490" s="29"/>
    </row>
    <row r="491" spans="1:7" ht="63">
      <c r="A491" s="3" t="s">
        <v>330</v>
      </c>
      <c r="B491" s="4" t="s">
        <v>259</v>
      </c>
      <c r="C491" s="4" t="s">
        <v>255</v>
      </c>
      <c r="D491" s="4" t="s">
        <v>149</v>
      </c>
      <c r="E491" s="4" t="s">
        <v>23</v>
      </c>
      <c r="F491" s="29">
        <f>прил7!G699</f>
        <v>4964411.02</v>
      </c>
      <c r="G491" s="29"/>
    </row>
    <row r="492" spans="1:7" ht="78.75">
      <c r="A492" s="3" t="s">
        <v>115</v>
      </c>
      <c r="B492" s="4" t="s">
        <v>259</v>
      </c>
      <c r="C492" s="4" t="s">
        <v>255</v>
      </c>
      <c r="D492" s="4" t="s">
        <v>116</v>
      </c>
      <c r="E492" s="4"/>
      <c r="F492" s="29">
        <f>F493</f>
        <v>184030</v>
      </c>
      <c r="G492" s="29"/>
    </row>
    <row r="493" spans="1:7" ht="78.75">
      <c r="A493" s="3" t="s">
        <v>121</v>
      </c>
      <c r="B493" s="4" t="s">
        <v>259</v>
      </c>
      <c r="C493" s="4" t="s">
        <v>255</v>
      </c>
      <c r="D493" s="4" t="s">
        <v>122</v>
      </c>
      <c r="E493" s="4"/>
      <c r="F493" s="29">
        <f>F494</f>
        <v>184030</v>
      </c>
      <c r="G493" s="29"/>
    </row>
    <row r="494" spans="1:7" ht="31.5">
      <c r="A494" s="3" t="s">
        <v>326</v>
      </c>
      <c r="B494" s="4" t="s">
        <v>259</v>
      </c>
      <c r="C494" s="4" t="s">
        <v>255</v>
      </c>
      <c r="D494" s="4" t="s">
        <v>123</v>
      </c>
      <c r="E494" s="4"/>
      <c r="F494" s="29">
        <f>F495</f>
        <v>184030</v>
      </c>
      <c r="G494" s="29"/>
    </row>
    <row r="495" spans="1:7" ht="63">
      <c r="A495" s="3" t="s">
        <v>330</v>
      </c>
      <c r="B495" s="4" t="s">
        <v>259</v>
      </c>
      <c r="C495" s="4" t="s">
        <v>255</v>
      </c>
      <c r="D495" s="4" t="s">
        <v>123</v>
      </c>
      <c r="E495" s="4" t="s">
        <v>23</v>
      </c>
      <c r="F495" s="29">
        <f>прил7!G703</f>
        <v>184030</v>
      </c>
      <c r="G495" s="29"/>
    </row>
    <row r="496" spans="1:7" ht="78.75">
      <c r="A496" s="3" t="s">
        <v>71</v>
      </c>
      <c r="B496" s="4" t="s">
        <v>259</v>
      </c>
      <c r="C496" s="4" t="s">
        <v>255</v>
      </c>
      <c r="D496" s="4" t="s">
        <v>72</v>
      </c>
      <c r="E496" s="4"/>
      <c r="F496" s="29">
        <f>F497+F499</f>
        <v>4441355.74</v>
      </c>
      <c r="G496" s="29"/>
    </row>
    <row r="497" spans="1:7" ht="47.25">
      <c r="A497" s="3" t="s">
        <v>228</v>
      </c>
      <c r="B497" s="4" t="s">
        <v>259</v>
      </c>
      <c r="C497" s="4" t="s">
        <v>255</v>
      </c>
      <c r="D497" s="4" t="s">
        <v>73</v>
      </c>
      <c r="E497" s="4"/>
      <c r="F497" s="29">
        <f>F498</f>
        <v>1159891.04</v>
      </c>
      <c r="G497" s="29"/>
    </row>
    <row r="498" spans="1:7" ht="63">
      <c r="A498" s="3" t="s">
        <v>330</v>
      </c>
      <c r="B498" s="4" t="s">
        <v>259</v>
      </c>
      <c r="C498" s="4" t="s">
        <v>255</v>
      </c>
      <c r="D498" s="4" t="s">
        <v>73</v>
      </c>
      <c r="E498" s="4" t="s">
        <v>23</v>
      </c>
      <c r="F498" s="29">
        <f>прил7!G706</f>
        <v>1159891.04</v>
      </c>
      <c r="G498" s="29"/>
    </row>
    <row r="499" spans="1:7" ht="31.5">
      <c r="A499" s="3" t="s">
        <v>326</v>
      </c>
      <c r="B499" s="4" t="s">
        <v>259</v>
      </c>
      <c r="C499" s="4" t="s">
        <v>255</v>
      </c>
      <c r="D499" s="4" t="s">
        <v>74</v>
      </c>
      <c r="E499" s="4"/>
      <c r="F499" s="29">
        <f>F500</f>
        <v>3281464.6999999997</v>
      </c>
      <c r="G499" s="29"/>
    </row>
    <row r="500" spans="1:7" ht="63">
      <c r="A500" s="3" t="s">
        <v>330</v>
      </c>
      <c r="B500" s="4" t="s">
        <v>259</v>
      </c>
      <c r="C500" s="4" t="s">
        <v>255</v>
      </c>
      <c r="D500" s="4" t="s">
        <v>74</v>
      </c>
      <c r="E500" s="4" t="s">
        <v>23</v>
      </c>
      <c r="F500" s="29">
        <f>прил7!G708</f>
        <v>3281464.6999999997</v>
      </c>
      <c r="G500" s="29"/>
    </row>
    <row r="501" spans="1:7" s="16" customFormat="1" ht="18.75">
      <c r="A501" s="10" t="s">
        <v>269</v>
      </c>
      <c r="B501" s="11" t="s">
        <v>263</v>
      </c>
      <c r="C501" s="5"/>
      <c r="D501" s="5"/>
      <c r="E501" s="23"/>
      <c r="F501" s="28">
        <f>F538+F502+F564+F506</f>
        <v>70280570</v>
      </c>
      <c r="G501" s="28">
        <f>G538+G502+G564+G506</f>
        <v>68945570</v>
      </c>
    </row>
    <row r="502" spans="1:7" ht="15.75">
      <c r="A502" s="1" t="s">
        <v>287</v>
      </c>
      <c r="B502" s="2" t="s">
        <v>263</v>
      </c>
      <c r="C502" s="2" t="s">
        <v>255</v>
      </c>
      <c r="D502" s="2"/>
      <c r="E502" s="4"/>
      <c r="F502" s="33">
        <f>F503</f>
        <v>1335000</v>
      </c>
      <c r="G502" s="33"/>
    </row>
    <row r="503" spans="1:7" ht="15.75">
      <c r="A503" s="3" t="s">
        <v>303</v>
      </c>
      <c r="B503" s="4" t="s">
        <v>263</v>
      </c>
      <c r="C503" s="4" t="s">
        <v>255</v>
      </c>
      <c r="D503" s="4" t="s">
        <v>304</v>
      </c>
      <c r="E503" s="4"/>
      <c r="F503" s="29">
        <f>F504</f>
        <v>1335000</v>
      </c>
      <c r="G503" s="29"/>
    </row>
    <row r="504" spans="1:7" ht="157.5">
      <c r="A504" s="3" t="s">
        <v>134</v>
      </c>
      <c r="B504" s="4" t="s">
        <v>263</v>
      </c>
      <c r="C504" s="4" t="s">
        <v>255</v>
      </c>
      <c r="D504" s="4" t="s">
        <v>135</v>
      </c>
      <c r="E504" s="4"/>
      <c r="F504" s="29">
        <f>F505</f>
        <v>1335000</v>
      </c>
      <c r="G504" s="29"/>
    </row>
    <row r="505" spans="1:7" ht="31.5">
      <c r="A505" s="3" t="s">
        <v>239</v>
      </c>
      <c r="B505" s="4" t="s">
        <v>263</v>
      </c>
      <c r="C505" s="4" t="s">
        <v>255</v>
      </c>
      <c r="D505" s="4" t="s">
        <v>135</v>
      </c>
      <c r="E505" s="4" t="s">
        <v>240</v>
      </c>
      <c r="F505" s="29">
        <f>прил7!G185</f>
        <v>1335000</v>
      </c>
      <c r="G505" s="29"/>
    </row>
    <row r="506" spans="1:7" ht="31.5">
      <c r="A506" s="1" t="s">
        <v>281</v>
      </c>
      <c r="B506" s="2" t="s">
        <v>263</v>
      </c>
      <c r="C506" s="2" t="s">
        <v>262</v>
      </c>
      <c r="D506" s="2"/>
      <c r="E506" s="2"/>
      <c r="F506" s="33">
        <f>F507+F527</f>
        <v>5687400</v>
      </c>
      <c r="G506" s="33">
        <f>G507+G527</f>
        <v>5687400</v>
      </c>
    </row>
    <row r="507" spans="1:7" ht="47.25">
      <c r="A507" s="3" t="s">
        <v>331</v>
      </c>
      <c r="B507" s="4" t="s">
        <v>263</v>
      </c>
      <c r="C507" s="4" t="s">
        <v>262</v>
      </c>
      <c r="D507" s="4" t="s">
        <v>332</v>
      </c>
      <c r="E507" s="4"/>
      <c r="F507" s="29">
        <f>F518+F508+F513</f>
        <v>5108096</v>
      </c>
      <c r="G507" s="29">
        <f>G518+G508+G513</f>
        <v>5108096</v>
      </c>
    </row>
    <row r="508" spans="1:7" ht="47.25">
      <c r="A508" s="3" t="s">
        <v>354</v>
      </c>
      <c r="B508" s="4" t="s">
        <v>263</v>
      </c>
      <c r="C508" s="4" t="s">
        <v>262</v>
      </c>
      <c r="D508" s="4" t="s">
        <v>355</v>
      </c>
      <c r="E508" s="4"/>
      <c r="F508" s="29">
        <f>F511+F509</f>
        <v>1175096</v>
      </c>
      <c r="G508" s="29">
        <f>G511+G509</f>
        <v>1175096</v>
      </c>
    </row>
    <row r="509" spans="1:7" ht="126">
      <c r="A509" s="3" t="s">
        <v>202</v>
      </c>
      <c r="B509" s="4" t="s">
        <v>263</v>
      </c>
      <c r="C509" s="4" t="s">
        <v>262</v>
      </c>
      <c r="D509" s="4" t="s">
        <v>205</v>
      </c>
      <c r="E509" s="4"/>
      <c r="F509" s="29">
        <f>F510</f>
        <v>3030</v>
      </c>
      <c r="G509" s="29">
        <f>G510</f>
        <v>3030</v>
      </c>
    </row>
    <row r="510" spans="1:7" ht="63">
      <c r="A510" s="3" t="s">
        <v>330</v>
      </c>
      <c r="B510" s="4" t="s">
        <v>263</v>
      </c>
      <c r="C510" s="4" t="s">
        <v>262</v>
      </c>
      <c r="D510" s="4" t="s">
        <v>205</v>
      </c>
      <c r="E510" s="4" t="s">
        <v>23</v>
      </c>
      <c r="F510" s="29">
        <f>прил7!G559</f>
        <v>3030</v>
      </c>
      <c r="G510" s="29">
        <f>F510</f>
        <v>3030</v>
      </c>
    </row>
    <row r="511" spans="1:7" ht="126">
      <c r="A511" s="3" t="s">
        <v>190</v>
      </c>
      <c r="B511" s="4" t="s">
        <v>263</v>
      </c>
      <c r="C511" s="4" t="s">
        <v>262</v>
      </c>
      <c r="D511" s="4" t="s">
        <v>191</v>
      </c>
      <c r="E511" s="4"/>
      <c r="F511" s="29">
        <f>F512</f>
        <v>1172066</v>
      </c>
      <c r="G511" s="29">
        <f>G512</f>
        <v>1172066</v>
      </c>
    </row>
    <row r="512" spans="1:7" ht="63">
      <c r="A512" s="3" t="s">
        <v>330</v>
      </c>
      <c r="B512" s="4" t="s">
        <v>263</v>
      </c>
      <c r="C512" s="4" t="s">
        <v>262</v>
      </c>
      <c r="D512" s="4" t="s">
        <v>191</v>
      </c>
      <c r="E512" s="4" t="s">
        <v>23</v>
      </c>
      <c r="F512" s="29">
        <f>прил7!G561</f>
        <v>1172066</v>
      </c>
      <c r="G512" s="29">
        <f>F512</f>
        <v>1172066</v>
      </c>
    </row>
    <row r="513" spans="1:7" ht="63">
      <c r="A513" s="3" t="s">
        <v>351</v>
      </c>
      <c r="B513" s="4" t="s">
        <v>263</v>
      </c>
      <c r="C513" s="4" t="s">
        <v>262</v>
      </c>
      <c r="D513" s="4" t="s">
        <v>352</v>
      </c>
      <c r="E513" s="4"/>
      <c r="F513" s="29">
        <f>F516+F514</f>
        <v>1506400</v>
      </c>
      <c r="G513" s="29">
        <f>G516+G514</f>
        <v>1506400</v>
      </c>
    </row>
    <row r="514" spans="1:7" ht="126">
      <c r="A514" s="3" t="s">
        <v>202</v>
      </c>
      <c r="B514" s="4" t="s">
        <v>263</v>
      </c>
      <c r="C514" s="4" t="s">
        <v>262</v>
      </c>
      <c r="D514" s="4" t="s">
        <v>206</v>
      </c>
      <c r="E514" s="4"/>
      <c r="F514" s="29">
        <f>F515</f>
        <v>4140</v>
      </c>
      <c r="G514" s="29">
        <f>G515</f>
        <v>4140</v>
      </c>
    </row>
    <row r="515" spans="1:7" ht="63">
      <c r="A515" s="3" t="s">
        <v>330</v>
      </c>
      <c r="B515" s="4" t="s">
        <v>263</v>
      </c>
      <c r="C515" s="4" t="s">
        <v>262</v>
      </c>
      <c r="D515" s="4" t="s">
        <v>206</v>
      </c>
      <c r="E515" s="4" t="s">
        <v>23</v>
      </c>
      <c r="F515" s="29">
        <f>прил7!G564</f>
        <v>4140</v>
      </c>
      <c r="G515" s="29">
        <f>F515</f>
        <v>4140</v>
      </c>
    </row>
    <row r="516" spans="1:7" ht="126">
      <c r="A516" s="3" t="s">
        <v>190</v>
      </c>
      <c r="B516" s="4" t="s">
        <v>263</v>
      </c>
      <c r="C516" s="4" t="s">
        <v>262</v>
      </c>
      <c r="D516" s="4" t="s">
        <v>192</v>
      </c>
      <c r="E516" s="4"/>
      <c r="F516" s="29">
        <f>F517</f>
        <v>1502260</v>
      </c>
      <c r="G516" s="29">
        <f>G517</f>
        <v>1502260</v>
      </c>
    </row>
    <row r="517" spans="1:7" ht="63">
      <c r="A517" s="3" t="s">
        <v>330</v>
      </c>
      <c r="B517" s="4" t="s">
        <v>263</v>
      </c>
      <c r="C517" s="4" t="s">
        <v>262</v>
      </c>
      <c r="D517" s="4" t="s">
        <v>192</v>
      </c>
      <c r="E517" s="4" t="s">
        <v>23</v>
      </c>
      <c r="F517" s="29">
        <f>прил7!G566</f>
        <v>1502260</v>
      </c>
      <c r="G517" s="29">
        <f>F517</f>
        <v>1502260</v>
      </c>
    </row>
    <row r="518" spans="1:7" ht="63">
      <c r="A518" s="21" t="s">
        <v>362</v>
      </c>
      <c r="B518" s="4" t="s">
        <v>263</v>
      </c>
      <c r="C518" s="4" t="s">
        <v>262</v>
      </c>
      <c r="D518" s="4" t="s">
        <v>363</v>
      </c>
      <c r="E518" s="4"/>
      <c r="F518" s="29">
        <f>F519+F521+F523+F525</f>
        <v>2426600</v>
      </c>
      <c r="G518" s="29">
        <f>G519+G521+G523+G525</f>
        <v>2426600</v>
      </c>
    </row>
    <row r="519" spans="1:7" ht="126">
      <c r="A519" s="21" t="s">
        <v>364</v>
      </c>
      <c r="B519" s="4" t="s">
        <v>263</v>
      </c>
      <c r="C519" s="4" t="s">
        <v>262</v>
      </c>
      <c r="D519" s="4" t="s">
        <v>365</v>
      </c>
      <c r="E519" s="4"/>
      <c r="F519" s="37">
        <f>F520</f>
        <v>1853600</v>
      </c>
      <c r="G519" s="37">
        <f>G520</f>
        <v>1853600</v>
      </c>
    </row>
    <row r="520" spans="1:7" ht="31.5">
      <c r="A520" s="3" t="s">
        <v>239</v>
      </c>
      <c r="B520" s="4" t="s">
        <v>263</v>
      </c>
      <c r="C520" s="4" t="s">
        <v>262</v>
      </c>
      <c r="D520" s="4" t="s">
        <v>365</v>
      </c>
      <c r="E520" s="4" t="s">
        <v>240</v>
      </c>
      <c r="F520" s="37">
        <f>прил7!G569</f>
        <v>1853600</v>
      </c>
      <c r="G520" s="37">
        <f>F520</f>
        <v>1853600</v>
      </c>
    </row>
    <row r="521" spans="1:7" ht="141.75">
      <c r="A521" s="3" t="s">
        <v>366</v>
      </c>
      <c r="B521" s="4" t="s">
        <v>263</v>
      </c>
      <c r="C521" s="4" t="s">
        <v>262</v>
      </c>
      <c r="D521" s="4" t="s">
        <v>367</v>
      </c>
      <c r="E521" s="4"/>
      <c r="F521" s="37">
        <f>F522</f>
        <v>22700</v>
      </c>
      <c r="G521" s="37">
        <f>G522</f>
        <v>22700</v>
      </c>
    </row>
    <row r="522" spans="1:7" ht="126">
      <c r="A522" s="3" t="s">
        <v>305</v>
      </c>
      <c r="B522" s="4" t="s">
        <v>263</v>
      </c>
      <c r="C522" s="4" t="s">
        <v>262</v>
      </c>
      <c r="D522" s="4" t="s">
        <v>367</v>
      </c>
      <c r="E522" s="4" t="s">
        <v>18</v>
      </c>
      <c r="F522" s="37">
        <f>прил7!G571</f>
        <v>22700</v>
      </c>
      <c r="G522" s="37">
        <f>F522</f>
        <v>22700</v>
      </c>
    </row>
    <row r="523" spans="1:7" ht="252">
      <c r="A523" s="3" t="s">
        <v>40</v>
      </c>
      <c r="B523" s="4" t="s">
        <v>263</v>
      </c>
      <c r="C523" s="4" t="s">
        <v>262</v>
      </c>
      <c r="D523" s="4" t="s">
        <v>41</v>
      </c>
      <c r="E523" s="4"/>
      <c r="F523" s="37">
        <f>F524</f>
        <v>131600</v>
      </c>
      <c r="G523" s="37">
        <f>G524</f>
        <v>131600</v>
      </c>
    </row>
    <row r="524" spans="1:7" ht="31.5">
      <c r="A524" s="3" t="s">
        <v>239</v>
      </c>
      <c r="B524" s="4" t="s">
        <v>263</v>
      </c>
      <c r="C524" s="4" t="s">
        <v>262</v>
      </c>
      <c r="D524" s="4" t="s">
        <v>41</v>
      </c>
      <c r="E524" s="4" t="s">
        <v>240</v>
      </c>
      <c r="F524" s="37">
        <f>прил7!G573</f>
        <v>131600</v>
      </c>
      <c r="G524" s="37">
        <f>F524</f>
        <v>131600</v>
      </c>
    </row>
    <row r="525" spans="1:7" ht="173.25">
      <c r="A525" s="3" t="s">
        <v>42</v>
      </c>
      <c r="B525" s="4" t="s">
        <v>263</v>
      </c>
      <c r="C525" s="4" t="s">
        <v>262</v>
      </c>
      <c r="D525" s="4" t="s">
        <v>43</v>
      </c>
      <c r="E525" s="4"/>
      <c r="F525" s="37">
        <f>F526</f>
        <v>418700</v>
      </c>
      <c r="G525" s="37">
        <f>G526</f>
        <v>418700</v>
      </c>
    </row>
    <row r="526" spans="1:7" ht="31.5">
      <c r="A526" s="3" t="s">
        <v>239</v>
      </c>
      <c r="B526" s="4" t="s">
        <v>263</v>
      </c>
      <c r="C526" s="4" t="s">
        <v>262</v>
      </c>
      <c r="D526" s="4" t="s">
        <v>43</v>
      </c>
      <c r="E526" s="4" t="s">
        <v>240</v>
      </c>
      <c r="F526" s="37">
        <f>прил7!G575</f>
        <v>418700</v>
      </c>
      <c r="G526" s="37">
        <f>F526</f>
        <v>418700</v>
      </c>
    </row>
    <row r="527" spans="1:7" ht="78.75">
      <c r="A527" s="3" t="s">
        <v>50</v>
      </c>
      <c r="B527" s="4" t="s">
        <v>263</v>
      </c>
      <c r="C527" s="4" t="s">
        <v>262</v>
      </c>
      <c r="D527" s="4" t="s">
        <v>51</v>
      </c>
      <c r="E527" s="4"/>
      <c r="F527" s="29">
        <f>F528+F533</f>
        <v>579304</v>
      </c>
      <c r="G527" s="29">
        <f>G528+G533</f>
        <v>579304</v>
      </c>
    </row>
    <row r="528" spans="1:7" ht="63">
      <c r="A528" s="3" t="s">
        <v>183</v>
      </c>
      <c r="B528" s="4" t="s">
        <v>263</v>
      </c>
      <c r="C528" s="4" t="s">
        <v>262</v>
      </c>
      <c r="D528" s="4" t="s">
        <v>184</v>
      </c>
      <c r="E528" s="4"/>
      <c r="F528" s="29">
        <f>F531+F529</f>
        <v>438294</v>
      </c>
      <c r="G528" s="29">
        <f>G531+G529</f>
        <v>438294</v>
      </c>
    </row>
    <row r="529" spans="1:7" ht="126">
      <c r="A529" s="3" t="s">
        <v>202</v>
      </c>
      <c r="B529" s="4" t="s">
        <v>263</v>
      </c>
      <c r="C529" s="4" t="s">
        <v>262</v>
      </c>
      <c r="D529" s="4" t="s">
        <v>203</v>
      </c>
      <c r="E529" s="4"/>
      <c r="F529" s="29">
        <f>F530</f>
        <v>2323</v>
      </c>
      <c r="G529" s="29">
        <f>G530</f>
        <v>2323</v>
      </c>
    </row>
    <row r="530" spans="1:7" ht="63">
      <c r="A530" s="3" t="s">
        <v>330</v>
      </c>
      <c r="B530" s="4" t="s">
        <v>263</v>
      </c>
      <c r="C530" s="4" t="s">
        <v>262</v>
      </c>
      <c r="D530" s="4" t="s">
        <v>203</v>
      </c>
      <c r="E530" s="4" t="s">
        <v>23</v>
      </c>
      <c r="F530" s="29">
        <f>прил7!G714</f>
        <v>2323</v>
      </c>
      <c r="G530" s="29">
        <f>F530</f>
        <v>2323</v>
      </c>
    </row>
    <row r="531" spans="1:7" ht="126">
      <c r="A531" s="3" t="s">
        <v>190</v>
      </c>
      <c r="B531" s="4" t="s">
        <v>263</v>
      </c>
      <c r="C531" s="4" t="s">
        <v>262</v>
      </c>
      <c r="D531" s="4" t="s">
        <v>193</v>
      </c>
      <c r="E531" s="4"/>
      <c r="F531" s="29">
        <f>F532</f>
        <v>435971</v>
      </c>
      <c r="G531" s="29">
        <f>G532</f>
        <v>435971</v>
      </c>
    </row>
    <row r="532" spans="1:7" ht="63">
      <c r="A532" s="3" t="s">
        <v>330</v>
      </c>
      <c r="B532" s="4" t="s">
        <v>263</v>
      </c>
      <c r="C532" s="4" t="s">
        <v>262</v>
      </c>
      <c r="D532" s="4" t="s">
        <v>193</v>
      </c>
      <c r="E532" s="4" t="s">
        <v>23</v>
      </c>
      <c r="F532" s="29">
        <f>прил7!G716</f>
        <v>435971</v>
      </c>
      <c r="G532" s="29">
        <f>F532</f>
        <v>435971</v>
      </c>
    </row>
    <row r="533" spans="1:7" ht="31.5">
      <c r="A533" s="3" t="s">
        <v>53</v>
      </c>
      <c r="B533" s="4" t="s">
        <v>263</v>
      </c>
      <c r="C533" s="4" t="s">
        <v>262</v>
      </c>
      <c r="D533" s="4" t="s">
        <v>54</v>
      </c>
      <c r="E533" s="4"/>
      <c r="F533" s="29">
        <f>F536+F534</f>
        <v>141010</v>
      </c>
      <c r="G533" s="29">
        <f>G536+G534</f>
        <v>141010</v>
      </c>
    </row>
    <row r="534" spans="1:7" ht="126">
      <c r="A534" s="3" t="s">
        <v>202</v>
      </c>
      <c r="B534" s="4" t="s">
        <v>263</v>
      </c>
      <c r="C534" s="4" t="s">
        <v>262</v>
      </c>
      <c r="D534" s="4" t="s">
        <v>204</v>
      </c>
      <c r="E534" s="4"/>
      <c r="F534" s="29">
        <f>F535</f>
        <v>707</v>
      </c>
      <c r="G534" s="29">
        <f>G535</f>
        <v>707</v>
      </c>
    </row>
    <row r="535" spans="1:7" ht="63">
      <c r="A535" s="3" t="s">
        <v>330</v>
      </c>
      <c r="B535" s="4" t="s">
        <v>263</v>
      </c>
      <c r="C535" s="4" t="s">
        <v>262</v>
      </c>
      <c r="D535" s="4" t="s">
        <v>204</v>
      </c>
      <c r="E535" s="4" t="s">
        <v>23</v>
      </c>
      <c r="F535" s="29">
        <f>прил7!G719</f>
        <v>707</v>
      </c>
      <c r="G535" s="29">
        <f>F535</f>
        <v>707</v>
      </c>
    </row>
    <row r="536" spans="1:7" ht="126">
      <c r="A536" s="3" t="s">
        <v>190</v>
      </c>
      <c r="B536" s="4" t="s">
        <v>263</v>
      </c>
      <c r="C536" s="4" t="s">
        <v>262</v>
      </c>
      <c r="D536" s="4" t="s">
        <v>194</v>
      </c>
      <c r="E536" s="4"/>
      <c r="F536" s="29">
        <f>F537</f>
        <v>140303</v>
      </c>
      <c r="G536" s="29">
        <f>G537</f>
        <v>140303</v>
      </c>
    </row>
    <row r="537" spans="1:7" ht="63">
      <c r="A537" s="3" t="s">
        <v>330</v>
      </c>
      <c r="B537" s="4" t="s">
        <v>263</v>
      </c>
      <c r="C537" s="4" t="s">
        <v>262</v>
      </c>
      <c r="D537" s="4" t="s">
        <v>194</v>
      </c>
      <c r="E537" s="4" t="s">
        <v>23</v>
      </c>
      <c r="F537" s="29">
        <f>прил7!G721</f>
        <v>140303</v>
      </c>
      <c r="G537" s="29">
        <f>F537</f>
        <v>140303</v>
      </c>
    </row>
    <row r="538" spans="1:7" ht="15.75">
      <c r="A538" s="1" t="s">
        <v>295</v>
      </c>
      <c r="B538" s="2" t="s">
        <v>263</v>
      </c>
      <c r="C538" s="2" t="s">
        <v>265</v>
      </c>
      <c r="D538" s="2"/>
      <c r="E538" s="2"/>
      <c r="F538" s="33">
        <f>F556+F539</f>
        <v>47012600</v>
      </c>
      <c r="G538" s="33">
        <f>G556+G539</f>
        <v>47012600</v>
      </c>
    </row>
    <row r="539" spans="1:7" ht="47.25">
      <c r="A539" s="3" t="s">
        <v>331</v>
      </c>
      <c r="B539" s="4" t="s">
        <v>263</v>
      </c>
      <c r="C539" s="4" t="s">
        <v>265</v>
      </c>
      <c r="D539" s="4" t="s">
        <v>332</v>
      </c>
      <c r="E539" s="4"/>
      <c r="F539" s="37">
        <f>F547+F540</f>
        <v>45700400</v>
      </c>
      <c r="G539" s="37">
        <f>G547+G540</f>
        <v>45700400</v>
      </c>
    </row>
    <row r="540" spans="1:7" ht="47.25">
      <c r="A540" s="3" t="s">
        <v>354</v>
      </c>
      <c r="B540" s="4" t="s">
        <v>263</v>
      </c>
      <c r="C540" s="4" t="s">
        <v>265</v>
      </c>
      <c r="D540" s="4" t="s">
        <v>355</v>
      </c>
      <c r="E540" s="4"/>
      <c r="F540" s="37">
        <f>F541+F545</f>
        <v>19367200</v>
      </c>
      <c r="G540" s="37">
        <f>G541+G545</f>
        <v>19367200</v>
      </c>
    </row>
    <row r="541" spans="1:7" ht="126">
      <c r="A541" s="21" t="s">
        <v>371</v>
      </c>
      <c r="B541" s="99" t="s">
        <v>263</v>
      </c>
      <c r="C541" s="99" t="s">
        <v>265</v>
      </c>
      <c r="D541" s="99" t="s">
        <v>373</v>
      </c>
      <c r="E541" s="99"/>
      <c r="F541" s="96">
        <f>F543+F544</f>
        <v>472400</v>
      </c>
      <c r="G541" s="96">
        <f>G543+G544</f>
        <v>472400</v>
      </c>
    </row>
    <row r="542" spans="1:7" ht="78.75">
      <c r="A542" s="3" t="s">
        <v>372</v>
      </c>
      <c r="B542" s="99"/>
      <c r="C542" s="99"/>
      <c r="D542" s="99"/>
      <c r="E542" s="99"/>
      <c r="F542" s="96"/>
      <c r="G542" s="96"/>
    </row>
    <row r="543" spans="1:7" ht="31.5">
      <c r="A543" s="3" t="s">
        <v>239</v>
      </c>
      <c r="B543" s="4" t="s">
        <v>263</v>
      </c>
      <c r="C543" s="4" t="s">
        <v>265</v>
      </c>
      <c r="D543" s="4" t="s">
        <v>373</v>
      </c>
      <c r="E543" s="4" t="s">
        <v>240</v>
      </c>
      <c r="F543" s="37">
        <f>прил7!G581</f>
        <v>188948</v>
      </c>
      <c r="G543" s="37">
        <f>F543</f>
        <v>188948</v>
      </c>
    </row>
    <row r="544" spans="1:7" ht="63">
      <c r="A544" s="3" t="s">
        <v>330</v>
      </c>
      <c r="B544" s="4" t="s">
        <v>263</v>
      </c>
      <c r="C544" s="4" t="s">
        <v>265</v>
      </c>
      <c r="D544" s="4" t="s">
        <v>373</v>
      </c>
      <c r="E544" s="4" t="s">
        <v>23</v>
      </c>
      <c r="F544" s="37">
        <f>прил7!G582</f>
        <v>283452</v>
      </c>
      <c r="G544" s="37">
        <f>F544</f>
        <v>283452</v>
      </c>
    </row>
    <row r="545" spans="1:7" ht="110.25">
      <c r="A545" s="3" t="s">
        <v>374</v>
      </c>
      <c r="B545" s="4" t="s">
        <v>263</v>
      </c>
      <c r="C545" s="4" t="s">
        <v>265</v>
      </c>
      <c r="D545" s="4" t="s">
        <v>375</v>
      </c>
      <c r="E545" s="4"/>
      <c r="F545" s="37">
        <f>F546</f>
        <v>18894800</v>
      </c>
      <c r="G545" s="37">
        <f>G546</f>
        <v>18894800</v>
      </c>
    </row>
    <row r="546" spans="1:7" ht="31.5">
      <c r="A546" s="3" t="s">
        <v>239</v>
      </c>
      <c r="B546" s="4" t="s">
        <v>263</v>
      </c>
      <c r="C546" s="4" t="s">
        <v>265</v>
      </c>
      <c r="D546" s="4" t="s">
        <v>375</v>
      </c>
      <c r="E546" s="4" t="s">
        <v>240</v>
      </c>
      <c r="F546" s="37">
        <f>прил7!G584</f>
        <v>18894800</v>
      </c>
      <c r="G546" s="37">
        <f>F546</f>
        <v>18894800</v>
      </c>
    </row>
    <row r="547" spans="1:7" ht="63">
      <c r="A547" s="21" t="s">
        <v>362</v>
      </c>
      <c r="B547" s="4" t="s">
        <v>263</v>
      </c>
      <c r="C547" s="4" t="s">
        <v>265</v>
      </c>
      <c r="D547" s="4" t="s">
        <v>363</v>
      </c>
      <c r="E547" s="4"/>
      <c r="F547" s="37">
        <f>F548+F551+F553</f>
        <v>26333200</v>
      </c>
      <c r="G547" s="37">
        <f>G548+G551+G553</f>
        <v>26333200</v>
      </c>
    </row>
    <row r="548" spans="1:7" ht="94.5">
      <c r="A548" s="59" t="s">
        <v>368</v>
      </c>
      <c r="B548" s="4" t="s">
        <v>263</v>
      </c>
      <c r="C548" s="4" t="s">
        <v>265</v>
      </c>
      <c r="D548" s="4" t="s">
        <v>369</v>
      </c>
      <c r="E548" s="4"/>
      <c r="F548" s="37">
        <f>F549+F550</f>
        <v>21476900</v>
      </c>
      <c r="G548" s="37">
        <f>G549+G550</f>
        <v>21476900</v>
      </c>
    </row>
    <row r="549" spans="1:7" ht="47.25">
      <c r="A549" s="3" t="s">
        <v>306</v>
      </c>
      <c r="B549" s="4" t="s">
        <v>263</v>
      </c>
      <c r="C549" s="4" t="s">
        <v>265</v>
      </c>
      <c r="D549" s="4" t="s">
        <v>369</v>
      </c>
      <c r="E549" s="4" t="s">
        <v>19</v>
      </c>
      <c r="F549" s="37">
        <f>прил7!G587</f>
        <v>7602000</v>
      </c>
      <c r="G549" s="37">
        <f>F549</f>
        <v>7602000</v>
      </c>
    </row>
    <row r="550" spans="1:7" ht="31.5">
      <c r="A550" s="3" t="s">
        <v>239</v>
      </c>
      <c r="B550" s="4" t="s">
        <v>263</v>
      </c>
      <c r="C550" s="4" t="s">
        <v>265</v>
      </c>
      <c r="D550" s="4" t="s">
        <v>369</v>
      </c>
      <c r="E550" s="4" t="s">
        <v>240</v>
      </c>
      <c r="F550" s="37">
        <f>прил7!G588</f>
        <v>13874900</v>
      </c>
      <c r="G550" s="37">
        <f>F550</f>
        <v>13874900</v>
      </c>
    </row>
    <row r="551" spans="1:7" ht="141.75">
      <c r="A551" s="49" t="s">
        <v>167</v>
      </c>
      <c r="B551" s="4" t="s">
        <v>263</v>
      </c>
      <c r="C551" s="4" t="s">
        <v>265</v>
      </c>
      <c r="D551" s="4" t="s">
        <v>370</v>
      </c>
      <c r="E551" s="4"/>
      <c r="F551" s="37">
        <f>F552</f>
        <v>591300</v>
      </c>
      <c r="G551" s="37">
        <f>G552</f>
        <v>591300</v>
      </c>
    </row>
    <row r="552" spans="1:7" ht="47.25">
      <c r="A552" s="3" t="s">
        <v>306</v>
      </c>
      <c r="B552" s="4" t="s">
        <v>263</v>
      </c>
      <c r="C552" s="4" t="s">
        <v>265</v>
      </c>
      <c r="D552" s="4" t="s">
        <v>370</v>
      </c>
      <c r="E552" s="4" t="s">
        <v>19</v>
      </c>
      <c r="F552" s="37">
        <f>прил7!G590</f>
        <v>591300</v>
      </c>
      <c r="G552" s="37">
        <f>F552</f>
        <v>591300</v>
      </c>
    </row>
    <row r="553" spans="1:7" ht="157.5">
      <c r="A553" s="72" t="s">
        <v>233</v>
      </c>
      <c r="B553" s="4" t="s">
        <v>263</v>
      </c>
      <c r="C553" s="4" t="s">
        <v>265</v>
      </c>
      <c r="D553" s="4" t="s">
        <v>189</v>
      </c>
      <c r="E553" s="4"/>
      <c r="F553" s="37">
        <f>F554+F555</f>
        <v>4265000</v>
      </c>
      <c r="G553" s="37">
        <f>G554+G555</f>
        <v>4265000</v>
      </c>
    </row>
    <row r="554" spans="1:7" ht="126">
      <c r="A554" s="3" t="s">
        <v>305</v>
      </c>
      <c r="B554" s="4" t="s">
        <v>263</v>
      </c>
      <c r="C554" s="4" t="s">
        <v>265</v>
      </c>
      <c r="D554" s="4" t="s">
        <v>189</v>
      </c>
      <c r="E554" s="4" t="s">
        <v>18</v>
      </c>
      <c r="F554" s="37">
        <f>прил7!G592</f>
        <v>3550873.5</v>
      </c>
      <c r="G554" s="37">
        <f>F554</f>
        <v>3550873.5</v>
      </c>
    </row>
    <row r="555" spans="1:7" ht="47.25">
      <c r="A555" s="3" t="s">
        <v>306</v>
      </c>
      <c r="B555" s="4" t="s">
        <v>263</v>
      </c>
      <c r="C555" s="4" t="s">
        <v>265</v>
      </c>
      <c r="D555" s="4" t="s">
        <v>189</v>
      </c>
      <c r="E555" s="4" t="s">
        <v>19</v>
      </c>
      <c r="F555" s="37">
        <f>прил7!G593</f>
        <v>714126.5</v>
      </c>
      <c r="G555" s="37">
        <f>F555</f>
        <v>714126.5</v>
      </c>
    </row>
    <row r="556" spans="1:7" ht="63">
      <c r="A556" s="27" t="s">
        <v>313</v>
      </c>
      <c r="B556" s="4" t="s">
        <v>263</v>
      </c>
      <c r="C556" s="4" t="s">
        <v>265</v>
      </c>
      <c r="D556" s="4" t="s">
        <v>314</v>
      </c>
      <c r="E556" s="4"/>
      <c r="F556" s="29">
        <f>F557</f>
        <v>1312200</v>
      </c>
      <c r="G556" s="29">
        <f>G557</f>
        <v>1312200</v>
      </c>
    </row>
    <row r="557" spans="1:7" ht="47.25">
      <c r="A557" s="27" t="s">
        <v>315</v>
      </c>
      <c r="B557" s="4" t="s">
        <v>263</v>
      </c>
      <c r="C557" s="4" t="s">
        <v>265</v>
      </c>
      <c r="D557" s="4" t="s">
        <v>316</v>
      </c>
      <c r="E557" s="4"/>
      <c r="F557" s="29">
        <f>F558+F561</f>
        <v>1312200</v>
      </c>
      <c r="G557" s="29">
        <f>G558+G561</f>
        <v>1312200</v>
      </c>
    </row>
    <row r="558" spans="1:7" ht="157.5">
      <c r="A558" s="3" t="s">
        <v>359</v>
      </c>
      <c r="B558" s="4" t="s">
        <v>263</v>
      </c>
      <c r="C558" s="4" t="s">
        <v>265</v>
      </c>
      <c r="D558" s="4" t="s">
        <v>360</v>
      </c>
      <c r="E558" s="4"/>
      <c r="F558" s="29">
        <f>F559+F560</f>
        <v>118000</v>
      </c>
      <c r="G558" s="29">
        <f>G559+G560</f>
        <v>118000</v>
      </c>
    </row>
    <row r="559" spans="1:7" ht="126">
      <c r="A559" s="3" t="s">
        <v>305</v>
      </c>
      <c r="B559" s="4" t="s">
        <v>263</v>
      </c>
      <c r="C559" s="4" t="s">
        <v>265</v>
      </c>
      <c r="D559" s="4" t="s">
        <v>360</v>
      </c>
      <c r="E559" s="4" t="s">
        <v>18</v>
      </c>
      <c r="F559" s="29">
        <f>прил7!G190</f>
        <v>116350</v>
      </c>
      <c r="G559" s="29">
        <f>F559</f>
        <v>116350</v>
      </c>
    </row>
    <row r="560" spans="1:7" ht="57.75" customHeight="1">
      <c r="A560" s="3" t="s">
        <v>306</v>
      </c>
      <c r="B560" s="4" t="s">
        <v>263</v>
      </c>
      <c r="C560" s="4" t="s">
        <v>265</v>
      </c>
      <c r="D560" s="4" t="s">
        <v>360</v>
      </c>
      <c r="E560" s="4" t="s">
        <v>19</v>
      </c>
      <c r="F560" s="29">
        <f>прил7!G191</f>
        <v>1650</v>
      </c>
      <c r="G560" s="29">
        <f>F560</f>
        <v>1650</v>
      </c>
    </row>
    <row r="561" spans="1:7" ht="63">
      <c r="A561" s="61" t="s">
        <v>293</v>
      </c>
      <c r="B561" s="4" t="s">
        <v>263</v>
      </c>
      <c r="C561" s="4" t="s">
        <v>265</v>
      </c>
      <c r="D561" s="4" t="s">
        <v>207</v>
      </c>
      <c r="E561" s="4"/>
      <c r="F561" s="29">
        <f>F562+F563</f>
        <v>1194200</v>
      </c>
      <c r="G561" s="29">
        <f>G562+G563</f>
        <v>1194200</v>
      </c>
    </row>
    <row r="562" spans="1:7" ht="126">
      <c r="A562" s="3" t="s">
        <v>305</v>
      </c>
      <c r="B562" s="4" t="s">
        <v>263</v>
      </c>
      <c r="C562" s="4" t="s">
        <v>265</v>
      </c>
      <c r="D562" s="4" t="s">
        <v>207</v>
      </c>
      <c r="E562" s="4" t="s">
        <v>18</v>
      </c>
      <c r="F562" s="29">
        <f>прил7!G193</f>
        <v>1102116.51</v>
      </c>
      <c r="G562" s="29">
        <f>F562</f>
        <v>1102116.51</v>
      </c>
    </row>
    <row r="563" spans="1:7" ht="47.25">
      <c r="A563" s="3" t="s">
        <v>306</v>
      </c>
      <c r="B563" s="4" t="s">
        <v>263</v>
      </c>
      <c r="C563" s="4" t="s">
        <v>265</v>
      </c>
      <c r="D563" s="4" t="s">
        <v>207</v>
      </c>
      <c r="E563" s="4" t="s">
        <v>19</v>
      </c>
      <c r="F563" s="29">
        <f>прил7!G194</f>
        <v>92083.49</v>
      </c>
      <c r="G563" s="29">
        <f>F563</f>
        <v>92083.49</v>
      </c>
    </row>
    <row r="564" spans="1:7" ht="31.5">
      <c r="A564" s="13" t="s">
        <v>290</v>
      </c>
      <c r="B564" s="5" t="s">
        <v>263</v>
      </c>
      <c r="C564" s="5" t="s">
        <v>256</v>
      </c>
      <c r="D564" s="5"/>
      <c r="E564" s="5"/>
      <c r="F564" s="28">
        <f aca="true" t="shared" si="4" ref="F564:G567">F565</f>
        <v>16245570</v>
      </c>
      <c r="G564" s="28">
        <f t="shared" si="4"/>
        <v>16245570</v>
      </c>
    </row>
    <row r="565" spans="1:7" ht="63">
      <c r="A565" s="27" t="s">
        <v>313</v>
      </c>
      <c r="B565" s="4" t="s">
        <v>263</v>
      </c>
      <c r="C565" s="4" t="s">
        <v>256</v>
      </c>
      <c r="D565" s="4" t="s">
        <v>314</v>
      </c>
      <c r="E565" s="4"/>
      <c r="F565" s="29">
        <f t="shared" si="4"/>
        <v>16245570</v>
      </c>
      <c r="G565" s="29">
        <f t="shared" si="4"/>
        <v>16245570</v>
      </c>
    </row>
    <row r="566" spans="1:7" ht="78.75">
      <c r="A566" s="3" t="s">
        <v>45</v>
      </c>
      <c r="B566" s="4" t="s">
        <v>263</v>
      </c>
      <c r="C566" s="4" t="s">
        <v>256</v>
      </c>
      <c r="D566" s="4" t="s">
        <v>46</v>
      </c>
      <c r="E566" s="4"/>
      <c r="F566" s="29">
        <f t="shared" si="4"/>
        <v>16245570</v>
      </c>
      <c r="G566" s="29">
        <f t="shared" si="4"/>
        <v>16245570</v>
      </c>
    </row>
    <row r="567" spans="1:7" ht="78.75">
      <c r="A567" s="3" t="s">
        <v>47</v>
      </c>
      <c r="B567" s="4" t="s">
        <v>263</v>
      </c>
      <c r="C567" s="4" t="s">
        <v>256</v>
      </c>
      <c r="D567" s="4" t="s">
        <v>48</v>
      </c>
      <c r="E567" s="4"/>
      <c r="F567" s="29">
        <f t="shared" si="4"/>
        <v>16245570</v>
      </c>
      <c r="G567" s="29">
        <f t="shared" si="4"/>
        <v>16245570</v>
      </c>
    </row>
    <row r="568" spans="1:7" ht="31.5">
      <c r="A568" s="61" t="s">
        <v>239</v>
      </c>
      <c r="B568" s="4" t="s">
        <v>263</v>
      </c>
      <c r="C568" s="4" t="s">
        <v>256</v>
      </c>
      <c r="D568" s="4" t="s">
        <v>48</v>
      </c>
      <c r="E568" s="4" t="s">
        <v>240</v>
      </c>
      <c r="F568" s="29">
        <f>прил7!G397</f>
        <v>16245570</v>
      </c>
      <c r="G568" s="29">
        <f>F568</f>
        <v>16245570</v>
      </c>
    </row>
    <row r="569" spans="1:7" ht="15.75">
      <c r="A569" s="39" t="s">
        <v>166</v>
      </c>
      <c r="B569" s="5" t="s">
        <v>169</v>
      </c>
      <c r="C569" s="5" t="s">
        <v>285</v>
      </c>
      <c r="D569" s="23"/>
      <c r="E569" s="23"/>
      <c r="F569" s="28">
        <f>F570+F577</f>
        <v>4466800</v>
      </c>
      <c r="G569" s="28">
        <f>G570+G577</f>
        <v>1322000</v>
      </c>
    </row>
    <row r="570" spans="1:7" ht="15.75">
      <c r="A570" s="50" t="s">
        <v>8</v>
      </c>
      <c r="B570" s="2" t="s">
        <v>169</v>
      </c>
      <c r="C570" s="2" t="s">
        <v>255</v>
      </c>
      <c r="D570" s="4"/>
      <c r="E570" s="4"/>
      <c r="F570" s="33">
        <f>F571</f>
        <v>4394800</v>
      </c>
      <c r="G570" s="33">
        <f>G571</f>
        <v>1250000</v>
      </c>
    </row>
    <row r="571" spans="1:7" ht="78.75">
      <c r="A571" s="27" t="s">
        <v>343</v>
      </c>
      <c r="B571" s="4" t="s">
        <v>169</v>
      </c>
      <c r="C571" s="4" t="s">
        <v>255</v>
      </c>
      <c r="D571" s="4" t="s">
        <v>344</v>
      </c>
      <c r="E571" s="38"/>
      <c r="F571" s="29">
        <f>F572</f>
        <v>4394800</v>
      </c>
      <c r="G571" s="29">
        <f>G572</f>
        <v>1250000</v>
      </c>
    </row>
    <row r="572" spans="1:7" ht="31.5">
      <c r="A572" s="27" t="s">
        <v>347</v>
      </c>
      <c r="B572" s="4" t="s">
        <v>169</v>
      </c>
      <c r="C572" s="4" t="s">
        <v>255</v>
      </c>
      <c r="D572" s="4" t="s">
        <v>348</v>
      </c>
      <c r="E572" s="38"/>
      <c r="F572" s="29">
        <f>F573+F575</f>
        <v>4394800</v>
      </c>
      <c r="G572" s="29">
        <f>G573+G575</f>
        <v>1250000</v>
      </c>
    </row>
    <row r="573" spans="1:7" ht="31.5">
      <c r="A573" s="27" t="s">
        <v>326</v>
      </c>
      <c r="B573" s="4" t="s">
        <v>169</v>
      </c>
      <c r="C573" s="4" t="s">
        <v>255</v>
      </c>
      <c r="D573" s="4" t="s">
        <v>150</v>
      </c>
      <c r="E573" s="38"/>
      <c r="F573" s="29">
        <f>F574</f>
        <v>3144800</v>
      </c>
      <c r="G573" s="29"/>
    </row>
    <row r="574" spans="1:7" ht="47.25">
      <c r="A574" s="3" t="s">
        <v>306</v>
      </c>
      <c r="B574" s="4" t="s">
        <v>169</v>
      </c>
      <c r="C574" s="4" t="s">
        <v>255</v>
      </c>
      <c r="D574" s="4" t="s">
        <v>150</v>
      </c>
      <c r="E574" s="4" t="s">
        <v>19</v>
      </c>
      <c r="F574" s="29">
        <f>прил7!G403+прил7!G727</f>
        <v>3144800</v>
      </c>
      <c r="G574" s="29"/>
    </row>
    <row r="575" spans="1:7" ht="63">
      <c r="A575" s="3" t="s">
        <v>458</v>
      </c>
      <c r="B575" s="4" t="s">
        <v>169</v>
      </c>
      <c r="C575" s="4" t="s">
        <v>255</v>
      </c>
      <c r="D575" s="4" t="s">
        <v>459</v>
      </c>
      <c r="E575" s="4"/>
      <c r="F575" s="29">
        <f>F576</f>
        <v>1250000</v>
      </c>
      <c r="G575" s="29">
        <f>G576</f>
        <v>1250000</v>
      </c>
    </row>
    <row r="576" spans="1:7" ht="47.25">
      <c r="A576" s="3" t="s">
        <v>306</v>
      </c>
      <c r="B576" s="4" t="s">
        <v>169</v>
      </c>
      <c r="C576" s="4" t="s">
        <v>255</v>
      </c>
      <c r="D576" s="4" t="s">
        <v>459</v>
      </c>
      <c r="E576" s="4" t="s">
        <v>19</v>
      </c>
      <c r="F576" s="29">
        <f>прил7!G405</f>
        <v>1250000</v>
      </c>
      <c r="G576" s="29">
        <f>F576</f>
        <v>1250000</v>
      </c>
    </row>
    <row r="577" spans="1:7" ht="31.5">
      <c r="A577" s="1" t="s">
        <v>342</v>
      </c>
      <c r="B577" s="2" t="s">
        <v>169</v>
      </c>
      <c r="C577" s="2" t="s">
        <v>257</v>
      </c>
      <c r="D577" s="9"/>
      <c r="E577" s="9"/>
      <c r="F577" s="33">
        <f aca="true" t="shared" si="5" ref="F577:G580">F578</f>
        <v>72000</v>
      </c>
      <c r="G577" s="33">
        <f t="shared" si="5"/>
        <v>72000</v>
      </c>
    </row>
    <row r="578" spans="1:7" ht="78.75">
      <c r="A578" s="3" t="s">
        <v>343</v>
      </c>
      <c r="B578" s="4" t="s">
        <v>169</v>
      </c>
      <c r="C578" s="4" t="s">
        <v>257</v>
      </c>
      <c r="D578" s="4" t="s">
        <v>344</v>
      </c>
      <c r="E578" s="4"/>
      <c r="F578" s="29">
        <f t="shared" si="5"/>
        <v>72000</v>
      </c>
      <c r="G578" s="29">
        <f t="shared" si="5"/>
        <v>72000</v>
      </c>
    </row>
    <row r="579" spans="1:7" ht="31.5">
      <c r="A579" s="27" t="s">
        <v>347</v>
      </c>
      <c r="B579" s="4" t="s">
        <v>169</v>
      </c>
      <c r="C579" s="4" t="s">
        <v>257</v>
      </c>
      <c r="D579" s="4" t="s">
        <v>348</v>
      </c>
      <c r="E579" s="4"/>
      <c r="F579" s="29">
        <f t="shared" si="5"/>
        <v>72000</v>
      </c>
      <c r="G579" s="29">
        <f t="shared" si="5"/>
        <v>72000</v>
      </c>
    </row>
    <row r="580" spans="1:7" ht="157.5">
      <c r="A580" s="27" t="s">
        <v>349</v>
      </c>
      <c r="B580" s="4" t="s">
        <v>169</v>
      </c>
      <c r="C580" s="4" t="s">
        <v>257</v>
      </c>
      <c r="D580" s="4" t="s">
        <v>350</v>
      </c>
      <c r="E580" s="4"/>
      <c r="F580" s="29">
        <f t="shared" si="5"/>
        <v>72000</v>
      </c>
      <c r="G580" s="29">
        <f t="shared" si="5"/>
        <v>72000</v>
      </c>
    </row>
    <row r="581" spans="1:7" ht="126">
      <c r="A581" s="3" t="s">
        <v>305</v>
      </c>
      <c r="B581" s="4" t="s">
        <v>169</v>
      </c>
      <c r="C581" s="4" t="s">
        <v>257</v>
      </c>
      <c r="D581" s="4" t="s">
        <v>350</v>
      </c>
      <c r="E581" s="4" t="s">
        <v>18</v>
      </c>
      <c r="F581" s="29">
        <f>прил7!G732</f>
        <v>72000</v>
      </c>
      <c r="G581" s="29">
        <f>F581</f>
        <v>72000</v>
      </c>
    </row>
    <row r="582" spans="1:7" ht="31.5">
      <c r="A582" s="13" t="s">
        <v>9</v>
      </c>
      <c r="B582" s="5" t="s">
        <v>13</v>
      </c>
      <c r="C582" s="5" t="s">
        <v>285</v>
      </c>
      <c r="D582" s="5"/>
      <c r="E582" s="5"/>
      <c r="F582" s="28">
        <f>F583</f>
        <v>3000000</v>
      </c>
      <c r="G582" s="28"/>
    </row>
    <row r="583" spans="1:7" ht="31.5">
      <c r="A583" s="3" t="s">
        <v>165</v>
      </c>
      <c r="B583" s="4" t="s">
        <v>13</v>
      </c>
      <c r="C583" s="4" t="s">
        <v>260</v>
      </c>
      <c r="D583" s="4"/>
      <c r="E583" s="4"/>
      <c r="F583" s="29">
        <f>F584</f>
        <v>3000000</v>
      </c>
      <c r="G583" s="29"/>
    </row>
    <row r="584" spans="1:7" ht="47.25">
      <c r="A584" s="3" t="s">
        <v>307</v>
      </c>
      <c r="B584" s="4" t="s">
        <v>13</v>
      </c>
      <c r="C584" s="4" t="s">
        <v>260</v>
      </c>
      <c r="D584" s="4" t="s">
        <v>308</v>
      </c>
      <c r="E584" s="4"/>
      <c r="F584" s="29">
        <f>F585</f>
        <v>3000000</v>
      </c>
      <c r="G584" s="29"/>
    </row>
    <row r="585" spans="1:7" ht="110.25">
      <c r="A585" s="3" t="s">
        <v>80</v>
      </c>
      <c r="B585" s="4" t="s">
        <v>13</v>
      </c>
      <c r="C585" s="4" t="s">
        <v>260</v>
      </c>
      <c r="D585" s="4" t="s">
        <v>81</v>
      </c>
      <c r="E585" s="4"/>
      <c r="F585" s="29">
        <f>F586</f>
        <v>3000000</v>
      </c>
      <c r="G585" s="29"/>
    </row>
    <row r="586" spans="1:7" ht="47.25">
      <c r="A586" s="3" t="s">
        <v>82</v>
      </c>
      <c r="B586" s="4" t="s">
        <v>13</v>
      </c>
      <c r="C586" s="4" t="s">
        <v>260</v>
      </c>
      <c r="D586" s="4" t="s">
        <v>83</v>
      </c>
      <c r="E586" s="4"/>
      <c r="F586" s="29">
        <f>F587</f>
        <v>3000000</v>
      </c>
      <c r="G586" s="29"/>
    </row>
    <row r="587" spans="1:7" ht="15.75">
      <c r="A587" s="6" t="s">
        <v>235</v>
      </c>
      <c r="B587" s="7" t="s">
        <v>13</v>
      </c>
      <c r="C587" s="7" t="s">
        <v>260</v>
      </c>
      <c r="D587" s="7" t="s">
        <v>83</v>
      </c>
      <c r="E587" s="7" t="s">
        <v>22</v>
      </c>
      <c r="F587" s="31">
        <f>прил7!G200</f>
        <v>3000000</v>
      </c>
      <c r="G587" s="31"/>
    </row>
    <row r="588" spans="1:7" ht="47.25">
      <c r="A588" s="88" t="s">
        <v>168</v>
      </c>
      <c r="B588" s="2" t="s">
        <v>16</v>
      </c>
      <c r="C588" s="2"/>
      <c r="D588" s="2"/>
      <c r="E588" s="2"/>
      <c r="F588" s="33">
        <f>F589</f>
        <v>3544242.26</v>
      </c>
      <c r="G588" s="29"/>
    </row>
    <row r="589" spans="1:7" ht="47.25">
      <c r="A589" s="88" t="s">
        <v>103</v>
      </c>
      <c r="B589" s="2" t="s">
        <v>16</v>
      </c>
      <c r="C589" s="2" t="s">
        <v>255</v>
      </c>
      <c r="D589" s="4"/>
      <c r="E589" s="4"/>
      <c r="F589" s="33">
        <f>F590</f>
        <v>3544242.26</v>
      </c>
      <c r="G589" s="29"/>
    </row>
    <row r="590" spans="1:7" ht="110.25">
      <c r="A590" s="89" t="s">
        <v>6</v>
      </c>
      <c r="B590" s="4" t="s">
        <v>16</v>
      </c>
      <c r="C590" s="4" t="s">
        <v>255</v>
      </c>
      <c r="D590" s="4" t="s">
        <v>7</v>
      </c>
      <c r="E590" s="4"/>
      <c r="F590" s="29">
        <f>F591</f>
        <v>3544242.26</v>
      </c>
      <c r="G590" s="29"/>
    </row>
    <row r="591" spans="1:7" ht="47.25">
      <c r="A591" s="89" t="s">
        <v>104</v>
      </c>
      <c r="B591" s="4" t="s">
        <v>16</v>
      </c>
      <c r="C591" s="4" t="s">
        <v>255</v>
      </c>
      <c r="D591" s="4" t="s">
        <v>105</v>
      </c>
      <c r="E591" s="4"/>
      <c r="F591" s="29">
        <f>F592</f>
        <v>3544242.26</v>
      </c>
      <c r="G591" s="29"/>
    </row>
    <row r="592" spans="1:7" ht="31.5">
      <c r="A592" s="89" t="s">
        <v>106</v>
      </c>
      <c r="B592" s="4" t="s">
        <v>16</v>
      </c>
      <c r="C592" s="4" t="s">
        <v>255</v>
      </c>
      <c r="D592" s="4" t="s">
        <v>107</v>
      </c>
      <c r="E592" s="4"/>
      <c r="F592" s="29">
        <f>F593</f>
        <v>3544242.26</v>
      </c>
      <c r="G592" s="29"/>
    </row>
    <row r="593" spans="1:7" ht="31.5">
      <c r="A593" s="89" t="s">
        <v>298</v>
      </c>
      <c r="B593" s="4" t="s">
        <v>16</v>
      </c>
      <c r="C593" s="4" t="s">
        <v>255</v>
      </c>
      <c r="D593" s="4" t="s">
        <v>107</v>
      </c>
      <c r="E593" s="4" t="s">
        <v>21</v>
      </c>
      <c r="F593" s="29">
        <f>прил7!G437</f>
        <v>3544242.26</v>
      </c>
      <c r="G593" s="29"/>
    </row>
    <row r="594" spans="1:7" ht="15.75">
      <c r="A594" s="54" t="s">
        <v>358</v>
      </c>
      <c r="B594" s="56"/>
      <c r="C594" s="56"/>
      <c r="D594" s="56"/>
      <c r="E594" s="56"/>
      <c r="F594" s="58">
        <f>F11+F173+F206+F256+F320+F329+F501+F582+F588+F453+F569</f>
        <v>2471239410.1800003</v>
      </c>
      <c r="G594" s="58">
        <f>G11+G173+G206+G256+G320+G329+G501+G582+G588+G453+G569</f>
        <v>919596979.34</v>
      </c>
    </row>
    <row r="595" spans="1:7" ht="15.75">
      <c r="A595" s="17"/>
      <c r="B595" s="18"/>
      <c r="C595" s="18"/>
      <c r="D595" s="18"/>
      <c r="E595" s="18"/>
      <c r="F595" s="44"/>
      <c r="G595" s="44"/>
    </row>
    <row r="596" spans="1:7" ht="15.75" hidden="1">
      <c r="A596" s="17"/>
      <c r="B596" s="18"/>
      <c r="C596" s="18"/>
      <c r="D596" s="18"/>
      <c r="E596" s="18"/>
      <c r="F596" s="44"/>
      <c r="G596" s="44"/>
    </row>
    <row r="597" spans="1:7" ht="15.75" hidden="1">
      <c r="A597" s="17"/>
      <c r="B597" s="18"/>
      <c r="C597" s="18"/>
      <c r="D597" s="18"/>
      <c r="E597" s="18"/>
      <c r="F597" s="44"/>
      <c r="G597" s="44"/>
    </row>
    <row r="598" spans="1:7" ht="15.75" hidden="1">
      <c r="A598" s="17"/>
      <c r="B598" s="18"/>
      <c r="C598" s="18"/>
      <c r="D598" s="18"/>
      <c r="E598" s="18"/>
      <c r="F598" s="44"/>
      <c r="G598" s="44"/>
    </row>
    <row r="599" spans="1:7" ht="15.75" hidden="1">
      <c r="A599" s="17"/>
      <c r="B599" s="18"/>
      <c r="C599" s="18"/>
      <c r="D599" s="18"/>
      <c r="E599" s="18"/>
      <c r="F599" s="44">
        <f>F594-прил7!G756</f>
        <v>0</v>
      </c>
      <c r="G599" s="44">
        <f>G594-прил7!H756</f>
        <v>0</v>
      </c>
    </row>
    <row r="600" spans="1:7" ht="15.75">
      <c r="A600" s="17"/>
      <c r="B600" s="18"/>
      <c r="C600" s="18"/>
      <c r="D600" s="18"/>
      <c r="E600" s="18"/>
      <c r="F600" s="44"/>
      <c r="G600" s="44"/>
    </row>
    <row r="601" spans="1:7" ht="15.75">
      <c r="A601" s="17"/>
      <c r="B601" s="18"/>
      <c r="C601" s="18"/>
      <c r="D601" s="18"/>
      <c r="E601" s="18"/>
      <c r="F601" s="44"/>
      <c r="G601" s="44"/>
    </row>
    <row r="602" spans="1:7" ht="15.75">
      <c r="A602" s="17"/>
      <c r="B602" s="18"/>
      <c r="C602" s="18"/>
      <c r="D602" s="18"/>
      <c r="E602" s="18"/>
      <c r="F602" s="44"/>
      <c r="G602" s="44"/>
    </row>
    <row r="603" spans="1:7" ht="15.75">
      <c r="A603" s="17"/>
      <c r="B603" s="18"/>
      <c r="C603" s="18"/>
      <c r="D603" s="18"/>
      <c r="E603" s="18"/>
      <c r="F603" s="44"/>
      <c r="G603" s="44"/>
    </row>
    <row r="604" spans="1:7" ht="15.75">
      <c r="A604" s="17"/>
      <c r="B604" s="18"/>
      <c r="C604" s="18"/>
      <c r="D604" s="18"/>
      <c r="E604" s="18"/>
      <c r="F604" s="44"/>
      <c r="G604" s="44"/>
    </row>
    <row r="605" spans="1:7" ht="15.75">
      <c r="A605" s="17"/>
      <c r="B605" s="18"/>
      <c r="C605" s="18"/>
      <c r="D605" s="18"/>
      <c r="E605" s="18"/>
      <c r="F605" s="44"/>
      <c r="G605" s="44"/>
    </row>
    <row r="606" spans="1:7" ht="15.75">
      <c r="A606" s="17"/>
      <c r="B606" s="18"/>
      <c r="C606" s="18"/>
      <c r="D606" s="18"/>
      <c r="E606" s="18"/>
      <c r="F606" s="44"/>
      <c r="G606" s="44"/>
    </row>
    <row r="607" spans="1:7" ht="15.75">
      <c r="A607" s="17"/>
      <c r="B607" s="18"/>
      <c r="C607" s="18"/>
      <c r="D607" s="18"/>
      <c r="E607" s="18"/>
      <c r="F607" s="44"/>
      <c r="G607" s="44"/>
    </row>
    <row r="608" spans="1:7" ht="15.75">
      <c r="A608" s="17"/>
      <c r="B608" s="18"/>
      <c r="C608" s="18"/>
      <c r="D608" s="18"/>
      <c r="E608" s="18"/>
      <c r="F608" s="44"/>
      <c r="G608" s="44"/>
    </row>
    <row r="609" spans="1:7" ht="15.75">
      <c r="A609" s="17"/>
      <c r="B609" s="18"/>
      <c r="C609" s="18"/>
      <c r="D609" s="18"/>
      <c r="E609" s="18"/>
      <c r="F609" s="44"/>
      <c r="G609" s="44"/>
    </row>
    <row r="610" spans="1:7" ht="15.75">
      <c r="A610" s="17"/>
      <c r="B610" s="18"/>
      <c r="C610" s="18"/>
      <c r="D610" s="18"/>
      <c r="E610" s="18"/>
      <c r="F610" s="44"/>
      <c r="G610" s="44"/>
    </row>
    <row r="611" spans="1:7" ht="15.75">
      <c r="A611" s="17"/>
      <c r="B611" s="18"/>
      <c r="C611" s="18"/>
      <c r="D611" s="18"/>
      <c r="E611" s="18"/>
      <c r="F611" s="44"/>
      <c r="G611" s="44"/>
    </row>
    <row r="612" spans="1:7" ht="15.75">
      <c r="A612" s="17"/>
      <c r="B612" s="18"/>
      <c r="C612" s="18"/>
      <c r="D612" s="18"/>
      <c r="E612" s="18"/>
      <c r="F612" s="44"/>
      <c r="G612" s="44"/>
    </row>
    <row r="613" spans="1:7" ht="15.75">
      <c r="A613" s="17"/>
      <c r="B613" s="18"/>
      <c r="C613" s="18"/>
      <c r="D613" s="18"/>
      <c r="E613" s="18"/>
      <c r="F613" s="44"/>
      <c r="G613" s="44"/>
    </row>
    <row r="614" spans="1:7" ht="15.75">
      <c r="A614" s="17"/>
      <c r="B614" s="18"/>
      <c r="C614" s="18"/>
      <c r="D614" s="18"/>
      <c r="E614" s="18"/>
      <c r="F614" s="44"/>
      <c r="G614" s="44"/>
    </row>
    <row r="615" spans="1:7" ht="15.75">
      <c r="A615" s="17"/>
      <c r="B615" s="18"/>
      <c r="C615" s="18"/>
      <c r="D615" s="18"/>
      <c r="E615" s="18"/>
      <c r="F615" s="44"/>
      <c r="G615" s="44"/>
    </row>
    <row r="616" spans="1:7" ht="15.75">
      <c r="A616" s="17"/>
      <c r="B616" s="18"/>
      <c r="C616" s="18"/>
      <c r="D616" s="18"/>
      <c r="E616" s="18"/>
      <c r="F616" s="44"/>
      <c r="G616" s="44"/>
    </row>
    <row r="617" spans="1:7" ht="15.75">
      <c r="A617" s="17"/>
      <c r="B617" s="18"/>
      <c r="C617" s="18"/>
      <c r="D617" s="18"/>
      <c r="E617" s="18"/>
      <c r="F617" s="44"/>
      <c r="G617" s="44"/>
    </row>
    <row r="618" spans="1:7" ht="15.75">
      <c r="A618" s="17"/>
      <c r="B618" s="18"/>
      <c r="C618" s="18"/>
      <c r="D618" s="18"/>
      <c r="E618" s="18"/>
      <c r="F618" s="44"/>
      <c r="G618" s="44"/>
    </row>
    <row r="619" spans="1:7" ht="15.75">
      <c r="A619" s="17"/>
      <c r="B619" s="18"/>
      <c r="C619" s="18"/>
      <c r="D619" s="18"/>
      <c r="E619" s="18"/>
      <c r="F619" s="44"/>
      <c r="G619" s="44"/>
    </row>
    <row r="620" spans="1:7" ht="15.75">
      <c r="A620" s="17"/>
      <c r="B620" s="18"/>
      <c r="C620" s="18"/>
      <c r="D620" s="18"/>
      <c r="E620" s="18"/>
      <c r="F620" s="44"/>
      <c r="G620" s="44"/>
    </row>
    <row r="621" spans="1:7" ht="15.75">
      <c r="A621" s="17"/>
      <c r="B621" s="18"/>
      <c r="C621" s="18"/>
      <c r="D621" s="18"/>
      <c r="E621" s="18"/>
      <c r="F621" s="44"/>
      <c r="G621" s="44"/>
    </row>
    <row r="622" spans="1:7" ht="15.75">
      <c r="A622" s="17"/>
      <c r="B622" s="18"/>
      <c r="C622" s="18"/>
      <c r="D622" s="18"/>
      <c r="E622" s="18"/>
      <c r="F622" s="44"/>
      <c r="G622" s="44"/>
    </row>
    <row r="623" spans="1:7" ht="15.75">
      <c r="A623" s="17"/>
      <c r="B623" s="18"/>
      <c r="C623" s="18"/>
      <c r="D623" s="18"/>
      <c r="E623" s="18"/>
      <c r="F623" s="44"/>
      <c r="G623" s="44"/>
    </row>
    <row r="624" spans="1:7" ht="15.75">
      <c r="A624" s="17"/>
      <c r="B624" s="18"/>
      <c r="C624" s="18"/>
      <c r="D624" s="18"/>
      <c r="E624" s="18"/>
      <c r="F624" s="44"/>
      <c r="G624" s="44"/>
    </row>
    <row r="625" spans="1:7" ht="15.75">
      <c r="A625" s="17"/>
      <c r="B625" s="18"/>
      <c r="C625" s="18"/>
      <c r="D625" s="18"/>
      <c r="E625" s="18"/>
      <c r="F625" s="44"/>
      <c r="G625" s="44"/>
    </row>
    <row r="626" spans="1:7" ht="15.75">
      <c r="A626" s="17"/>
      <c r="B626" s="18"/>
      <c r="C626" s="18"/>
      <c r="D626" s="18"/>
      <c r="E626" s="18"/>
      <c r="F626" s="44"/>
      <c r="G626" s="44"/>
    </row>
    <row r="627" spans="1:7" ht="15.75">
      <c r="A627" s="17"/>
      <c r="B627" s="18"/>
      <c r="C627" s="18"/>
      <c r="D627" s="18"/>
      <c r="E627" s="18"/>
      <c r="F627" s="44"/>
      <c r="G627" s="44"/>
    </row>
    <row r="628" spans="1:7" ht="15.75">
      <c r="A628" s="17"/>
      <c r="B628" s="18"/>
      <c r="C628" s="18"/>
      <c r="D628" s="18"/>
      <c r="E628" s="18"/>
      <c r="F628" s="44"/>
      <c r="G628" s="44"/>
    </row>
    <row r="629" spans="1:7" ht="15.75">
      <c r="A629" s="17"/>
      <c r="B629" s="18"/>
      <c r="C629" s="18"/>
      <c r="D629" s="18"/>
      <c r="E629" s="18"/>
      <c r="F629" s="44"/>
      <c r="G629" s="44"/>
    </row>
    <row r="630" spans="1:7" ht="15.75">
      <c r="A630" s="17"/>
      <c r="B630" s="18"/>
      <c r="C630" s="18"/>
      <c r="D630" s="18"/>
      <c r="E630" s="18"/>
      <c r="F630" s="44"/>
      <c r="G630" s="44"/>
    </row>
    <row r="631" spans="1:7" ht="15.75">
      <c r="A631" s="17"/>
      <c r="B631" s="18"/>
      <c r="C631" s="18"/>
      <c r="D631" s="18"/>
      <c r="E631" s="18"/>
      <c r="F631" s="44"/>
      <c r="G631" s="44"/>
    </row>
    <row r="632" spans="1:7" ht="15.75">
      <c r="A632" s="17"/>
      <c r="B632" s="18"/>
      <c r="C632" s="18"/>
      <c r="D632" s="18"/>
      <c r="E632" s="18"/>
      <c r="F632" s="44"/>
      <c r="G632" s="44"/>
    </row>
    <row r="633" spans="1:7" ht="15.75">
      <c r="A633" s="17"/>
      <c r="B633" s="18"/>
      <c r="C633" s="18"/>
      <c r="D633" s="18"/>
      <c r="E633" s="18"/>
      <c r="F633" s="44"/>
      <c r="G633" s="44"/>
    </row>
    <row r="634" spans="1:7" ht="15.75">
      <c r="A634" s="17"/>
      <c r="B634" s="18"/>
      <c r="C634" s="18"/>
      <c r="D634" s="18"/>
      <c r="E634" s="18"/>
      <c r="F634" s="44"/>
      <c r="G634" s="44"/>
    </row>
    <row r="635" spans="1:7" ht="15.75">
      <c r="A635" s="17"/>
      <c r="B635" s="18"/>
      <c r="C635" s="18"/>
      <c r="D635" s="18"/>
      <c r="E635" s="18"/>
      <c r="F635" s="44"/>
      <c r="G635" s="44"/>
    </row>
    <row r="636" spans="1:7" ht="15.75">
      <c r="A636" s="17"/>
      <c r="B636" s="18"/>
      <c r="C636" s="18"/>
      <c r="D636" s="18"/>
      <c r="E636" s="18"/>
      <c r="F636" s="44"/>
      <c r="G636" s="44"/>
    </row>
    <row r="637" spans="1:7" ht="15.75">
      <c r="A637" s="17"/>
      <c r="B637" s="18"/>
      <c r="C637" s="18"/>
      <c r="D637" s="18"/>
      <c r="E637" s="18"/>
      <c r="F637" s="44"/>
      <c r="G637" s="44"/>
    </row>
    <row r="638" spans="1:7" ht="15.75">
      <c r="A638" s="17"/>
      <c r="B638" s="18"/>
      <c r="C638" s="18"/>
      <c r="D638" s="18"/>
      <c r="E638" s="18"/>
      <c r="F638" s="44"/>
      <c r="G638" s="44"/>
    </row>
    <row r="639" spans="1:7" ht="15.75">
      <c r="A639" s="17"/>
      <c r="B639" s="18"/>
      <c r="C639" s="18"/>
      <c r="D639" s="18"/>
      <c r="E639" s="18"/>
      <c r="F639" s="44"/>
      <c r="G639" s="44"/>
    </row>
    <row r="640" spans="1:7" ht="15.75">
      <c r="A640" s="17"/>
      <c r="B640" s="18"/>
      <c r="C640" s="18"/>
      <c r="D640" s="18"/>
      <c r="E640" s="18"/>
      <c r="F640" s="44"/>
      <c r="G640" s="44"/>
    </row>
    <row r="641" spans="1:7" ht="15.75">
      <c r="A641" s="17"/>
      <c r="B641" s="18"/>
      <c r="C641" s="18"/>
      <c r="D641" s="18"/>
      <c r="E641" s="18"/>
      <c r="F641" s="44"/>
      <c r="G641" s="44"/>
    </row>
    <row r="642" spans="1:7" ht="15.75">
      <c r="A642" s="17"/>
      <c r="B642" s="18"/>
      <c r="C642" s="18"/>
      <c r="D642" s="18"/>
      <c r="E642" s="18"/>
      <c r="F642" s="44"/>
      <c r="G642" s="44"/>
    </row>
    <row r="643" spans="1:7" ht="15.75">
      <c r="A643" s="17"/>
      <c r="B643" s="18"/>
      <c r="C643" s="18"/>
      <c r="D643" s="18"/>
      <c r="E643" s="18"/>
      <c r="F643" s="44"/>
      <c r="G643" s="44"/>
    </row>
    <row r="644" spans="1:7" ht="15.75">
      <c r="A644" s="17"/>
      <c r="B644" s="18"/>
      <c r="C644" s="18"/>
      <c r="D644" s="18"/>
      <c r="E644" s="18"/>
      <c r="F644" s="44"/>
      <c r="G644" s="44"/>
    </row>
    <row r="645" spans="1:7" ht="15.75">
      <c r="A645" s="17"/>
      <c r="B645" s="18"/>
      <c r="C645" s="18"/>
      <c r="D645" s="18"/>
      <c r="E645" s="18"/>
      <c r="F645" s="44"/>
      <c r="G645" s="44"/>
    </row>
    <row r="646" spans="1:7" ht="15.75">
      <c r="A646" s="17"/>
      <c r="B646" s="18"/>
      <c r="C646" s="18"/>
      <c r="D646" s="18"/>
      <c r="E646" s="18"/>
      <c r="F646" s="44"/>
      <c r="G646" s="44"/>
    </row>
    <row r="647" spans="1:7" ht="15.75">
      <c r="A647" s="17"/>
      <c r="B647" s="18"/>
      <c r="C647" s="18"/>
      <c r="D647" s="18"/>
      <c r="E647" s="18"/>
      <c r="F647" s="44"/>
      <c r="G647" s="44"/>
    </row>
    <row r="648" spans="1:7" ht="15.75">
      <c r="A648" s="17"/>
      <c r="B648" s="18"/>
      <c r="C648" s="18"/>
      <c r="D648" s="18"/>
      <c r="E648" s="18"/>
      <c r="F648" s="44"/>
      <c r="G648" s="44"/>
    </row>
    <row r="649" spans="1:7" ht="15.75">
      <c r="A649" s="17"/>
      <c r="B649" s="18"/>
      <c r="C649" s="18"/>
      <c r="D649" s="18"/>
      <c r="E649" s="18"/>
      <c r="F649" s="44"/>
      <c r="G649" s="44"/>
    </row>
    <row r="650" spans="1:7" ht="15.75">
      <c r="A650" s="17"/>
      <c r="B650" s="18"/>
      <c r="C650" s="18"/>
      <c r="D650" s="18"/>
      <c r="E650" s="18"/>
      <c r="F650" s="44"/>
      <c r="G650" s="44"/>
    </row>
    <row r="651" spans="1:7" ht="15.75">
      <c r="A651" s="17"/>
      <c r="B651" s="18"/>
      <c r="C651" s="18"/>
      <c r="D651" s="18"/>
      <c r="E651" s="18"/>
      <c r="F651" s="44"/>
      <c r="G651" s="44"/>
    </row>
    <row r="652" spans="1:7" ht="15.75">
      <c r="A652" s="17"/>
      <c r="B652" s="18"/>
      <c r="C652" s="18"/>
      <c r="D652" s="18"/>
      <c r="E652" s="18"/>
      <c r="F652" s="44"/>
      <c r="G652" s="44"/>
    </row>
    <row r="653" spans="1:7" ht="15.75">
      <c r="A653" s="17"/>
      <c r="B653" s="18"/>
      <c r="C653" s="18"/>
      <c r="D653" s="18"/>
      <c r="E653" s="18"/>
      <c r="F653" s="44"/>
      <c r="G653" s="44"/>
    </row>
    <row r="654" spans="1:7" ht="15.75">
      <c r="A654" s="17"/>
      <c r="B654" s="18"/>
      <c r="C654" s="18"/>
      <c r="D654" s="18"/>
      <c r="E654" s="18"/>
      <c r="F654" s="44"/>
      <c r="G654" s="44"/>
    </row>
    <row r="655" spans="1:7" ht="15.75">
      <c r="A655" s="17"/>
      <c r="B655" s="18"/>
      <c r="C655" s="18"/>
      <c r="D655" s="18"/>
      <c r="E655" s="18"/>
      <c r="F655" s="44"/>
      <c r="G655" s="44"/>
    </row>
    <row r="656" spans="1:7" ht="15.75">
      <c r="A656" s="17"/>
      <c r="B656" s="18"/>
      <c r="C656" s="18"/>
      <c r="D656" s="18"/>
      <c r="E656" s="18"/>
      <c r="F656" s="44"/>
      <c r="G656" s="44"/>
    </row>
    <row r="657" spans="1:7" ht="15.75">
      <c r="A657" s="17"/>
      <c r="B657" s="18"/>
      <c r="C657" s="18"/>
      <c r="D657" s="18"/>
      <c r="E657" s="18"/>
      <c r="F657" s="44"/>
      <c r="G657" s="44"/>
    </row>
    <row r="658" spans="1:7" ht="15.75">
      <c r="A658" s="17"/>
      <c r="B658" s="18"/>
      <c r="C658" s="18"/>
      <c r="D658" s="18"/>
      <c r="E658" s="18"/>
      <c r="F658" s="44"/>
      <c r="G658" s="44"/>
    </row>
    <row r="659" spans="1:7" ht="15.75">
      <c r="A659" s="17"/>
      <c r="B659" s="18"/>
      <c r="C659" s="18"/>
      <c r="D659" s="18"/>
      <c r="E659" s="18"/>
      <c r="F659" s="44"/>
      <c r="G659" s="44"/>
    </row>
    <row r="660" spans="1:7" ht="15.75">
      <c r="A660" s="17"/>
      <c r="B660" s="18"/>
      <c r="C660" s="18"/>
      <c r="D660" s="18"/>
      <c r="E660" s="18"/>
      <c r="F660" s="44"/>
      <c r="G660" s="44"/>
    </row>
    <row r="661" spans="1:7" ht="15.75">
      <c r="A661" s="17"/>
      <c r="B661" s="18"/>
      <c r="C661" s="18"/>
      <c r="D661" s="18"/>
      <c r="E661" s="18"/>
      <c r="F661" s="44"/>
      <c r="G661" s="44"/>
    </row>
    <row r="662" spans="1:7" ht="15.75">
      <c r="A662" s="17"/>
      <c r="B662" s="18"/>
      <c r="C662" s="18"/>
      <c r="D662" s="18"/>
      <c r="E662" s="18"/>
      <c r="F662" s="44"/>
      <c r="G662" s="44"/>
    </row>
    <row r="663" spans="1:7" ht="15.75">
      <c r="A663" s="17"/>
      <c r="B663" s="18"/>
      <c r="C663" s="18"/>
      <c r="D663" s="18"/>
      <c r="E663" s="18"/>
      <c r="F663" s="44"/>
      <c r="G663" s="44"/>
    </row>
    <row r="664" spans="1:7" ht="15.75">
      <c r="A664" s="17"/>
      <c r="B664" s="18"/>
      <c r="C664" s="18"/>
      <c r="D664" s="18"/>
      <c r="E664" s="18"/>
      <c r="F664" s="44"/>
      <c r="G664" s="44"/>
    </row>
    <row r="665" spans="1:7" ht="15.75">
      <c r="A665" s="17"/>
      <c r="B665" s="18"/>
      <c r="C665" s="18"/>
      <c r="D665" s="18"/>
      <c r="E665" s="18"/>
      <c r="F665" s="44"/>
      <c r="G665" s="44"/>
    </row>
    <row r="666" spans="1:7" ht="15.75">
      <c r="A666" s="17"/>
      <c r="B666" s="18"/>
      <c r="C666" s="18"/>
      <c r="D666" s="18"/>
      <c r="E666" s="18"/>
      <c r="F666" s="44"/>
      <c r="G666" s="44"/>
    </row>
    <row r="667" spans="1:7" ht="15.75">
      <c r="A667" s="17"/>
      <c r="B667" s="18"/>
      <c r="C667" s="18"/>
      <c r="D667" s="18"/>
      <c r="E667" s="18"/>
      <c r="F667" s="44"/>
      <c r="G667" s="44"/>
    </row>
    <row r="668" spans="1:7" ht="15.75">
      <c r="A668" s="17"/>
      <c r="B668" s="18"/>
      <c r="C668" s="18"/>
      <c r="D668" s="18"/>
      <c r="E668" s="18"/>
      <c r="F668" s="44"/>
      <c r="G668" s="44"/>
    </row>
    <row r="669" spans="1:7" ht="15.75">
      <c r="A669" s="17"/>
      <c r="B669" s="18"/>
      <c r="C669" s="18"/>
      <c r="D669" s="18"/>
      <c r="E669" s="18"/>
      <c r="F669" s="44"/>
      <c r="G669" s="44"/>
    </row>
    <row r="670" spans="1:7" ht="15.75">
      <c r="A670" s="17"/>
      <c r="B670" s="18"/>
      <c r="C670" s="18"/>
      <c r="D670" s="18"/>
      <c r="E670" s="18"/>
      <c r="F670" s="44"/>
      <c r="G670" s="44"/>
    </row>
    <row r="671" spans="1:7" ht="15.75">
      <c r="A671" s="17"/>
      <c r="B671" s="18"/>
      <c r="C671" s="18"/>
      <c r="D671" s="18"/>
      <c r="E671" s="18"/>
      <c r="F671" s="44"/>
      <c r="G671" s="44"/>
    </row>
    <row r="672" spans="1:7" ht="15.75">
      <c r="A672" s="17"/>
      <c r="B672" s="18"/>
      <c r="C672" s="18"/>
      <c r="D672" s="18"/>
      <c r="E672" s="18"/>
      <c r="F672" s="44"/>
      <c r="G672" s="44"/>
    </row>
    <row r="673" spans="1:7" ht="15.75">
      <c r="A673" s="17"/>
      <c r="B673" s="18"/>
      <c r="C673" s="18"/>
      <c r="D673" s="18"/>
      <c r="E673" s="18"/>
      <c r="F673" s="44"/>
      <c r="G673" s="44"/>
    </row>
    <row r="674" spans="1:7" ht="15.75">
      <c r="A674" s="17"/>
      <c r="B674" s="18"/>
      <c r="C674" s="18"/>
      <c r="D674" s="18"/>
      <c r="E674" s="18"/>
      <c r="F674" s="44"/>
      <c r="G674" s="44"/>
    </row>
    <row r="675" spans="1:7" ht="15.75">
      <c r="A675" s="17"/>
      <c r="B675" s="18"/>
      <c r="C675" s="18"/>
      <c r="D675" s="18"/>
      <c r="E675" s="18"/>
      <c r="F675" s="44"/>
      <c r="G675" s="44"/>
    </row>
    <row r="676" spans="1:7" ht="15.75">
      <c r="A676" s="17"/>
      <c r="B676" s="18"/>
      <c r="C676" s="18"/>
      <c r="D676" s="18"/>
      <c r="E676" s="18"/>
      <c r="F676" s="44"/>
      <c r="G676" s="44"/>
    </row>
    <row r="677" spans="1:7" ht="15.75">
      <c r="A677" s="17"/>
      <c r="B677" s="18"/>
      <c r="C677" s="18"/>
      <c r="D677" s="18"/>
      <c r="E677" s="18"/>
      <c r="F677" s="44"/>
      <c r="G677" s="44"/>
    </row>
    <row r="678" spans="1:7" ht="15.75">
      <c r="A678" s="17"/>
      <c r="B678" s="18"/>
      <c r="C678" s="18"/>
      <c r="D678" s="18"/>
      <c r="E678" s="18"/>
      <c r="F678" s="44"/>
      <c r="G678" s="44"/>
    </row>
    <row r="679" spans="1:7" ht="15.75">
      <c r="A679" s="17"/>
      <c r="B679" s="18"/>
      <c r="C679" s="18"/>
      <c r="D679" s="18"/>
      <c r="E679" s="18"/>
      <c r="F679" s="44"/>
      <c r="G679" s="44"/>
    </row>
    <row r="680" spans="1:7" ht="15.75">
      <c r="A680" s="17"/>
      <c r="B680" s="18"/>
      <c r="C680" s="18"/>
      <c r="D680" s="18"/>
      <c r="E680" s="18"/>
      <c r="F680" s="44"/>
      <c r="G680" s="44"/>
    </row>
    <row r="681" spans="1:7" ht="15.75">
      <c r="A681" s="17"/>
      <c r="B681" s="18"/>
      <c r="C681" s="18"/>
      <c r="D681" s="18"/>
      <c r="E681" s="18"/>
      <c r="F681" s="44"/>
      <c r="G681" s="44"/>
    </row>
    <row r="682" spans="1:7" ht="15.75">
      <c r="A682" s="17"/>
      <c r="B682" s="18"/>
      <c r="C682" s="18"/>
      <c r="D682" s="18"/>
      <c r="E682" s="18"/>
      <c r="F682" s="44"/>
      <c r="G682" s="44"/>
    </row>
    <row r="683" spans="1:7" ht="15.75">
      <c r="A683" s="17"/>
      <c r="B683" s="18"/>
      <c r="C683" s="18"/>
      <c r="D683" s="18"/>
      <c r="E683" s="18"/>
      <c r="F683" s="44"/>
      <c r="G683" s="44"/>
    </row>
    <row r="684" spans="1:7" ht="15.75">
      <c r="A684" s="17"/>
      <c r="B684" s="18"/>
      <c r="C684" s="18"/>
      <c r="D684" s="18"/>
      <c r="E684" s="18"/>
      <c r="F684" s="44"/>
      <c r="G684" s="44"/>
    </row>
    <row r="685" spans="1:7" ht="15.75">
      <c r="A685" s="17"/>
      <c r="B685" s="18"/>
      <c r="C685" s="18"/>
      <c r="D685" s="18"/>
      <c r="E685" s="18"/>
      <c r="F685" s="44"/>
      <c r="G685" s="44"/>
    </row>
    <row r="686" spans="1:7" ht="15.75">
      <c r="A686" s="17"/>
      <c r="B686" s="18"/>
      <c r="C686" s="18"/>
      <c r="D686" s="18"/>
      <c r="E686" s="18"/>
      <c r="F686" s="44"/>
      <c r="G686" s="44"/>
    </row>
    <row r="687" spans="1:7" ht="15.75">
      <c r="A687" s="17"/>
      <c r="B687" s="18"/>
      <c r="C687" s="18"/>
      <c r="D687" s="18"/>
      <c r="E687" s="18"/>
      <c r="F687" s="44"/>
      <c r="G687" s="44"/>
    </row>
    <row r="688" spans="1:7" ht="15.75">
      <c r="A688" s="17"/>
      <c r="B688" s="18"/>
      <c r="C688" s="18"/>
      <c r="D688" s="18"/>
      <c r="E688" s="18"/>
      <c r="F688" s="44"/>
      <c r="G688" s="44"/>
    </row>
    <row r="689" spans="1:7" ht="15.75">
      <c r="A689" s="17"/>
      <c r="B689" s="18"/>
      <c r="C689" s="18"/>
      <c r="D689" s="18"/>
      <c r="E689" s="18"/>
      <c r="F689" s="44"/>
      <c r="G689" s="44"/>
    </row>
    <row r="690" spans="1:7" ht="15.75">
      <c r="A690" s="17"/>
      <c r="B690" s="18"/>
      <c r="C690" s="18"/>
      <c r="D690" s="18"/>
      <c r="E690" s="18"/>
      <c r="F690" s="44"/>
      <c r="G690" s="44"/>
    </row>
    <row r="691" spans="1:7" ht="15.75">
      <c r="A691" s="17"/>
      <c r="B691" s="18"/>
      <c r="C691" s="18"/>
      <c r="D691" s="18"/>
      <c r="E691" s="18"/>
      <c r="F691" s="44"/>
      <c r="G691" s="44"/>
    </row>
    <row r="692" spans="1:7" ht="15.75">
      <c r="A692" s="17"/>
      <c r="B692" s="18"/>
      <c r="C692" s="18"/>
      <c r="D692" s="18"/>
      <c r="E692" s="18"/>
      <c r="F692" s="44"/>
      <c r="G692" s="44"/>
    </row>
    <row r="693" spans="1:7" ht="15.75">
      <c r="A693" s="17"/>
      <c r="B693" s="18"/>
      <c r="C693" s="18"/>
      <c r="D693" s="18"/>
      <c r="E693" s="18"/>
      <c r="F693" s="44"/>
      <c r="G693" s="44"/>
    </row>
    <row r="694" spans="1:7" ht="15.75">
      <c r="A694" s="17"/>
      <c r="B694" s="18"/>
      <c r="C694" s="18"/>
      <c r="D694" s="18"/>
      <c r="E694" s="18"/>
      <c r="F694" s="44"/>
      <c r="G694" s="44"/>
    </row>
    <row r="695" spans="1:7" ht="15.75">
      <c r="A695" s="17"/>
      <c r="B695" s="18"/>
      <c r="C695" s="18"/>
      <c r="D695" s="18"/>
      <c r="E695" s="18"/>
      <c r="F695" s="44"/>
      <c r="G695" s="44"/>
    </row>
    <row r="696" spans="1:7" ht="15.75">
      <c r="A696" s="17"/>
      <c r="B696" s="18"/>
      <c r="C696" s="18"/>
      <c r="D696" s="18"/>
      <c r="E696" s="18"/>
      <c r="F696" s="44"/>
      <c r="G696" s="44"/>
    </row>
    <row r="697" spans="1:7" ht="15.75">
      <c r="A697" s="17"/>
      <c r="B697" s="18"/>
      <c r="C697" s="18"/>
      <c r="D697" s="18"/>
      <c r="E697" s="18"/>
      <c r="F697" s="44"/>
      <c r="G697" s="44"/>
    </row>
    <row r="698" spans="1:7" ht="15.75">
      <c r="A698" s="17"/>
      <c r="B698" s="18"/>
      <c r="C698" s="18"/>
      <c r="D698" s="18"/>
      <c r="E698" s="18"/>
      <c r="F698" s="44"/>
      <c r="G698" s="44"/>
    </row>
    <row r="699" spans="1:7" ht="15.75">
      <c r="A699" s="17"/>
      <c r="B699" s="18"/>
      <c r="C699" s="18"/>
      <c r="D699" s="18"/>
      <c r="E699" s="18"/>
      <c r="F699" s="44"/>
      <c r="G699" s="44"/>
    </row>
    <row r="700" spans="1:7" ht="15.75">
      <c r="A700" s="17"/>
      <c r="B700" s="18"/>
      <c r="C700" s="18"/>
      <c r="D700" s="18"/>
      <c r="E700" s="18"/>
      <c r="F700" s="44"/>
      <c r="G700" s="44"/>
    </row>
    <row r="701" spans="1:7" ht="15.75">
      <c r="A701" s="17"/>
      <c r="B701" s="18"/>
      <c r="C701" s="18"/>
      <c r="D701" s="18"/>
      <c r="E701" s="18"/>
      <c r="F701" s="44"/>
      <c r="G701" s="44"/>
    </row>
    <row r="702" spans="1:7" ht="15.75">
      <c r="A702" s="17"/>
      <c r="B702" s="18"/>
      <c r="C702" s="18"/>
      <c r="D702" s="18"/>
      <c r="E702" s="18"/>
      <c r="F702" s="44"/>
      <c r="G702" s="44"/>
    </row>
    <row r="703" spans="1:7" ht="15.75">
      <c r="A703" s="17"/>
      <c r="B703" s="18"/>
      <c r="C703" s="18"/>
      <c r="D703" s="18"/>
      <c r="E703" s="18"/>
      <c r="F703" s="44"/>
      <c r="G703" s="44"/>
    </row>
    <row r="704" spans="1:7" ht="15.75">
      <c r="A704" s="17"/>
      <c r="B704" s="18"/>
      <c r="C704" s="18"/>
      <c r="D704" s="18"/>
      <c r="E704" s="18"/>
      <c r="F704" s="44"/>
      <c r="G704" s="44"/>
    </row>
    <row r="705" spans="1:7" ht="15.75">
      <c r="A705" s="17"/>
      <c r="B705" s="18"/>
      <c r="C705" s="18"/>
      <c r="D705" s="18"/>
      <c r="E705" s="18"/>
      <c r="F705" s="44"/>
      <c r="G705" s="44"/>
    </row>
    <row r="706" spans="1:7" ht="15.75">
      <c r="A706" s="17"/>
      <c r="B706" s="18"/>
      <c r="C706" s="18"/>
      <c r="D706" s="18"/>
      <c r="E706" s="18"/>
      <c r="F706" s="44"/>
      <c r="G706" s="44"/>
    </row>
    <row r="707" spans="1:7" ht="15.75">
      <c r="A707" s="17"/>
      <c r="B707" s="18"/>
      <c r="C707" s="18"/>
      <c r="D707" s="18"/>
      <c r="E707" s="18"/>
      <c r="F707" s="44"/>
      <c r="G707" s="44"/>
    </row>
    <row r="708" spans="1:7" ht="15.75">
      <c r="A708" s="17"/>
      <c r="B708" s="18"/>
      <c r="C708" s="18"/>
      <c r="D708" s="18"/>
      <c r="E708" s="18"/>
      <c r="F708" s="44"/>
      <c r="G708" s="44"/>
    </row>
    <row r="709" spans="1:7" ht="15.75">
      <c r="A709" s="17"/>
      <c r="B709" s="18"/>
      <c r="C709" s="18"/>
      <c r="D709" s="18"/>
      <c r="E709" s="18"/>
      <c r="F709" s="44"/>
      <c r="G709" s="44"/>
    </row>
    <row r="710" spans="1:7" ht="15.75">
      <c r="A710" s="17"/>
      <c r="B710" s="18"/>
      <c r="C710" s="18"/>
      <c r="D710" s="18"/>
      <c r="E710" s="18"/>
      <c r="F710" s="44"/>
      <c r="G710" s="44"/>
    </row>
    <row r="711" spans="1:7" ht="15.75">
      <c r="A711" s="17"/>
      <c r="B711" s="18"/>
      <c r="C711" s="18"/>
      <c r="D711" s="18"/>
      <c r="E711" s="18"/>
      <c r="F711" s="44"/>
      <c r="G711" s="44"/>
    </row>
    <row r="712" spans="1:7" ht="15.75">
      <c r="A712" s="17"/>
      <c r="B712" s="18"/>
      <c r="C712" s="18"/>
      <c r="D712" s="18"/>
      <c r="E712" s="18"/>
      <c r="F712" s="44"/>
      <c r="G712" s="44"/>
    </row>
    <row r="713" spans="1:7" ht="15.75">
      <c r="A713" s="17"/>
      <c r="B713" s="18"/>
      <c r="C713" s="18"/>
      <c r="D713" s="18"/>
      <c r="E713" s="18"/>
      <c r="F713" s="44"/>
      <c r="G713" s="44"/>
    </row>
    <row r="714" spans="1:7" ht="15.75">
      <c r="A714" s="17"/>
      <c r="B714" s="18"/>
      <c r="C714" s="18"/>
      <c r="D714" s="18"/>
      <c r="E714" s="18"/>
      <c r="F714" s="44"/>
      <c r="G714" s="44"/>
    </row>
    <row r="715" spans="1:7" ht="15.75">
      <c r="A715" s="17"/>
      <c r="B715" s="18"/>
      <c r="C715" s="18"/>
      <c r="D715" s="18"/>
      <c r="E715" s="18"/>
      <c r="F715" s="44"/>
      <c r="G715" s="44"/>
    </row>
    <row r="716" spans="1:7" ht="15.75">
      <c r="A716" s="17"/>
      <c r="B716" s="18"/>
      <c r="C716" s="18"/>
      <c r="D716" s="18"/>
      <c r="E716" s="18"/>
      <c r="F716" s="44"/>
      <c r="G716" s="44"/>
    </row>
    <row r="717" spans="1:7" ht="15.75">
      <c r="A717" s="17"/>
      <c r="B717" s="18"/>
      <c r="C717" s="18"/>
      <c r="D717" s="18"/>
      <c r="E717" s="18"/>
      <c r="F717" s="44"/>
      <c r="G717" s="44"/>
    </row>
    <row r="718" spans="1:7" ht="15.75">
      <c r="A718" s="17"/>
      <c r="B718" s="18"/>
      <c r="C718" s="18"/>
      <c r="D718" s="18"/>
      <c r="E718" s="18"/>
      <c r="F718" s="44"/>
      <c r="G718" s="44"/>
    </row>
    <row r="719" spans="1:7" ht="15.75">
      <c r="A719" s="17"/>
      <c r="B719" s="18"/>
      <c r="C719" s="18"/>
      <c r="D719" s="18"/>
      <c r="E719" s="18"/>
      <c r="F719" s="44"/>
      <c r="G719" s="44"/>
    </row>
    <row r="720" spans="1:7" ht="15.75">
      <c r="A720" s="17"/>
      <c r="B720" s="18"/>
      <c r="C720" s="18"/>
      <c r="D720" s="18"/>
      <c r="E720" s="18"/>
      <c r="F720" s="44"/>
      <c r="G720" s="44"/>
    </row>
    <row r="721" spans="1:7" ht="15.75">
      <c r="A721" s="17"/>
      <c r="B721" s="18"/>
      <c r="C721" s="18"/>
      <c r="D721" s="18"/>
      <c r="E721" s="18"/>
      <c r="F721" s="44"/>
      <c r="G721" s="44"/>
    </row>
    <row r="722" spans="1:7" ht="15.75">
      <c r="A722" s="17"/>
      <c r="B722" s="18"/>
      <c r="C722" s="18"/>
      <c r="D722" s="18"/>
      <c r="E722" s="18"/>
      <c r="F722" s="44"/>
      <c r="G722" s="44"/>
    </row>
    <row r="723" spans="1:7" ht="15.75">
      <c r="A723" s="17"/>
      <c r="B723" s="18"/>
      <c r="C723" s="18"/>
      <c r="D723" s="18"/>
      <c r="E723" s="18"/>
      <c r="F723" s="44"/>
      <c r="G723" s="44"/>
    </row>
    <row r="724" spans="1:7" ht="15.75">
      <c r="A724" s="17"/>
      <c r="B724" s="18"/>
      <c r="C724" s="18"/>
      <c r="D724" s="18"/>
      <c r="E724" s="18"/>
      <c r="F724" s="44"/>
      <c r="G724" s="44"/>
    </row>
    <row r="725" spans="1:7" ht="15.75">
      <c r="A725" s="17"/>
      <c r="B725" s="18"/>
      <c r="C725" s="18"/>
      <c r="D725" s="18"/>
      <c r="E725" s="18"/>
      <c r="F725" s="44"/>
      <c r="G725" s="44"/>
    </row>
    <row r="726" spans="1:7" ht="15.75">
      <c r="A726" s="17"/>
      <c r="B726" s="18"/>
      <c r="C726" s="18"/>
      <c r="D726" s="18"/>
      <c r="E726" s="18"/>
      <c r="F726" s="44"/>
      <c r="G726" s="44"/>
    </row>
    <row r="727" spans="1:7" ht="15.75">
      <c r="A727" s="17"/>
      <c r="B727" s="18"/>
      <c r="C727" s="18"/>
      <c r="D727" s="18"/>
      <c r="E727" s="18"/>
      <c r="F727" s="44"/>
      <c r="G727" s="44"/>
    </row>
    <row r="728" spans="1:7" ht="15.75">
      <c r="A728" s="17"/>
      <c r="B728" s="18"/>
      <c r="C728" s="18"/>
      <c r="D728" s="18"/>
      <c r="E728" s="18"/>
      <c r="F728" s="44"/>
      <c r="G728" s="44"/>
    </row>
    <row r="729" spans="1:7" ht="15.75">
      <c r="A729" s="17"/>
      <c r="B729" s="18"/>
      <c r="C729" s="18"/>
      <c r="D729" s="18"/>
      <c r="E729" s="18"/>
      <c r="F729" s="44"/>
      <c r="G729" s="44"/>
    </row>
    <row r="730" spans="1:7" ht="15.75">
      <c r="A730" s="17"/>
      <c r="B730" s="18"/>
      <c r="C730" s="18"/>
      <c r="D730" s="18"/>
      <c r="E730" s="18"/>
      <c r="F730" s="44"/>
      <c r="G730" s="44"/>
    </row>
    <row r="731" spans="1:7" ht="15.75">
      <c r="A731" s="17"/>
      <c r="B731" s="18"/>
      <c r="C731" s="18"/>
      <c r="D731" s="18"/>
      <c r="E731" s="18"/>
      <c r="F731" s="44"/>
      <c r="G731" s="44"/>
    </row>
    <row r="732" spans="1:7" ht="15.75">
      <c r="A732" s="17"/>
      <c r="B732" s="18"/>
      <c r="C732" s="18"/>
      <c r="D732" s="18"/>
      <c r="E732" s="18"/>
      <c r="F732" s="44"/>
      <c r="G732" s="44"/>
    </row>
    <row r="733" spans="1:7" ht="15.75">
      <c r="A733" s="17"/>
      <c r="B733" s="18"/>
      <c r="C733" s="18"/>
      <c r="D733" s="18"/>
      <c r="E733" s="18"/>
      <c r="F733" s="44"/>
      <c r="G733" s="44"/>
    </row>
    <row r="734" spans="1:7" ht="15.75">
      <c r="A734" s="17"/>
      <c r="B734" s="18"/>
      <c r="C734" s="18"/>
      <c r="D734" s="18"/>
      <c r="E734" s="18"/>
      <c r="F734" s="44"/>
      <c r="G734" s="44"/>
    </row>
    <row r="735" spans="1:7" ht="15.75">
      <c r="A735" s="17"/>
      <c r="B735" s="18"/>
      <c r="C735" s="18"/>
      <c r="D735" s="18"/>
      <c r="E735" s="18"/>
      <c r="F735" s="44"/>
      <c r="G735" s="44"/>
    </row>
    <row r="736" spans="1:7" ht="15.75">
      <c r="A736" s="17"/>
      <c r="B736" s="18"/>
      <c r="C736" s="18"/>
      <c r="D736" s="18"/>
      <c r="E736" s="18"/>
      <c r="F736" s="44"/>
      <c r="G736" s="44"/>
    </row>
    <row r="737" spans="1:7" ht="15.75">
      <c r="A737" s="17"/>
      <c r="B737" s="18"/>
      <c r="C737" s="18"/>
      <c r="D737" s="18"/>
      <c r="E737" s="18"/>
      <c r="F737" s="44"/>
      <c r="G737" s="44"/>
    </row>
    <row r="738" spans="1:7" ht="15.75">
      <c r="A738" s="17"/>
      <c r="B738" s="18"/>
      <c r="C738" s="18"/>
      <c r="D738" s="18"/>
      <c r="E738" s="18"/>
      <c r="F738" s="44"/>
      <c r="G738" s="44"/>
    </row>
    <row r="739" spans="1:7" ht="15.75">
      <c r="A739" s="17"/>
      <c r="B739" s="18"/>
      <c r="C739" s="18"/>
      <c r="D739" s="18"/>
      <c r="E739" s="18"/>
      <c r="F739" s="44"/>
      <c r="G739" s="44"/>
    </row>
    <row r="740" spans="1:7" ht="15.75">
      <c r="A740" s="17"/>
      <c r="B740" s="18"/>
      <c r="C740" s="18"/>
      <c r="D740" s="18"/>
      <c r="E740" s="18"/>
      <c r="F740" s="44"/>
      <c r="G740" s="44"/>
    </row>
    <row r="741" spans="1:7" ht="15.75">
      <c r="A741" s="17"/>
      <c r="B741" s="18"/>
      <c r="C741" s="18"/>
      <c r="D741" s="18"/>
      <c r="E741" s="18"/>
      <c r="F741" s="44"/>
      <c r="G741" s="44"/>
    </row>
    <row r="742" spans="1:7" ht="15.75">
      <c r="A742" s="17"/>
      <c r="B742" s="18"/>
      <c r="C742" s="18"/>
      <c r="D742" s="18"/>
      <c r="E742" s="18"/>
      <c r="F742" s="44"/>
      <c r="G742" s="44"/>
    </row>
    <row r="743" spans="1:7" ht="15.75">
      <c r="A743" s="17"/>
      <c r="B743" s="18"/>
      <c r="C743" s="18"/>
      <c r="D743" s="18"/>
      <c r="E743" s="18"/>
      <c r="F743" s="44"/>
      <c r="G743" s="44"/>
    </row>
    <row r="744" spans="1:7" ht="15.75">
      <c r="A744" s="17"/>
      <c r="B744" s="18"/>
      <c r="C744" s="18"/>
      <c r="D744" s="18"/>
      <c r="E744" s="18"/>
      <c r="F744" s="44"/>
      <c r="G744" s="44"/>
    </row>
    <row r="745" spans="1:7" ht="15.75">
      <c r="A745" s="17"/>
      <c r="B745" s="18"/>
      <c r="C745" s="18"/>
      <c r="D745" s="18"/>
      <c r="E745" s="18"/>
      <c r="F745" s="44"/>
      <c r="G745" s="44"/>
    </row>
    <row r="746" spans="1:7" ht="15.75">
      <c r="A746" s="17"/>
      <c r="B746" s="18"/>
      <c r="C746" s="18"/>
      <c r="D746" s="18"/>
      <c r="E746" s="18"/>
      <c r="F746" s="44"/>
      <c r="G746" s="44"/>
    </row>
    <row r="747" spans="1:7" ht="15.75">
      <c r="A747" s="17"/>
      <c r="B747" s="18"/>
      <c r="C747" s="18"/>
      <c r="D747" s="18"/>
      <c r="E747" s="18"/>
      <c r="F747" s="44"/>
      <c r="G747" s="44"/>
    </row>
    <row r="748" spans="1:7" ht="15.75">
      <c r="A748" s="17"/>
      <c r="B748" s="18"/>
      <c r="C748" s="18"/>
      <c r="D748" s="18"/>
      <c r="E748" s="18"/>
      <c r="F748" s="44"/>
      <c r="G748" s="44"/>
    </row>
    <row r="749" spans="1:7" ht="15.75">
      <c r="A749" s="17"/>
      <c r="B749" s="18"/>
      <c r="C749" s="18"/>
      <c r="D749" s="18"/>
      <c r="E749" s="18"/>
      <c r="F749" s="44"/>
      <c r="G749" s="44"/>
    </row>
    <row r="750" spans="1:7" ht="15.75">
      <c r="A750" s="17"/>
      <c r="B750" s="18"/>
      <c r="C750" s="18"/>
      <c r="D750" s="18"/>
      <c r="E750" s="18"/>
      <c r="F750" s="44"/>
      <c r="G750" s="44"/>
    </row>
    <row r="751" spans="1:7" ht="15.75">
      <c r="A751" s="17"/>
      <c r="B751" s="18"/>
      <c r="C751" s="18"/>
      <c r="D751" s="18"/>
      <c r="E751" s="18"/>
      <c r="F751" s="44"/>
      <c r="G751" s="44"/>
    </row>
    <row r="752" spans="1:7" ht="15.75">
      <c r="A752" s="17"/>
      <c r="B752" s="18"/>
      <c r="C752" s="18"/>
      <c r="D752" s="18"/>
      <c r="E752" s="18"/>
      <c r="F752" s="44"/>
      <c r="G752" s="44"/>
    </row>
    <row r="753" spans="1:7" ht="15.75">
      <c r="A753" s="17"/>
      <c r="B753" s="18"/>
      <c r="C753" s="18"/>
      <c r="D753" s="18"/>
      <c r="E753" s="18"/>
      <c r="F753" s="44"/>
      <c r="G753" s="44"/>
    </row>
    <row r="754" spans="1:7" ht="15.75">
      <c r="A754" s="17"/>
      <c r="B754" s="18"/>
      <c r="C754" s="18"/>
      <c r="D754" s="18"/>
      <c r="E754" s="18"/>
      <c r="F754" s="44"/>
      <c r="G754" s="44"/>
    </row>
    <row r="755" spans="1:7" ht="15.75">
      <c r="A755" s="17"/>
      <c r="B755" s="18"/>
      <c r="C755" s="18"/>
      <c r="D755" s="18"/>
      <c r="E755" s="18"/>
      <c r="F755" s="44"/>
      <c r="G755" s="44"/>
    </row>
    <row r="756" spans="1:7" ht="15.75">
      <c r="A756" s="17"/>
      <c r="B756" s="18"/>
      <c r="C756" s="18"/>
      <c r="D756" s="18"/>
      <c r="E756" s="18"/>
      <c r="F756" s="44"/>
      <c r="G756" s="44"/>
    </row>
    <row r="757" spans="1:7" ht="15.75">
      <c r="A757" s="17"/>
      <c r="B757" s="18"/>
      <c r="C757" s="18"/>
      <c r="D757" s="18"/>
      <c r="E757" s="18"/>
      <c r="F757" s="44"/>
      <c r="G757" s="44"/>
    </row>
    <row r="758" spans="1:7" ht="15.75">
      <c r="A758" s="17"/>
      <c r="B758" s="18"/>
      <c r="C758" s="18"/>
      <c r="D758" s="18"/>
      <c r="E758" s="18"/>
      <c r="F758" s="44"/>
      <c r="G758" s="44"/>
    </row>
    <row r="759" spans="2:5" ht="15.75">
      <c r="B759" s="19"/>
      <c r="C759" s="19"/>
      <c r="D759" s="19"/>
      <c r="E759" s="19"/>
    </row>
    <row r="760" spans="2:5" ht="15.75">
      <c r="B760" s="19"/>
      <c r="C760" s="19"/>
      <c r="D760" s="19"/>
      <c r="E760" s="19"/>
    </row>
    <row r="761" spans="2:5" ht="15.75">
      <c r="B761" s="19"/>
      <c r="C761" s="19"/>
      <c r="D761" s="19"/>
      <c r="E761" s="19"/>
    </row>
    <row r="762" spans="2:5" ht="15.75">
      <c r="B762" s="19"/>
      <c r="C762" s="19"/>
      <c r="D762" s="19"/>
      <c r="E762" s="19"/>
    </row>
    <row r="763" spans="2:5" ht="15.75">
      <c r="B763" s="19"/>
      <c r="C763" s="19"/>
      <c r="D763" s="19"/>
      <c r="E763" s="19"/>
    </row>
    <row r="764" spans="2:5" ht="15.75">
      <c r="B764" s="19"/>
      <c r="C764" s="19"/>
      <c r="D764" s="19"/>
      <c r="E764" s="19"/>
    </row>
    <row r="765" spans="2:5" ht="15.75">
      <c r="B765" s="19"/>
      <c r="C765" s="19"/>
      <c r="D765" s="19"/>
      <c r="E765" s="19"/>
    </row>
    <row r="766" spans="2:5" ht="15.75">
      <c r="B766" s="19"/>
      <c r="C766" s="19"/>
      <c r="D766" s="19"/>
      <c r="E766" s="19"/>
    </row>
    <row r="767" spans="2:5" ht="15.75">
      <c r="B767" s="19"/>
      <c r="C767" s="19"/>
      <c r="D767" s="19"/>
      <c r="E767" s="19"/>
    </row>
    <row r="768" spans="2:5" ht="15.75">
      <c r="B768" s="19"/>
      <c r="C768" s="19"/>
      <c r="D768" s="19"/>
      <c r="E768" s="19"/>
    </row>
    <row r="769" spans="2:5" ht="15.75">
      <c r="B769" s="19"/>
      <c r="C769" s="19"/>
      <c r="D769" s="19"/>
      <c r="E769" s="19"/>
    </row>
    <row r="770" spans="2:5" ht="15.75">
      <c r="B770" s="19"/>
      <c r="C770" s="19"/>
      <c r="D770" s="19"/>
      <c r="E770" s="19"/>
    </row>
    <row r="771" spans="2:5" ht="15.75">
      <c r="B771" s="19"/>
      <c r="C771" s="19"/>
      <c r="D771" s="19"/>
      <c r="E771" s="19"/>
    </row>
    <row r="772" spans="2:5" ht="15.75">
      <c r="B772" s="19"/>
      <c r="C772" s="19"/>
      <c r="D772" s="19"/>
      <c r="E772" s="19"/>
    </row>
    <row r="773" spans="2:5" ht="15.75">
      <c r="B773" s="19"/>
      <c r="C773" s="19"/>
      <c r="D773" s="19"/>
      <c r="E773" s="19"/>
    </row>
    <row r="774" spans="2:5" ht="15.75">
      <c r="B774" s="19"/>
      <c r="C774" s="19"/>
      <c r="D774" s="19"/>
      <c r="E774" s="19"/>
    </row>
    <row r="775" spans="2:5" ht="15.75">
      <c r="B775" s="19"/>
      <c r="C775" s="19"/>
      <c r="D775" s="19"/>
      <c r="E775" s="19"/>
    </row>
    <row r="776" spans="2:5" ht="15.75">
      <c r="B776" s="19"/>
      <c r="C776" s="19"/>
      <c r="D776" s="19"/>
      <c r="E776" s="19"/>
    </row>
    <row r="777" spans="2:5" ht="15.75">
      <c r="B777" s="19"/>
      <c r="C777" s="19"/>
      <c r="D777" s="19"/>
      <c r="E777" s="19"/>
    </row>
    <row r="778" spans="2:5" ht="15.75">
      <c r="B778" s="19"/>
      <c r="C778" s="19"/>
      <c r="D778" s="19"/>
      <c r="E778" s="19"/>
    </row>
    <row r="779" spans="2:5" ht="15.75">
      <c r="B779" s="19"/>
      <c r="C779" s="19"/>
      <c r="D779" s="19"/>
      <c r="E779" s="19"/>
    </row>
    <row r="780" spans="2:5" ht="15.75">
      <c r="B780" s="19"/>
      <c r="C780" s="19"/>
      <c r="D780" s="19"/>
      <c r="E780" s="19"/>
    </row>
    <row r="781" spans="2:5" ht="15.75">
      <c r="B781" s="19"/>
      <c r="C781" s="19"/>
      <c r="D781" s="19"/>
      <c r="E781" s="19"/>
    </row>
    <row r="782" spans="2:5" ht="15.75">
      <c r="B782" s="19"/>
      <c r="C782" s="19"/>
      <c r="D782" s="19"/>
      <c r="E782" s="19"/>
    </row>
    <row r="783" spans="2:5" ht="15.75">
      <c r="B783" s="19"/>
      <c r="C783" s="19"/>
      <c r="D783" s="19"/>
      <c r="E783" s="19"/>
    </row>
    <row r="784" spans="2:5" ht="15.75">
      <c r="B784" s="19"/>
      <c r="C784" s="19"/>
      <c r="D784" s="19"/>
      <c r="E784" s="19"/>
    </row>
    <row r="785" spans="2:5" ht="15.75">
      <c r="B785" s="19"/>
      <c r="C785" s="19"/>
      <c r="D785" s="19"/>
      <c r="E785" s="19"/>
    </row>
    <row r="786" spans="2:5" ht="15.75">
      <c r="B786" s="19"/>
      <c r="C786" s="19"/>
      <c r="D786" s="19"/>
      <c r="E786" s="19"/>
    </row>
    <row r="787" spans="2:5" ht="15.75">
      <c r="B787" s="19"/>
      <c r="C787" s="19"/>
      <c r="D787" s="19"/>
      <c r="E787" s="19"/>
    </row>
    <row r="788" spans="2:5" ht="15.75">
      <c r="B788" s="19"/>
      <c r="C788" s="19"/>
      <c r="D788" s="19"/>
      <c r="E788" s="19"/>
    </row>
    <row r="789" spans="2:5" ht="15.75">
      <c r="B789" s="19"/>
      <c r="C789" s="19"/>
      <c r="D789" s="19"/>
      <c r="E789" s="19"/>
    </row>
    <row r="790" spans="2:5" ht="15.75">
      <c r="B790" s="19"/>
      <c r="C790" s="19"/>
      <c r="D790" s="19"/>
      <c r="E790" s="19"/>
    </row>
    <row r="791" spans="2:5" ht="15.75">
      <c r="B791" s="19"/>
      <c r="C791" s="19"/>
      <c r="D791" s="19"/>
      <c r="E791" s="19"/>
    </row>
    <row r="792" spans="2:5" ht="15.75">
      <c r="B792" s="19"/>
      <c r="C792" s="19"/>
      <c r="D792" s="19"/>
      <c r="E792" s="19"/>
    </row>
    <row r="793" spans="2:5" ht="15.75">
      <c r="B793" s="19"/>
      <c r="C793" s="19"/>
      <c r="D793" s="19"/>
      <c r="E793" s="19"/>
    </row>
    <row r="794" spans="2:5" ht="15.75">
      <c r="B794" s="19"/>
      <c r="C794" s="19"/>
      <c r="D794" s="19"/>
      <c r="E794" s="19"/>
    </row>
    <row r="795" spans="2:5" ht="15.75">
      <c r="B795" s="19"/>
      <c r="C795" s="19"/>
      <c r="D795" s="19"/>
      <c r="E795" s="19"/>
    </row>
    <row r="796" spans="2:5" ht="15.75">
      <c r="B796" s="19"/>
      <c r="C796" s="19"/>
      <c r="D796" s="19"/>
      <c r="E796" s="19"/>
    </row>
    <row r="797" spans="2:5" ht="15.75">
      <c r="B797" s="19"/>
      <c r="C797" s="19"/>
      <c r="D797" s="19"/>
      <c r="E797" s="19"/>
    </row>
    <row r="798" spans="2:5" ht="15.75">
      <c r="B798" s="19"/>
      <c r="C798" s="19"/>
      <c r="D798" s="19"/>
      <c r="E798" s="19"/>
    </row>
    <row r="799" spans="2:5" ht="15.75">
      <c r="B799" s="19"/>
      <c r="C799" s="19"/>
      <c r="D799" s="19"/>
      <c r="E799" s="19"/>
    </row>
    <row r="800" spans="2:5" ht="15.75">
      <c r="B800" s="19"/>
      <c r="C800" s="19"/>
      <c r="D800" s="19"/>
      <c r="E800" s="19"/>
    </row>
    <row r="801" spans="2:5" ht="15.75">
      <c r="B801" s="19"/>
      <c r="C801" s="19"/>
      <c r="D801" s="19"/>
      <c r="E801" s="19"/>
    </row>
    <row r="802" spans="2:5" ht="15.75">
      <c r="B802" s="19"/>
      <c r="C802" s="19"/>
      <c r="D802" s="19"/>
      <c r="E802" s="19"/>
    </row>
    <row r="803" spans="2:5" ht="15.75">
      <c r="B803" s="19"/>
      <c r="C803" s="19"/>
      <c r="D803" s="19"/>
      <c r="E803" s="19"/>
    </row>
    <row r="804" spans="2:5" ht="15.75">
      <c r="B804" s="19"/>
      <c r="C804" s="19"/>
      <c r="D804" s="19"/>
      <c r="E804" s="19"/>
    </row>
    <row r="805" spans="2:5" ht="15.75">
      <c r="B805" s="19"/>
      <c r="C805" s="19"/>
      <c r="D805" s="19"/>
      <c r="E805" s="19"/>
    </row>
    <row r="806" spans="2:5" ht="15.75">
      <c r="B806" s="19"/>
      <c r="C806" s="19"/>
      <c r="D806" s="19"/>
      <c r="E806" s="19"/>
    </row>
    <row r="807" spans="2:5" ht="15.75">
      <c r="B807" s="19"/>
      <c r="C807" s="19"/>
      <c r="D807" s="19"/>
      <c r="E807" s="19"/>
    </row>
    <row r="808" spans="2:5" ht="15.75">
      <c r="B808" s="19"/>
      <c r="C808" s="19"/>
      <c r="D808" s="19"/>
      <c r="E808" s="19"/>
    </row>
    <row r="809" spans="2:5" ht="15.75">
      <c r="B809" s="19"/>
      <c r="C809" s="19"/>
      <c r="D809" s="19"/>
      <c r="E809" s="19"/>
    </row>
    <row r="810" spans="2:5" ht="15.75">
      <c r="B810" s="19"/>
      <c r="C810" s="19"/>
      <c r="D810" s="19"/>
      <c r="E810" s="19"/>
    </row>
    <row r="811" spans="2:5" ht="15.75">
      <c r="B811" s="19"/>
      <c r="C811" s="19"/>
      <c r="D811" s="19"/>
      <c r="E811" s="19"/>
    </row>
    <row r="812" spans="2:5" ht="15.75">
      <c r="B812" s="19"/>
      <c r="C812" s="19"/>
      <c r="D812" s="19"/>
      <c r="E812" s="19"/>
    </row>
    <row r="813" spans="2:5" ht="15.75">
      <c r="B813" s="19"/>
      <c r="C813" s="19"/>
      <c r="D813" s="19"/>
      <c r="E813" s="19"/>
    </row>
    <row r="814" spans="2:5" ht="15.75">
      <c r="B814" s="19"/>
      <c r="C814" s="19"/>
      <c r="D814" s="19"/>
      <c r="E814" s="19"/>
    </row>
    <row r="815" spans="2:5" ht="15.75">
      <c r="B815" s="19"/>
      <c r="C815" s="19"/>
      <c r="D815" s="19"/>
      <c r="E815" s="19"/>
    </row>
    <row r="816" spans="2:5" ht="15.75">
      <c r="B816" s="19"/>
      <c r="C816" s="19"/>
      <c r="D816" s="19"/>
      <c r="E816" s="19"/>
    </row>
    <row r="817" spans="2:5" ht="15.75">
      <c r="B817" s="19"/>
      <c r="C817" s="19"/>
      <c r="D817" s="19"/>
      <c r="E817" s="19"/>
    </row>
    <row r="818" spans="2:5" ht="15.75">
      <c r="B818" s="19"/>
      <c r="C818" s="19"/>
      <c r="D818" s="19"/>
      <c r="E818" s="19"/>
    </row>
    <row r="819" spans="2:5" ht="15.75">
      <c r="B819" s="19"/>
      <c r="C819" s="19"/>
      <c r="D819" s="19"/>
      <c r="E819" s="19"/>
    </row>
    <row r="820" spans="2:5" ht="15.75">
      <c r="B820" s="19"/>
      <c r="C820" s="19"/>
      <c r="D820" s="19"/>
      <c r="E820" s="19"/>
    </row>
    <row r="821" spans="2:5" ht="15.75">
      <c r="B821" s="19"/>
      <c r="C821" s="19"/>
      <c r="D821" s="19"/>
      <c r="E821" s="19"/>
    </row>
    <row r="822" spans="2:5" ht="15.75">
      <c r="B822" s="19"/>
      <c r="C822" s="19"/>
      <c r="D822" s="19"/>
      <c r="E822" s="19"/>
    </row>
    <row r="823" spans="2:5" ht="15.75">
      <c r="B823" s="19"/>
      <c r="C823" s="19"/>
      <c r="D823" s="19"/>
      <c r="E823" s="19"/>
    </row>
    <row r="824" spans="2:5" ht="15.75">
      <c r="B824" s="19"/>
      <c r="C824" s="19"/>
      <c r="D824" s="19"/>
      <c r="E824" s="19"/>
    </row>
    <row r="825" spans="2:5" ht="15.75">
      <c r="B825" s="19"/>
      <c r="C825" s="19"/>
      <c r="D825" s="19"/>
      <c r="E825" s="19"/>
    </row>
  </sheetData>
  <sheetProtection/>
  <mergeCells count="13">
    <mergeCell ref="F1:G1"/>
    <mergeCell ref="B541:B542"/>
    <mergeCell ref="C541:C542"/>
    <mergeCell ref="D541:D542"/>
    <mergeCell ref="E541:E542"/>
    <mergeCell ref="F3:G3"/>
    <mergeCell ref="D5:E5"/>
    <mergeCell ref="F5:G5"/>
    <mergeCell ref="C2:G2"/>
    <mergeCell ref="C4:G4"/>
    <mergeCell ref="F541:F542"/>
    <mergeCell ref="G541:G542"/>
    <mergeCell ref="A7:G7"/>
  </mergeCells>
  <printOptions horizontalCentered="1"/>
  <pageMargins left="0.5905511811023623" right="0.3937007874015748" top="0.26" bottom="0.25" header="0.29" footer="0.27"/>
  <pageSetup fitToHeight="65" fitToWidth="1" horizontalDpi="600" verticalDpi="600" orientation="portrait" paperSize="9" scale="84" r:id="rId1"/>
  <headerFooter alignWithMargins="0">
    <oddFooter>&amp;CСтраница &amp;P&amp;R&amp;A</oddFooter>
  </headerFooter>
</worksheet>
</file>

<file path=xl/worksheets/sheet2.xml><?xml version="1.0" encoding="utf-8"?>
<worksheet xmlns="http://schemas.openxmlformats.org/spreadsheetml/2006/main" xmlns:r="http://schemas.openxmlformats.org/officeDocument/2006/relationships">
  <dimension ref="A1:L979"/>
  <sheetViews>
    <sheetView zoomScale="90" zoomScaleNormal="90" zoomScalePageLayoutView="0" workbookViewId="0" topLeftCell="A1">
      <selection activeCell="L9" sqref="L9"/>
    </sheetView>
  </sheetViews>
  <sheetFormatPr defaultColWidth="9.00390625" defaultRowHeight="12.75"/>
  <cols>
    <col min="1" max="1" width="36.625" style="12" customWidth="1"/>
    <col min="2" max="2" width="8.25390625" style="12" customWidth="1"/>
    <col min="3" max="3" width="6.125" style="12" customWidth="1"/>
    <col min="4" max="4" width="8.75390625" style="12" customWidth="1"/>
    <col min="5" max="5" width="11.75390625" style="12" customWidth="1"/>
    <col min="6" max="6" width="10.00390625" style="12" customWidth="1"/>
    <col min="7" max="7" width="24.375" style="12" customWidth="1"/>
    <col min="8" max="8" width="19.625" style="12" customWidth="1"/>
    <col min="9" max="9" width="15.625" style="26" hidden="1" customWidth="1"/>
    <col min="10" max="10" width="23.75390625" style="12" hidden="1" customWidth="1"/>
    <col min="11" max="11" width="16.25390625" style="12" hidden="1" customWidth="1"/>
    <col min="12" max="12" width="25.25390625" style="12" customWidth="1"/>
    <col min="13" max="14" width="9.125" style="12" customWidth="1"/>
    <col min="15" max="16384" width="9.125" style="12" customWidth="1"/>
  </cols>
  <sheetData>
    <row r="1" spans="2:8" ht="15.75">
      <c r="B1" s="30"/>
      <c r="C1" s="30"/>
      <c r="D1" s="30"/>
      <c r="E1" s="95"/>
      <c r="F1" s="95"/>
      <c r="G1" s="95" t="s">
        <v>251</v>
      </c>
      <c r="H1" s="95"/>
    </row>
    <row r="2" spans="2:8" ht="15.75">
      <c r="B2" s="30"/>
      <c r="C2" s="30"/>
      <c r="D2" s="30"/>
      <c r="E2" s="95" t="s">
        <v>246</v>
      </c>
      <c r="F2" s="95"/>
      <c r="G2" s="95"/>
      <c r="H2" s="95"/>
    </row>
    <row r="3" spans="1:8" ht="15.75">
      <c r="A3" s="30"/>
      <c r="B3" s="30"/>
      <c r="C3" s="30"/>
      <c r="D3" s="30"/>
      <c r="E3" s="95"/>
      <c r="F3" s="95"/>
      <c r="G3" s="95" t="s">
        <v>179</v>
      </c>
      <c r="H3" s="95"/>
    </row>
    <row r="4" spans="1:8" ht="15.75">
      <c r="A4" s="30"/>
      <c r="B4" s="30"/>
      <c r="C4" s="52"/>
      <c r="D4" s="52"/>
      <c r="E4" s="95" t="s">
        <v>180</v>
      </c>
      <c r="F4" s="95"/>
      <c r="G4" s="95"/>
      <c r="H4" s="95"/>
    </row>
    <row r="5" spans="1:8" ht="15.75" customHeight="1">
      <c r="A5" s="30"/>
      <c r="B5" s="30"/>
      <c r="C5" s="52"/>
      <c r="D5" s="52"/>
      <c r="E5" s="95"/>
      <c r="F5" s="95"/>
      <c r="G5" s="95" t="s">
        <v>468</v>
      </c>
      <c r="H5" s="95"/>
    </row>
    <row r="6" spans="3:8" ht="15.75">
      <c r="C6" s="52"/>
      <c r="D6" s="52"/>
      <c r="G6" s="26"/>
      <c r="H6" s="26"/>
    </row>
    <row r="7" spans="1:8" ht="15.75">
      <c r="A7" s="100" t="s">
        <v>302</v>
      </c>
      <c r="B7" s="100"/>
      <c r="C7" s="100"/>
      <c r="D7" s="100"/>
      <c r="E7" s="100"/>
      <c r="F7" s="100"/>
      <c r="G7" s="100"/>
      <c r="H7" s="100"/>
    </row>
    <row r="8" spans="7:8" ht="15.75">
      <c r="G8" s="22"/>
      <c r="H8" s="22" t="s">
        <v>286</v>
      </c>
    </row>
    <row r="9" spans="1:8" ht="139.5" customHeight="1">
      <c r="A9" s="15" t="s">
        <v>253</v>
      </c>
      <c r="B9" s="15" t="s">
        <v>62</v>
      </c>
      <c r="C9" s="15" t="s">
        <v>288</v>
      </c>
      <c r="D9" s="15" t="s">
        <v>271</v>
      </c>
      <c r="E9" s="15" t="s">
        <v>273</v>
      </c>
      <c r="F9" s="15" t="s">
        <v>272</v>
      </c>
      <c r="G9" s="15" t="s">
        <v>254</v>
      </c>
      <c r="H9" s="15" t="s">
        <v>15</v>
      </c>
    </row>
    <row r="10" spans="1:8" ht="15.75">
      <c r="A10" s="15">
        <v>1</v>
      </c>
      <c r="B10" s="15">
        <v>2</v>
      </c>
      <c r="C10" s="15">
        <v>3</v>
      </c>
      <c r="D10" s="15">
        <v>4</v>
      </c>
      <c r="E10" s="15">
        <v>5</v>
      </c>
      <c r="F10" s="15">
        <v>6</v>
      </c>
      <c r="G10" s="15">
        <v>7</v>
      </c>
      <c r="H10" s="15">
        <v>8</v>
      </c>
    </row>
    <row r="11" spans="1:8" ht="150">
      <c r="A11" s="10" t="s">
        <v>247</v>
      </c>
      <c r="B11" s="11" t="s">
        <v>63</v>
      </c>
      <c r="C11" s="11"/>
      <c r="D11" s="11"/>
      <c r="E11" s="11"/>
      <c r="F11" s="11"/>
      <c r="G11" s="35">
        <f>G12+G39</f>
        <v>7734877</v>
      </c>
      <c r="H11" s="35"/>
    </row>
    <row r="12" spans="1:8" ht="18.75">
      <c r="A12" s="1" t="s">
        <v>274</v>
      </c>
      <c r="B12" s="2" t="s">
        <v>63</v>
      </c>
      <c r="C12" s="2" t="s">
        <v>255</v>
      </c>
      <c r="D12" s="2"/>
      <c r="E12" s="9"/>
      <c r="F12" s="9"/>
      <c r="G12" s="36">
        <f>G13+G19+G30</f>
        <v>7524307</v>
      </c>
      <c r="H12" s="36"/>
    </row>
    <row r="13" spans="1:8" ht="63">
      <c r="A13" s="1" t="s">
        <v>70</v>
      </c>
      <c r="B13" s="2" t="s">
        <v>63</v>
      </c>
      <c r="C13" s="2" t="s">
        <v>255</v>
      </c>
      <c r="D13" s="2" t="s">
        <v>260</v>
      </c>
      <c r="E13" s="2"/>
      <c r="F13" s="2"/>
      <c r="G13" s="33">
        <f>G14</f>
        <v>1990139</v>
      </c>
      <c r="H13" s="33"/>
    </row>
    <row r="14" spans="1:8" ht="20.25" customHeight="1">
      <c r="A14" s="27" t="s">
        <v>303</v>
      </c>
      <c r="B14" s="4" t="s">
        <v>63</v>
      </c>
      <c r="C14" s="4" t="s">
        <v>255</v>
      </c>
      <c r="D14" s="4" t="s">
        <v>260</v>
      </c>
      <c r="E14" s="4" t="s">
        <v>304</v>
      </c>
      <c r="F14" s="4"/>
      <c r="G14" s="29">
        <f>G15+G17</f>
        <v>1990139</v>
      </c>
      <c r="H14" s="29"/>
    </row>
    <row r="15" spans="1:8" ht="47.25">
      <c r="A15" s="3" t="s">
        <v>407</v>
      </c>
      <c r="B15" s="4" t="s">
        <v>63</v>
      </c>
      <c r="C15" s="4" t="s">
        <v>255</v>
      </c>
      <c r="D15" s="4" t="s">
        <v>260</v>
      </c>
      <c r="E15" s="4" t="s">
        <v>408</v>
      </c>
      <c r="F15" s="4"/>
      <c r="G15" s="29">
        <f>G16</f>
        <v>1975139</v>
      </c>
      <c r="H15" s="29"/>
    </row>
    <row r="16" spans="1:8" ht="126">
      <c r="A16" s="3" t="s">
        <v>305</v>
      </c>
      <c r="B16" s="4" t="s">
        <v>63</v>
      </c>
      <c r="C16" s="4" t="s">
        <v>255</v>
      </c>
      <c r="D16" s="4" t="s">
        <v>260</v>
      </c>
      <c r="E16" s="4" t="s">
        <v>408</v>
      </c>
      <c r="F16" s="4" t="s">
        <v>18</v>
      </c>
      <c r="G16" s="29">
        <f>1990139-15000</f>
        <v>1975139</v>
      </c>
      <c r="H16" s="29"/>
    </row>
    <row r="17" spans="1:8" ht="110.25">
      <c r="A17" s="3" t="s">
        <v>409</v>
      </c>
      <c r="B17" s="4" t="s">
        <v>63</v>
      </c>
      <c r="C17" s="4" t="s">
        <v>255</v>
      </c>
      <c r="D17" s="4" t="s">
        <v>260</v>
      </c>
      <c r="E17" s="4" t="s">
        <v>410</v>
      </c>
      <c r="F17" s="4"/>
      <c r="G17" s="29">
        <f>G18</f>
        <v>15000</v>
      </c>
      <c r="H17" s="29"/>
    </row>
    <row r="18" spans="1:8" ht="126">
      <c r="A18" s="3" t="s">
        <v>305</v>
      </c>
      <c r="B18" s="4" t="s">
        <v>63</v>
      </c>
      <c r="C18" s="4" t="s">
        <v>255</v>
      </c>
      <c r="D18" s="4" t="s">
        <v>260</v>
      </c>
      <c r="E18" s="4" t="s">
        <v>410</v>
      </c>
      <c r="F18" s="4" t="s">
        <v>18</v>
      </c>
      <c r="G18" s="29">
        <v>15000</v>
      </c>
      <c r="H18" s="29"/>
    </row>
    <row r="19" spans="1:8" ht="94.5">
      <c r="A19" s="1" t="s">
        <v>24</v>
      </c>
      <c r="B19" s="2" t="s">
        <v>63</v>
      </c>
      <c r="C19" s="2" t="s">
        <v>255</v>
      </c>
      <c r="D19" s="2" t="s">
        <v>262</v>
      </c>
      <c r="E19" s="2"/>
      <c r="F19" s="2"/>
      <c r="G19" s="33">
        <f>G20</f>
        <v>5306968</v>
      </c>
      <c r="H19" s="33"/>
    </row>
    <row r="20" spans="1:9" s="25" customFormat="1" ht="15.75">
      <c r="A20" s="27" t="s">
        <v>303</v>
      </c>
      <c r="B20" s="4" t="s">
        <v>63</v>
      </c>
      <c r="C20" s="4" t="s">
        <v>255</v>
      </c>
      <c r="D20" s="4" t="s">
        <v>262</v>
      </c>
      <c r="E20" s="4" t="s">
        <v>304</v>
      </c>
      <c r="F20" s="4"/>
      <c r="G20" s="29">
        <f>G21+G23+G25+G28</f>
        <v>5306968</v>
      </c>
      <c r="H20" s="29"/>
      <c r="I20" s="47"/>
    </row>
    <row r="21" spans="1:9" s="25" customFormat="1" ht="63">
      <c r="A21" s="3" t="s">
        <v>411</v>
      </c>
      <c r="B21" s="4" t="s">
        <v>63</v>
      </c>
      <c r="C21" s="4" t="s">
        <v>255</v>
      </c>
      <c r="D21" s="4" t="s">
        <v>262</v>
      </c>
      <c r="E21" s="4" t="s">
        <v>412</v>
      </c>
      <c r="F21" s="4"/>
      <c r="G21" s="29">
        <f>G22</f>
        <v>1610000</v>
      </c>
      <c r="H21" s="29"/>
      <c r="I21" s="47"/>
    </row>
    <row r="22" spans="1:8" ht="166.5" customHeight="1">
      <c r="A22" s="3" t="s">
        <v>305</v>
      </c>
      <c r="B22" s="4" t="s">
        <v>63</v>
      </c>
      <c r="C22" s="4" t="s">
        <v>255</v>
      </c>
      <c r="D22" s="4" t="s">
        <v>262</v>
      </c>
      <c r="E22" s="4" t="s">
        <v>412</v>
      </c>
      <c r="F22" s="4" t="s">
        <v>18</v>
      </c>
      <c r="G22" s="29">
        <v>1610000</v>
      </c>
      <c r="H22" s="29"/>
    </row>
    <row r="23" spans="1:8" ht="47.25">
      <c r="A23" s="3" t="s">
        <v>413</v>
      </c>
      <c r="B23" s="4" t="s">
        <v>63</v>
      </c>
      <c r="C23" s="4" t="s">
        <v>255</v>
      </c>
      <c r="D23" s="4" t="s">
        <v>262</v>
      </c>
      <c r="E23" s="4" t="s">
        <v>414</v>
      </c>
      <c r="F23" s="4"/>
      <c r="G23" s="29">
        <f>G24</f>
        <v>3492576</v>
      </c>
      <c r="H23" s="29"/>
    </row>
    <row r="24" spans="1:8" ht="126">
      <c r="A24" s="3" t="s">
        <v>305</v>
      </c>
      <c r="B24" s="4" t="s">
        <v>63</v>
      </c>
      <c r="C24" s="4" t="s">
        <v>255</v>
      </c>
      <c r="D24" s="4" t="s">
        <v>262</v>
      </c>
      <c r="E24" s="4" t="s">
        <v>414</v>
      </c>
      <c r="F24" s="4" t="s">
        <v>18</v>
      </c>
      <c r="G24" s="29">
        <v>3492576</v>
      </c>
      <c r="H24" s="29"/>
    </row>
    <row r="25" spans="1:8" ht="47.25">
      <c r="A25" s="3" t="s">
        <v>415</v>
      </c>
      <c r="B25" s="4" t="s">
        <v>63</v>
      </c>
      <c r="C25" s="4" t="s">
        <v>255</v>
      </c>
      <c r="D25" s="4" t="s">
        <v>262</v>
      </c>
      <c r="E25" s="4" t="s">
        <v>416</v>
      </c>
      <c r="F25" s="4"/>
      <c r="G25" s="29">
        <f>G26+G27</f>
        <v>174392</v>
      </c>
      <c r="H25" s="29"/>
    </row>
    <row r="26" spans="1:8" ht="164.25" customHeight="1">
      <c r="A26" s="3" t="s">
        <v>305</v>
      </c>
      <c r="B26" s="4" t="s">
        <v>63</v>
      </c>
      <c r="C26" s="4" t="s">
        <v>255</v>
      </c>
      <c r="D26" s="4" t="s">
        <v>262</v>
      </c>
      <c r="E26" s="4" t="s">
        <v>416</v>
      </c>
      <c r="F26" s="4" t="s">
        <v>18</v>
      </c>
      <c r="G26" s="29">
        <v>21196</v>
      </c>
      <c r="H26" s="29"/>
    </row>
    <row r="27" spans="1:8" ht="47.25">
      <c r="A27" s="3" t="s">
        <v>306</v>
      </c>
      <c r="B27" s="4" t="s">
        <v>63</v>
      </c>
      <c r="C27" s="4" t="s">
        <v>255</v>
      </c>
      <c r="D27" s="4" t="s">
        <v>262</v>
      </c>
      <c r="E27" s="4" t="s">
        <v>416</v>
      </c>
      <c r="F27" s="4" t="s">
        <v>19</v>
      </c>
      <c r="G27" s="29">
        <v>153196</v>
      </c>
      <c r="H27" s="29"/>
    </row>
    <row r="28" spans="1:8" ht="110.25">
      <c r="A28" s="3" t="s">
        <v>409</v>
      </c>
      <c r="B28" s="4" t="s">
        <v>63</v>
      </c>
      <c r="C28" s="4" t="s">
        <v>255</v>
      </c>
      <c r="D28" s="4" t="s">
        <v>262</v>
      </c>
      <c r="E28" s="4" t="s">
        <v>410</v>
      </c>
      <c r="F28" s="4"/>
      <c r="G28" s="29">
        <f>G29</f>
        <v>30000</v>
      </c>
      <c r="H28" s="29"/>
    </row>
    <row r="29" spans="1:8" ht="126">
      <c r="A29" s="3" t="s">
        <v>417</v>
      </c>
      <c r="B29" s="87" t="s">
        <v>63</v>
      </c>
      <c r="C29" s="4" t="s">
        <v>255</v>
      </c>
      <c r="D29" s="4" t="s">
        <v>262</v>
      </c>
      <c r="E29" s="4" t="s">
        <v>410</v>
      </c>
      <c r="F29" s="4" t="s">
        <v>18</v>
      </c>
      <c r="G29" s="29">
        <v>30000</v>
      </c>
      <c r="H29" s="29"/>
    </row>
    <row r="30" spans="1:9" s="16" customFormat="1" ht="38.25" customHeight="1">
      <c r="A30" s="1" t="s">
        <v>284</v>
      </c>
      <c r="B30" s="2" t="s">
        <v>63</v>
      </c>
      <c r="C30" s="2" t="s">
        <v>255</v>
      </c>
      <c r="D30" s="2" t="s">
        <v>16</v>
      </c>
      <c r="E30" s="2"/>
      <c r="F30" s="2"/>
      <c r="G30" s="33">
        <f>G31</f>
        <v>227200</v>
      </c>
      <c r="H30" s="33"/>
      <c r="I30" s="48"/>
    </row>
    <row r="31" spans="1:8" ht="63">
      <c r="A31" s="27" t="s">
        <v>313</v>
      </c>
      <c r="B31" s="4" t="s">
        <v>63</v>
      </c>
      <c r="C31" s="4" t="s">
        <v>255</v>
      </c>
      <c r="D31" s="4" t="s">
        <v>16</v>
      </c>
      <c r="E31" s="4" t="s">
        <v>314</v>
      </c>
      <c r="F31" s="4"/>
      <c r="G31" s="29">
        <f>G32+G35</f>
        <v>227200</v>
      </c>
      <c r="H31" s="29"/>
    </row>
    <row r="32" spans="1:8" ht="47.25">
      <c r="A32" s="3" t="s">
        <v>91</v>
      </c>
      <c r="B32" s="4" t="s">
        <v>63</v>
      </c>
      <c r="C32" s="4" t="s">
        <v>255</v>
      </c>
      <c r="D32" s="4" t="s">
        <v>16</v>
      </c>
      <c r="E32" s="4" t="s">
        <v>92</v>
      </c>
      <c r="F32" s="4"/>
      <c r="G32" s="29">
        <f>G33</f>
        <v>65200</v>
      </c>
      <c r="H32" s="29"/>
    </row>
    <row r="33" spans="1:8" ht="31.5">
      <c r="A33" s="3" t="s">
        <v>326</v>
      </c>
      <c r="B33" s="4" t="s">
        <v>63</v>
      </c>
      <c r="C33" s="4" t="s">
        <v>255</v>
      </c>
      <c r="D33" s="4" t="s">
        <v>16</v>
      </c>
      <c r="E33" s="4" t="s">
        <v>450</v>
      </c>
      <c r="F33" s="62"/>
      <c r="G33" s="29">
        <f>G34</f>
        <v>65200</v>
      </c>
      <c r="H33" s="29"/>
    </row>
    <row r="34" spans="1:8" ht="47.25">
      <c r="A34" s="3" t="s">
        <v>306</v>
      </c>
      <c r="B34" s="4" t="s">
        <v>63</v>
      </c>
      <c r="C34" s="4" t="s">
        <v>255</v>
      </c>
      <c r="D34" s="4" t="s">
        <v>16</v>
      </c>
      <c r="E34" s="4" t="s">
        <v>450</v>
      </c>
      <c r="F34" s="62">
        <v>200</v>
      </c>
      <c r="G34" s="29">
        <v>65200</v>
      </c>
      <c r="H34" s="29"/>
    </row>
    <row r="35" spans="1:8" ht="47.25">
      <c r="A35" s="3" t="s">
        <v>130</v>
      </c>
      <c r="B35" s="4" t="s">
        <v>63</v>
      </c>
      <c r="C35" s="4" t="s">
        <v>255</v>
      </c>
      <c r="D35" s="4" t="s">
        <v>16</v>
      </c>
      <c r="E35" s="4" t="s">
        <v>131</v>
      </c>
      <c r="F35" s="62"/>
      <c r="G35" s="29">
        <f>G36</f>
        <v>162000</v>
      </c>
      <c r="H35" s="29"/>
    </row>
    <row r="36" spans="1:8" ht="31.5">
      <c r="A36" s="3" t="s">
        <v>326</v>
      </c>
      <c r="B36" s="4" t="s">
        <v>63</v>
      </c>
      <c r="C36" s="4" t="s">
        <v>255</v>
      </c>
      <c r="D36" s="4" t="s">
        <v>16</v>
      </c>
      <c r="E36" s="4" t="s">
        <v>132</v>
      </c>
      <c r="F36" s="62"/>
      <c r="G36" s="29">
        <f>G37+G38</f>
        <v>162000</v>
      </c>
      <c r="H36" s="29"/>
    </row>
    <row r="37" spans="1:12" ht="124.5" customHeight="1">
      <c r="A37" s="3" t="s">
        <v>417</v>
      </c>
      <c r="B37" s="4" t="s">
        <v>63</v>
      </c>
      <c r="C37" s="4" t="s">
        <v>255</v>
      </c>
      <c r="D37" s="4" t="s">
        <v>16</v>
      </c>
      <c r="E37" s="4" t="s">
        <v>132</v>
      </c>
      <c r="F37" s="62">
        <v>100</v>
      </c>
      <c r="G37" s="29">
        <f>10000+30000</f>
        <v>40000</v>
      </c>
      <c r="H37" s="29"/>
      <c r="L37" s="26"/>
    </row>
    <row r="38" spans="1:12" ht="47.25">
      <c r="A38" s="3" t="s">
        <v>306</v>
      </c>
      <c r="B38" s="4" t="s">
        <v>63</v>
      </c>
      <c r="C38" s="4" t="s">
        <v>255</v>
      </c>
      <c r="D38" s="4" t="s">
        <v>16</v>
      </c>
      <c r="E38" s="4" t="s">
        <v>132</v>
      </c>
      <c r="F38" s="62">
        <v>200</v>
      </c>
      <c r="G38" s="29">
        <f>31000+91000</f>
        <v>122000</v>
      </c>
      <c r="H38" s="29"/>
      <c r="L38" s="26"/>
    </row>
    <row r="39" spans="1:9" s="16" customFormat="1" ht="15.75">
      <c r="A39" s="1" t="s">
        <v>276</v>
      </c>
      <c r="B39" s="2" t="s">
        <v>63</v>
      </c>
      <c r="C39" s="2" t="s">
        <v>265</v>
      </c>
      <c r="D39" s="2"/>
      <c r="E39" s="2"/>
      <c r="F39" s="2"/>
      <c r="G39" s="33">
        <f>G40</f>
        <v>210570</v>
      </c>
      <c r="H39" s="33"/>
      <c r="I39" s="48"/>
    </row>
    <row r="40" spans="1:8" ht="15.75">
      <c r="A40" s="3" t="s">
        <v>10</v>
      </c>
      <c r="B40" s="4" t="s">
        <v>63</v>
      </c>
      <c r="C40" s="4" t="s">
        <v>265</v>
      </c>
      <c r="D40" s="4" t="s">
        <v>263</v>
      </c>
      <c r="E40" s="4"/>
      <c r="F40" s="4"/>
      <c r="G40" s="29">
        <f>G41</f>
        <v>210570</v>
      </c>
      <c r="H40" s="29"/>
    </row>
    <row r="41" spans="1:8" ht="79.5" customHeight="1">
      <c r="A41" s="3" t="s">
        <v>307</v>
      </c>
      <c r="B41" s="4" t="s">
        <v>63</v>
      </c>
      <c r="C41" s="4" t="s">
        <v>265</v>
      </c>
      <c r="D41" s="4" t="s">
        <v>263</v>
      </c>
      <c r="E41" s="4" t="s">
        <v>308</v>
      </c>
      <c r="F41" s="4"/>
      <c r="G41" s="29">
        <f>G42</f>
        <v>210570</v>
      </c>
      <c r="H41" s="29"/>
    </row>
    <row r="42" spans="1:8" ht="63">
      <c r="A42" s="3" t="s">
        <v>309</v>
      </c>
      <c r="B42" s="4" t="s">
        <v>63</v>
      </c>
      <c r="C42" s="4" t="s">
        <v>265</v>
      </c>
      <c r="D42" s="4" t="s">
        <v>263</v>
      </c>
      <c r="E42" s="4" t="s">
        <v>310</v>
      </c>
      <c r="F42" s="4"/>
      <c r="G42" s="29">
        <f>G43</f>
        <v>210570</v>
      </c>
      <c r="H42" s="29"/>
    </row>
    <row r="43" spans="1:8" ht="31.5">
      <c r="A43" s="3" t="s">
        <v>311</v>
      </c>
      <c r="B43" s="4" t="s">
        <v>63</v>
      </c>
      <c r="C43" s="4" t="s">
        <v>265</v>
      </c>
      <c r="D43" s="4" t="s">
        <v>263</v>
      </c>
      <c r="E43" s="4" t="s">
        <v>312</v>
      </c>
      <c r="F43" s="4"/>
      <c r="G43" s="29">
        <f>G44</f>
        <v>210570</v>
      </c>
      <c r="H43" s="29"/>
    </row>
    <row r="44" spans="1:8" ht="47.25">
      <c r="A44" s="3" t="s">
        <v>306</v>
      </c>
      <c r="B44" s="4" t="s">
        <v>63</v>
      </c>
      <c r="C44" s="4" t="s">
        <v>265</v>
      </c>
      <c r="D44" s="4" t="s">
        <v>263</v>
      </c>
      <c r="E44" s="4" t="s">
        <v>312</v>
      </c>
      <c r="F44" s="4" t="s">
        <v>19</v>
      </c>
      <c r="G44" s="29">
        <v>210570</v>
      </c>
      <c r="H44" s="29"/>
    </row>
    <row r="45" spans="1:12" ht="150">
      <c r="A45" s="10" t="s">
        <v>248</v>
      </c>
      <c r="B45" s="11" t="s">
        <v>64</v>
      </c>
      <c r="C45" s="11"/>
      <c r="D45" s="11"/>
      <c r="E45" s="11"/>
      <c r="F45" s="11"/>
      <c r="G45" s="35">
        <f>G46+G155+G181+G133+G195</f>
        <v>180036925.32999998</v>
      </c>
      <c r="H45" s="35">
        <f>H46+H155+H181+H133+H195</f>
        <v>5672400</v>
      </c>
      <c r="L45" s="26">
        <f>'[4]прил7'!$G$45-G45</f>
        <v>2792354.300000012</v>
      </c>
    </row>
    <row r="46" spans="1:8" ht="18.75">
      <c r="A46" s="1" t="s">
        <v>274</v>
      </c>
      <c r="B46" s="2" t="s">
        <v>64</v>
      </c>
      <c r="C46" s="2" t="s">
        <v>255</v>
      </c>
      <c r="D46" s="9"/>
      <c r="E46" s="9"/>
      <c r="F46" s="9"/>
      <c r="G46" s="36">
        <f>G47+G59+G77</f>
        <v>79254404.62</v>
      </c>
      <c r="H46" s="36">
        <f>H47+H59+H77</f>
        <v>1370800</v>
      </c>
    </row>
    <row r="47" spans="1:8" ht="126">
      <c r="A47" s="1" t="s">
        <v>12</v>
      </c>
      <c r="B47" s="2" t="s">
        <v>64</v>
      </c>
      <c r="C47" s="2" t="s">
        <v>255</v>
      </c>
      <c r="D47" s="2" t="s">
        <v>265</v>
      </c>
      <c r="E47" s="2"/>
      <c r="F47" s="2"/>
      <c r="G47" s="33">
        <f>G48</f>
        <v>29496952.000000004</v>
      </c>
      <c r="H47" s="33"/>
    </row>
    <row r="48" spans="1:8" ht="85.5" customHeight="1">
      <c r="A48" s="27" t="s">
        <v>313</v>
      </c>
      <c r="B48" s="4" t="s">
        <v>64</v>
      </c>
      <c r="C48" s="4" t="s">
        <v>255</v>
      </c>
      <c r="D48" s="4" t="s">
        <v>265</v>
      </c>
      <c r="E48" s="4" t="s">
        <v>314</v>
      </c>
      <c r="F48" s="4"/>
      <c r="G48" s="29">
        <f>G49</f>
        <v>29496952.000000004</v>
      </c>
      <c r="H48" s="29"/>
    </row>
    <row r="49" spans="1:8" ht="66.75" customHeight="1">
      <c r="A49" s="27" t="s">
        <v>315</v>
      </c>
      <c r="B49" s="4" t="s">
        <v>64</v>
      </c>
      <c r="C49" s="4" t="s">
        <v>255</v>
      </c>
      <c r="D49" s="4" t="s">
        <v>265</v>
      </c>
      <c r="E49" s="4" t="s">
        <v>316</v>
      </c>
      <c r="F49" s="4"/>
      <c r="G49" s="29">
        <f>G50+G52+G54+G57</f>
        <v>29496952.000000004</v>
      </c>
      <c r="H49" s="29"/>
    </row>
    <row r="50" spans="1:8" ht="47.25">
      <c r="A50" s="27" t="s">
        <v>418</v>
      </c>
      <c r="B50" s="4" t="s">
        <v>64</v>
      </c>
      <c r="C50" s="4" t="s">
        <v>255</v>
      </c>
      <c r="D50" s="4" t="s">
        <v>265</v>
      </c>
      <c r="E50" s="4" t="s">
        <v>419</v>
      </c>
      <c r="F50" s="4"/>
      <c r="G50" s="29">
        <f>G51</f>
        <v>2165093.24</v>
      </c>
      <c r="H50" s="29"/>
    </row>
    <row r="51" spans="1:10" ht="126">
      <c r="A51" s="27" t="s">
        <v>417</v>
      </c>
      <c r="B51" s="4" t="s">
        <v>64</v>
      </c>
      <c r="C51" s="4" t="s">
        <v>255</v>
      </c>
      <c r="D51" s="4" t="s">
        <v>265</v>
      </c>
      <c r="E51" s="4" t="s">
        <v>419</v>
      </c>
      <c r="F51" s="4" t="s">
        <v>18</v>
      </c>
      <c r="G51" s="29">
        <f>1372087.82+551500.72+42916.78+155528.47+19522.2+23537.25</f>
        <v>2165093.24</v>
      </c>
      <c r="H51" s="29"/>
      <c r="J51" s="26">
        <v>551500.72</v>
      </c>
    </row>
    <row r="52" spans="1:8" ht="47.25">
      <c r="A52" s="27" t="s">
        <v>413</v>
      </c>
      <c r="B52" s="4" t="s">
        <v>64</v>
      </c>
      <c r="C52" s="4" t="s">
        <v>255</v>
      </c>
      <c r="D52" s="4" t="s">
        <v>265</v>
      </c>
      <c r="E52" s="4" t="s">
        <v>420</v>
      </c>
      <c r="F52" s="4"/>
      <c r="G52" s="29">
        <f>G53</f>
        <v>26243443.830000002</v>
      </c>
      <c r="H52" s="29"/>
    </row>
    <row r="53" spans="1:10" ht="126">
      <c r="A53" s="27" t="s">
        <v>417</v>
      </c>
      <c r="B53" s="4" t="s">
        <v>64</v>
      </c>
      <c r="C53" s="4" t="s">
        <v>255</v>
      </c>
      <c r="D53" s="4" t="s">
        <v>265</v>
      </c>
      <c r="E53" s="4" t="s">
        <v>420</v>
      </c>
      <c r="F53" s="4" t="s">
        <v>18</v>
      </c>
      <c r="G53" s="29">
        <f>26891831.37-551500.72-96886.82</f>
        <v>26243443.830000002</v>
      </c>
      <c r="H53" s="29"/>
      <c r="J53" s="26">
        <f>-551500.72</f>
        <v>-551500.72</v>
      </c>
    </row>
    <row r="54" spans="1:8" ht="47.25">
      <c r="A54" s="27" t="s">
        <v>415</v>
      </c>
      <c r="B54" s="4" t="s">
        <v>64</v>
      </c>
      <c r="C54" s="4" t="s">
        <v>255</v>
      </c>
      <c r="D54" s="4" t="s">
        <v>265</v>
      </c>
      <c r="E54" s="4" t="s">
        <v>421</v>
      </c>
      <c r="F54" s="4"/>
      <c r="G54" s="29">
        <f>G55+G56</f>
        <v>730494.1699999999</v>
      </c>
      <c r="H54" s="29"/>
    </row>
    <row r="55" spans="1:8" ht="126">
      <c r="A55" s="27" t="s">
        <v>417</v>
      </c>
      <c r="B55" s="4" t="s">
        <v>64</v>
      </c>
      <c r="C55" s="4" t="s">
        <v>255</v>
      </c>
      <c r="D55" s="4" t="s">
        <v>265</v>
      </c>
      <c r="E55" s="4" t="s">
        <v>421</v>
      </c>
      <c r="F55" s="4" t="s">
        <v>18</v>
      </c>
      <c r="G55" s="29">
        <f>128710.05+33000-1200-2402.5-35870</f>
        <v>122237.54999999999</v>
      </c>
      <c r="H55" s="29"/>
    </row>
    <row r="56" spans="1:8" ht="47.25">
      <c r="A56" s="27" t="s">
        <v>306</v>
      </c>
      <c r="B56" s="4" t="s">
        <v>64</v>
      </c>
      <c r="C56" s="4" t="s">
        <v>255</v>
      </c>
      <c r="D56" s="4" t="s">
        <v>265</v>
      </c>
      <c r="E56" s="4" t="s">
        <v>421</v>
      </c>
      <c r="F56" s="4" t="s">
        <v>19</v>
      </c>
      <c r="G56" s="29">
        <f>769870-33000-24637.38-17800-28676-57500</f>
        <v>608256.62</v>
      </c>
      <c r="H56" s="29"/>
    </row>
    <row r="57" spans="1:8" ht="110.25">
      <c r="A57" s="27" t="s">
        <v>409</v>
      </c>
      <c r="B57" s="4" t="s">
        <v>64</v>
      </c>
      <c r="C57" s="4" t="s">
        <v>255</v>
      </c>
      <c r="D57" s="4" t="s">
        <v>265</v>
      </c>
      <c r="E57" s="4" t="s">
        <v>422</v>
      </c>
      <c r="F57" s="4"/>
      <c r="G57" s="29">
        <f>G58</f>
        <v>357920.76</v>
      </c>
      <c r="H57" s="29"/>
    </row>
    <row r="58" spans="1:8" ht="126">
      <c r="A58" s="27" t="s">
        <v>417</v>
      </c>
      <c r="B58" s="4" t="s">
        <v>64</v>
      </c>
      <c r="C58" s="4" t="s">
        <v>255</v>
      </c>
      <c r="D58" s="4" t="s">
        <v>265</v>
      </c>
      <c r="E58" s="4" t="s">
        <v>422</v>
      </c>
      <c r="F58" s="4" t="s">
        <v>18</v>
      </c>
      <c r="G58" s="29">
        <f>334452.76+24637.38-1169.38</f>
        <v>357920.76</v>
      </c>
      <c r="H58" s="29"/>
    </row>
    <row r="59" spans="1:8" ht="15.75">
      <c r="A59" s="13" t="s">
        <v>283</v>
      </c>
      <c r="B59" s="5" t="s">
        <v>64</v>
      </c>
      <c r="C59" s="5" t="s">
        <v>255</v>
      </c>
      <c r="D59" s="5" t="s">
        <v>169</v>
      </c>
      <c r="E59" s="23"/>
      <c r="F59" s="23"/>
      <c r="G59" s="28">
        <f>G60</f>
        <v>100000</v>
      </c>
      <c r="H59" s="28"/>
    </row>
    <row r="60" spans="1:8" ht="15.75">
      <c r="A60" s="3" t="s">
        <v>317</v>
      </c>
      <c r="B60" s="4" t="s">
        <v>64</v>
      </c>
      <c r="C60" s="4" t="s">
        <v>255</v>
      </c>
      <c r="D60" s="4" t="s">
        <v>169</v>
      </c>
      <c r="E60" s="4" t="s">
        <v>304</v>
      </c>
      <c r="F60" s="4"/>
      <c r="G60" s="29">
        <f>G61</f>
        <v>100000</v>
      </c>
      <c r="H60" s="29"/>
    </row>
    <row r="61" spans="1:8" ht="31.5">
      <c r="A61" s="3" t="s">
        <v>318</v>
      </c>
      <c r="B61" s="4" t="s">
        <v>64</v>
      </c>
      <c r="C61" s="4" t="s">
        <v>255</v>
      </c>
      <c r="D61" s="4" t="s">
        <v>169</v>
      </c>
      <c r="E61" s="4" t="s">
        <v>319</v>
      </c>
      <c r="F61" s="4"/>
      <c r="G61" s="29">
        <f>G62</f>
        <v>100000</v>
      </c>
      <c r="H61" s="29"/>
    </row>
    <row r="62" spans="1:8" ht="23.25" customHeight="1">
      <c r="A62" s="3" t="s">
        <v>235</v>
      </c>
      <c r="B62" s="4" t="s">
        <v>64</v>
      </c>
      <c r="C62" s="4" t="s">
        <v>255</v>
      </c>
      <c r="D62" s="4" t="s">
        <v>169</v>
      </c>
      <c r="E62" s="4" t="s">
        <v>319</v>
      </c>
      <c r="F62" s="4" t="s">
        <v>22</v>
      </c>
      <c r="G62" s="29">
        <f>500000-500000+100000</f>
        <v>100000</v>
      </c>
      <c r="H62" s="29"/>
    </row>
    <row r="63" spans="1:8" ht="15.75" hidden="1">
      <c r="A63" s="3" t="s">
        <v>235</v>
      </c>
      <c r="B63" s="4" t="s">
        <v>64</v>
      </c>
      <c r="C63" s="4" t="s">
        <v>255</v>
      </c>
      <c r="D63" s="4" t="s">
        <v>169</v>
      </c>
      <c r="E63" s="4" t="s">
        <v>14</v>
      </c>
      <c r="F63" s="4" t="s">
        <v>22</v>
      </c>
      <c r="G63" s="29"/>
      <c r="H63" s="29"/>
    </row>
    <row r="64" spans="1:9" s="25" customFormat="1" ht="15.75" hidden="1">
      <c r="A64" s="3" t="s">
        <v>236</v>
      </c>
      <c r="B64" s="4" t="s">
        <v>64</v>
      </c>
      <c r="C64" s="4" t="s">
        <v>255</v>
      </c>
      <c r="D64" s="4" t="s">
        <v>169</v>
      </c>
      <c r="E64" s="4" t="s">
        <v>14</v>
      </c>
      <c r="F64" s="4" t="s">
        <v>237</v>
      </c>
      <c r="G64" s="46"/>
      <c r="H64" s="46"/>
      <c r="I64" s="47"/>
    </row>
    <row r="65" spans="1:9" s="25" customFormat="1" ht="15.75" hidden="1">
      <c r="A65" s="49"/>
      <c r="B65" s="4"/>
      <c r="C65" s="4"/>
      <c r="D65" s="4"/>
      <c r="E65" s="4"/>
      <c r="F65" s="4"/>
      <c r="G65" s="37"/>
      <c r="H65" s="37"/>
      <c r="I65" s="47"/>
    </row>
    <row r="66" spans="1:9" s="25" customFormat="1" ht="15.75" hidden="1">
      <c r="A66" s="49"/>
      <c r="B66" s="4"/>
      <c r="C66" s="4"/>
      <c r="D66" s="4"/>
      <c r="E66" s="4"/>
      <c r="F66" s="4"/>
      <c r="G66" s="37"/>
      <c r="H66" s="37"/>
      <c r="I66" s="47"/>
    </row>
    <row r="67" spans="1:8" ht="15.75" hidden="1">
      <c r="A67" s="3"/>
      <c r="B67" s="4"/>
      <c r="C67" s="4"/>
      <c r="D67" s="4"/>
      <c r="E67" s="4"/>
      <c r="F67" s="4"/>
      <c r="G67" s="29"/>
      <c r="H67" s="29"/>
    </row>
    <row r="68" spans="1:8" ht="15.75" hidden="1">
      <c r="A68" s="3"/>
      <c r="B68" s="4"/>
      <c r="C68" s="4"/>
      <c r="D68" s="4"/>
      <c r="E68" s="4"/>
      <c r="F68" s="4"/>
      <c r="G68" s="29"/>
      <c r="H68" s="29"/>
    </row>
    <row r="69" spans="1:8" ht="15.75" hidden="1">
      <c r="A69" s="3"/>
      <c r="B69" s="4"/>
      <c r="C69" s="4"/>
      <c r="D69" s="4"/>
      <c r="E69" s="4"/>
      <c r="F69" s="4"/>
      <c r="G69" s="29"/>
      <c r="H69" s="29"/>
    </row>
    <row r="70" spans="1:8" ht="15.75" hidden="1">
      <c r="A70" s="3"/>
      <c r="B70" s="4"/>
      <c r="C70" s="4"/>
      <c r="D70" s="4"/>
      <c r="E70" s="4"/>
      <c r="F70" s="4"/>
      <c r="G70" s="29"/>
      <c r="H70" s="29"/>
    </row>
    <row r="71" spans="1:8" ht="15.75" hidden="1">
      <c r="A71" s="13"/>
      <c r="B71" s="5"/>
      <c r="C71" s="5"/>
      <c r="D71" s="5"/>
      <c r="E71" s="5"/>
      <c r="F71" s="23"/>
      <c r="G71" s="28"/>
      <c r="H71" s="28"/>
    </row>
    <row r="72" spans="1:8" ht="15.75" hidden="1">
      <c r="A72" s="3"/>
      <c r="B72" s="4"/>
      <c r="C72" s="4"/>
      <c r="D72" s="4"/>
      <c r="E72" s="4"/>
      <c r="F72" s="4"/>
      <c r="G72" s="29"/>
      <c r="H72" s="29"/>
    </row>
    <row r="73" spans="1:8" ht="15.75" hidden="1">
      <c r="A73" s="3"/>
      <c r="B73" s="4"/>
      <c r="C73" s="4"/>
      <c r="D73" s="4"/>
      <c r="E73" s="4"/>
      <c r="F73" s="4"/>
      <c r="G73" s="29"/>
      <c r="H73" s="29"/>
    </row>
    <row r="74" spans="1:8" ht="15.75" hidden="1">
      <c r="A74" s="3"/>
      <c r="B74" s="4"/>
      <c r="C74" s="4"/>
      <c r="D74" s="4"/>
      <c r="E74" s="4"/>
      <c r="F74" s="4"/>
      <c r="G74" s="29"/>
      <c r="H74" s="29"/>
    </row>
    <row r="75" spans="1:8" ht="15.75" hidden="1">
      <c r="A75" s="3"/>
      <c r="B75" s="4"/>
      <c r="C75" s="4"/>
      <c r="D75" s="4"/>
      <c r="E75" s="4"/>
      <c r="F75" s="4"/>
      <c r="G75" s="29"/>
      <c r="H75" s="29"/>
    </row>
    <row r="76" spans="1:8" ht="15.75" hidden="1">
      <c r="A76" s="3"/>
      <c r="B76" s="4"/>
      <c r="C76" s="4"/>
      <c r="D76" s="4"/>
      <c r="E76" s="4"/>
      <c r="F76" s="4"/>
      <c r="G76" s="29"/>
      <c r="H76" s="29"/>
    </row>
    <row r="77" spans="1:8" ht="31.5">
      <c r="A77" s="13" t="s">
        <v>284</v>
      </c>
      <c r="B77" s="5" t="s">
        <v>64</v>
      </c>
      <c r="C77" s="5" t="s">
        <v>255</v>
      </c>
      <c r="D77" s="5" t="s">
        <v>16</v>
      </c>
      <c r="E77" s="23"/>
      <c r="F77" s="23"/>
      <c r="G77" s="28">
        <f>G78+G88+G84+G126+G98</f>
        <v>49657452.620000005</v>
      </c>
      <c r="H77" s="28">
        <f>H78+H88+H84+H126+H98</f>
        <v>1370800</v>
      </c>
    </row>
    <row r="78" spans="1:8" ht="78.75">
      <c r="A78" s="3" t="s">
        <v>324</v>
      </c>
      <c r="B78" s="4" t="s">
        <v>64</v>
      </c>
      <c r="C78" s="4" t="s">
        <v>255</v>
      </c>
      <c r="D78" s="4" t="s">
        <v>16</v>
      </c>
      <c r="E78" s="4" t="s">
        <v>325</v>
      </c>
      <c r="F78" s="4"/>
      <c r="G78" s="29">
        <f>G79+G82</f>
        <v>892800</v>
      </c>
      <c r="H78" s="29"/>
    </row>
    <row r="79" spans="1:8" ht="31.5">
      <c r="A79" s="3" t="s">
        <v>326</v>
      </c>
      <c r="B79" s="4" t="s">
        <v>64</v>
      </c>
      <c r="C79" s="4" t="s">
        <v>255</v>
      </c>
      <c r="D79" s="4" t="s">
        <v>16</v>
      </c>
      <c r="E79" s="4" t="s">
        <v>327</v>
      </c>
      <c r="F79" s="4"/>
      <c r="G79" s="29">
        <f>G81+G80</f>
        <v>723800</v>
      </c>
      <c r="H79" s="29"/>
    </row>
    <row r="80" spans="1:8" ht="47.25">
      <c r="A80" s="3" t="s">
        <v>306</v>
      </c>
      <c r="B80" s="4" t="s">
        <v>64</v>
      </c>
      <c r="C80" s="4" t="s">
        <v>255</v>
      </c>
      <c r="D80" s="4" t="s">
        <v>16</v>
      </c>
      <c r="E80" s="4" t="s">
        <v>327</v>
      </c>
      <c r="F80" s="4" t="s">
        <v>19</v>
      </c>
      <c r="G80" s="29">
        <f>60000</f>
        <v>60000</v>
      </c>
      <c r="H80" s="29"/>
    </row>
    <row r="81" spans="1:10" ht="31.5">
      <c r="A81" s="3" t="s">
        <v>239</v>
      </c>
      <c r="B81" s="4" t="s">
        <v>64</v>
      </c>
      <c r="C81" s="4" t="s">
        <v>255</v>
      </c>
      <c r="D81" s="4" t="s">
        <v>16</v>
      </c>
      <c r="E81" s="4" t="s">
        <v>327</v>
      </c>
      <c r="F81" s="4" t="s">
        <v>240</v>
      </c>
      <c r="G81" s="29">
        <f>792800-69000-60000</f>
        <v>663800</v>
      </c>
      <c r="H81" s="29"/>
      <c r="J81" s="26">
        <v>-69000</v>
      </c>
    </row>
    <row r="82" spans="1:8" ht="73.5" customHeight="1">
      <c r="A82" s="3" t="s">
        <v>328</v>
      </c>
      <c r="B82" s="4" t="s">
        <v>64</v>
      </c>
      <c r="C82" s="4" t="s">
        <v>255</v>
      </c>
      <c r="D82" s="4" t="s">
        <v>16</v>
      </c>
      <c r="E82" s="4" t="s">
        <v>329</v>
      </c>
      <c r="F82" s="4"/>
      <c r="G82" s="29">
        <f>G83</f>
        <v>169000</v>
      </c>
      <c r="H82" s="29"/>
    </row>
    <row r="83" spans="1:10" ht="63">
      <c r="A83" s="61" t="s">
        <v>330</v>
      </c>
      <c r="B83" s="4" t="s">
        <v>64</v>
      </c>
      <c r="C83" s="4" t="s">
        <v>255</v>
      </c>
      <c r="D83" s="4" t="s">
        <v>16</v>
      </c>
      <c r="E83" s="4" t="s">
        <v>329</v>
      </c>
      <c r="F83" s="4" t="s">
        <v>23</v>
      </c>
      <c r="G83" s="29">
        <f>100000+69000</f>
        <v>169000</v>
      </c>
      <c r="H83" s="29"/>
      <c r="J83" s="26">
        <v>69000</v>
      </c>
    </row>
    <row r="84" spans="1:8" ht="78.75">
      <c r="A84" s="27" t="s">
        <v>343</v>
      </c>
      <c r="B84" s="4" t="s">
        <v>64</v>
      </c>
      <c r="C84" s="4" t="s">
        <v>255</v>
      </c>
      <c r="D84" s="4" t="s">
        <v>16</v>
      </c>
      <c r="E84" s="4" t="s">
        <v>344</v>
      </c>
      <c r="F84" s="4"/>
      <c r="G84" s="29">
        <f>G85</f>
        <v>5000</v>
      </c>
      <c r="H84" s="29"/>
    </row>
    <row r="85" spans="1:8" ht="15.75">
      <c r="A85" s="61" t="s">
        <v>159</v>
      </c>
      <c r="B85" s="4" t="s">
        <v>64</v>
      </c>
      <c r="C85" s="4" t="s">
        <v>255</v>
      </c>
      <c r="D85" s="4" t="s">
        <v>16</v>
      </c>
      <c r="E85" s="4" t="s">
        <v>160</v>
      </c>
      <c r="F85" s="4"/>
      <c r="G85" s="29">
        <f>G86</f>
        <v>5000</v>
      </c>
      <c r="H85" s="29"/>
    </row>
    <row r="86" spans="1:8" ht="31.5">
      <c r="A86" s="3" t="s">
        <v>326</v>
      </c>
      <c r="B86" s="4" t="s">
        <v>64</v>
      </c>
      <c r="C86" s="4" t="s">
        <v>255</v>
      </c>
      <c r="D86" s="4" t="s">
        <v>16</v>
      </c>
      <c r="E86" s="4" t="s">
        <v>161</v>
      </c>
      <c r="F86" s="4"/>
      <c r="G86" s="29">
        <f>G87</f>
        <v>5000</v>
      </c>
      <c r="H86" s="29"/>
    </row>
    <row r="87" spans="1:8" ht="47.25">
      <c r="A87" s="3" t="s">
        <v>306</v>
      </c>
      <c r="B87" s="4" t="s">
        <v>64</v>
      </c>
      <c r="C87" s="4" t="s">
        <v>255</v>
      </c>
      <c r="D87" s="4" t="s">
        <v>16</v>
      </c>
      <c r="E87" s="4" t="s">
        <v>161</v>
      </c>
      <c r="F87" s="4" t="s">
        <v>19</v>
      </c>
      <c r="G87" s="29">
        <v>5000</v>
      </c>
      <c r="H87" s="29"/>
    </row>
    <row r="88" spans="1:8" ht="70.5" customHeight="1">
      <c r="A88" s="3" t="s">
        <v>307</v>
      </c>
      <c r="B88" s="4" t="s">
        <v>64</v>
      </c>
      <c r="C88" s="4" t="s">
        <v>255</v>
      </c>
      <c r="D88" s="4" t="s">
        <v>16</v>
      </c>
      <c r="E88" s="4" t="s">
        <v>308</v>
      </c>
      <c r="F88" s="4"/>
      <c r="G88" s="29">
        <f>G89</f>
        <v>6522554</v>
      </c>
      <c r="H88" s="29"/>
    </row>
    <row r="89" spans="1:8" ht="94.5">
      <c r="A89" s="61" t="s">
        <v>338</v>
      </c>
      <c r="B89" s="4" t="s">
        <v>64</v>
      </c>
      <c r="C89" s="4" t="s">
        <v>255</v>
      </c>
      <c r="D89" s="4" t="s">
        <v>16</v>
      </c>
      <c r="E89" s="4" t="s">
        <v>339</v>
      </c>
      <c r="F89" s="4"/>
      <c r="G89" s="29">
        <f>G95+G90+G93</f>
        <v>6522554</v>
      </c>
      <c r="H89" s="29"/>
    </row>
    <row r="90" spans="1:8" ht="110.25">
      <c r="A90" s="3" t="s">
        <v>209</v>
      </c>
      <c r="B90" s="4" t="s">
        <v>64</v>
      </c>
      <c r="C90" s="4" t="s">
        <v>255</v>
      </c>
      <c r="D90" s="4" t="s">
        <v>16</v>
      </c>
      <c r="E90" s="4" t="s">
        <v>84</v>
      </c>
      <c r="F90" s="4"/>
      <c r="G90" s="29">
        <f>G91+G92+G97</f>
        <v>6522554</v>
      </c>
      <c r="H90" s="29"/>
    </row>
    <row r="91" spans="1:12" ht="126">
      <c r="A91" s="3" t="s">
        <v>305</v>
      </c>
      <c r="B91" s="4" t="s">
        <v>64</v>
      </c>
      <c r="C91" s="4" t="s">
        <v>255</v>
      </c>
      <c r="D91" s="4" t="s">
        <v>16</v>
      </c>
      <c r="E91" s="4" t="s">
        <v>84</v>
      </c>
      <c r="F91" s="4" t="s">
        <v>18</v>
      </c>
      <c r="G91" s="29">
        <f>3565344-3565344</f>
        <v>0</v>
      </c>
      <c r="H91" s="29"/>
      <c r="L91" s="26"/>
    </row>
    <row r="92" spans="1:12" ht="47.25">
      <c r="A92" s="3" t="s">
        <v>306</v>
      </c>
      <c r="B92" s="4" t="s">
        <v>64</v>
      </c>
      <c r="C92" s="4" t="s">
        <v>255</v>
      </c>
      <c r="D92" s="4" t="s">
        <v>16</v>
      </c>
      <c r="E92" s="4" t="s">
        <v>84</v>
      </c>
      <c r="F92" s="4" t="s">
        <v>19</v>
      </c>
      <c r="G92" s="29">
        <f>6551584-2000000-2702286-105522-113540-275312</f>
        <v>1354924</v>
      </c>
      <c r="H92" s="29"/>
      <c r="L92" s="26"/>
    </row>
    <row r="93" spans="1:8" ht="63" hidden="1">
      <c r="A93" s="3" t="s">
        <v>222</v>
      </c>
      <c r="B93" s="4" t="s">
        <v>64</v>
      </c>
      <c r="C93" s="4" t="s">
        <v>255</v>
      </c>
      <c r="D93" s="4" t="s">
        <v>16</v>
      </c>
      <c r="E93" s="4" t="s">
        <v>85</v>
      </c>
      <c r="F93" s="4"/>
      <c r="G93" s="29">
        <f>G94</f>
        <v>0</v>
      </c>
      <c r="H93" s="29"/>
    </row>
    <row r="94" spans="1:8" ht="63" hidden="1">
      <c r="A94" s="3" t="s">
        <v>49</v>
      </c>
      <c r="B94" s="4" t="s">
        <v>64</v>
      </c>
      <c r="C94" s="4" t="s">
        <v>255</v>
      </c>
      <c r="D94" s="4" t="s">
        <v>16</v>
      </c>
      <c r="E94" s="4" t="s">
        <v>85</v>
      </c>
      <c r="F94" s="4" t="s">
        <v>297</v>
      </c>
      <c r="G94" s="29"/>
      <c r="H94" s="29"/>
    </row>
    <row r="95" spans="1:8" ht="47.25" hidden="1">
      <c r="A95" s="61" t="s">
        <v>340</v>
      </c>
      <c r="B95" s="4" t="s">
        <v>64</v>
      </c>
      <c r="C95" s="4" t="s">
        <v>255</v>
      </c>
      <c r="D95" s="4" t="s">
        <v>16</v>
      </c>
      <c r="E95" s="4" t="s">
        <v>341</v>
      </c>
      <c r="F95" s="4"/>
      <c r="G95" s="29"/>
      <c r="H95" s="29"/>
    </row>
    <row r="96" spans="1:8" ht="47.25" hidden="1">
      <c r="A96" s="3" t="s">
        <v>306</v>
      </c>
      <c r="B96" s="4" t="s">
        <v>64</v>
      </c>
      <c r="C96" s="4" t="s">
        <v>255</v>
      </c>
      <c r="D96" s="4" t="s">
        <v>16</v>
      </c>
      <c r="E96" s="4" t="s">
        <v>341</v>
      </c>
      <c r="F96" s="4" t="s">
        <v>19</v>
      </c>
      <c r="G96" s="29"/>
      <c r="H96" s="29"/>
    </row>
    <row r="97" spans="1:12" ht="63">
      <c r="A97" s="3" t="s">
        <v>330</v>
      </c>
      <c r="B97" s="4" t="s">
        <v>64</v>
      </c>
      <c r="C97" s="4" t="s">
        <v>255</v>
      </c>
      <c r="D97" s="4" t="s">
        <v>16</v>
      </c>
      <c r="E97" s="4" t="s">
        <v>84</v>
      </c>
      <c r="F97" s="4" t="s">
        <v>23</v>
      </c>
      <c r="G97" s="29">
        <f>5167630</f>
        <v>5167630</v>
      </c>
      <c r="H97" s="29"/>
      <c r="L97" s="26"/>
    </row>
    <row r="98" spans="1:8" ht="85.5" customHeight="1">
      <c r="A98" s="27" t="s">
        <v>313</v>
      </c>
      <c r="B98" s="4" t="s">
        <v>64</v>
      </c>
      <c r="C98" s="4" t="s">
        <v>255</v>
      </c>
      <c r="D98" s="4" t="s">
        <v>16</v>
      </c>
      <c r="E98" s="4" t="s">
        <v>314</v>
      </c>
      <c r="F98" s="4"/>
      <c r="G98" s="29">
        <f>G99+G105+G111+G122</f>
        <v>41417144.59</v>
      </c>
      <c r="H98" s="29">
        <f>H99+H105+H111</f>
        <v>1370800</v>
      </c>
    </row>
    <row r="99" spans="1:8" ht="64.5" customHeight="1">
      <c r="A99" s="27" t="s">
        <v>315</v>
      </c>
      <c r="B99" s="4" t="s">
        <v>64</v>
      </c>
      <c r="C99" s="4" t="s">
        <v>255</v>
      </c>
      <c r="D99" s="4" t="s">
        <v>16</v>
      </c>
      <c r="E99" s="4" t="s">
        <v>316</v>
      </c>
      <c r="F99" s="4"/>
      <c r="G99" s="29">
        <f>G100+G102</f>
        <v>1370800</v>
      </c>
      <c r="H99" s="29">
        <f>H100+H102</f>
        <v>1370800</v>
      </c>
    </row>
    <row r="100" spans="1:8" ht="220.5">
      <c r="A100" s="3" t="s">
        <v>32</v>
      </c>
      <c r="B100" s="4" t="s">
        <v>64</v>
      </c>
      <c r="C100" s="4" t="s">
        <v>255</v>
      </c>
      <c r="D100" s="4" t="s">
        <v>16</v>
      </c>
      <c r="E100" s="4" t="s">
        <v>320</v>
      </c>
      <c r="F100" s="4"/>
      <c r="G100" s="29">
        <f>G101</f>
        <v>6000</v>
      </c>
      <c r="H100" s="29">
        <f>H101</f>
        <v>6000</v>
      </c>
    </row>
    <row r="101" spans="1:8" ht="47.25">
      <c r="A101" s="3" t="s">
        <v>306</v>
      </c>
      <c r="B101" s="4" t="s">
        <v>64</v>
      </c>
      <c r="C101" s="4" t="s">
        <v>255</v>
      </c>
      <c r="D101" s="4" t="s">
        <v>16</v>
      </c>
      <c r="E101" s="4" t="s">
        <v>320</v>
      </c>
      <c r="F101" s="4" t="s">
        <v>19</v>
      </c>
      <c r="G101" s="29">
        <v>6000</v>
      </c>
      <c r="H101" s="29">
        <f>G101</f>
        <v>6000</v>
      </c>
    </row>
    <row r="102" spans="1:8" ht="47.25">
      <c r="A102" s="3" t="s">
        <v>321</v>
      </c>
      <c r="B102" s="4" t="s">
        <v>64</v>
      </c>
      <c r="C102" s="4" t="s">
        <v>255</v>
      </c>
      <c r="D102" s="4" t="s">
        <v>16</v>
      </c>
      <c r="E102" s="4" t="s">
        <v>322</v>
      </c>
      <c r="F102" s="4"/>
      <c r="G102" s="29">
        <f>G103+G104</f>
        <v>1364800</v>
      </c>
      <c r="H102" s="29">
        <f>H103+H104</f>
        <v>1364800</v>
      </c>
    </row>
    <row r="103" spans="1:10" ht="126">
      <c r="A103" s="3" t="s">
        <v>305</v>
      </c>
      <c r="B103" s="4" t="s">
        <v>64</v>
      </c>
      <c r="C103" s="4" t="s">
        <v>255</v>
      </c>
      <c r="D103" s="4" t="s">
        <v>16</v>
      </c>
      <c r="E103" s="4" t="s">
        <v>322</v>
      </c>
      <c r="F103" s="4" t="s">
        <v>18</v>
      </c>
      <c r="G103" s="29">
        <f>1119753+62491.79-62491.79</f>
        <v>1119753</v>
      </c>
      <c r="H103" s="29">
        <f>G103</f>
        <v>1119753</v>
      </c>
      <c r="J103" s="26">
        <f>1182244.79-1119753</f>
        <v>62491.79000000004</v>
      </c>
    </row>
    <row r="104" spans="1:10" ht="47.25">
      <c r="A104" s="3" t="s">
        <v>306</v>
      </c>
      <c r="B104" s="4" t="s">
        <v>64</v>
      </c>
      <c r="C104" s="4" t="s">
        <v>255</v>
      </c>
      <c r="D104" s="4" t="s">
        <v>16</v>
      </c>
      <c r="E104" s="4" t="s">
        <v>322</v>
      </c>
      <c r="F104" s="4" t="s">
        <v>19</v>
      </c>
      <c r="G104" s="29">
        <f>245047-62491.79+62491.79</f>
        <v>245047</v>
      </c>
      <c r="H104" s="29">
        <f>G104</f>
        <v>245047</v>
      </c>
      <c r="J104" s="26">
        <f>182555.21-245047</f>
        <v>-62491.79000000001</v>
      </c>
    </row>
    <row r="105" spans="1:8" ht="31.5">
      <c r="A105" s="3" t="s">
        <v>87</v>
      </c>
      <c r="B105" s="4" t="s">
        <v>64</v>
      </c>
      <c r="C105" s="4" t="s">
        <v>255</v>
      </c>
      <c r="D105" s="4" t="s">
        <v>16</v>
      </c>
      <c r="E105" s="4" t="s">
        <v>88</v>
      </c>
      <c r="F105" s="4"/>
      <c r="G105" s="29">
        <f>G106+G109</f>
        <v>6702782</v>
      </c>
      <c r="H105" s="29"/>
    </row>
    <row r="106" spans="1:8" ht="110.25">
      <c r="A106" s="3" t="s">
        <v>209</v>
      </c>
      <c r="B106" s="4" t="s">
        <v>64</v>
      </c>
      <c r="C106" s="4" t="s">
        <v>255</v>
      </c>
      <c r="D106" s="4" t="s">
        <v>16</v>
      </c>
      <c r="E106" s="4" t="s">
        <v>89</v>
      </c>
      <c r="F106" s="4"/>
      <c r="G106" s="29">
        <f>G107+G108</f>
        <v>6634505.54</v>
      </c>
      <c r="H106" s="29"/>
    </row>
    <row r="107" spans="1:8" ht="126">
      <c r="A107" s="3" t="s">
        <v>305</v>
      </c>
      <c r="B107" s="4" t="s">
        <v>64</v>
      </c>
      <c r="C107" s="4" t="s">
        <v>255</v>
      </c>
      <c r="D107" s="4" t="s">
        <v>16</v>
      </c>
      <c r="E107" s="4" t="s">
        <v>89</v>
      </c>
      <c r="F107" s="4" t="s">
        <v>18</v>
      </c>
      <c r="G107" s="29">
        <f>5279763.3-68276.46</f>
        <v>5211486.84</v>
      </c>
      <c r="H107" s="29"/>
    </row>
    <row r="108" spans="1:8" ht="47.25">
      <c r="A108" s="3" t="s">
        <v>306</v>
      </c>
      <c r="B108" s="4" t="s">
        <v>64</v>
      </c>
      <c r="C108" s="4" t="s">
        <v>255</v>
      </c>
      <c r="D108" s="4" t="s">
        <v>16</v>
      </c>
      <c r="E108" s="4" t="s">
        <v>89</v>
      </c>
      <c r="F108" s="4" t="s">
        <v>19</v>
      </c>
      <c r="G108" s="29">
        <f>1231018.7+192000</f>
        <v>1423018.7</v>
      </c>
      <c r="H108" s="29"/>
    </row>
    <row r="109" spans="1:8" ht="110.25">
      <c r="A109" s="3" t="s">
        <v>409</v>
      </c>
      <c r="B109" s="4" t="s">
        <v>64</v>
      </c>
      <c r="C109" s="4" t="s">
        <v>255</v>
      </c>
      <c r="D109" s="4" t="s">
        <v>16</v>
      </c>
      <c r="E109" s="4" t="s">
        <v>423</v>
      </c>
      <c r="F109" s="4"/>
      <c r="G109" s="29">
        <f>G110</f>
        <v>68276.46</v>
      </c>
      <c r="H109" s="29"/>
    </row>
    <row r="110" spans="1:8" ht="126">
      <c r="A110" s="3" t="s">
        <v>417</v>
      </c>
      <c r="B110" s="4" t="s">
        <v>64</v>
      </c>
      <c r="C110" s="4" t="s">
        <v>255</v>
      </c>
      <c r="D110" s="4" t="s">
        <v>16</v>
      </c>
      <c r="E110" s="4" t="s">
        <v>423</v>
      </c>
      <c r="F110" s="4" t="s">
        <v>18</v>
      </c>
      <c r="G110" s="29">
        <v>68276.46</v>
      </c>
      <c r="H110" s="29"/>
    </row>
    <row r="111" spans="1:8" ht="47.25">
      <c r="A111" s="3" t="s">
        <v>91</v>
      </c>
      <c r="B111" s="4" t="s">
        <v>64</v>
      </c>
      <c r="C111" s="4" t="s">
        <v>255</v>
      </c>
      <c r="D111" s="4" t="s">
        <v>16</v>
      </c>
      <c r="E111" s="4" t="s">
        <v>92</v>
      </c>
      <c r="F111" s="4"/>
      <c r="G111" s="29">
        <f>G112+G120+G116+G118</f>
        <v>32576710.59</v>
      </c>
      <c r="H111" s="29"/>
    </row>
    <row r="112" spans="1:8" ht="110.25">
      <c r="A112" s="3" t="s">
        <v>209</v>
      </c>
      <c r="B112" s="4" t="s">
        <v>64</v>
      </c>
      <c r="C112" s="4" t="s">
        <v>255</v>
      </c>
      <c r="D112" s="4" t="s">
        <v>16</v>
      </c>
      <c r="E112" s="4" t="s">
        <v>93</v>
      </c>
      <c r="F112" s="4"/>
      <c r="G112" s="29">
        <f>G113+G114+G115</f>
        <v>32177641.24</v>
      </c>
      <c r="H112" s="29"/>
    </row>
    <row r="113" spans="1:8" ht="126">
      <c r="A113" s="3" t="s">
        <v>305</v>
      </c>
      <c r="B113" s="4" t="s">
        <v>64</v>
      </c>
      <c r="C113" s="4" t="s">
        <v>255</v>
      </c>
      <c r="D113" s="4" t="s">
        <v>16</v>
      </c>
      <c r="E113" s="4" t="s">
        <v>93</v>
      </c>
      <c r="F113" s="4" t="s">
        <v>18</v>
      </c>
      <c r="G113" s="29">
        <f>18024876-413776+7321-97000</f>
        <v>17521421</v>
      </c>
      <c r="H113" s="29"/>
    </row>
    <row r="114" spans="1:12" ht="47.25">
      <c r="A114" s="3" t="s">
        <v>306</v>
      </c>
      <c r="B114" s="4" t="s">
        <v>64</v>
      </c>
      <c r="C114" s="4" t="s">
        <v>255</v>
      </c>
      <c r="D114" s="4" t="s">
        <v>16</v>
      </c>
      <c r="E114" s="4" t="s">
        <v>93</v>
      </c>
      <c r="F114" s="4" t="s">
        <v>19</v>
      </c>
      <c r="G114" s="29">
        <f>13554355+610000+2500000-2200000-27367.86+265522-257096.56-496.67-5946.96+70000+92218.53</f>
        <v>14601187.479999999</v>
      </c>
      <c r="H114" s="29"/>
      <c r="I114" s="75"/>
      <c r="J114" s="26">
        <v>-2200000</v>
      </c>
      <c r="L114" s="26"/>
    </row>
    <row r="115" spans="1:8" ht="22.5" customHeight="1">
      <c r="A115" s="3" t="s">
        <v>235</v>
      </c>
      <c r="B115" s="4" t="s">
        <v>64</v>
      </c>
      <c r="C115" s="4" t="s">
        <v>255</v>
      </c>
      <c r="D115" s="4" t="s">
        <v>16</v>
      </c>
      <c r="E115" s="4" t="s">
        <v>93</v>
      </c>
      <c r="F115" s="62">
        <v>800</v>
      </c>
      <c r="G115" s="29">
        <f>78653-23620.24</f>
        <v>55032.759999999995</v>
      </c>
      <c r="H115" s="29"/>
    </row>
    <row r="116" spans="1:8" ht="47.25">
      <c r="A116" s="3" t="s">
        <v>228</v>
      </c>
      <c r="B116" s="4" t="s">
        <v>64</v>
      </c>
      <c r="C116" s="4" t="s">
        <v>255</v>
      </c>
      <c r="D116" s="4" t="s">
        <v>16</v>
      </c>
      <c r="E116" s="4" t="s">
        <v>52</v>
      </c>
      <c r="F116" s="62"/>
      <c r="G116" s="29">
        <f>G117</f>
        <v>165732.64</v>
      </c>
      <c r="H116" s="29"/>
    </row>
    <row r="117" spans="1:8" ht="47.25">
      <c r="A117" s="3" t="s">
        <v>306</v>
      </c>
      <c r="B117" s="4" t="s">
        <v>64</v>
      </c>
      <c r="C117" s="4" t="s">
        <v>255</v>
      </c>
      <c r="D117" s="4" t="s">
        <v>16</v>
      </c>
      <c r="E117" s="4" t="s">
        <v>52</v>
      </c>
      <c r="F117" s="62">
        <v>200</v>
      </c>
      <c r="G117" s="29">
        <v>165732.64</v>
      </c>
      <c r="H117" s="29"/>
    </row>
    <row r="118" spans="1:8" ht="31.5">
      <c r="A118" s="3" t="s">
        <v>326</v>
      </c>
      <c r="B118" s="4" t="s">
        <v>64</v>
      </c>
      <c r="C118" s="4" t="s">
        <v>255</v>
      </c>
      <c r="D118" s="4" t="s">
        <v>16</v>
      </c>
      <c r="E118" s="4" t="s">
        <v>450</v>
      </c>
      <c r="F118" s="62"/>
      <c r="G118" s="29">
        <f>G119</f>
        <v>28480</v>
      </c>
      <c r="H118" s="29"/>
    </row>
    <row r="119" spans="1:12" ht="47.25">
      <c r="A119" s="3" t="s">
        <v>306</v>
      </c>
      <c r="B119" s="4" t="s">
        <v>64</v>
      </c>
      <c r="C119" s="4" t="s">
        <v>255</v>
      </c>
      <c r="D119" s="4" t="s">
        <v>16</v>
      </c>
      <c r="E119" s="4" t="s">
        <v>450</v>
      </c>
      <c r="F119" s="62">
        <v>200</v>
      </c>
      <c r="G119" s="29">
        <f>28480</f>
        <v>28480</v>
      </c>
      <c r="H119" s="29"/>
      <c r="L119" s="26"/>
    </row>
    <row r="120" spans="1:8" ht="110.25">
      <c r="A120" s="3" t="s">
        <v>409</v>
      </c>
      <c r="B120" s="4" t="s">
        <v>64</v>
      </c>
      <c r="C120" s="4" t="s">
        <v>255</v>
      </c>
      <c r="D120" s="4" t="s">
        <v>16</v>
      </c>
      <c r="E120" s="4" t="s">
        <v>424</v>
      </c>
      <c r="F120" s="4"/>
      <c r="G120" s="29">
        <f>G121</f>
        <v>204856.71</v>
      </c>
      <c r="H120" s="29"/>
    </row>
    <row r="121" spans="1:12" ht="126">
      <c r="A121" s="3" t="s">
        <v>417</v>
      </c>
      <c r="B121" s="4" t="s">
        <v>64</v>
      </c>
      <c r="C121" s="4" t="s">
        <v>255</v>
      </c>
      <c r="D121" s="4" t="s">
        <v>16</v>
      </c>
      <c r="E121" s="4" t="s">
        <v>424</v>
      </c>
      <c r="F121" s="4" t="s">
        <v>18</v>
      </c>
      <c r="G121" s="29">
        <f>413776-7321-160000-1000-40598.29</f>
        <v>204856.71</v>
      </c>
      <c r="H121" s="29"/>
      <c r="L121" s="26"/>
    </row>
    <row r="122" spans="1:8" ht="47.25">
      <c r="A122" s="3" t="s">
        <v>130</v>
      </c>
      <c r="B122" s="4" t="s">
        <v>64</v>
      </c>
      <c r="C122" s="4" t="s">
        <v>255</v>
      </c>
      <c r="D122" s="4" t="s">
        <v>16</v>
      </c>
      <c r="E122" s="4" t="s">
        <v>131</v>
      </c>
      <c r="F122" s="62"/>
      <c r="G122" s="29">
        <f>G123</f>
        <v>766852</v>
      </c>
      <c r="H122" s="29"/>
    </row>
    <row r="123" spans="1:8" ht="31.5">
      <c r="A123" s="3" t="s">
        <v>326</v>
      </c>
      <c r="B123" s="4" t="s">
        <v>64</v>
      </c>
      <c r="C123" s="4" t="s">
        <v>255</v>
      </c>
      <c r="D123" s="4" t="s">
        <v>16</v>
      </c>
      <c r="E123" s="4" t="s">
        <v>132</v>
      </c>
      <c r="F123" s="62"/>
      <c r="G123" s="29">
        <f>G124+G125</f>
        <v>766852</v>
      </c>
      <c r="H123" s="29"/>
    </row>
    <row r="124" spans="1:12" ht="126">
      <c r="A124" s="3" t="s">
        <v>417</v>
      </c>
      <c r="B124" s="4" t="s">
        <v>64</v>
      </c>
      <c r="C124" s="4" t="s">
        <v>255</v>
      </c>
      <c r="D124" s="4" t="s">
        <v>16</v>
      </c>
      <c r="E124" s="4" t="s">
        <v>132</v>
      </c>
      <c r="F124" s="62">
        <v>100</v>
      </c>
      <c r="G124" s="29">
        <f>78000+11200+6630+92350</f>
        <v>188180</v>
      </c>
      <c r="H124" s="29"/>
      <c r="L124" s="26"/>
    </row>
    <row r="125" spans="1:12" ht="47.25">
      <c r="A125" s="3" t="s">
        <v>306</v>
      </c>
      <c r="B125" s="4" t="s">
        <v>64</v>
      </c>
      <c r="C125" s="4" t="s">
        <v>255</v>
      </c>
      <c r="D125" s="4" t="s">
        <v>16</v>
      </c>
      <c r="E125" s="4" t="s">
        <v>132</v>
      </c>
      <c r="F125" s="62">
        <v>200</v>
      </c>
      <c r="G125" s="29">
        <f>300000+278672</f>
        <v>578672</v>
      </c>
      <c r="H125" s="29"/>
      <c r="L125" s="26"/>
    </row>
    <row r="126" spans="1:8" ht="15.75">
      <c r="A126" s="3" t="s">
        <v>303</v>
      </c>
      <c r="B126" s="4" t="s">
        <v>64</v>
      </c>
      <c r="C126" s="4" t="s">
        <v>255</v>
      </c>
      <c r="D126" s="4" t="s">
        <v>16</v>
      </c>
      <c r="E126" s="4" t="s">
        <v>304</v>
      </c>
      <c r="F126" s="4"/>
      <c r="G126" s="29">
        <f>G127+G130</f>
        <v>819954.03</v>
      </c>
      <c r="H126" s="29"/>
    </row>
    <row r="127" spans="1:8" ht="31.5">
      <c r="A127" s="3" t="s">
        <v>291</v>
      </c>
      <c r="B127" s="4" t="s">
        <v>64</v>
      </c>
      <c r="C127" s="4" t="s">
        <v>255</v>
      </c>
      <c r="D127" s="4" t="s">
        <v>16</v>
      </c>
      <c r="E127" s="4" t="s">
        <v>323</v>
      </c>
      <c r="F127" s="4"/>
      <c r="G127" s="29">
        <f>G128+G129</f>
        <v>501785.41000000003</v>
      </c>
      <c r="H127" s="29"/>
    </row>
    <row r="128" spans="1:12" ht="47.25">
      <c r="A128" s="3" t="s">
        <v>306</v>
      </c>
      <c r="B128" s="4" t="s">
        <v>64</v>
      </c>
      <c r="C128" s="4" t="s">
        <v>255</v>
      </c>
      <c r="D128" s="4" t="s">
        <v>16</v>
      </c>
      <c r="E128" s="4" t="s">
        <v>323</v>
      </c>
      <c r="F128" s="4" t="s">
        <v>19</v>
      </c>
      <c r="G128" s="29">
        <f>613577-400000-65200-200</f>
        <v>148177</v>
      </c>
      <c r="H128" s="29"/>
      <c r="L128" s="26"/>
    </row>
    <row r="129" spans="1:8" ht="15.75">
      <c r="A129" s="3" t="s">
        <v>235</v>
      </c>
      <c r="B129" s="4" t="s">
        <v>64</v>
      </c>
      <c r="C129" s="4" t="s">
        <v>255</v>
      </c>
      <c r="D129" s="4" t="s">
        <v>16</v>
      </c>
      <c r="E129" s="4" t="s">
        <v>323</v>
      </c>
      <c r="F129" s="62">
        <v>800</v>
      </c>
      <c r="G129" s="29">
        <f>400000-46391.59</f>
        <v>353608.41000000003</v>
      </c>
      <c r="H129" s="29"/>
    </row>
    <row r="130" spans="1:8" ht="31.5">
      <c r="A130" s="3" t="s">
        <v>389</v>
      </c>
      <c r="B130" s="4" t="s">
        <v>64</v>
      </c>
      <c r="C130" s="4" t="s">
        <v>255</v>
      </c>
      <c r="D130" s="4" t="s">
        <v>16</v>
      </c>
      <c r="E130" s="4" t="s">
        <v>390</v>
      </c>
      <c r="F130" s="62"/>
      <c r="G130" s="29">
        <f>G131+G132</f>
        <v>318168.62</v>
      </c>
      <c r="H130" s="29"/>
    </row>
    <row r="131" spans="1:8" ht="47.25">
      <c r="A131" s="3" t="s">
        <v>306</v>
      </c>
      <c r="B131" s="4" t="s">
        <v>64</v>
      </c>
      <c r="C131" s="4" t="s">
        <v>255</v>
      </c>
      <c r="D131" s="4" t="s">
        <v>16</v>
      </c>
      <c r="E131" s="4" t="s">
        <v>390</v>
      </c>
      <c r="F131" s="4" t="s">
        <v>19</v>
      </c>
      <c r="G131" s="29">
        <v>162238.3</v>
      </c>
      <c r="H131" s="29"/>
    </row>
    <row r="132" spans="1:12" ht="26.25" customHeight="1">
      <c r="A132" s="3" t="s">
        <v>235</v>
      </c>
      <c r="B132" s="4" t="s">
        <v>64</v>
      </c>
      <c r="C132" s="4" t="s">
        <v>255</v>
      </c>
      <c r="D132" s="4" t="s">
        <v>16</v>
      </c>
      <c r="E132" s="4" t="s">
        <v>390</v>
      </c>
      <c r="F132" s="62">
        <v>800</v>
      </c>
      <c r="G132" s="29">
        <f>6067.15+6500+46391.59+69403.72+27367.86+200</f>
        <v>155930.32</v>
      </c>
      <c r="H132" s="29"/>
      <c r="L132" s="26"/>
    </row>
    <row r="133" spans="1:8" ht="75">
      <c r="A133" s="10" t="s">
        <v>275</v>
      </c>
      <c r="B133" s="11" t="s">
        <v>64</v>
      </c>
      <c r="C133" s="11" t="s">
        <v>262</v>
      </c>
      <c r="D133" s="11"/>
      <c r="E133" s="11"/>
      <c r="F133" s="23"/>
      <c r="G133" s="28">
        <f>G134+G140</f>
        <v>49435440.89</v>
      </c>
      <c r="H133" s="28">
        <f>H134</f>
        <v>2235400.0000000005</v>
      </c>
    </row>
    <row r="134" spans="1:8" ht="18.75">
      <c r="A134" s="8" t="s">
        <v>17</v>
      </c>
      <c r="B134" s="9" t="s">
        <v>64</v>
      </c>
      <c r="C134" s="9" t="s">
        <v>262</v>
      </c>
      <c r="D134" s="9" t="s">
        <v>265</v>
      </c>
      <c r="E134" s="9"/>
      <c r="F134" s="4"/>
      <c r="G134" s="29">
        <f>G135</f>
        <v>2235400.0000000005</v>
      </c>
      <c r="H134" s="29">
        <f>H135</f>
        <v>2235400.0000000005</v>
      </c>
    </row>
    <row r="135" spans="1:8" ht="94.5" customHeight="1">
      <c r="A135" s="27" t="s">
        <v>313</v>
      </c>
      <c r="B135" s="4" t="s">
        <v>64</v>
      </c>
      <c r="C135" s="4" t="s">
        <v>262</v>
      </c>
      <c r="D135" s="4" t="s">
        <v>265</v>
      </c>
      <c r="E135" s="4" t="s">
        <v>314</v>
      </c>
      <c r="F135" s="4"/>
      <c r="G135" s="29">
        <f>G136</f>
        <v>2235400.0000000005</v>
      </c>
      <c r="H135" s="29">
        <f>H136</f>
        <v>2235400.0000000005</v>
      </c>
    </row>
    <row r="136" spans="1:8" ht="70.5" customHeight="1">
      <c r="A136" s="27" t="s">
        <v>315</v>
      </c>
      <c r="B136" s="4" t="s">
        <v>64</v>
      </c>
      <c r="C136" s="4" t="s">
        <v>262</v>
      </c>
      <c r="D136" s="4" t="s">
        <v>265</v>
      </c>
      <c r="E136" s="4" t="s">
        <v>316</v>
      </c>
      <c r="F136" s="4"/>
      <c r="G136" s="29">
        <f>G137</f>
        <v>2235400.0000000005</v>
      </c>
      <c r="H136" s="29">
        <f>H137</f>
        <v>2235400.0000000005</v>
      </c>
    </row>
    <row r="137" spans="1:8" ht="67.5" customHeight="1">
      <c r="A137" s="3" t="s">
        <v>208</v>
      </c>
      <c r="B137" s="4" t="s">
        <v>64</v>
      </c>
      <c r="C137" s="4" t="s">
        <v>262</v>
      </c>
      <c r="D137" s="4" t="s">
        <v>265</v>
      </c>
      <c r="E137" s="4" t="s">
        <v>100</v>
      </c>
      <c r="F137" s="4"/>
      <c r="G137" s="29">
        <f>G138+G139</f>
        <v>2235400.0000000005</v>
      </c>
      <c r="H137" s="29">
        <f>H138+H139</f>
        <v>2235400.0000000005</v>
      </c>
    </row>
    <row r="138" spans="1:8" ht="126">
      <c r="A138" s="3" t="s">
        <v>305</v>
      </c>
      <c r="B138" s="4" t="s">
        <v>64</v>
      </c>
      <c r="C138" s="4" t="s">
        <v>262</v>
      </c>
      <c r="D138" s="4" t="s">
        <v>265</v>
      </c>
      <c r="E138" s="4" t="s">
        <v>100</v>
      </c>
      <c r="F138" s="4" t="s">
        <v>18</v>
      </c>
      <c r="G138" s="29">
        <f>2259200-23800-58301.51+2300+4377.31</f>
        <v>2183775.8000000003</v>
      </c>
      <c r="H138" s="29">
        <f>G138</f>
        <v>2183775.8000000003</v>
      </c>
    </row>
    <row r="139" spans="1:8" ht="47.25">
      <c r="A139" s="3" t="s">
        <v>306</v>
      </c>
      <c r="B139" s="4" t="s">
        <v>64</v>
      </c>
      <c r="C139" s="4" t="s">
        <v>262</v>
      </c>
      <c r="D139" s="4" t="s">
        <v>265</v>
      </c>
      <c r="E139" s="4" t="s">
        <v>100</v>
      </c>
      <c r="F139" s="4" t="s">
        <v>19</v>
      </c>
      <c r="G139" s="29">
        <f>58301.51-6677.31</f>
        <v>51624.200000000004</v>
      </c>
      <c r="H139" s="29">
        <f>G139</f>
        <v>51624.200000000004</v>
      </c>
    </row>
    <row r="140" spans="1:8" ht="139.5" customHeight="1">
      <c r="A140" s="8" t="s">
        <v>60</v>
      </c>
      <c r="B140" s="9" t="s">
        <v>64</v>
      </c>
      <c r="C140" s="9" t="s">
        <v>262</v>
      </c>
      <c r="D140" s="9" t="s">
        <v>261</v>
      </c>
      <c r="E140" s="9"/>
      <c r="F140" s="9"/>
      <c r="G140" s="36">
        <f>G141</f>
        <v>47200040.89</v>
      </c>
      <c r="H140" s="36"/>
    </row>
    <row r="141" spans="1:8" ht="78.75">
      <c r="A141" s="3" t="s">
        <v>115</v>
      </c>
      <c r="B141" s="4" t="s">
        <v>64</v>
      </c>
      <c r="C141" s="4" t="s">
        <v>262</v>
      </c>
      <c r="D141" s="4" t="s">
        <v>261</v>
      </c>
      <c r="E141" s="4" t="s">
        <v>116</v>
      </c>
      <c r="F141" s="4"/>
      <c r="G141" s="29">
        <f>G142</f>
        <v>47200040.89</v>
      </c>
      <c r="H141" s="29"/>
    </row>
    <row r="142" spans="1:8" ht="78.75">
      <c r="A142" s="3" t="s">
        <v>124</v>
      </c>
      <c r="B142" s="4" t="s">
        <v>64</v>
      </c>
      <c r="C142" s="4" t="s">
        <v>262</v>
      </c>
      <c r="D142" s="4" t="s">
        <v>261</v>
      </c>
      <c r="E142" s="4" t="s">
        <v>125</v>
      </c>
      <c r="F142" s="4"/>
      <c r="G142" s="29">
        <f>G143+G152+G153+G147+G149</f>
        <v>47200040.89</v>
      </c>
      <c r="H142" s="29"/>
    </row>
    <row r="143" spans="1:8" ht="110.25">
      <c r="A143" s="3" t="s">
        <v>209</v>
      </c>
      <c r="B143" s="4" t="s">
        <v>64</v>
      </c>
      <c r="C143" s="4" t="s">
        <v>262</v>
      </c>
      <c r="D143" s="4" t="s">
        <v>261</v>
      </c>
      <c r="E143" s="4" t="s">
        <v>126</v>
      </c>
      <c r="F143" s="4"/>
      <c r="G143" s="29">
        <f>G144+G145+G146</f>
        <v>33003526.42</v>
      </c>
      <c r="H143" s="29"/>
    </row>
    <row r="144" spans="1:8" ht="126">
      <c r="A144" s="3" t="s">
        <v>305</v>
      </c>
      <c r="B144" s="4" t="s">
        <v>64</v>
      </c>
      <c r="C144" s="4" t="s">
        <v>262</v>
      </c>
      <c r="D144" s="4" t="s">
        <v>261</v>
      </c>
      <c r="E144" s="4" t="s">
        <v>126</v>
      </c>
      <c r="F144" s="4" t="s">
        <v>18</v>
      </c>
      <c r="G144" s="29">
        <f>29047288+721654.57-540917</f>
        <v>29228025.57</v>
      </c>
      <c r="H144" s="29"/>
    </row>
    <row r="145" spans="1:8" ht="47.25">
      <c r="A145" s="3" t="s">
        <v>306</v>
      </c>
      <c r="B145" s="4" t="s">
        <v>64</v>
      </c>
      <c r="C145" s="4" t="s">
        <v>262</v>
      </c>
      <c r="D145" s="4" t="s">
        <v>261</v>
      </c>
      <c r="E145" s="4" t="s">
        <v>126</v>
      </c>
      <c r="F145" s="4" t="s">
        <v>19</v>
      </c>
      <c r="G145" s="29">
        <f>4769848-721654.57-22872-350000+77307.42</f>
        <v>3752628.85</v>
      </c>
      <c r="H145" s="29"/>
    </row>
    <row r="146" spans="1:8" ht="15.75">
      <c r="A146" s="3" t="s">
        <v>235</v>
      </c>
      <c r="B146" s="4" t="s">
        <v>64</v>
      </c>
      <c r="C146" s="4" t="s">
        <v>262</v>
      </c>
      <c r="D146" s="4" t="s">
        <v>261</v>
      </c>
      <c r="E146" s="4" t="s">
        <v>126</v>
      </c>
      <c r="F146" s="4" t="s">
        <v>22</v>
      </c>
      <c r="G146" s="29">
        <f>22872</f>
        <v>22872</v>
      </c>
      <c r="H146" s="29"/>
    </row>
    <row r="147" spans="1:8" ht="110.25">
      <c r="A147" s="3" t="s">
        <v>409</v>
      </c>
      <c r="B147" s="4" t="s">
        <v>64</v>
      </c>
      <c r="C147" s="4" t="s">
        <v>262</v>
      </c>
      <c r="D147" s="4" t="s">
        <v>261</v>
      </c>
      <c r="E147" s="4" t="s">
        <v>425</v>
      </c>
      <c r="F147" s="4"/>
      <c r="G147" s="29">
        <f>G148</f>
        <v>540917</v>
      </c>
      <c r="H147" s="29"/>
    </row>
    <row r="148" spans="1:8" ht="126">
      <c r="A148" s="3" t="s">
        <v>417</v>
      </c>
      <c r="B148" s="4" t="s">
        <v>64</v>
      </c>
      <c r="C148" s="4" t="s">
        <v>262</v>
      </c>
      <c r="D148" s="4" t="s">
        <v>261</v>
      </c>
      <c r="E148" s="4" t="s">
        <v>425</v>
      </c>
      <c r="F148" s="4" t="s">
        <v>18</v>
      </c>
      <c r="G148" s="29">
        <v>540917</v>
      </c>
      <c r="H148" s="29"/>
    </row>
    <row r="149" spans="1:8" ht="65.25" customHeight="1" hidden="1">
      <c r="A149" s="3" t="s">
        <v>228</v>
      </c>
      <c r="B149" s="4" t="s">
        <v>64</v>
      </c>
      <c r="C149" s="4" t="s">
        <v>262</v>
      </c>
      <c r="D149" s="4" t="s">
        <v>261</v>
      </c>
      <c r="E149" s="4" t="s">
        <v>451</v>
      </c>
      <c r="F149" s="4"/>
      <c r="G149" s="29">
        <f>G150</f>
        <v>0</v>
      </c>
      <c r="H149" s="29"/>
    </row>
    <row r="150" spans="1:8" ht="47.25" hidden="1">
      <c r="A150" s="3" t="s">
        <v>306</v>
      </c>
      <c r="B150" s="4" t="s">
        <v>64</v>
      </c>
      <c r="C150" s="4" t="s">
        <v>262</v>
      </c>
      <c r="D150" s="4" t="s">
        <v>261</v>
      </c>
      <c r="E150" s="4" t="s">
        <v>451</v>
      </c>
      <c r="F150" s="4" t="s">
        <v>19</v>
      </c>
      <c r="G150" s="29"/>
      <c r="H150" s="29"/>
    </row>
    <row r="151" spans="1:8" ht="31.5">
      <c r="A151" s="3" t="s">
        <v>326</v>
      </c>
      <c r="B151" s="4" t="s">
        <v>64</v>
      </c>
      <c r="C151" s="4" t="s">
        <v>262</v>
      </c>
      <c r="D151" s="4" t="s">
        <v>261</v>
      </c>
      <c r="E151" s="4" t="s">
        <v>127</v>
      </c>
      <c r="F151" s="4"/>
      <c r="G151" s="29">
        <f>G152</f>
        <v>2519865.47</v>
      </c>
      <c r="H151" s="29"/>
    </row>
    <row r="152" spans="1:8" ht="47.25">
      <c r="A152" s="3" t="s">
        <v>306</v>
      </c>
      <c r="B152" s="4" t="s">
        <v>64</v>
      </c>
      <c r="C152" s="4" t="s">
        <v>262</v>
      </c>
      <c r="D152" s="4" t="s">
        <v>261</v>
      </c>
      <c r="E152" s="4" t="s">
        <v>127</v>
      </c>
      <c r="F152" s="4" t="s">
        <v>19</v>
      </c>
      <c r="G152" s="29">
        <f>2369818+2500000-1547129.43-802823.1</f>
        <v>2519865.47</v>
      </c>
      <c r="H152" s="29"/>
    </row>
    <row r="153" spans="1:8" ht="63">
      <c r="A153" s="3" t="s">
        <v>222</v>
      </c>
      <c r="B153" s="4" t="s">
        <v>64</v>
      </c>
      <c r="C153" s="4" t="s">
        <v>262</v>
      </c>
      <c r="D153" s="4" t="s">
        <v>261</v>
      </c>
      <c r="E153" s="4" t="s">
        <v>133</v>
      </c>
      <c r="F153" s="4"/>
      <c r="G153" s="29">
        <f>G154</f>
        <v>11135732</v>
      </c>
      <c r="H153" s="29"/>
    </row>
    <row r="154" spans="1:8" ht="63">
      <c r="A154" s="3" t="s">
        <v>49</v>
      </c>
      <c r="B154" s="4" t="s">
        <v>64</v>
      </c>
      <c r="C154" s="4" t="s">
        <v>262</v>
      </c>
      <c r="D154" s="4" t="s">
        <v>261</v>
      </c>
      <c r="E154" s="4" t="s">
        <v>133</v>
      </c>
      <c r="F154" s="4" t="s">
        <v>297</v>
      </c>
      <c r="G154" s="29">
        <f>6000000+9000000-2500000-1364268</f>
        <v>11135732</v>
      </c>
      <c r="H154" s="29"/>
    </row>
    <row r="155" spans="1:8" ht="18.75">
      <c r="A155" s="10" t="s">
        <v>276</v>
      </c>
      <c r="B155" s="11" t="s">
        <v>64</v>
      </c>
      <c r="C155" s="11" t="s">
        <v>265</v>
      </c>
      <c r="D155" s="57"/>
      <c r="E155" s="23"/>
      <c r="F155" s="23"/>
      <c r="G155" s="28">
        <f>G163+G156+G176</f>
        <v>45699879.82</v>
      </c>
      <c r="H155" s="28">
        <f>H163+H156+H176</f>
        <v>754000</v>
      </c>
    </row>
    <row r="156" spans="1:8" ht="15.75">
      <c r="A156" s="20" t="s">
        <v>277</v>
      </c>
      <c r="B156" s="2" t="s">
        <v>64</v>
      </c>
      <c r="C156" s="2" t="s">
        <v>265</v>
      </c>
      <c r="D156" s="2" t="s">
        <v>259</v>
      </c>
      <c r="E156" s="4"/>
      <c r="F156" s="4"/>
      <c r="G156" s="33">
        <f aca="true" t="shared" si="0" ref="G156:H161">G157</f>
        <v>33424500</v>
      </c>
      <c r="H156" s="33">
        <f t="shared" si="0"/>
        <v>687100</v>
      </c>
    </row>
    <row r="157" spans="1:8" ht="111" customHeight="1">
      <c r="A157" s="3" t="s">
        <v>34</v>
      </c>
      <c r="B157" s="4" t="s">
        <v>64</v>
      </c>
      <c r="C157" s="4" t="s">
        <v>265</v>
      </c>
      <c r="D157" s="4" t="s">
        <v>259</v>
      </c>
      <c r="E157" s="4" t="s">
        <v>35</v>
      </c>
      <c r="F157" s="4"/>
      <c r="G157" s="29">
        <f t="shared" si="0"/>
        <v>33424500</v>
      </c>
      <c r="H157" s="29">
        <f t="shared" si="0"/>
        <v>687100</v>
      </c>
    </row>
    <row r="158" spans="1:8" ht="47.25">
      <c r="A158" s="3" t="s">
        <v>36</v>
      </c>
      <c r="B158" s="4" t="s">
        <v>64</v>
      </c>
      <c r="C158" s="4" t="s">
        <v>265</v>
      </c>
      <c r="D158" s="4" t="s">
        <v>259</v>
      </c>
      <c r="E158" s="4" t="s">
        <v>37</v>
      </c>
      <c r="F158" s="4"/>
      <c r="G158" s="29">
        <f>G161+G159</f>
        <v>33424500</v>
      </c>
      <c r="H158" s="29">
        <f>H161</f>
        <v>687100</v>
      </c>
    </row>
    <row r="159" spans="1:8" ht="63">
      <c r="A159" s="3" t="s">
        <v>224</v>
      </c>
      <c r="B159" s="4" t="s">
        <v>64</v>
      </c>
      <c r="C159" s="4" t="s">
        <v>265</v>
      </c>
      <c r="D159" s="4" t="s">
        <v>259</v>
      </c>
      <c r="E159" s="4" t="s">
        <v>225</v>
      </c>
      <c r="F159" s="4"/>
      <c r="G159" s="29">
        <f>G160</f>
        <v>32737400</v>
      </c>
      <c r="H159" s="29"/>
    </row>
    <row r="160" spans="1:8" ht="15.75">
      <c r="A160" s="3" t="s">
        <v>235</v>
      </c>
      <c r="B160" s="4" t="s">
        <v>64</v>
      </c>
      <c r="C160" s="4" t="s">
        <v>265</v>
      </c>
      <c r="D160" s="4" t="s">
        <v>259</v>
      </c>
      <c r="E160" s="4" t="s">
        <v>225</v>
      </c>
      <c r="F160" s="4" t="s">
        <v>22</v>
      </c>
      <c r="G160" s="29">
        <v>32737400</v>
      </c>
      <c r="H160" s="29"/>
    </row>
    <row r="161" spans="1:8" ht="208.5" customHeight="1">
      <c r="A161" s="3" t="s">
        <v>38</v>
      </c>
      <c r="B161" s="4" t="s">
        <v>64</v>
      </c>
      <c r="C161" s="4" t="s">
        <v>265</v>
      </c>
      <c r="D161" s="4" t="s">
        <v>259</v>
      </c>
      <c r="E161" s="4" t="s">
        <v>39</v>
      </c>
      <c r="F161" s="4"/>
      <c r="G161" s="29">
        <f t="shared" si="0"/>
        <v>687100</v>
      </c>
      <c r="H161" s="29">
        <f t="shared" si="0"/>
        <v>687100</v>
      </c>
    </row>
    <row r="162" spans="1:8" ht="31.5">
      <c r="A162" s="3" t="s">
        <v>239</v>
      </c>
      <c r="B162" s="4" t="s">
        <v>64</v>
      </c>
      <c r="C162" s="4" t="s">
        <v>265</v>
      </c>
      <c r="D162" s="4" t="s">
        <v>259</v>
      </c>
      <c r="E162" s="4" t="s">
        <v>39</v>
      </c>
      <c r="F162" s="4" t="s">
        <v>240</v>
      </c>
      <c r="G162" s="29">
        <v>687100</v>
      </c>
      <c r="H162" s="29">
        <f>G162</f>
        <v>687100</v>
      </c>
    </row>
    <row r="163" spans="1:8" ht="15.75">
      <c r="A163" s="1" t="s">
        <v>10</v>
      </c>
      <c r="B163" s="2" t="s">
        <v>64</v>
      </c>
      <c r="C163" s="2" t="s">
        <v>265</v>
      </c>
      <c r="D163" s="2" t="s">
        <v>263</v>
      </c>
      <c r="E163" s="2"/>
      <c r="F163" s="2"/>
      <c r="G163" s="33">
        <f>G164</f>
        <v>12219879.82</v>
      </c>
      <c r="H163" s="33">
        <f>H164</f>
        <v>11400</v>
      </c>
    </row>
    <row r="164" spans="1:8" ht="70.5" customHeight="1">
      <c r="A164" s="3" t="s">
        <v>307</v>
      </c>
      <c r="B164" s="4" t="s">
        <v>64</v>
      </c>
      <c r="C164" s="4" t="s">
        <v>265</v>
      </c>
      <c r="D164" s="4" t="s">
        <v>263</v>
      </c>
      <c r="E164" s="4" t="s">
        <v>308</v>
      </c>
      <c r="F164" s="4"/>
      <c r="G164" s="29">
        <f>G171+G165</f>
        <v>12219879.82</v>
      </c>
      <c r="H164" s="29">
        <f>H171</f>
        <v>11400</v>
      </c>
    </row>
    <row r="165" spans="1:8" ht="85.5" customHeight="1">
      <c r="A165" s="3" t="s">
        <v>77</v>
      </c>
      <c r="B165" s="4" t="s">
        <v>64</v>
      </c>
      <c r="C165" s="4" t="s">
        <v>265</v>
      </c>
      <c r="D165" s="4" t="s">
        <v>263</v>
      </c>
      <c r="E165" s="4" t="s">
        <v>78</v>
      </c>
      <c r="F165" s="4"/>
      <c r="G165" s="29">
        <f>G166+G169</f>
        <v>9357890.76</v>
      </c>
      <c r="H165" s="29"/>
    </row>
    <row r="166" spans="1:8" ht="133.5" customHeight="1">
      <c r="A166" s="3" t="s">
        <v>209</v>
      </c>
      <c r="B166" s="4" t="s">
        <v>64</v>
      </c>
      <c r="C166" s="4" t="s">
        <v>265</v>
      </c>
      <c r="D166" s="4" t="s">
        <v>263</v>
      </c>
      <c r="E166" s="4" t="s">
        <v>79</v>
      </c>
      <c r="F166" s="4"/>
      <c r="G166" s="29">
        <f>G167+G168</f>
        <v>9177050.76</v>
      </c>
      <c r="H166" s="29"/>
    </row>
    <row r="167" spans="1:12" ht="161.25" customHeight="1">
      <c r="A167" s="3" t="s">
        <v>305</v>
      </c>
      <c r="B167" s="4" t="s">
        <v>64</v>
      </c>
      <c r="C167" s="4" t="s">
        <v>265</v>
      </c>
      <c r="D167" s="4" t="s">
        <v>263</v>
      </c>
      <c r="E167" s="4" t="s">
        <v>79</v>
      </c>
      <c r="F167" s="4" t="s">
        <v>18</v>
      </c>
      <c r="G167" s="29">
        <f>8549201+180840-180840+338035.76+3342</f>
        <v>8890578.76</v>
      </c>
      <c r="H167" s="29"/>
      <c r="L167" s="26"/>
    </row>
    <row r="168" spans="1:12" ht="70.5" customHeight="1">
      <c r="A168" s="3" t="s">
        <v>306</v>
      </c>
      <c r="B168" s="4" t="s">
        <v>64</v>
      </c>
      <c r="C168" s="4" t="s">
        <v>265</v>
      </c>
      <c r="D168" s="4" t="s">
        <v>263</v>
      </c>
      <c r="E168" s="4" t="s">
        <v>79</v>
      </c>
      <c r="F168" s="4" t="s">
        <v>19</v>
      </c>
      <c r="G168" s="29">
        <f>470654-180840-1209.28-2132.72</f>
        <v>286472</v>
      </c>
      <c r="H168" s="29"/>
      <c r="L168" s="26"/>
    </row>
    <row r="169" spans="1:8" ht="135" customHeight="1">
      <c r="A169" s="3" t="s">
        <v>409</v>
      </c>
      <c r="B169" s="4" t="s">
        <v>64</v>
      </c>
      <c r="C169" s="4" t="s">
        <v>265</v>
      </c>
      <c r="D169" s="4" t="s">
        <v>263</v>
      </c>
      <c r="E169" s="4" t="s">
        <v>426</v>
      </c>
      <c r="F169" s="4"/>
      <c r="G169" s="29">
        <f>G170</f>
        <v>180840</v>
      </c>
      <c r="H169" s="29"/>
    </row>
    <row r="170" spans="1:8" ht="126">
      <c r="A170" s="3" t="s">
        <v>305</v>
      </c>
      <c r="B170" s="4" t="s">
        <v>64</v>
      </c>
      <c r="C170" s="4" t="s">
        <v>265</v>
      </c>
      <c r="D170" s="4" t="s">
        <v>263</v>
      </c>
      <c r="E170" s="4" t="s">
        <v>426</v>
      </c>
      <c r="F170" s="4" t="s">
        <v>18</v>
      </c>
      <c r="G170" s="29">
        <v>180840</v>
      </c>
      <c r="H170" s="29"/>
    </row>
    <row r="171" spans="1:8" ht="69.75" customHeight="1">
      <c r="A171" s="3" t="s">
        <v>309</v>
      </c>
      <c r="B171" s="4" t="s">
        <v>64</v>
      </c>
      <c r="C171" s="4" t="s">
        <v>265</v>
      </c>
      <c r="D171" s="4" t="s">
        <v>263</v>
      </c>
      <c r="E171" s="4" t="s">
        <v>310</v>
      </c>
      <c r="F171" s="4"/>
      <c r="G171" s="29">
        <f>G174+G172</f>
        <v>2861989.06</v>
      </c>
      <c r="H171" s="29">
        <f>H174</f>
        <v>11400</v>
      </c>
    </row>
    <row r="172" spans="1:8" ht="66.75" customHeight="1">
      <c r="A172" s="3" t="s">
        <v>311</v>
      </c>
      <c r="B172" s="4" t="s">
        <v>64</v>
      </c>
      <c r="C172" s="4" t="s">
        <v>265</v>
      </c>
      <c r="D172" s="4" t="s">
        <v>263</v>
      </c>
      <c r="E172" s="4" t="s">
        <v>312</v>
      </c>
      <c r="F172" s="4"/>
      <c r="G172" s="29">
        <f>G173</f>
        <v>2850589.06</v>
      </c>
      <c r="H172" s="29"/>
    </row>
    <row r="173" spans="1:8" ht="69.75" customHeight="1">
      <c r="A173" s="3" t="s">
        <v>306</v>
      </c>
      <c r="B173" s="4" t="s">
        <v>64</v>
      </c>
      <c r="C173" s="4" t="s">
        <v>265</v>
      </c>
      <c r="D173" s="4" t="s">
        <v>263</v>
      </c>
      <c r="E173" s="4" t="s">
        <v>312</v>
      </c>
      <c r="F173" s="4" t="s">
        <v>19</v>
      </c>
      <c r="G173" s="29">
        <f>2673622+29859+45928.5+7348.56+93831</f>
        <v>2850589.06</v>
      </c>
      <c r="H173" s="29"/>
    </row>
    <row r="174" spans="1:8" ht="178.5" customHeight="1">
      <c r="A174" s="3" t="s">
        <v>336</v>
      </c>
      <c r="B174" s="4" t="s">
        <v>64</v>
      </c>
      <c r="C174" s="4" t="s">
        <v>265</v>
      </c>
      <c r="D174" s="4" t="s">
        <v>263</v>
      </c>
      <c r="E174" s="4" t="s">
        <v>337</v>
      </c>
      <c r="F174" s="4"/>
      <c r="G174" s="29">
        <f>G175</f>
        <v>11400</v>
      </c>
      <c r="H174" s="29">
        <f>H175</f>
        <v>11400</v>
      </c>
    </row>
    <row r="175" spans="1:8" ht="47.25">
      <c r="A175" s="3" t="s">
        <v>306</v>
      </c>
      <c r="B175" s="4" t="s">
        <v>64</v>
      </c>
      <c r="C175" s="4" t="s">
        <v>265</v>
      </c>
      <c r="D175" s="4" t="s">
        <v>263</v>
      </c>
      <c r="E175" s="4" t="s">
        <v>337</v>
      </c>
      <c r="F175" s="4" t="s">
        <v>19</v>
      </c>
      <c r="G175" s="29">
        <v>11400</v>
      </c>
      <c r="H175" s="29">
        <f>G175</f>
        <v>11400</v>
      </c>
    </row>
    <row r="176" spans="1:8" ht="31.5">
      <c r="A176" s="1" t="s">
        <v>278</v>
      </c>
      <c r="B176" s="2" t="s">
        <v>64</v>
      </c>
      <c r="C176" s="2" t="s">
        <v>265</v>
      </c>
      <c r="D176" s="2" t="s">
        <v>13</v>
      </c>
      <c r="E176" s="4"/>
      <c r="F176" s="4"/>
      <c r="G176" s="33">
        <f aca="true" t="shared" si="1" ref="G176:H179">G177</f>
        <v>55500</v>
      </c>
      <c r="H176" s="33">
        <f t="shared" si="1"/>
        <v>55500</v>
      </c>
    </row>
    <row r="177" spans="1:8" ht="85.5" customHeight="1">
      <c r="A177" s="27" t="s">
        <v>313</v>
      </c>
      <c r="B177" s="4" t="s">
        <v>64</v>
      </c>
      <c r="C177" s="4" t="s">
        <v>265</v>
      </c>
      <c r="D177" s="4" t="s">
        <v>13</v>
      </c>
      <c r="E177" s="4" t="s">
        <v>314</v>
      </c>
      <c r="F177" s="4"/>
      <c r="G177" s="29">
        <f t="shared" si="1"/>
        <v>55500</v>
      </c>
      <c r="H177" s="29">
        <f t="shared" si="1"/>
        <v>55500</v>
      </c>
    </row>
    <row r="178" spans="1:8" ht="47.25">
      <c r="A178" s="27" t="s">
        <v>315</v>
      </c>
      <c r="B178" s="4" t="s">
        <v>64</v>
      </c>
      <c r="C178" s="4" t="s">
        <v>265</v>
      </c>
      <c r="D178" s="4" t="s">
        <v>13</v>
      </c>
      <c r="E178" s="4" t="s">
        <v>316</v>
      </c>
      <c r="F178" s="4"/>
      <c r="G178" s="29">
        <f t="shared" si="1"/>
        <v>55500</v>
      </c>
      <c r="H178" s="29">
        <f t="shared" si="1"/>
        <v>55500</v>
      </c>
    </row>
    <row r="179" spans="1:8" ht="183" customHeight="1">
      <c r="A179" s="3" t="s">
        <v>232</v>
      </c>
      <c r="B179" s="4" t="s">
        <v>64</v>
      </c>
      <c r="C179" s="4" t="s">
        <v>265</v>
      </c>
      <c r="D179" s="4" t="s">
        <v>13</v>
      </c>
      <c r="E179" s="4" t="s">
        <v>44</v>
      </c>
      <c r="F179" s="4"/>
      <c r="G179" s="29">
        <f t="shared" si="1"/>
        <v>55500</v>
      </c>
      <c r="H179" s="29">
        <f t="shared" si="1"/>
        <v>55500</v>
      </c>
    </row>
    <row r="180" spans="1:8" ht="126">
      <c r="A180" s="3" t="s">
        <v>305</v>
      </c>
      <c r="B180" s="4" t="s">
        <v>64</v>
      </c>
      <c r="C180" s="4" t="s">
        <v>265</v>
      </c>
      <c r="D180" s="4" t="s">
        <v>13</v>
      </c>
      <c r="E180" s="4" t="s">
        <v>44</v>
      </c>
      <c r="F180" s="4" t="s">
        <v>18</v>
      </c>
      <c r="G180" s="29">
        <v>55500</v>
      </c>
      <c r="H180" s="29">
        <f>G180</f>
        <v>55500</v>
      </c>
    </row>
    <row r="181" spans="1:8" ht="18.75">
      <c r="A181" s="10" t="s">
        <v>269</v>
      </c>
      <c r="B181" s="11" t="s">
        <v>64</v>
      </c>
      <c r="C181" s="11" t="s">
        <v>263</v>
      </c>
      <c r="D181" s="5"/>
      <c r="E181" s="5"/>
      <c r="F181" s="23"/>
      <c r="G181" s="28">
        <f>G186+G182</f>
        <v>2647200</v>
      </c>
      <c r="H181" s="28">
        <f>H186</f>
        <v>1312200</v>
      </c>
    </row>
    <row r="182" spans="1:8" ht="15.75">
      <c r="A182" s="1" t="s">
        <v>287</v>
      </c>
      <c r="B182" s="2" t="s">
        <v>64</v>
      </c>
      <c r="C182" s="2" t="s">
        <v>263</v>
      </c>
      <c r="D182" s="2" t="s">
        <v>255</v>
      </c>
      <c r="E182" s="2"/>
      <c r="F182" s="4"/>
      <c r="G182" s="33">
        <f>G183</f>
        <v>1335000</v>
      </c>
      <c r="H182" s="33"/>
    </row>
    <row r="183" spans="1:8" ht="15.75">
      <c r="A183" s="3" t="s">
        <v>303</v>
      </c>
      <c r="B183" s="4" t="s">
        <v>64</v>
      </c>
      <c r="C183" s="4" t="s">
        <v>263</v>
      </c>
      <c r="D183" s="4" t="s">
        <v>255</v>
      </c>
      <c r="E183" s="4" t="s">
        <v>304</v>
      </c>
      <c r="F183" s="4"/>
      <c r="G183" s="29">
        <f>G184</f>
        <v>1335000</v>
      </c>
      <c r="H183" s="29"/>
    </row>
    <row r="184" spans="1:8" ht="179.25" customHeight="1">
      <c r="A184" s="3" t="s">
        <v>134</v>
      </c>
      <c r="B184" s="4" t="s">
        <v>64</v>
      </c>
      <c r="C184" s="4" t="s">
        <v>263</v>
      </c>
      <c r="D184" s="4" t="s">
        <v>255</v>
      </c>
      <c r="E184" s="4" t="s">
        <v>135</v>
      </c>
      <c r="F184" s="4"/>
      <c r="G184" s="29">
        <f>G185</f>
        <v>1335000</v>
      </c>
      <c r="H184" s="29"/>
    </row>
    <row r="185" spans="1:8" ht="31.5">
      <c r="A185" s="3" t="s">
        <v>239</v>
      </c>
      <c r="B185" s="4" t="s">
        <v>64</v>
      </c>
      <c r="C185" s="4" t="s">
        <v>263</v>
      </c>
      <c r="D185" s="4" t="s">
        <v>255</v>
      </c>
      <c r="E185" s="4" t="s">
        <v>135</v>
      </c>
      <c r="F185" s="4" t="s">
        <v>240</v>
      </c>
      <c r="G185" s="29">
        <v>1335000</v>
      </c>
      <c r="H185" s="29"/>
    </row>
    <row r="186" spans="1:8" ht="15.75">
      <c r="A186" s="1" t="s">
        <v>295</v>
      </c>
      <c r="B186" s="2" t="s">
        <v>64</v>
      </c>
      <c r="C186" s="2" t="s">
        <v>263</v>
      </c>
      <c r="D186" s="2" t="s">
        <v>265</v>
      </c>
      <c r="E186" s="2"/>
      <c r="F186" s="2"/>
      <c r="G186" s="33">
        <f>G187</f>
        <v>1312200</v>
      </c>
      <c r="H186" s="33">
        <f>H187</f>
        <v>1312200</v>
      </c>
    </row>
    <row r="187" spans="1:8" ht="88.5" customHeight="1">
      <c r="A187" s="27" t="s">
        <v>313</v>
      </c>
      <c r="B187" s="4" t="s">
        <v>64</v>
      </c>
      <c r="C187" s="4" t="s">
        <v>263</v>
      </c>
      <c r="D187" s="4" t="s">
        <v>265</v>
      </c>
      <c r="E187" s="4" t="s">
        <v>314</v>
      </c>
      <c r="F187" s="4"/>
      <c r="G187" s="29">
        <f>G188</f>
        <v>1312200</v>
      </c>
      <c r="H187" s="29">
        <f>H188</f>
        <v>1312200</v>
      </c>
    </row>
    <row r="188" spans="1:8" ht="47.25">
      <c r="A188" s="27" t="s">
        <v>315</v>
      </c>
      <c r="B188" s="4" t="s">
        <v>64</v>
      </c>
      <c r="C188" s="4" t="s">
        <v>263</v>
      </c>
      <c r="D188" s="4" t="s">
        <v>265</v>
      </c>
      <c r="E188" s="4" t="s">
        <v>316</v>
      </c>
      <c r="F188" s="4"/>
      <c r="G188" s="29">
        <f>G189+G192</f>
        <v>1312200</v>
      </c>
      <c r="H188" s="29">
        <f>H189+H192</f>
        <v>1312200</v>
      </c>
    </row>
    <row r="189" spans="1:8" ht="195" customHeight="1">
      <c r="A189" s="3" t="s">
        <v>359</v>
      </c>
      <c r="B189" s="4" t="s">
        <v>64</v>
      </c>
      <c r="C189" s="4" t="s">
        <v>263</v>
      </c>
      <c r="D189" s="4" t="s">
        <v>265</v>
      </c>
      <c r="E189" s="4" t="s">
        <v>360</v>
      </c>
      <c r="F189" s="4"/>
      <c r="G189" s="29">
        <f>G190+G191</f>
        <v>118000</v>
      </c>
      <c r="H189" s="29">
        <f>H190+H191</f>
        <v>118000</v>
      </c>
    </row>
    <row r="190" spans="1:8" ht="126">
      <c r="A190" s="3" t="s">
        <v>305</v>
      </c>
      <c r="B190" s="4" t="s">
        <v>64</v>
      </c>
      <c r="C190" s="4" t="s">
        <v>263</v>
      </c>
      <c r="D190" s="4" t="s">
        <v>265</v>
      </c>
      <c r="E190" s="4" t="s">
        <v>360</v>
      </c>
      <c r="F190" s="4" t="s">
        <v>18</v>
      </c>
      <c r="G190" s="29">
        <f>118000-1650</f>
        <v>116350</v>
      </c>
      <c r="H190" s="29">
        <f>G190</f>
        <v>116350</v>
      </c>
    </row>
    <row r="191" spans="1:8" ht="61.5" customHeight="1">
      <c r="A191" s="3" t="s">
        <v>306</v>
      </c>
      <c r="B191" s="4" t="s">
        <v>64</v>
      </c>
      <c r="C191" s="4" t="s">
        <v>263</v>
      </c>
      <c r="D191" s="4" t="s">
        <v>265</v>
      </c>
      <c r="E191" s="4" t="s">
        <v>360</v>
      </c>
      <c r="F191" s="4" t="s">
        <v>19</v>
      </c>
      <c r="G191" s="29">
        <v>1650</v>
      </c>
      <c r="H191" s="29">
        <f>G191</f>
        <v>1650</v>
      </c>
    </row>
    <row r="192" spans="1:8" ht="63">
      <c r="A192" s="61" t="s">
        <v>293</v>
      </c>
      <c r="B192" s="4" t="s">
        <v>64</v>
      </c>
      <c r="C192" s="4" t="s">
        <v>263</v>
      </c>
      <c r="D192" s="4" t="s">
        <v>265</v>
      </c>
      <c r="E192" s="4" t="s">
        <v>207</v>
      </c>
      <c r="F192" s="4"/>
      <c r="G192" s="29">
        <f>G193+G194</f>
        <v>1194200</v>
      </c>
      <c r="H192" s="29">
        <f>H193+H194</f>
        <v>1194200</v>
      </c>
    </row>
    <row r="193" spans="1:8" ht="126">
      <c r="A193" s="3" t="s">
        <v>305</v>
      </c>
      <c r="B193" s="4" t="s">
        <v>64</v>
      </c>
      <c r="C193" s="4" t="s">
        <v>263</v>
      </c>
      <c r="D193" s="4" t="s">
        <v>265</v>
      </c>
      <c r="E193" s="4" t="s">
        <v>207</v>
      </c>
      <c r="F193" s="4" t="s">
        <v>18</v>
      </c>
      <c r="G193" s="29">
        <f>1089785+12331.51</f>
        <v>1102116.51</v>
      </c>
      <c r="H193" s="29">
        <f>G193</f>
        <v>1102116.51</v>
      </c>
    </row>
    <row r="194" spans="1:8" ht="47.25">
      <c r="A194" s="3" t="s">
        <v>306</v>
      </c>
      <c r="B194" s="4" t="s">
        <v>64</v>
      </c>
      <c r="C194" s="4" t="s">
        <v>263</v>
      </c>
      <c r="D194" s="4" t="s">
        <v>265</v>
      </c>
      <c r="E194" s="4" t="s">
        <v>207</v>
      </c>
      <c r="F194" s="4" t="s">
        <v>19</v>
      </c>
      <c r="G194" s="29">
        <f>104415-3337.51-8994</f>
        <v>92083.49</v>
      </c>
      <c r="H194" s="29">
        <f>G194</f>
        <v>92083.49</v>
      </c>
    </row>
    <row r="195" spans="1:8" ht="15.75">
      <c r="A195" s="13" t="s">
        <v>9</v>
      </c>
      <c r="B195" s="5" t="s">
        <v>64</v>
      </c>
      <c r="C195" s="5" t="s">
        <v>13</v>
      </c>
      <c r="D195" s="5" t="s">
        <v>285</v>
      </c>
      <c r="E195" s="5"/>
      <c r="F195" s="5"/>
      <c r="G195" s="28">
        <f>G196</f>
        <v>3000000</v>
      </c>
      <c r="H195" s="28"/>
    </row>
    <row r="196" spans="1:8" ht="31.5">
      <c r="A196" s="3" t="s">
        <v>165</v>
      </c>
      <c r="B196" s="4" t="s">
        <v>64</v>
      </c>
      <c r="C196" s="4" t="s">
        <v>13</v>
      </c>
      <c r="D196" s="4" t="s">
        <v>260</v>
      </c>
      <c r="E196" s="4"/>
      <c r="F196" s="4"/>
      <c r="G196" s="29">
        <f>G197</f>
        <v>3000000</v>
      </c>
      <c r="H196" s="29"/>
    </row>
    <row r="197" spans="1:8" ht="70.5" customHeight="1">
      <c r="A197" s="3" t="s">
        <v>307</v>
      </c>
      <c r="B197" s="4" t="s">
        <v>64</v>
      </c>
      <c r="C197" s="4" t="s">
        <v>13</v>
      </c>
      <c r="D197" s="4" t="s">
        <v>260</v>
      </c>
      <c r="E197" s="4" t="s">
        <v>308</v>
      </c>
      <c r="F197" s="4"/>
      <c r="G197" s="29">
        <f>G198</f>
        <v>3000000</v>
      </c>
      <c r="H197" s="29"/>
    </row>
    <row r="198" spans="1:8" ht="110.25">
      <c r="A198" s="3" t="s">
        <v>80</v>
      </c>
      <c r="B198" s="4" t="s">
        <v>64</v>
      </c>
      <c r="C198" s="4" t="s">
        <v>13</v>
      </c>
      <c r="D198" s="4" t="s">
        <v>260</v>
      </c>
      <c r="E198" s="4" t="s">
        <v>81</v>
      </c>
      <c r="F198" s="4"/>
      <c r="G198" s="29">
        <f>G199</f>
        <v>3000000</v>
      </c>
      <c r="H198" s="29"/>
    </row>
    <row r="199" spans="1:8" ht="60" customHeight="1">
      <c r="A199" s="3" t="s">
        <v>82</v>
      </c>
      <c r="B199" s="4" t="s">
        <v>64</v>
      </c>
      <c r="C199" s="4" t="s">
        <v>13</v>
      </c>
      <c r="D199" s="4" t="s">
        <v>260</v>
      </c>
      <c r="E199" s="4" t="s">
        <v>83</v>
      </c>
      <c r="F199" s="4"/>
      <c r="G199" s="29">
        <f>G200</f>
        <v>3000000</v>
      </c>
      <c r="H199" s="29"/>
    </row>
    <row r="200" spans="1:8" ht="15.75">
      <c r="A200" s="3" t="s">
        <v>235</v>
      </c>
      <c r="B200" s="4" t="s">
        <v>64</v>
      </c>
      <c r="C200" s="4" t="s">
        <v>13</v>
      </c>
      <c r="D200" s="4" t="s">
        <v>260</v>
      </c>
      <c r="E200" s="4" t="s">
        <v>83</v>
      </c>
      <c r="F200" s="4" t="s">
        <v>22</v>
      </c>
      <c r="G200" s="29">
        <v>3000000</v>
      </c>
      <c r="H200" s="29"/>
    </row>
    <row r="201" spans="1:12" ht="106.5" customHeight="1">
      <c r="A201" s="10" t="s">
        <v>249</v>
      </c>
      <c r="B201" s="11" t="s">
        <v>65</v>
      </c>
      <c r="C201" s="23"/>
      <c r="D201" s="23"/>
      <c r="E201" s="23"/>
      <c r="F201" s="23"/>
      <c r="G201" s="28">
        <f>G202+G302+G392+G377+G368+G271+G259+G398</f>
        <v>736678533.9200001</v>
      </c>
      <c r="H201" s="28">
        <f>H202+H302+H392+H377+H368+H271+H259+H398</f>
        <v>254447179.34</v>
      </c>
      <c r="J201" s="26">
        <f>675812456.76-675162456.76</f>
        <v>650000</v>
      </c>
      <c r="L201" s="26">
        <f>'[4]прил7'!$G$200-G201</f>
        <v>-2792354.3000000715</v>
      </c>
    </row>
    <row r="202" spans="1:8" ht="15.75">
      <c r="A202" s="1" t="s">
        <v>274</v>
      </c>
      <c r="B202" s="2" t="s">
        <v>65</v>
      </c>
      <c r="C202" s="2" t="s">
        <v>255</v>
      </c>
      <c r="D202" s="4"/>
      <c r="E202" s="4"/>
      <c r="F202" s="4"/>
      <c r="G202" s="33">
        <f>G213+G203</f>
        <v>57957500.51999999</v>
      </c>
      <c r="H202" s="33">
        <f>H213+H203</f>
        <v>1147000</v>
      </c>
    </row>
    <row r="203" spans="1:12" ht="126">
      <c r="A203" s="1" t="s">
        <v>12</v>
      </c>
      <c r="B203" s="2" t="s">
        <v>65</v>
      </c>
      <c r="C203" s="2" t="s">
        <v>255</v>
      </c>
      <c r="D203" s="2" t="s">
        <v>265</v>
      </c>
      <c r="E203" s="2"/>
      <c r="F203" s="4"/>
      <c r="G203" s="33">
        <f>G204</f>
        <v>11063768</v>
      </c>
      <c r="H203" s="33"/>
      <c r="L203" s="26">
        <f>L201+L45</f>
        <v>-5.960464477539063E-08</v>
      </c>
    </row>
    <row r="204" spans="1:8" ht="63">
      <c r="A204" s="27" t="s">
        <v>313</v>
      </c>
      <c r="B204" s="4" t="s">
        <v>65</v>
      </c>
      <c r="C204" s="4" t="s">
        <v>255</v>
      </c>
      <c r="D204" s="4" t="s">
        <v>265</v>
      </c>
      <c r="E204" s="4" t="s">
        <v>314</v>
      </c>
      <c r="F204" s="4"/>
      <c r="G204" s="29">
        <f>G205</f>
        <v>11063768</v>
      </c>
      <c r="H204" s="33"/>
    </row>
    <row r="205" spans="1:8" ht="78.75">
      <c r="A205" s="27" t="s">
        <v>86</v>
      </c>
      <c r="B205" s="4" t="s">
        <v>65</v>
      </c>
      <c r="C205" s="4" t="s">
        <v>255</v>
      </c>
      <c r="D205" s="4" t="s">
        <v>265</v>
      </c>
      <c r="E205" s="4" t="s">
        <v>98</v>
      </c>
      <c r="F205" s="4"/>
      <c r="G205" s="29">
        <f>G206+G208+G211</f>
        <v>11063768</v>
      </c>
      <c r="H205" s="33"/>
    </row>
    <row r="206" spans="1:8" ht="47.25">
      <c r="A206" s="27" t="s">
        <v>413</v>
      </c>
      <c r="B206" s="4" t="s">
        <v>65</v>
      </c>
      <c r="C206" s="4" t="s">
        <v>255</v>
      </c>
      <c r="D206" s="4" t="s">
        <v>265</v>
      </c>
      <c r="E206" s="4" t="s">
        <v>427</v>
      </c>
      <c r="F206" s="4"/>
      <c r="G206" s="29">
        <f>G207</f>
        <v>10642447</v>
      </c>
      <c r="H206" s="33"/>
    </row>
    <row r="207" spans="1:8" ht="126">
      <c r="A207" s="27" t="s">
        <v>417</v>
      </c>
      <c r="B207" s="4" t="s">
        <v>65</v>
      </c>
      <c r="C207" s="4" t="s">
        <v>255</v>
      </c>
      <c r="D207" s="4" t="s">
        <v>265</v>
      </c>
      <c r="E207" s="4" t="s">
        <v>427</v>
      </c>
      <c r="F207" s="4" t="s">
        <v>18</v>
      </c>
      <c r="G207" s="29">
        <f>10019810+436147-40000-162210-25000+413700</f>
        <v>10642447</v>
      </c>
      <c r="H207" s="33"/>
    </row>
    <row r="208" spans="1:8" ht="47.25">
      <c r="A208" s="27" t="s">
        <v>415</v>
      </c>
      <c r="B208" s="4" t="s">
        <v>65</v>
      </c>
      <c r="C208" s="4" t="s">
        <v>255</v>
      </c>
      <c r="D208" s="4" t="s">
        <v>265</v>
      </c>
      <c r="E208" s="4" t="s">
        <v>428</v>
      </c>
      <c r="F208" s="4"/>
      <c r="G208" s="29">
        <f>G209+G210</f>
        <v>241880</v>
      </c>
      <c r="H208" s="33"/>
    </row>
    <row r="209" spans="1:8" ht="126">
      <c r="A209" s="27" t="s">
        <v>417</v>
      </c>
      <c r="B209" s="4" t="s">
        <v>65</v>
      </c>
      <c r="C209" s="4" t="s">
        <v>255</v>
      </c>
      <c r="D209" s="4" t="s">
        <v>265</v>
      </c>
      <c r="E209" s="4" t="s">
        <v>428</v>
      </c>
      <c r="F209" s="4" t="s">
        <v>18</v>
      </c>
      <c r="G209" s="29">
        <v>3750</v>
      </c>
      <c r="H209" s="33"/>
    </row>
    <row r="210" spans="1:12" ht="47.25">
      <c r="A210" s="27" t="s">
        <v>306</v>
      </c>
      <c r="B210" s="4" t="s">
        <v>65</v>
      </c>
      <c r="C210" s="4" t="s">
        <v>255</v>
      </c>
      <c r="D210" s="4" t="s">
        <v>265</v>
      </c>
      <c r="E210" s="4" t="s">
        <v>428</v>
      </c>
      <c r="F210" s="4" t="s">
        <v>19</v>
      </c>
      <c r="G210" s="29">
        <f>170000+25000+43130</f>
        <v>238130</v>
      </c>
      <c r="H210" s="33"/>
      <c r="L210" s="26"/>
    </row>
    <row r="211" spans="1:8" ht="110.25">
      <c r="A211" s="27" t="s">
        <v>409</v>
      </c>
      <c r="B211" s="4" t="s">
        <v>65</v>
      </c>
      <c r="C211" s="4" t="s">
        <v>255</v>
      </c>
      <c r="D211" s="4" t="s">
        <v>265</v>
      </c>
      <c r="E211" s="4" t="s">
        <v>429</v>
      </c>
      <c r="F211" s="4"/>
      <c r="G211" s="29">
        <f>G212</f>
        <v>179441</v>
      </c>
      <c r="H211" s="33"/>
    </row>
    <row r="212" spans="1:12" ht="126">
      <c r="A212" s="27" t="s">
        <v>417</v>
      </c>
      <c r="B212" s="4" t="s">
        <v>65</v>
      </c>
      <c r="C212" s="4" t="s">
        <v>255</v>
      </c>
      <c r="D212" s="4" t="s">
        <v>265</v>
      </c>
      <c r="E212" s="4" t="s">
        <v>429</v>
      </c>
      <c r="F212" s="4" t="s">
        <v>18</v>
      </c>
      <c r="G212" s="29">
        <f>158460+20981</f>
        <v>179441</v>
      </c>
      <c r="H212" s="33"/>
      <c r="L212" s="26"/>
    </row>
    <row r="213" spans="1:8" ht="31.5">
      <c r="A213" s="1" t="s">
        <v>284</v>
      </c>
      <c r="B213" s="2" t="s">
        <v>65</v>
      </c>
      <c r="C213" s="2" t="s">
        <v>255</v>
      </c>
      <c r="D213" s="2" t="s">
        <v>16</v>
      </c>
      <c r="E213" s="2"/>
      <c r="F213" s="2"/>
      <c r="G213" s="33">
        <f>G227+G214+G240+G230+G253+G224+G220</f>
        <v>46893732.51999999</v>
      </c>
      <c r="H213" s="33">
        <f>H227+H214+H240+H230+H253+H224+H220</f>
        <v>1147000</v>
      </c>
    </row>
    <row r="214" spans="1:8" ht="63">
      <c r="A214" s="3" t="s">
        <v>50</v>
      </c>
      <c r="B214" s="4" t="s">
        <v>65</v>
      </c>
      <c r="C214" s="4" t="s">
        <v>255</v>
      </c>
      <c r="D214" s="4" t="s">
        <v>16</v>
      </c>
      <c r="E214" s="4" t="s">
        <v>51</v>
      </c>
      <c r="F214" s="2"/>
      <c r="G214" s="29">
        <f>G215</f>
        <v>1870000</v>
      </c>
      <c r="H214" s="29"/>
    </row>
    <row r="215" spans="1:8" ht="63">
      <c r="A215" s="3" t="s">
        <v>142</v>
      </c>
      <c r="B215" s="4" t="s">
        <v>65</v>
      </c>
      <c r="C215" s="4" t="s">
        <v>255</v>
      </c>
      <c r="D215" s="4" t="s">
        <v>16</v>
      </c>
      <c r="E215" s="4" t="s">
        <v>143</v>
      </c>
      <c r="F215" s="4"/>
      <c r="G215" s="29">
        <f>G216+G218</f>
        <v>1870000</v>
      </c>
      <c r="H215" s="29"/>
    </row>
    <row r="216" spans="1:8" ht="47.25">
      <c r="A216" s="3" t="s">
        <v>228</v>
      </c>
      <c r="B216" s="4" t="s">
        <v>65</v>
      </c>
      <c r="C216" s="4" t="s">
        <v>255</v>
      </c>
      <c r="D216" s="4" t="s">
        <v>16</v>
      </c>
      <c r="E216" s="4" t="s">
        <v>144</v>
      </c>
      <c r="F216" s="4"/>
      <c r="G216" s="29">
        <f>G217</f>
        <v>1820000</v>
      </c>
      <c r="H216" s="29"/>
    </row>
    <row r="217" spans="1:8" ht="47.25">
      <c r="A217" s="3" t="s">
        <v>306</v>
      </c>
      <c r="B217" s="4" t="s">
        <v>65</v>
      </c>
      <c r="C217" s="4" t="s">
        <v>255</v>
      </c>
      <c r="D217" s="4" t="s">
        <v>16</v>
      </c>
      <c r="E217" s="4" t="s">
        <v>144</v>
      </c>
      <c r="F217" s="4" t="s">
        <v>19</v>
      </c>
      <c r="G217" s="29">
        <v>1820000</v>
      </c>
      <c r="H217" s="29"/>
    </row>
    <row r="218" spans="1:8" ht="31.5">
      <c r="A218" s="3" t="s">
        <v>326</v>
      </c>
      <c r="B218" s="4" t="s">
        <v>65</v>
      </c>
      <c r="C218" s="4" t="s">
        <v>255</v>
      </c>
      <c r="D218" s="4" t="s">
        <v>16</v>
      </c>
      <c r="E218" s="4" t="s">
        <v>145</v>
      </c>
      <c r="F218" s="4"/>
      <c r="G218" s="29">
        <f>G219</f>
        <v>50000</v>
      </c>
      <c r="H218" s="29"/>
    </row>
    <row r="219" spans="1:8" ht="47.25">
      <c r="A219" s="3" t="s">
        <v>306</v>
      </c>
      <c r="B219" s="4" t="s">
        <v>65</v>
      </c>
      <c r="C219" s="4" t="s">
        <v>255</v>
      </c>
      <c r="D219" s="4" t="s">
        <v>16</v>
      </c>
      <c r="E219" s="4" t="s">
        <v>145</v>
      </c>
      <c r="F219" s="4" t="s">
        <v>19</v>
      </c>
      <c r="G219" s="29">
        <v>50000</v>
      </c>
      <c r="H219" s="29"/>
    </row>
    <row r="220" spans="1:8" ht="78.75">
      <c r="A220" s="3" t="s">
        <v>115</v>
      </c>
      <c r="B220" s="4" t="s">
        <v>65</v>
      </c>
      <c r="C220" s="4" t="s">
        <v>255</v>
      </c>
      <c r="D220" s="4" t="s">
        <v>16</v>
      </c>
      <c r="E220" s="4" t="s">
        <v>116</v>
      </c>
      <c r="F220" s="4"/>
      <c r="G220" s="29">
        <f>G221</f>
        <v>445471.41</v>
      </c>
      <c r="H220" s="29"/>
    </row>
    <row r="221" spans="1:8" ht="63">
      <c r="A221" s="3" t="s">
        <v>117</v>
      </c>
      <c r="B221" s="4" t="s">
        <v>65</v>
      </c>
      <c r="C221" s="4" t="s">
        <v>255</v>
      </c>
      <c r="D221" s="4" t="s">
        <v>16</v>
      </c>
      <c r="E221" s="4" t="s">
        <v>118</v>
      </c>
      <c r="F221" s="4"/>
      <c r="G221" s="29">
        <f>G222</f>
        <v>445471.41</v>
      </c>
      <c r="H221" s="29"/>
    </row>
    <row r="222" spans="1:8" ht="63">
      <c r="A222" s="3" t="s">
        <v>222</v>
      </c>
      <c r="B222" s="4" t="s">
        <v>65</v>
      </c>
      <c r="C222" s="4" t="s">
        <v>255</v>
      </c>
      <c r="D222" s="4" t="s">
        <v>16</v>
      </c>
      <c r="E222" s="4" t="s">
        <v>128</v>
      </c>
      <c r="F222" s="4"/>
      <c r="G222" s="29">
        <f>G223</f>
        <v>445471.41</v>
      </c>
      <c r="H222" s="29"/>
    </row>
    <row r="223" spans="1:8" ht="63">
      <c r="A223" s="3" t="s">
        <v>49</v>
      </c>
      <c r="B223" s="4" t="s">
        <v>65</v>
      </c>
      <c r="C223" s="4" t="s">
        <v>255</v>
      </c>
      <c r="D223" s="4" t="s">
        <v>16</v>
      </c>
      <c r="E223" s="4" t="s">
        <v>128</v>
      </c>
      <c r="F223" s="4" t="s">
        <v>297</v>
      </c>
      <c r="G223" s="29">
        <v>445471.41</v>
      </c>
      <c r="H223" s="29"/>
    </row>
    <row r="224" spans="1:8" ht="63">
      <c r="A224" s="3" t="s">
        <v>71</v>
      </c>
      <c r="B224" s="4" t="s">
        <v>65</v>
      </c>
      <c r="C224" s="4" t="s">
        <v>255</v>
      </c>
      <c r="D224" s="4" t="s">
        <v>16</v>
      </c>
      <c r="E224" s="4" t="s">
        <v>72</v>
      </c>
      <c r="F224" s="4"/>
      <c r="G224" s="29">
        <f>G225</f>
        <v>2200000</v>
      </c>
      <c r="H224" s="29"/>
    </row>
    <row r="225" spans="1:8" ht="47.25">
      <c r="A225" s="3" t="s">
        <v>228</v>
      </c>
      <c r="B225" s="4" t="s">
        <v>65</v>
      </c>
      <c r="C225" s="4" t="s">
        <v>255</v>
      </c>
      <c r="D225" s="4" t="s">
        <v>16</v>
      </c>
      <c r="E225" s="4" t="s">
        <v>73</v>
      </c>
      <c r="F225" s="4"/>
      <c r="G225" s="29">
        <f>G226</f>
        <v>2200000</v>
      </c>
      <c r="H225" s="29"/>
    </row>
    <row r="226" spans="1:10" ht="47.25">
      <c r="A226" s="3" t="s">
        <v>306</v>
      </c>
      <c r="B226" s="4" t="s">
        <v>65</v>
      </c>
      <c r="C226" s="4" t="s">
        <v>255</v>
      </c>
      <c r="D226" s="4" t="s">
        <v>16</v>
      </c>
      <c r="E226" s="4" t="s">
        <v>73</v>
      </c>
      <c r="F226" s="4" t="s">
        <v>19</v>
      </c>
      <c r="G226" s="29">
        <f>2200000-3990+3990</f>
        <v>2200000</v>
      </c>
      <c r="H226" s="29"/>
      <c r="J226" s="26">
        <v>2200000</v>
      </c>
    </row>
    <row r="227" spans="1:8" ht="78.75">
      <c r="A227" s="3" t="s">
        <v>3</v>
      </c>
      <c r="B227" s="4" t="s">
        <v>65</v>
      </c>
      <c r="C227" s="4" t="s">
        <v>255</v>
      </c>
      <c r="D227" s="4" t="s">
        <v>16</v>
      </c>
      <c r="E227" s="4" t="s">
        <v>4</v>
      </c>
      <c r="F227" s="4"/>
      <c r="G227" s="29">
        <f>G228</f>
        <v>200000</v>
      </c>
      <c r="H227" s="29"/>
    </row>
    <row r="228" spans="1:8" ht="31.5">
      <c r="A228" s="3" t="s">
        <v>326</v>
      </c>
      <c r="B228" s="4" t="s">
        <v>65</v>
      </c>
      <c r="C228" s="4" t="s">
        <v>255</v>
      </c>
      <c r="D228" s="4" t="s">
        <v>16</v>
      </c>
      <c r="E228" s="4" t="s">
        <v>5</v>
      </c>
      <c r="F228" s="4"/>
      <c r="G228" s="29">
        <f>G229</f>
        <v>200000</v>
      </c>
      <c r="H228" s="29"/>
    </row>
    <row r="229" spans="1:8" ht="47.25">
      <c r="A229" s="3" t="s">
        <v>306</v>
      </c>
      <c r="B229" s="4" t="s">
        <v>65</v>
      </c>
      <c r="C229" s="4" t="s">
        <v>255</v>
      </c>
      <c r="D229" s="4" t="s">
        <v>16</v>
      </c>
      <c r="E229" s="4" t="s">
        <v>5</v>
      </c>
      <c r="F229" s="4" t="s">
        <v>19</v>
      </c>
      <c r="G229" s="29">
        <v>200000</v>
      </c>
      <c r="H229" s="29"/>
    </row>
    <row r="230" spans="1:8" ht="47.25">
      <c r="A230" s="3" t="s">
        <v>307</v>
      </c>
      <c r="B230" s="4" t="s">
        <v>65</v>
      </c>
      <c r="C230" s="4" t="s">
        <v>255</v>
      </c>
      <c r="D230" s="4" t="s">
        <v>16</v>
      </c>
      <c r="E230" s="4" t="s">
        <v>308</v>
      </c>
      <c r="F230" s="4"/>
      <c r="G230" s="29">
        <f>G231</f>
        <v>20452634.999999996</v>
      </c>
      <c r="H230" s="29">
        <f>H231</f>
        <v>1147000</v>
      </c>
    </row>
    <row r="231" spans="1:8" ht="94.5">
      <c r="A231" s="61" t="s">
        <v>338</v>
      </c>
      <c r="B231" s="4" t="s">
        <v>65</v>
      </c>
      <c r="C231" s="4" t="s">
        <v>255</v>
      </c>
      <c r="D231" s="4" t="s">
        <v>16</v>
      </c>
      <c r="E231" s="4" t="s">
        <v>339</v>
      </c>
      <c r="F231" s="4"/>
      <c r="G231" s="29">
        <f>G238+G232+G236+G234</f>
        <v>20452634.999999996</v>
      </c>
      <c r="H231" s="29">
        <f>H238+H232+H236+H234</f>
        <v>1147000</v>
      </c>
    </row>
    <row r="232" spans="1:8" ht="110.25">
      <c r="A232" s="3" t="s">
        <v>209</v>
      </c>
      <c r="B232" s="4" t="s">
        <v>65</v>
      </c>
      <c r="C232" s="4" t="s">
        <v>255</v>
      </c>
      <c r="D232" s="4" t="s">
        <v>16</v>
      </c>
      <c r="E232" s="4" t="s">
        <v>84</v>
      </c>
      <c r="F232" s="4"/>
      <c r="G232" s="29">
        <f>G233</f>
        <v>1963275.8</v>
      </c>
      <c r="H232" s="29"/>
    </row>
    <row r="233" spans="1:12" ht="47.25">
      <c r="A233" s="3" t="s">
        <v>306</v>
      </c>
      <c r="B233" s="4" t="s">
        <v>65</v>
      </c>
      <c r="C233" s="4" t="s">
        <v>255</v>
      </c>
      <c r="D233" s="4" t="s">
        <v>16</v>
      </c>
      <c r="E233" s="4" t="s">
        <v>84</v>
      </c>
      <c r="F233" s="4" t="s">
        <v>19</v>
      </c>
      <c r="G233" s="29">
        <f>2000000-36724.2</f>
        <v>1963275.8</v>
      </c>
      <c r="H233" s="29"/>
      <c r="L233" s="26"/>
    </row>
    <row r="234" spans="1:12" ht="33.75" customHeight="1">
      <c r="A234" s="3" t="s">
        <v>326</v>
      </c>
      <c r="B234" s="4" t="s">
        <v>65</v>
      </c>
      <c r="C234" s="4" t="s">
        <v>255</v>
      </c>
      <c r="D234" s="4" t="s">
        <v>16</v>
      </c>
      <c r="E234" s="4" t="s">
        <v>129</v>
      </c>
      <c r="F234" s="4"/>
      <c r="G234" s="29">
        <f>G235</f>
        <v>1958395.72</v>
      </c>
      <c r="H234" s="29"/>
      <c r="L234" s="26"/>
    </row>
    <row r="235" spans="1:12" ht="56.25" customHeight="1">
      <c r="A235" s="3" t="s">
        <v>306</v>
      </c>
      <c r="B235" s="4" t="s">
        <v>65</v>
      </c>
      <c r="C235" s="4" t="s">
        <v>255</v>
      </c>
      <c r="D235" s="4" t="s">
        <v>16</v>
      </c>
      <c r="E235" s="4" t="s">
        <v>129</v>
      </c>
      <c r="F235" s="4" t="s">
        <v>19</v>
      </c>
      <c r="G235" s="29">
        <v>1958395.72</v>
      </c>
      <c r="H235" s="29"/>
      <c r="L235" s="26"/>
    </row>
    <row r="236" spans="1:8" ht="63">
      <c r="A236" s="3" t="s">
        <v>222</v>
      </c>
      <c r="B236" s="4" t="s">
        <v>65</v>
      </c>
      <c r="C236" s="4" t="s">
        <v>255</v>
      </c>
      <c r="D236" s="4" t="s">
        <v>16</v>
      </c>
      <c r="E236" s="4" t="s">
        <v>85</v>
      </c>
      <c r="F236" s="4"/>
      <c r="G236" s="29">
        <f>G237</f>
        <v>15383963.479999999</v>
      </c>
      <c r="H236" s="29"/>
    </row>
    <row r="237" spans="1:12" ht="63">
      <c r="A237" s="3" t="s">
        <v>49</v>
      </c>
      <c r="B237" s="4" t="s">
        <v>65</v>
      </c>
      <c r="C237" s="4" t="s">
        <v>255</v>
      </c>
      <c r="D237" s="4" t="s">
        <v>16</v>
      </c>
      <c r="E237" s="4" t="s">
        <v>85</v>
      </c>
      <c r="F237" s="4" t="s">
        <v>297</v>
      </c>
      <c r="G237" s="29">
        <f>17305635-1958395.72+36724.2</f>
        <v>15383963.479999999</v>
      </c>
      <c r="H237" s="29"/>
      <c r="L237" s="26"/>
    </row>
    <row r="238" spans="1:8" ht="47.25">
      <c r="A238" s="61" t="s">
        <v>340</v>
      </c>
      <c r="B238" s="4" t="s">
        <v>65</v>
      </c>
      <c r="C238" s="4" t="s">
        <v>255</v>
      </c>
      <c r="D238" s="4" t="s">
        <v>16</v>
      </c>
      <c r="E238" s="4" t="s">
        <v>341</v>
      </c>
      <c r="F238" s="4"/>
      <c r="G238" s="29">
        <f>G239</f>
        <v>1147000</v>
      </c>
      <c r="H238" s="29">
        <f>H239</f>
        <v>1147000</v>
      </c>
    </row>
    <row r="239" spans="1:8" ht="47.25">
      <c r="A239" s="3" t="s">
        <v>306</v>
      </c>
      <c r="B239" s="4" t="s">
        <v>65</v>
      </c>
      <c r="C239" s="4" t="s">
        <v>255</v>
      </c>
      <c r="D239" s="4" t="s">
        <v>16</v>
      </c>
      <c r="E239" s="4" t="s">
        <v>341</v>
      </c>
      <c r="F239" s="4" t="s">
        <v>19</v>
      </c>
      <c r="G239" s="29">
        <v>1147000</v>
      </c>
      <c r="H239" s="29">
        <f>G239</f>
        <v>1147000</v>
      </c>
    </row>
    <row r="240" spans="1:8" ht="86.25" customHeight="1">
      <c r="A240" s="27" t="s">
        <v>313</v>
      </c>
      <c r="B240" s="4" t="s">
        <v>65</v>
      </c>
      <c r="C240" s="4" t="s">
        <v>255</v>
      </c>
      <c r="D240" s="4" t="s">
        <v>16</v>
      </c>
      <c r="E240" s="4" t="s">
        <v>314</v>
      </c>
      <c r="F240" s="4"/>
      <c r="G240" s="29">
        <f>G241+G244+G250</f>
        <v>21168467.099999998</v>
      </c>
      <c r="H240" s="29"/>
    </row>
    <row r="241" spans="1:8" ht="99" customHeight="1">
      <c r="A241" s="27" t="s">
        <v>86</v>
      </c>
      <c r="B241" s="4" t="s">
        <v>65</v>
      </c>
      <c r="C241" s="4" t="s">
        <v>255</v>
      </c>
      <c r="D241" s="4" t="s">
        <v>16</v>
      </c>
      <c r="E241" s="4" t="s">
        <v>98</v>
      </c>
      <c r="F241" s="4"/>
      <c r="G241" s="29">
        <f>G242</f>
        <v>411245.24</v>
      </c>
      <c r="H241" s="29"/>
    </row>
    <row r="242" spans="1:8" ht="102" customHeight="1">
      <c r="A242" s="27" t="s">
        <v>252</v>
      </c>
      <c r="B242" s="4" t="s">
        <v>65</v>
      </c>
      <c r="C242" s="4" t="s">
        <v>255</v>
      </c>
      <c r="D242" s="4" t="s">
        <v>16</v>
      </c>
      <c r="E242" s="4" t="s">
        <v>97</v>
      </c>
      <c r="F242" s="4"/>
      <c r="G242" s="29">
        <f>G243</f>
        <v>411245.24</v>
      </c>
      <c r="H242" s="29"/>
    </row>
    <row r="243" spans="1:12" ht="59.25" customHeight="1">
      <c r="A243" s="3" t="s">
        <v>306</v>
      </c>
      <c r="B243" s="4" t="s">
        <v>65</v>
      </c>
      <c r="C243" s="4" t="s">
        <v>255</v>
      </c>
      <c r="D243" s="4" t="s">
        <v>16</v>
      </c>
      <c r="E243" s="4" t="s">
        <v>97</v>
      </c>
      <c r="F243" s="4" t="s">
        <v>19</v>
      </c>
      <c r="G243" s="29">
        <f>635113-168867.76-40000-15000</f>
        <v>411245.24</v>
      </c>
      <c r="H243" s="29"/>
      <c r="J243" s="26">
        <f>466245.24-635113</f>
        <v>-168867.76</v>
      </c>
      <c r="L243" s="26"/>
    </row>
    <row r="244" spans="1:8" ht="118.5" customHeight="1">
      <c r="A244" s="3" t="s">
        <v>45</v>
      </c>
      <c r="B244" s="4" t="s">
        <v>65</v>
      </c>
      <c r="C244" s="4" t="s">
        <v>255</v>
      </c>
      <c r="D244" s="4" t="s">
        <v>16</v>
      </c>
      <c r="E244" s="4" t="s">
        <v>46</v>
      </c>
      <c r="F244" s="4"/>
      <c r="G244" s="29">
        <f>G245+G248</f>
        <v>20639481.86</v>
      </c>
      <c r="H244" s="29"/>
    </row>
    <row r="245" spans="1:8" ht="138" customHeight="1">
      <c r="A245" s="3" t="s">
        <v>209</v>
      </c>
      <c r="B245" s="4" t="s">
        <v>65</v>
      </c>
      <c r="C245" s="4" t="s">
        <v>255</v>
      </c>
      <c r="D245" s="4" t="s">
        <v>16</v>
      </c>
      <c r="E245" s="4" t="s">
        <v>90</v>
      </c>
      <c r="F245" s="4"/>
      <c r="G245" s="29">
        <f>G246+G247</f>
        <v>20245020.33</v>
      </c>
      <c r="H245" s="29"/>
    </row>
    <row r="246" spans="1:12" ht="126">
      <c r="A246" s="3" t="s">
        <v>305</v>
      </c>
      <c r="B246" s="4" t="s">
        <v>65</v>
      </c>
      <c r="C246" s="4" t="s">
        <v>255</v>
      </c>
      <c r="D246" s="4" t="s">
        <v>16</v>
      </c>
      <c r="E246" s="4" t="s">
        <v>90</v>
      </c>
      <c r="F246" s="4" t="s">
        <v>18</v>
      </c>
      <c r="G246" s="29">
        <f>17492608.58-44461.53-20000+1720571.86</f>
        <v>19148718.909999996</v>
      </c>
      <c r="H246" s="29"/>
      <c r="L246" s="26"/>
    </row>
    <row r="247" spans="1:12" ht="47.25">
      <c r="A247" s="3" t="s">
        <v>306</v>
      </c>
      <c r="B247" s="4" t="s">
        <v>65</v>
      </c>
      <c r="C247" s="4" t="s">
        <v>255</v>
      </c>
      <c r="D247" s="4" t="s">
        <v>16</v>
      </c>
      <c r="E247" s="4" t="s">
        <v>90</v>
      </c>
      <c r="F247" s="4" t="s">
        <v>19</v>
      </c>
      <c r="G247" s="29">
        <f>925801.42+170500</f>
        <v>1096301.42</v>
      </c>
      <c r="H247" s="29"/>
      <c r="L247" s="26"/>
    </row>
    <row r="248" spans="1:8" ht="110.25">
      <c r="A248" s="3" t="s">
        <v>409</v>
      </c>
      <c r="B248" s="4" t="s">
        <v>65</v>
      </c>
      <c r="C248" s="4" t="s">
        <v>255</v>
      </c>
      <c r="D248" s="4" t="s">
        <v>16</v>
      </c>
      <c r="E248" s="4" t="s">
        <v>430</v>
      </c>
      <c r="F248" s="4"/>
      <c r="G248" s="29">
        <f>G249</f>
        <v>394461.53</v>
      </c>
      <c r="H248" s="29"/>
    </row>
    <row r="249" spans="1:12" ht="126">
      <c r="A249" s="3" t="s">
        <v>417</v>
      </c>
      <c r="B249" s="4" t="s">
        <v>65</v>
      </c>
      <c r="C249" s="4" t="s">
        <v>255</v>
      </c>
      <c r="D249" s="4" t="s">
        <v>16</v>
      </c>
      <c r="E249" s="4" t="s">
        <v>430</v>
      </c>
      <c r="F249" s="4" t="s">
        <v>18</v>
      </c>
      <c r="G249" s="29">
        <f>44461.53+20000+330000</f>
        <v>394461.53</v>
      </c>
      <c r="H249" s="29"/>
      <c r="L249" s="26"/>
    </row>
    <row r="250" spans="1:12" ht="47.25">
      <c r="A250" s="3" t="s">
        <v>130</v>
      </c>
      <c r="B250" s="4" t="s">
        <v>65</v>
      </c>
      <c r="C250" s="4" t="s">
        <v>255</v>
      </c>
      <c r="D250" s="4" t="s">
        <v>16</v>
      </c>
      <c r="E250" s="4" t="s">
        <v>131</v>
      </c>
      <c r="F250" s="4"/>
      <c r="G250" s="29">
        <f>G251</f>
        <v>117740</v>
      </c>
      <c r="H250" s="29"/>
      <c r="L250" s="26"/>
    </row>
    <row r="251" spans="1:12" ht="31.5">
      <c r="A251" s="3" t="s">
        <v>326</v>
      </c>
      <c r="B251" s="4" t="s">
        <v>65</v>
      </c>
      <c r="C251" s="4" t="s">
        <v>255</v>
      </c>
      <c r="D251" s="4" t="s">
        <v>16</v>
      </c>
      <c r="E251" s="4" t="s">
        <v>132</v>
      </c>
      <c r="F251" s="4"/>
      <c r="G251" s="29">
        <f>G252</f>
        <v>117740</v>
      </c>
      <c r="H251" s="29"/>
      <c r="L251" s="26"/>
    </row>
    <row r="252" spans="1:12" ht="47.25">
      <c r="A252" s="3" t="s">
        <v>306</v>
      </c>
      <c r="B252" s="4" t="s">
        <v>65</v>
      </c>
      <c r="C252" s="4" t="s">
        <v>255</v>
      </c>
      <c r="D252" s="4" t="s">
        <v>16</v>
      </c>
      <c r="E252" s="4" t="s">
        <v>132</v>
      </c>
      <c r="F252" s="4" t="s">
        <v>19</v>
      </c>
      <c r="G252" s="29">
        <v>117740</v>
      </c>
      <c r="H252" s="29"/>
      <c r="L252" s="26"/>
    </row>
    <row r="253" spans="1:10" ht="22.5" customHeight="1">
      <c r="A253" s="27" t="s">
        <v>303</v>
      </c>
      <c r="B253" s="4" t="s">
        <v>65</v>
      </c>
      <c r="C253" s="4" t="s">
        <v>255</v>
      </c>
      <c r="D253" s="4" t="s">
        <v>16</v>
      </c>
      <c r="E253" s="4" t="s">
        <v>304</v>
      </c>
      <c r="F253" s="4"/>
      <c r="G253" s="29">
        <f>G256+G254</f>
        <v>557159.01</v>
      </c>
      <c r="H253" s="29"/>
      <c r="J253" s="26"/>
    </row>
    <row r="254" spans="1:10" ht="48" customHeight="1">
      <c r="A254" s="3" t="s">
        <v>291</v>
      </c>
      <c r="B254" s="4" t="s">
        <v>65</v>
      </c>
      <c r="C254" s="4" t="s">
        <v>255</v>
      </c>
      <c r="D254" s="4" t="s">
        <v>16</v>
      </c>
      <c r="E254" s="4" t="s">
        <v>323</v>
      </c>
      <c r="F254" s="4"/>
      <c r="G254" s="29">
        <f>G255</f>
        <v>15000</v>
      </c>
      <c r="H254" s="29"/>
      <c r="J254" s="26"/>
    </row>
    <row r="255" spans="1:12" ht="51.75" customHeight="1">
      <c r="A255" s="3" t="s">
        <v>306</v>
      </c>
      <c r="B255" s="4" t="s">
        <v>65</v>
      </c>
      <c r="C255" s="4" t="s">
        <v>255</v>
      </c>
      <c r="D255" s="4" t="s">
        <v>16</v>
      </c>
      <c r="E255" s="4" t="s">
        <v>323</v>
      </c>
      <c r="F255" s="4" t="s">
        <v>19</v>
      </c>
      <c r="G255" s="29">
        <v>15000</v>
      </c>
      <c r="H255" s="29"/>
      <c r="J255" s="26"/>
      <c r="L255" s="26"/>
    </row>
    <row r="256" spans="1:8" ht="31.5">
      <c r="A256" s="3" t="s">
        <v>389</v>
      </c>
      <c r="B256" s="4" t="s">
        <v>65</v>
      </c>
      <c r="C256" s="4" t="s">
        <v>255</v>
      </c>
      <c r="D256" s="4" t="s">
        <v>16</v>
      </c>
      <c r="E256" s="4" t="s">
        <v>390</v>
      </c>
      <c r="F256" s="62"/>
      <c r="G256" s="29">
        <f>G257+G258</f>
        <v>542159.01</v>
      </c>
      <c r="H256" s="29"/>
    </row>
    <row r="257" spans="1:8" ht="47.25">
      <c r="A257" s="3" t="s">
        <v>306</v>
      </c>
      <c r="B257" s="4" t="s">
        <v>65</v>
      </c>
      <c r="C257" s="4" t="s">
        <v>255</v>
      </c>
      <c r="D257" s="4" t="s">
        <v>16</v>
      </c>
      <c r="E257" s="4" t="s">
        <v>390</v>
      </c>
      <c r="F257" s="4" t="s">
        <v>19</v>
      </c>
      <c r="G257" s="29">
        <f>240467.98+43013.91</f>
        <v>283481.89</v>
      </c>
      <c r="H257" s="29"/>
    </row>
    <row r="258" spans="1:10" ht="29.25" customHeight="1">
      <c r="A258" s="3" t="s">
        <v>235</v>
      </c>
      <c r="B258" s="4" t="s">
        <v>65</v>
      </c>
      <c r="C258" s="4" t="s">
        <v>255</v>
      </c>
      <c r="D258" s="4" t="s">
        <v>16</v>
      </c>
      <c r="E258" s="4" t="s">
        <v>390</v>
      </c>
      <c r="F258" s="62">
        <v>800</v>
      </c>
      <c r="G258" s="29">
        <f>7809.36+40000+2000+168867.76+40000</f>
        <v>258677.12</v>
      </c>
      <c r="H258" s="29"/>
      <c r="J258" s="26">
        <f>502159.01-333291.25</f>
        <v>168867.76</v>
      </c>
    </row>
    <row r="259" spans="1:8" ht="75">
      <c r="A259" s="10" t="s">
        <v>275</v>
      </c>
      <c r="B259" s="5" t="s">
        <v>65</v>
      </c>
      <c r="C259" s="5" t="s">
        <v>262</v>
      </c>
      <c r="D259" s="5" t="s">
        <v>285</v>
      </c>
      <c r="E259" s="5"/>
      <c r="F259" s="5"/>
      <c r="G259" s="28">
        <f>G260</f>
        <v>3772645.11</v>
      </c>
      <c r="H259" s="28">
        <f>H260</f>
        <v>650000</v>
      </c>
    </row>
    <row r="260" spans="1:10" ht="112.5">
      <c r="A260" s="8" t="s">
        <v>60</v>
      </c>
      <c r="B260" s="2" t="s">
        <v>65</v>
      </c>
      <c r="C260" s="2" t="s">
        <v>262</v>
      </c>
      <c r="D260" s="2" t="s">
        <v>261</v>
      </c>
      <c r="E260" s="2"/>
      <c r="F260" s="2"/>
      <c r="G260" s="33">
        <f>G265+G268+G261</f>
        <v>3772645.11</v>
      </c>
      <c r="H260" s="33">
        <f>H265+H268+H261</f>
        <v>650000</v>
      </c>
      <c r="I260" s="33">
        <f>I265+I268+I261</f>
        <v>0</v>
      </c>
      <c r="J260" s="33">
        <f>J265+J268+J261</f>
        <v>0</v>
      </c>
    </row>
    <row r="261" spans="1:8" ht="78.75">
      <c r="A261" s="3" t="s">
        <v>115</v>
      </c>
      <c r="B261" s="4" t="s">
        <v>65</v>
      </c>
      <c r="C261" s="4" t="s">
        <v>262</v>
      </c>
      <c r="D261" s="4" t="s">
        <v>261</v>
      </c>
      <c r="E261" s="4" t="s">
        <v>116</v>
      </c>
      <c r="F261" s="2"/>
      <c r="G261" s="29">
        <f>G262</f>
        <v>2622645.11</v>
      </c>
      <c r="H261" s="29"/>
    </row>
    <row r="262" spans="1:8" ht="78.75">
      <c r="A262" s="3" t="s">
        <v>124</v>
      </c>
      <c r="B262" s="4" t="s">
        <v>65</v>
      </c>
      <c r="C262" s="4" t="s">
        <v>262</v>
      </c>
      <c r="D262" s="4" t="s">
        <v>261</v>
      </c>
      <c r="E262" s="4" t="s">
        <v>125</v>
      </c>
      <c r="F262" s="2"/>
      <c r="G262" s="29">
        <f>G263</f>
        <v>2622645.11</v>
      </c>
      <c r="H262" s="29"/>
    </row>
    <row r="263" spans="1:8" ht="31.5">
      <c r="A263" s="3" t="s">
        <v>326</v>
      </c>
      <c r="B263" s="4" t="s">
        <v>65</v>
      </c>
      <c r="C263" s="4" t="s">
        <v>262</v>
      </c>
      <c r="D263" s="4" t="s">
        <v>261</v>
      </c>
      <c r="E263" s="4" t="s">
        <v>127</v>
      </c>
      <c r="F263" s="4"/>
      <c r="G263" s="29">
        <f>G264</f>
        <v>2622645.11</v>
      </c>
      <c r="H263" s="29"/>
    </row>
    <row r="264" spans="1:8" ht="47.25">
      <c r="A264" s="3" t="s">
        <v>306</v>
      </c>
      <c r="B264" s="4" t="s">
        <v>65</v>
      </c>
      <c r="C264" s="4" t="s">
        <v>262</v>
      </c>
      <c r="D264" s="4" t="s">
        <v>261</v>
      </c>
      <c r="E264" s="4" t="s">
        <v>127</v>
      </c>
      <c r="F264" s="4" t="s">
        <v>19</v>
      </c>
      <c r="G264" s="29">
        <f>2622645.11</f>
        <v>2622645.11</v>
      </c>
      <c r="H264" s="29"/>
    </row>
    <row r="265" spans="1:8" ht="22.5" customHeight="1">
      <c r="A265" s="27" t="s">
        <v>303</v>
      </c>
      <c r="B265" s="4" t="s">
        <v>65</v>
      </c>
      <c r="C265" s="4" t="s">
        <v>262</v>
      </c>
      <c r="D265" s="4" t="s">
        <v>261</v>
      </c>
      <c r="E265" s="4" t="s">
        <v>304</v>
      </c>
      <c r="F265" s="4"/>
      <c r="G265" s="29">
        <f>G266</f>
        <v>500000</v>
      </c>
      <c r="H265" s="29"/>
    </row>
    <row r="266" spans="1:8" ht="39.75" customHeight="1">
      <c r="A266" s="3" t="s">
        <v>318</v>
      </c>
      <c r="B266" s="4" t="s">
        <v>65</v>
      </c>
      <c r="C266" s="4" t="s">
        <v>262</v>
      </c>
      <c r="D266" s="4" t="s">
        <v>261</v>
      </c>
      <c r="E266" s="4" t="s">
        <v>319</v>
      </c>
      <c r="F266" s="4"/>
      <c r="G266" s="29">
        <f>G267</f>
        <v>500000</v>
      </c>
      <c r="H266" s="29"/>
    </row>
    <row r="267" spans="1:8" ht="52.5" customHeight="1">
      <c r="A267" s="3" t="s">
        <v>306</v>
      </c>
      <c r="B267" s="4" t="s">
        <v>65</v>
      </c>
      <c r="C267" s="4" t="s">
        <v>262</v>
      </c>
      <c r="D267" s="4" t="s">
        <v>261</v>
      </c>
      <c r="E267" s="4" t="s">
        <v>319</v>
      </c>
      <c r="F267" s="4" t="s">
        <v>19</v>
      </c>
      <c r="G267" s="29">
        <v>500000</v>
      </c>
      <c r="H267" s="29"/>
    </row>
    <row r="268" spans="1:8" ht="25.5" customHeight="1">
      <c r="A268" s="3" t="s">
        <v>464</v>
      </c>
      <c r="B268" s="4" t="s">
        <v>65</v>
      </c>
      <c r="C268" s="4" t="s">
        <v>262</v>
      </c>
      <c r="D268" s="4" t="s">
        <v>261</v>
      </c>
      <c r="E268" s="4" t="s">
        <v>465</v>
      </c>
      <c r="F268" s="4"/>
      <c r="G268" s="29">
        <f>G269</f>
        <v>650000</v>
      </c>
      <c r="H268" s="29">
        <f>H269</f>
        <v>650000</v>
      </c>
    </row>
    <row r="269" spans="1:8" ht="31.5">
      <c r="A269" s="3" t="s">
        <v>462</v>
      </c>
      <c r="B269" s="4" t="s">
        <v>65</v>
      </c>
      <c r="C269" s="4" t="s">
        <v>262</v>
      </c>
      <c r="D269" s="4" t="s">
        <v>261</v>
      </c>
      <c r="E269" s="4" t="s">
        <v>463</v>
      </c>
      <c r="F269" s="4"/>
      <c r="G269" s="29">
        <f>G270</f>
        <v>650000</v>
      </c>
      <c r="H269" s="29">
        <f>H270</f>
        <v>650000</v>
      </c>
    </row>
    <row r="270" spans="1:10" ht="47.25">
      <c r="A270" s="3" t="s">
        <v>306</v>
      </c>
      <c r="B270" s="4" t="s">
        <v>65</v>
      </c>
      <c r="C270" s="4" t="s">
        <v>262</v>
      </c>
      <c r="D270" s="4" t="s">
        <v>261</v>
      </c>
      <c r="E270" s="4" t="s">
        <v>463</v>
      </c>
      <c r="F270" s="4" t="s">
        <v>19</v>
      </c>
      <c r="G270" s="29">
        <v>650000</v>
      </c>
      <c r="H270" s="29">
        <f>G270</f>
        <v>650000</v>
      </c>
      <c r="J270" s="26">
        <v>650000</v>
      </c>
    </row>
    <row r="271" spans="1:9" s="16" customFormat="1" ht="15.75">
      <c r="A271" s="13" t="s">
        <v>276</v>
      </c>
      <c r="B271" s="5" t="s">
        <v>65</v>
      </c>
      <c r="C271" s="5" t="s">
        <v>265</v>
      </c>
      <c r="D271" s="5" t="s">
        <v>285</v>
      </c>
      <c r="E271" s="5"/>
      <c r="F271" s="5"/>
      <c r="G271" s="28">
        <f>G272+G287+G282</f>
        <v>122847844.46</v>
      </c>
      <c r="H271" s="28">
        <f>H272+H287+H282</f>
        <v>8873027.17</v>
      </c>
      <c r="I271" s="48"/>
    </row>
    <row r="272" spans="1:8" ht="31.5">
      <c r="A272" s="1" t="s">
        <v>234</v>
      </c>
      <c r="B272" s="2" t="s">
        <v>65</v>
      </c>
      <c r="C272" s="2" t="s">
        <v>265</v>
      </c>
      <c r="D272" s="2" t="s">
        <v>261</v>
      </c>
      <c r="E272" s="4"/>
      <c r="F272" s="4"/>
      <c r="G272" s="33">
        <f>G273</f>
        <v>110897135.6</v>
      </c>
      <c r="H272" s="33">
        <f>H273</f>
        <v>8873027.17</v>
      </c>
    </row>
    <row r="273" spans="1:8" ht="63">
      <c r="A273" s="3" t="s">
        <v>242</v>
      </c>
      <c r="B273" s="4" t="s">
        <v>65</v>
      </c>
      <c r="C273" s="4" t="s">
        <v>265</v>
      </c>
      <c r="D273" s="4" t="s">
        <v>261</v>
      </c>
      <c r="E273" s="4" t="s">
        <v>109</v>
      </c>
      <c r="F273" s="4"/>
      <c r="G273" s="29">
        <f>G274+G276+G278+G280</f>
        <v>110897135.6</v>
      </c>
      <c r="H273" s="29">
        <f>H274+H276+H278+H280</f>
        <v>8873027.17</v>
      </c>
    </row>
    <row r="274" spans="1:10" ht="47.25">
      <c r="A274" s="3" t="s">
        <v>110</v>
      </c>
      <c r="B274" s="4" t="s">
        <v>65</v>
      </c>
      <c r="C274" s="4" t="s">
        <v>265</v>
      </c>
      <c r="D274" s="4" t="s">
        <v>261</v>
      </c>
      <c r="E274" s="4" t="s">
        <v>111</v>
      </c>
      <c r="F274" s="4"/>
      <c r="G274" s="29">
        <f>G275</f>
        <v>2534200</v>
      </c>
      <c r="H274" s="29"/>
      <c r="J274" s="26"/>
    </row>
    <row r="275" spans="1:8" ht="47.25">
      <c r="A275" s="3" t="s">
        <v>306</v>
      </c>
      <c r="B275" s="4" t="s">
        <v>65</v>
      </c>
      <c r="C275" s="4" t="s">
        <v>265</v>
      </c>
      <c r="D275" s="4" t="s">
        <v>261</v>
      </c>
      <c r="E275" s="4" t="s">
        <v>111</v>
      </c>
      <c r="F275" s="4" t="s">
        <v>19</v>
      </c>
      <c r="G275" s="29">
        <v>2534200</v>
      </c>
      <c r="H275" s="29"/>
    </row>
    <row r="276" spans="1:12" ht="95.25" customHeight="1">
      <c r="A276" s="3" t="s">
        <v>112</v>
      </c>
      <c r="B276" s="4" t="s">
        <v>65</v>
      </c>
      <c r="C276" s="4" t="s">
        <v>265</v>
      </c>
      <c r="D276" s="4" t="s">
        <v>261</v>
      </c>
      <c r="E276" s="4" t="s">
        <v>113</v>
      </c>
      <c r="F276" s="4"/>
      <c r="G276" s="29">
        <f>G277</f>
        <v>94746666.44999999</v>
      </c>
      <c r="H276" s="29"/>
      <c r="L276" s="26"/>
    </row>
    <row r="277" spans="1:12" ht="47.25">
      <c r="A277" s="3" t="s">
        <v>306</v>
      </c>
      <c r="B277" s="4" t="s">
        <v>65</v>
      </c>
      <c r="C277" s="4" t="s">
        <v>265</v>
      </c>
      <c r="D277" s="4" t="s">
        <v>261</v>
      </c>
      <c r="E277" s="4" t="s">
        <v>113</v>
      </c>
      <c r="F277" s="4" t="s">
        <v>19</v>
      </c>
      <c r="G277" s="29">
        <f>50470710+20000000-1244124.98+3000000+22520081.43</f>
        <v>94746666.44999999</v>
      </c>
      <c r="H277" s="29"/>
      <c r="J277" s="26">
        <v>3000000</v>
      </c>
      <c r="L277" s="26"/>
    </row>
    <row r="278" spans="1:8" ht="31.5">
      <c r="A278" s="3" t="s">
        <v>326</v>
      </c>
      <c r="B278" s="4" t="s">
        <v>65</v>
      </c>
      <c r="C278" s="4" t="s">
        <v>265</v>
      </c>
      <c r="D278" s="4" t="s">
        <v>261</v>
      </c>
      <c r="E278" s="4" t="s">
        <v>114</v>
      </c>
      <c r="F278" s="4"/>
      <c r="G278" s="29">
        <f>G279</f>
        <v>4743241.98</v>
      </c>
      <c r="H278" s="29"/>
    </row>
    <row r="279" spans="1:8" ht="47.25">
      <c r="A279" s="3" t="s">
        <v>306</v>
      </c>
      <c r="B279" s="4" t="s">
        <v>65</v>
      </c>
      <c r="C279" s="4" t="s">
        <v>265</v>
      </c>
      <c r="D279" s="4" t="s">
        <v>261</v>
      </c>
      <c r="E279" s="4" t="s">
        <v>114</v>
      </c>
      <c r="F279" s="4" t="s">
        <v>19</v>
      </c>
      <c r="G279" s="29">
        <f>2751290+747827+1244124.98</f>
        <v>4743241.98</v>
      </c>
      <c r="H279" s="29"/>
    </row>
    <row r="280" spans="1:8" ht="78.75">
      <c r="A280" s="3" t="s">
        <v>454</v>
      </c>
      <c r="B280" s="4" t="s">
        <v>65</v>
      </c>
      <c r="C280" s="4" t="s">
        <v>265</v>
      </c>
      <c r="D280" s="4" t="s">
        <v>261</v>
      </c>
      <c r="E280" s="4" t="s">
        <v>455</v>
      </c>
      <c r="F280" s="4"/>
      <c r="G280" s="29">
        <f>G281</f>
        <v>8873027.17</v>
      </c>
      <c r="H280" s="29">
        <f>H281</f>
        <v>8873027.17</v>
      </c>
    </row>
    <row r="281" spans="1:8" ht="47.25">
      <c r="A281" s="3" t="s">
        <v>306</v>
      </c>
      <c r="B281" s="4" t="s">
        <v>65</v>
      </c>
      <c r="C281" s="4" t="s">
        <v>265</v>
      </c>
      <c r="D281" s="4" t="s">
        <v>261</v>
      </c>
      <c r="E281" s="4" t="s">
        <v>455</v>
      </c>
      <c r="F281" s="4" t="s">
        <v>19</v>
      </c>
      <c r="G281" s="29">
        <v>8873027.17</v>
      </c>
      <c r="H281" s="29">
        <f>G281</f>
        <v>8873027.17</v>
      </c>
    </row>
    <row r="282" spans="1:8" ht="15.75">
      <c r="A282" s="1" t="s">
        <v>10</v>
      </c>
      <c r="B282" s="2" t="s">
        <v>65</v>
      </c>
      <c r="C282" s="2" t="s">
        <v>265</v>
      </c>
      <c r="D282" s="2" t="s">
        <v>263</v>
      </c>
      <c r="E282" s="2"/>
      <c r="F282" s="2"/>
      <c r="G282" s="33">
        <f>G283</f>
        <v>2249571.5</v>
      </c>
      <c r="H282" s="33"/>
    </row>
    <row r="283" spans="1:8" ht="47.25">
      <c r="A283" s="3" t="s">
        <v>307</v>
      </c>
      <c r="B283" s="4" t="s">
        <v>65</v>
      </c>
      <c r="C283" s="4" t="s">
        <v>265</v>
      </c>
      <c r="D283" s="4" t="s">
        <v>263</v>
      </c>
      <c r="E283" s="4" t="s">
        <v>308</v>
      </c>
      <c r="F283" s="4"/>
      <c r="G283" s="29">
        <f>G284</f>
        <v>2249571.5</v>
      </c>
      <c r="H283" s="29"/>
    </row>
    <row r="284" spans="1:8" ht="63">
      <c r="A284" s="3" t="s">
        <v>309</v>
      </c>
      <c r="B284" s="4" t="s">
        <v>65</v>
      </c>
      <c r="C284" s="4" t="s">
        <v>265</v>
      </c>
      <c r="D284" s="4" t="s">
        <v>263</v>
      </c>
      <c r="E284" s="4" t="s">
        <v>310</v>
      </c>
      <c r="F284" s="4"/>
      <c r="G284" s="29">
        <f>G285</f>
        <v>2249571.5</v>
      </c>
      <c r="H284" s="29"/>
    </row>
    <row r="285" spans="1:8" ht="31.5">
      <c r="A285" s="3" t="s">
        <v>311</v>
      </c>
      <c r="B285" s="4" t="s">
        <v>65</v>
      </c>
      <c r="C285" s="4" t="s">
        <v>265</v>
      </c>
      <c r="D285" s="4" t="s">
        <v>263</v>
      </c>
      <c r="E285" s="4" t="s">
        <v>312</v>
      </c>
      <c r="F285" s="4"/>
      <c r="G285" s="29">
        <f>G286</f>
        <v>2249571.5</v>
      </c>
      <c r="H285" s="29"/>
    </row>
    <row r="286" spans="1:12" ht="47.25">
      <c r="A286" s="3" t="s">
        <v>306</v>
      </c>
      <c r="B286" s="4" t="s">
        <v>65</v>
      </c>
      <c r="C286" s="4" t="s">
        <v>265</v>
      </c>
      <c r="D286" s="4" t="s">
        <v>263</v>
      </c>
      <c r="E286" s="4" t="s">
        <v>312</v>
      </c>
      <c r="F286" s="4" t="s">
        <v>19</v>
      </c>
      <c r="G286" s="29">
        <f>2466000-45928.5-170500</f>
        <v>2249571.5</v>
      </c>
      <c r="H286" s="29"/>
      <c r="L286" s="26"/>
    </row>
    <row r="287" spans="1:8" ht="31.5">
      <c r="A287" s="1" t="s">
        <v>278</v>
      </c>
      <c r="B287" s="2" t="s">
        <v>65</v>
      </c>
      <c r="C287" s="2" t="s">
        <v>265</v>
      </c>
      <c r="D287" s="2" t="s">
        <v>13</v>
      </c>
      <c r="E287" s="2"/>
      <c r="F287" s="2"/>
      <c r="G287" s="33">
        <f>G288+G291</f>
        <v>9701137.36</v>
      </c>
      <c r="H287" s="33"/>
    </row>
    <row r="288" spans="1:8" ht="63">
      <c r="A288" s="3" t="s">
        <v>71</v>
      </c>
      <c r="B288" s="4" t="s">
        <v>65</v>
      </c>
      <c r="C288" s="4" t="s">
        <v>265</v>
      </c>
      <c r="D288" s="4" t="s">
        <v>13</v>
      </c>
      <c r="E288" s="4" t="s">
        <v>72</v>
      </c>
      <c r="F288" s="4"/>
      <c r="G288" s="29">
        <f>G289</f>
        <v>350000</v>
      </c>
      <c r="H288" s="29"/>
    </row>
    <row r="289" spans="1:8" ht="47.25">
      <c r="A289" s="3" t="s">
        <v>228</v>
      </c>
      <c r="B289" s="4" t="s">
        <v>65</v>
      </c>
      <c r="C289" s="4" t="s">
        <v>265</v>
      </c>
      <c r="D289" s="4" t="s">
        <v>13</v>
      </c>
      <c r="E289" s="4" t="s">
        <v>73</v>
      </c>
      <c r="F289" s="4"/>
      <c r="G289" s="29">
        <f>G290</f>
        <v>350000</v>
      </c>
      <c r="H289" s="29"/>
    </row>
    <row r="290" spans="1:8" ht="47.25">
      <c r="A290" s="3" t="s">
        <v>306</v>
      </c>
      <c r="B290" s="4" t="s">
        <v>65</v>
      </c>
      <c r="C290" s="4" t="s">
        <v>265</v>
      </c>
      <c r="D290" s="4" t="s">
        <v>13</v>
      </c>
      <c r="E290" s="4" t="s">
        <v>73</v>
      </c>
      <c r="F290" s="4" t="s">
        <v>19</v>
      </c>
      <c r="G290" s="29">
        <v>350000</v>
      </c>
      <c r="H290" s="29"/>
    </row>
    <row r="291" spans="1:8" ht="63">
      <c r="A291" s="27" t="s">
        <v>313</v>
      </c>
      <c r="B291" s="4" t="s">
        <v>65</v>
      </c>
      <c r="C291" s="4" t="s">
        <v>265</v>
      </c>
      <c r="D291" s="4" t="s">
        <v>13</v>
      </c>
      <c r="E291" s="4" t="s">
        <v>314</v>
      </c>
      <c r="F291" s="4"/>
      <c r="G291" s="29">
        <f>G295+G292</f>
        <v>9351137.36</v>
      </c>
      <c r="H291" s="29"/>
    </row>
    <row r="292" spans="1:8" ht="78.75">
      <c r="A292" s="27" t="s">
        <v>86</v>
      </c>
      <c r="B292" s="4" t="s">
        <v>65</v>
      </c>
      <c r="C292" s="4" t="s">
        <v>265</v>
      </c>
      <c r="D292" s="4" t="s">
        <v>13</v>
      </c>
      <c r="E292" s="4" t="s">
        <v>98</v>
      </c>
      <c r="F292" s="4"/>
      <c r="G292" s="29">
        <f>G293</f>
        <v>1701282.36</v>
      </c>
      <c r="H292" s="29"/>
    </row>
    <row r="293" spans="1:8" ht="31.5">
      <c r="A293" s="27" t="s">
        <v>164</v>
      </c>
      <c r="B293" s="4" t="s">
        <v>65</v>
      </c>
      <c r="C293" s="4" t="s">
        <v>265</v>
      </c>
      <c r="D293" s="4" t="s">
        <v>13</v>
      </c>
      <c r="E293" s="4" t="s">
        <v>99</v>
      </c>
      <c r="F293" s="4"/>
      <c r="G293" s="29">
        <f>G294</f>
        <v>1701282.36</v>
      </c>
      <c r="H293" s="29"/>
    </row>
    <row r="294" spans="1:12" ht="47.25">
      <c r="A294" s="3" t="s">
        <v>306</v>
      </c>
      <c r="B294" s="4" t="s">
        <v>65</v>
      </c>
      <c r="C294" s="4" t="s">
        <v>265</v>
      </c>
      <c r="D294" s="4" t="s">
        <v>13</v>
      </c>
      <c r="E294" s="4" t="s">
        <v>99</v>
      </c>
      <c r="F294" s="4" t="s">
        <v>19</v>
      </c>
      <c r="G294" s="29">
        <f>1797400-96117.64</f>
        <v>1701282.36</v>
      </c>
      <c r="H294" s="29"/>
      <c r="L294" s="26"/>
    </row>
    <row r="295" spans="1:8" ht="125.25" customHeight="1">
      <c r="A295" s="3" t="s">
        <v>94</v>
      </c>
      <c r="B295" s="4" t="s">
        <v>65</v>
      </c>
      <c r="C295" s="4" t="s">
        <v>265</v>
      </c>
      <c r="D295" s="4" t="s">
        <v>13</v>
      </c>
      <c r="E295" s="4" t="s">
        <v>95</v>
      </c>
      <c r="F295" s="4"/>
      <c r="G295" s="29">
        <f>G296+G300</f>
        <v>7649855</v>
      </c>
      <c r="H295" s="29"/>
    </row>
    <row r="296" spans="1:8" ht="125.25" customHeight="1">
      <c r="A296" s="3" t="s">
        <v>383</v>
      </c>
      <c r="B296" s="4" t="s">
        <v>65</v>
      </c>
      <c r="C296" s="4" t="s">
        <v>265</v>
      </c>
      <c r="D296" s="4" t="s">
        <v>13</v>
      </c>
      <c r="E296" s="4" t="s">
        <v>96</v>
      </c>
      <c r="F296" s="4"/>
      <c r="G296" s="29">
        <f>G297+G298+G299</f>
        <v>7463360</v>
      </c>
      <c r="H296" s="29"/>
    </row>
    <row r="297" spans="1:8" ht="126">
      <c r="A297" s="3" t="s">
        <v>305</v>
      </c>
      <c r="B297" s="4" t="s">
        <v>65</v>
      </c>
      <c r="C297" s="4" t="s">
        <v>265</v>
      </c>
      <c r="D297" s="4" t="s">
        <v>13</v>
      </c>
      <c r="E297" s="4" t="s">
        <v>96</v>
      </c>
      <c r="F297" s="4" t="s">
        <v>18</v>
      </c>
      <c r="G297" s="29">
        <f>7008510-186495</f>
        <v>6822015</v>
      </c>
      <c r="H297" s="29"/>
    </row>
    <row r="298" spans="1:8" ht="47.25">
      <c r="A298" s="3" t="s">
        <v>306</v>
      </c>
      <c r="B298" s="4" t="s">
        <v>65</v>
      </c>
      <c r="C298" s="4" t="s">
        <v>265</v>
      </c>
      <c r="D298" s="4" t="s">
        <v>13</v>
      </c>
      <c r="E298" s="4" t="s">
        <v>96</v>
      </c>
      <c r="F298" s="4" t="s">
        <v>19</v>
      </c>
      <c r="G298" s="29">
        <v>482082</v>
      </c>
      <c r="H298" s="29"/>
    </row>
    <row r="299" spans="1:8" ht="15.75">
      <c r="A299" s="3" t="s">
        <v>235</v>
      </c>
      <c r="B299" s="4" t="s">
        <v>65</v>
      </c>
      <c r="C299" s="4" t="s">
        <v>265</v>
      </c>
      <c r="D299" s="4" t="s">
        <v>13</v>
      </c>
      <c r="E299" s="4" t="s">
        <v>96</v>
      </c>
      <c r="F299" s="4" t="s">
        <v>22</v>
      </c>
      <c r="G299" s="29">
        <v>159263</v>
      </c>
      <c r="H299" s="29"/>
    </row>
    <row r="300" spans="1:8" ht="110.25">
      <c r="A300" s="3" t="s">
        <v>409</v>
      </c>
      <c r="B300" s="4" t="s">
        <v>65</v>
      </c>
      <c r="C300" s="4" t="s">
        <v>265</v>
      </c>
      <c r="D300" s="4" t="s">
        <v>13</v>
      </c>
      <c r="E300" s="4" t="s">
        <v>431</v>
      </c>
      <c r="F300" s="4"/>
      <c r="G300" s="29">
        <f>G301</f>
        <v>186495</v>
      </c>
      <c r="H300" s="29"/>
    </row>
    <row r="301" spans="1:8" ht="126">
      <c r="A301" s="3" t="s">
        <v>417</v>
      </c>
      <c r="B301" s="4" t="s">
        <v>65</v>
      </c>
      <c r="C301" s="4" t="s">
        <v>265</v>
      </c>
      <c r="D301" s="4" t="s">
        <v>13</v>
      </c>
      <c r="E301" s="4" t="s">
        <v>431</v>
      </c>
      <c r="F301" s="4" t="s">
        <v>18</v>
      </c>
      <c r="G301" s="29">
        <v>186495</v>
      </c>
      <c r="H301" s="29"/>
    </row>
    <row r="302" spans="1:8" ht="37.5">
      <c r="A302" s="10" t="s">
        <v>264</v>
      </c>
      <c r="B302" s="11" t="s">
        <v>65</v>
      </c>
      <c r="C302" s="11" t="s">
        <v>257</v>
      </c>
      <c r="D302" s="23"/>
      <c r="E302" s="23"/>
      <c r="F302" s="23"/>
      <c r="G302" s="28">
        <f>G352+G303+G321+G333</f>
        <v>191222584.70999998</v>
      </c>
      <c r="H302" s="28">
        <f>H352+H303</f>
        <v>72114929.68</v>
      </c>
    </row>
    <row r="303" spans="1:8" ht="15.75">
      <c r="A303" s="1" t="s">
        <v>270</v>
      </c>
      <c r="B303" s="2" t="s">
        <v>65</v>
      </c>
      <c r="C303" s="2" t="s">
        <v>257</v>
      </c>
      <c r="D303" s="2" t="s">
        <v>255</v>
      </c>
      <c r="E303" s="2"/>
      <c r="F303" s="2"/>
      <c r="G303" s="29">
        <f>G304+G312</f>
        <v>32395150.57</v>
      </c>
      <c r="H303" s="29">
        <f>H304+H312</f>
        <v>5662499.68</v>
      </c>
    </row>
    <row r="304" spans="1:8" ht="118.5" customHeight="1">
      <c r="A304" s="3" t="s">
        <v>34</v>
      </c>
      <c r="B304" s="4" t="s">
        <v>65</v>
      </c>
      <c r="C304" s="4" t="s">
        <v>257</v>
      </c>
      <c r="D304" s="4" t="s">
        <v>255</v>
      </c>
      <c r="E304" s="4" t="s">
        <v>35</v>
      </c>
      <c r="F304" s="4"/>
      <c r="G304" s="29">
        <f>G305</f>
        <v>25301888.12</v>
      </c>
      <c r="H304" s="29"/>
    </row>
    <row r="305" spans="1:8" ht="47.25">
      <c r="A305" s="3" t="s">
        <v>226</v>
      </c>
      <c r="B305" s="4" t="s">
        <v>65</v>
      </c>
      <c r="C305" s="4" t="s">
        <v>257</v>
      </c>
      <c r="D305" s="4" t="s">
        <v>255</v>
      </c>
      <c r="E305" s="4" t="s">
        <v>227</v>
      </c>
      <c r="F305" s="4"/>
      <c r="G305" s="29">
        <f>G306+G308</f>
        <v>25301888.12</v>
      </c>
      <c r="H305" s="29"/>
    </row>
    <row r="306" spans="1:8" ht="47.25">
      <c r="A306" s="3" t="s">
        <v>228</v>
      </c>
      <c r="B306" s="4" t="s">
        <v>65</v>
      </c>
      <c r="C306" s="4" t="s">
        <v>257</v>
      </c>
      <c r="D306" s="4" t="s">
        <v>255</v>
      </c>
      <c r="E306" s="4" t="s">
        <v>229</v>
      </c>
      <c r="F306" s="4"/>
      <c r="G306" s="29">
        <f>G307</f>
        <v>18210259.03</v>
      </c>
      <c r="H306" s="29"/>
    </row>
    <row r="307" spans="1:12" ht="47.25">
      <c r="A307" s="3" t="s">
        <v>306</v>
      </c>
      <c r="B307" s="4" t="s">
        <v>65</v>
      </c>
      <c r="C307" s="4" t="s">
        <v>257</v>
      </c>
      <c r="D307" s="4" t="s">
        <v>255</v>
      </c>
      <c r="E307" s="4" t="s">
        <v>229</v>
      </c>
      <c r="F307" s="4" t="s">
        <v>19</v>
      </c>
      <c r="G307" s="29">
        <f>23732000+1106272.12-7091629.09+463616</f>
        <v>18210259.03</v>
      </c>
      <c r="H307" s="29"/>
      <c r="J307" s="26">
        <f>1106272.12-7091629.09</f>
        <v>-5985356.97</v>
      </c>
      <c r="L307" s="26"/>
    </row>
    <row r="308" spans="1:10" ht="54.75" customHeight="1">
      <c r="A308" s="3" t="s">
        <v>467</v>
      </c>
      <c r="B308" s="4" t="s">
        <v>65</v>
      </c>
      <c r="C308" s="4" t="s">
        <v>257</v>
      </c>
      <c r="D308" s="4" t="s">
        <v>255</v>
      </c>
      <c r="E308" s="4" t="s">
        <v>466</v>
      </c>
      <c r="F308" s="4"/>
      <c r="G308" s="29">
        <f>G309</f>
        <v>7091629.09</v>
      </c>
      <c r="H308" s="29"/>
      <c r="J308" s="26"/>
    </row>
    <row r="309" spans="1:10" ht="63">
      <c r="A309" s="3" t="s">
        <v>330</v>
      </c>
      <c r="B309" s="4" t="s">
        <v>65</v>
      </c>
      <c r="C309" s="4" t="s">
        <v>257</v>
      </c>
      <c r="D309" s="4" t="s">
        <v>255</v>
      </c>
      <c r="E309" s="4" t="s">
        <v>466</v>
      </c>
      <c r="F309" s="4" t="s">
        <v>23</v>
      </c>
      <c r="G309" s="29">
        <v>7091629.09</v>
      </c>
      <c r="H309" s="29"/>
      <c r="J309" s="26">
        <v>7091629.09</v>
      </c>
    </row>
    <row r="310" spans="1:10" ht="15.75" hidden="1">
      <c r="A310" s="3"/>
      <c r="B310" s="4"/>
      <c r="C310" s="4"/>
      <c r="D310" s="4"/>
      <c r="E310" s="4"/>
      <c r="F310" s="4"/>
      <c r="G310" s="29"/>
      <c r="H310" s="29"/>
      <c r="J310" s="26"/>
    </row>
    <row r="311" spans="1:10" ht="15.75" hidden="1">
      <c r="A311" s="3"/>
      <c r="B311" s="4"/>
      <c r="C311" s="4"/>
      <c r="D311" s="4"/>
      <c r="E311" s="4"/>
      <c r="F311" s="4"/>
      <c r="G311" s="29"/>
      <c r="H311" s="29"/>
      <c r="J311" s="26"/>
    </row>
    <row r="312" spans="1:8" ht="63">
      <c r="A312" s="3" t="s">
        <v>71</v>
      </c>
      <c r="B312" s="4" t="s">
        <v>65</v>
      </c>
      <c r="C312" s="4" t="s">
        <v>257</v>
      </c>
      <c r="D312" s="4" t="s">
        <v>255</v>
      </c>
      <c r="E312" s="4" t="s">
        <v>72</v>
      </c>
      <c r="F312" s="4"/>
      <c r="G312" s="29">
        <f>G313+G315+G317+G319</f>
        <v>7093262.449999999</v>
      </c>
      <c r="H312" s="29">
        <f>H313+H315+H317+H319</f>
        <v>5662499.68</v>
      </c>
    </row>
    <row r="313" spans="1:8" ht="31.5">
      <c r="A313" s="3" t="s">
        <v>326</v>
      </c>
      <c r="B313" s="4" t="s">
        <v>65</v>
      </c>
      <c r="C313" s="4" t="s">
        <v>257</v>
      </c>
      <c r="D313" s="4" t="s">
        <v>255</v>
      </c>
      <c r="E313" s="4" t="s">
        <v>74</v>
      </c>
      <c r="F313" s="4"/>
      <c r="G313" s="29">
        <f>G314</f>
        <v>1380762.77</v>
      </c>
      <c r="H313" s="29"/>
    </row>
    <row r="314" spans="1:8" ht="47.25">
      <c r="A314" s="3" t="s">
        <v>306</v>
      </c>
      <c r="B314" s="4" t="s">
        <v>65</v>
      </c>
      <c r="C314" s="4" t="s">
        <v>257</v>
      </c>
      <c r="D314" s="4" t="s">
        <v>255</v>
      </c>
      <c r="E314" s="4" t="s">
        <v>74</v>
      </c>
      <c r="F314" s="4" t="s">
        <v>19</v>
      </c>
      <c r="G314" s="29">
        <f>1295750+85012.77</f>
        <v>1380762.77</v>
      </c>
      <c r="H314" s="29"/>
    </row>
    <row r="315" spans="1:8" ht="63">
      <c r="A315" s="3" t="s">
        <v>75</v>
      </c>
      <c r="B315" s="4" t="s">
        <v>65</v>
      </c>
      <c r="C315" s="4" t="s">
        <v>257</v>
      </c>
      <c r="D315" s="4" t="s">
        <v>255</v>
      </c>
      <c r="E315" s="4" t="s">
        <v>76</v>
      </c>
      <c r="F315" s="4"/>
      <c r="G315" s="29">
        <f>G316</f>
        <v>50000</v>
      </c>
      <c r="H315" s="29"/>
    </row>
    <row r="316" spans="1:8" ht="31.5">
      <c r="A316" s="3" t="s">
        <v>239</v>
      </c>
      <c r="B316" s="4" t="s">
        <v>65</v>
      </c>
      <c r="C316" s="4" t="s">
        <v>257</v>
      </c>
      <c r="D316" s="4" t="s">
        <v>255</v>
      </c>
      <c r="E316" s="4" t="s">
        <v>76</v>
      </c>
      <c r="F316" s="4" t="s">
        <v>240</v>
      </c>
      <c r="G316" s="29">
        <v>50000</v>
      </c>
      <c r="H316" s="29"/>
    </row>
    <row r="317" spans="1:8" ht="110.25">
      <c r="A317" s="3" t="s">
        <v>195</v>
      </c>
      <c r="B317" s="4" t="s">
        <v>65</v>
      </c>
      <c r="C317" s="4" t="s">
        <v>257</v>
      </c>
      <c r="D317" s="4" t="s">
        <v>255</v>
      </c>
      <c r="E317" s="4" t="s">
        <v>196</v>
      </c>
      <c r="F317" s="4"/>
      <c r="G317" s="29">
        <f>G318</f>
        <v>309629.96</v>
      </c>
      <c r="H317" s="29">
        <f>H318</f>
        <v>309629.96</v>
      </c>
    </row>
    <row r="318" spans="1:8" ht="31.5">
      <c r="A318" s="3" t="s">
        <v>239</v>
      </c>
      <c r="B318" s="4" t="s">
        <v>65</v>
      </c>
      <c r="C318" s="4" t="s">
        <v>257</v>
      </c>
      <c r="D318" s="4" t="s">
        <v>255</v>
      </c>
      <c r="E318" s="4" t="s">
        <v>196</v>
      </c>
      <c r="F318" s="4" t="s">
        <v>240</v>
      </c>
      <c r="G318" s="29">
        <v>309629.96</v>
      </c>
      <c r="H318" s="29">
        <f>G318</f>
        <v>309629.96</v>
      </c>
    </row>
    <row r="319" spans="1:8" ht="110.25">
      <c r="A319" s="3" t="s">
        <v>200</v>
      </c>
      <c r="B319" s="4" t="s">
        <v>65</v>
      </c>
      <c r="C319" s="4" t="s">
        <v>257</v>
      </c>
      <c r="D319" s="4" t="s">
        <v>255</v>
      </c>
      <c r="E319" s="4" t="s">
        <v>201</v>
      </c>
      <c r="F319" s="4"/>
      <c r="G319" s="29">
        <f>G320</f>
        <v>5352869.72</v>
      </c>
      <c r="H319" s="29">
        <f>H320</f>
        <v>5352869.72</v>
      </c>
    </row>
    <row r="320" spans="1:8" ht="47.25">
      <c r="A320" s="3" t="s">
        <v>306</v>
      </c>
      <c r="B320" s="4" t="s">
        <v>65</v>
      </c>
      <c r="C320" s="4" t="s">
        <v>257</v>
      </c>
      <c r="D320" s="4" t="s">
        <v>255</v>
      </c>
      <c r="E320" s="4" t="s">
        <v>201</v>
      </c>
      <c r="F320" s="4" t="s">
        <v>19</v>
      </c>
      <c r="G320" s="29">
        <v>5352869.72</v>
      </c>
      <c r="H320" s="29">
        <f>G320</f>
        <v>5352869.72</v>
      </c>
    </row>
    <row r="321" spans="1:8" ht="15.75">
      <c r="A321" s="1" t="s">
        <v>11</v>
      </c>
      <c r="B321" s="2" t="s">
        <v>65</v>
      </c>
      <c r="C321" s="2" t="s">
        <v>257</v>
      </c>
      <c r="D321" s="2" t="s">
        <v>260</v>
      </c>
      <c r="E321" s="2"/>
      <c r="F321" s="2"/>
      <c r="G321" s="33">
        <f>G322</f>
        <v>35902618.38</v>
      </c>
      <c r="H321" s="33"/>
    </row>
    <row r="322" spans="1:8" ht="127.5" customHeight="1">
      <c r="A322" s="3" t="s">
        <v>34</v>
      </c>
      <c r="B322" s="4" t="s">
        <v>65</v>
      </c>
      <c r="C322" s="4" t="s">
        <v>257</v>
      </c>
      <c r="D322" s="4" t="s">
        <v>260</v>
      </c>
      <c r="E322" s="4" t="s">
        <v>35</v>
      </c>
      <c r="F322" s="4"/>
      <c r="G322" s="29">
        <f>G323+G328</f>
        <v>35902618.38</v>
      </c>
      <c r="H322" s="29"/>
    </row>
    <row r="323" spans="1:8" ht="100.5" customHeight="1">
      <c r="A323" s="3" t="s">
        <v>376</v>
      </c>
      <c r="B323" s="4" t="s">
        <v>65</v>
      </c>
      <c r="C323" s="4" t="s">
        <v>257</v>
      </c>
      <c r="D323" s="4" t="s">
        <v>260</v>
      </c>
      <c r="E323" s="4" t="s">
        <v>377</v>
      </c>
      <c r="F323" s="4"/>
      <c r="G323" s="29">
        <f>G324+G326</f>
        <v>6987196.88</v>
      </c>
      <c r="H323" s="29"/>
    </row>
    <row r="324" spans="1:8" ht="47.25">
      <c r="A324" s="3" t="s">
        <v>230</v>
      </c>
      <c r="B324" s="4" t="s">
        <v>65</v>
      </c>
      <c r="C324" s="4" t="s">
        <v>257</v>
      </c>
      <c r="D324" s="4" t="s">
        <v>260</v>
      </c>
      <c r="E324" s="4" t="s">
        <v>231</v>
      </c>
      <c r="F324" s="4"/>
      <c r="G324" s="29">
        <f>G325</f>
        <v>3870370.1100000003</v>
      </c>
      <c r="H324" s="29"/>
    </row>
    <row r="325" spans="1:12" ht="47.25">
      <c r="A325" s="3" t="s">
        <v>306</v>
      </c>
      <c r="B325" s="4" t="s">
        <v>65</v>
      </c>
      <c r="C325" s="4" t="s">
        <v>257</v>
      </c>
      <c r="D325" s="4" t="s">
        <v>260</v>
      </c>
      <c r="E325" s="4" t="s">
        <v>231</v>
      </c>
      <c r="F325" s="4" t="s">
        <v>19</v>
      </c>
      <c r="G325" s="29">
        <f>2423469+960701.16+486199.95</f>
        <v>3870370.1100000003</v>
      </c>
      <c r="H325" s="29"/>
      <c r="J325" s="26">
        <v>960701.16</v>
      </c>
      <c r="L325" s="26"/>
    </row>
    <row r="326" spans="1:8" ht="31.5">
      <c r="A326" s="3" t="s">
        <v>326</v>
      </c>
      <c r="B326" s="4" t="s">
        <v>65</v>
      </c>
      <c r="C326" s="4" t="s">
        <v>257</v>
      </c>
      <c r="D326" s="4" t="s">
        <v>260</v>
      </c>
      <c r="E326" s="4" t="s">
        <v>405</v>
      </c>
      <c r="F326" s="4"/>
      <c r="G326" s="29">
        <f>G327</f>
        <v>3116826.7699999996</v>
      </c>
      <c r="H326" s="29"/>
    </row>
    <row r="327" spans="1:12" ht="47.25">
      <c r="A327" s="3" t="s">
        <v>306</v>
      </c>
      <c r="B327" s="4" t="s">
        <v>65</v>
      </c>
      <c r="C327" s="4" t="s">
        <v>257</v>
      </c>
      <c r="D327" s="4" t="s">
        <v>260</v>
      </c>
      <c r="E327" s="4" t="s">
        <v>405</v>
      </c>
      <c r="F327" s="4" t="s">
        <v>19</v>
      </c>
      <c r="G327" s="29">
        <f>5800000-960701.16-1106272.12-616199.95</f>
        <v>3116826.7699999996</v>
      </c>
      <c r="H327" s="29"/>
      <c r="J327" s="26">
        <f>-960701.16-1106272.12</f>
        <v>-2066973.2800000003</v>
      </c>
      <c r="L327" s="26"/>
    </row>
    <row r="328" spans="1:8" ht="78.75">
      <c r="A328" s="3" t="s">
        <v>378</v>
      </c>
      <c r="B328" s="4" t="s">
        <v>65</v>
      </c>
      <c r="C328" s="4" t="s">
        <v>257</v>
      </c>
      <c r="D328" s="4" t="s">
        <v>260</v>
      </c>
      <c r="E328" s="4" t="s">
        <v>379</v>
      </c>
      <c r="F328" s="4"/>
      <c r="G328" s="29">
        <f>G329+G331</f>
        <v>28915421.5</v>
      </c>
      <c r="H328" s="29"/>
    </row>
    <row r="329" spans="1:8" ht="31.5">
      <c r="A329" s="3" t="s">
        <v>326</v>
      </c>
      <c r="B329" s="4" t="s">
        <v>65</v>
      </c>
      <c r="C329" s="4" t="s">
        <v>257</v>
      </c>
      <c r="D329" s="4" t="s">
        <v>260</v>
      </c>
      <c r="E329" s="4" t="s">
        <v>380</v>
      </c>
      <c r="F329" s="4"/>
      <c r="G329" s="29">
        <f>G330</f>
        <v>2052306.8299999998</v>
      </c>
      <c r="H329" s="29"/>
    </row>
    <row r="330" spans="1:12" ht="47.25">
      <c r="A330" s="3" t="s">
        <v>306</v>
      </c>
      <c r="B330" s="4" t="s">
        <v>65</v>
      </c>
      <c r="C330" s="4" t="s">
        <v>257</v>
      </c>
      <c r="D330" s="4" t="s">
        <v>260</v>
      </c>
      <c r="E330" s="4" t="s">
        <v>380</v>
      </c>
      <c r="F330" s="4" t="s">
        <v>19</v>
      </c>
      <c r="G330" s="29">
        <f>1756480+30000+96117.64+169709.19</f>
        <v>2052306.8299999998</v>
      </c>
      <c r="H330" s="29"/>
      <c r="L330" s="26"/>
    </row>
    <row r="331" spans="1:8" ht="31.5">
      <c r="A331" s="3" t="s">
        <v>381</v>
      </c>
      <c r="B331" s="4" t="s">
        <v>65</v>
      </c>
      <c r="C331" s="4" t="s">
        <v>257</v>
      </c>
      <c r="D331" s="4" t="s">
        <v>260</v>
      </c>
      <c r="E331" s="4" t="s">
        <v>382</v>
      </c>
      <c r="F331" s="4"/>
      <c r="G331" s="29">
        <f>G332</f>
        <v>26863114.67</v>
      </c>
      <c r="H331" s="29"/>
    </row>
    <row r="332" spans="1:12" ht="23.25" customHeight="1">
      <c r="A332" s="3" t="s">
        <v>235</v>
      </c>
      <c r="B332" s="4" t="s">
        <v>65</v>
      </c>
      <c r="C332" s="4" t="s">
        <v>257</v>
      </c>
      <c r="D332" s="4" t="s">
        <v>260</v>
      </c>
      <c r="E332" s="4" t="s">
        <v>382</v>
      </c>
      <c r="F332" s="4" t="s">
        <v>22</v>
      </c>
      <c r="G332" s="29">
        <f>29717321-240467.98-7809.36-168305.45-362609.63-45013.91-30000-1297945.03-702054.97</f>
        <v>26863114.67</v>
      </c>
      <c r="H332" s="29"/>
      <c r="L332" s="26"/>
    </row>
    <row r="333" spans="1:8" ht="15.75">
      <c r="A333" s="1" t="s">
        <v>244</v>
      </c>
      <c r="B333" s="2" t="s">
        <v>65</v>
      </c>
      <c r="C333" s="2" t="s">
        <v>257</v>
      </c>
      <c r="D333" s="2" t="s">
        <v>262</v>
      </c>
      <c r="E333" s="2"/>
      <c r="F333" s="2"/>
      <c r="G333" s="33">
        <f>G334</f>
        <v>36004647.910000004</v>
      </c>
      <c r="H333" s="33"/>
    </row>
    <row r="334" spans="1:8" ht="118.5" customHeight="1">
      <c r="A334" s="3" t="s">
        <v>34</v>
      </c>
      <c r="B334" s="4" t="s">
        <v>65</v>
      </c>
      <c r="C334" s="4" t="s">
        <v>257</v>
      </c>
      <c r="D334" s="4" t="s">
        <v>262</v>
      </c>
      <c r="E334" s="4" t="s">
        <v>35</v>
      </c>
      <c r="F334" s="4"/>
      <c r="G334" s="29">
        <f>G335</f>
        <v>36004647.910000004</v>
      </c>
      <c r="H334" s="29"/>
    </row>
    <row r="335" spans="1:8" ht="89.25" customHeight="1">
      <c r="A335" s="3" t="s">
        <v>385</v>
      </c>
      <c r="B335" s="4" t="s">
        <v>65</v>
      </c>
      <c r="C335" s="4" t="s">
        <v>257</v>
      </c>
      <c r="D335" s="4" t="s">
        <v>262</v>
      </c>
      <c r="E335" s="4" t="s">
        <v>386</v>
      </c>
      <c r="F335" s="4"/>
      <c r="G335" s="29">
        <f>G336+G338+G340+G342+G344+G346+G348+G350</f>
        <v>36004647.910000004</v>
      </c>
      <c r="H335" s="29"/>
    </row>
    <row r="336" spans="1:8" ht="63">
      <c r="A336" s="3" t="s">
        <v>387</v>
      </c>
      <c r="B336" s="4" t="s">
        <v>65</v>
      </c>
      <c r="C336" s="4" t="s">
        <v>257</v>
      </c>
      <c r="D336" s="4" t="s">
        <v>262</v>
      </c>
      <c r="E336" s="4" t="s">
        <v>388</v>
      </c>
      <c r="F336" s="4"/>
      <c r="G336" s="29">
        <f>G337</f>
        <v>12842407.98</v>
      </c>
      <c r="H336" s="29"/>
    </row>
    <row r="337" spans="1:10" ht="47.25">
      <c r="A337" s="3" t="s">
        <v>306</v>
      </c>
      <c r="B337" s="4" t="s">
        <v>65</v>
      </c>
      <c r="C337" s="4" t="s">
        <v>257</v>
      </c>
      <c r="D337" s="4" t="s">
        <v>262</v>
      </c>
      <c r="E337" s="4" t="s">
        <v>388</v>
      </c>
      <c r="F337" s="4" t="s">
        <v>19</v>
      </c>
      <c r="G337" s="29">
        <f>10775110+373646.15+991596.86+702054.97</f>
        <v>12842407.98</v>
      </c>
      <c r="H337" s="33"/>
      <c r="J337" s="26">
        <v>991596.86</v>
      </c>
    </row>
    <row r="338" spans="1:8" ht="63">
      <c r="A338" s="3" t="s">
        <v>391</v>
      </c>
      <c r="B338" s="4" t="s">
        <v>65</v>
      </c>
      <c r="C338" s="4" t="s">
        <v>257</v>
      </c>
      <c r="D338" s="4" t="s">
        <v>262</v>
      </c>
      <c r="E338" s="4" t="s">
        <v>392</v>
      </c>
      <c r="F338" s="4"/>
      <c r="G338" s="29">
        <f>G339</f>
        <v>14257972.870000001</v>
      </c>
      <c r="H338" s="29"/>
    </row>
    <row r="339" spans="1:12" ht="47.25">
      <c r="A339" s="3" t="s">
        <v>306</v>
      </c>
      <c r="B339" s="4" t="s">
        <v>65</v>
      </c>
      <c r="C339" s="4" t="s">
        <v>257</v>
      </c>
      <c r="D339" s="4" t="s">
        <v>262</v>
      </c>
      <c r="E339" s="4" t="s">
        <v>392</v>
      </c>
      <c r="F339" s="4" t="s">
        <v>19</v>
      </c>
      <c r="G339" s="29">
        <f>8943561+658100+948600+250000+1761468.75+1696243.12</f>
        <v>14257972.870000001</v>
      </c>
      <c r="H339" s="29"/>
      <c r="L339" s="26"/>
    </row>
    <row r="340" spans="1:8" ht="47.25">
      <c r="A340" s="3" t="s">
        <v>393</v>
      </c>
      <c r="B340" s="4" t="s">
        <v>65</v>
      </c>
      <c r="C340" s="4" t="s">
        <v>257</v>
      </c>
      <c r="D340" s="4" t="s">
        <v>262</v>
      </c>
      <c r="E340" s="4" t="s">
        <v>394</v>
      </c>
      <c r="F340" s="4"/>
      <c r="G340" s="29">
        <f>G341</f>
        <v>832000</v>
      </c>
      <c r="H340" s="29"/>
    </row>
    <row r="341" spans="1:8" ht="47.25">
      <c r="A341" s="3" t="s">
        <v>306</v>
      </c>
      <c r="B341" s="4" t="s">
        <v>65</v>
      </c>
      <c r="C341" s="4" t="s">
        <v>257</v>
      </c>
      <c r="D341" s="4" t="s">
        <v>262</v>
      </c>
      <c r="E341" s="4" t="s">
        <v>394</v>
      </c>
      <c r="F341" s="4" t="s">
        <v>19</v>
      </c>
      <c r="G341" s="29">
        <v>832000</v>
      </c>
      <c r="H341" s="29"/>
    </row>
    <row r="342" spans="1:8" ht="47.25">
      <c r="A342" s="3" t="s">
        <v>228</v>
      </c>
      <c r="B342" s="4" t="s">
        <v>65</v>
      </c>
      <c r="C342" s="4" t="s">
        <v>257</v>
      </c>
      <c r="D342" s="4" t="s">
        <v>262</v>
      </c>
      <c r="E342" s="4" t="s">
        <v>395</v>
      </c>
      <c r="F342" s="4"/>
      <c r="G342" s="29">
        <f>G343</f>
        <v>0</v>
      </c>
      <c r="H342" s="29"/>
    </row>
    <row r="343" spans="1:12" ht="47.25">
      <c r="A343" s="3" t="s">
        <v>306</v>
      </c>
      <c r="B343" s="4" t="s">
        <v>65</v>
      </c>
      <c r="C343" s="4" t="s">
        <v>257</v>
      </c>
      <c r="D343" s="4" t="s">
        <v>262</v>
      </c>
      <c r="E343" s="4" t="s">
        <v>395</v>
      </c>
      <c r="F343" s="4" t="s">
        <v>19</v>
      </c>
      <c r="G343" s="29">
        <f>2663530-373646.15-329298.95-1761468.75-199116.15</f>
        <v>0</v>
      </c>
      <c r="H343" s="29"/>
      <c r="L343" s="26"/>
    </row>
    <row r="344" spans="1:8" ht="47.25">
      <c r="A344" s="3" t="s">
        <v>230</v>
      </c>
      <c r="B344" s="4" t="s">
        <v>65</v>
      </c>
      <c r="C344" s="4" t="s">
        <v>257</v>
      </c>
      <c r="D344" s="4" t="s">
        <v>262</v>
      </c>
      <c r="E344" s="4" t="s">
        <v>396</v>
      </c>
      <c r="F344" s="4"/>
      <c r="G344" s="29">
        <f>G345</f>
        <v>0</v>
      </c>
      <c r="H344" s="29"/>
    </row>
    <row r="345" spans="1:12" ht="47.25">
      <c r="A345" s="3" t="s">
        <v>306</v>
      </c>
      <c r="B345" s="4" t="s">
        <v>65</v>
      </c>
      <c r="C345" s="4" t="s">
        <v>257</v>
      </c>
      <c r="D345" s="4" t="s">
        <v>262</v>
      </c>
      <c r="E345" s="4" t="s">
        <v>396</v>
      </c>
      <c r="F345" s="4" t="s">
        <v>19</v>
      </c>
      <c r="G345" s="29">
        <f>750000-250000-154112.36-311926.23-33961.41</f>
        <v>0</v>
      </c>
      <c r="H345" s="29"/>
      <c r="L345" s="26"/>
    </row>
    <row r="346" spans="1:8" ht="31.5">
      <c r="A346" s="3" t="s">
        <v>326</v>
      </c>
      <c r="B346" s="4" t="s">
        <v>65</v>
      </c>
      <c r="C346" s="4" t="s">
        <v>257</v>
      </c>
      <c r="D346" s="4" t="s">
        <v>262</v>
      </c>
      <c r="E346" s="4" t="s">
        <v>397</v>
      </c>
      <c r="F346" s="4"/>
      <c r="G346" s="29">
        <f>G347</f>
        <v>8072267.06</v>
      </c>
      <c r="H346" s="29"/>
    </row>
    <row r="347" spans="1:12" ht="47.25">
      <c r="A347" s="3" t="s">
        <v>306</v>
      </c>
      <c r="B347" s="4" t="s">
        <v>65</v>
      </c>
      <c r="C347" s="4" t="s">
        <v>257</v>
      </c>
      <c r="D347" s="4" t="s">
        <v>262</v>
      </c>
      <c r="E347" s="4" t="s">
        <v>397</v>
      </c>
      <c r="F347" s="4" t="s">
        <v>19</v>
      </c>
      <c r="G347" s="29">
        <f>5258364+2842730+329298.95-991596.86+199116.15-1696243.12-978221.96+1550000+311926.23+1297945.03-85012.77+33961.41</f>
        <v>8072267.06</v>
      </c>
      <c r="H347" s="29"/>
      <c r="J347" s="26">
        <v>-991596.86</v>
      </c>
      <c r="L347" s="26"/>
    </row>
    <row r="348" spans="1:8" ht="110.25" hidden="1">
      <c r="A348" s="3" t="s">
        <v>398</v>
      </c>
      <c r="B348" s="4" t="s">
        <v>65</v>
      </c>
      <c r="C348" s="4" t="s">
        <v>257</v>
      </c>
      <c r="D348" s="4" t="s">
        <v>262</v>
      </c>
      <c r="E348" s="4" t="s">
        <v>399</v>
      </c>
      <c r="F348" s="4"/>
      <c r="G348" s="29">
        <f>G349</f>
        <v>0</v>
      </c>
      <c r="H348" s="29"/>
    </row>
    <row r="349" spans="1:8" ht="15.75" hidden="1">
      <c r="A349" s="3" t="s">
        <v>235</v>
      </c>
      <c r="B349" s="4" t="s">
        <v>65</v>
      </c>
      <c r="C349" s="4" t="s">
        <v>257</v>
      </c>
      <c r="D349" s="4" t="s">
        <v>262</v>
      </c>
      <c r="E349" s="4" t="s">
        <v>399</v>
      </c>
      <c r="F349" s="4" t="s">
        <v>22</v>
      </c>
      <c r="G349" s="29"/>
      <c r="H349" s="29"/>
    </row>
    <row r="350" spans="1:8" ht="110.25" hidden="1">
      <c r="A350" s="3" t="s">
        <v>400</v>
      </c>
      <c r="B350" s="4" t="s">
        <v>65</v>
      </c>
      <c r="C350" s="4" t="s">
        <v>257</v>
      </c>
      <c r="D350" s="4" t="s">
        <v>262</v>
      </c>
      <c r="E350" s="4" t="s">
        <v>401</v>
      </c>
      <c r="F350" s="4"/>
      <c r="G350" s="29">
        <f>G351</f>
        <v>0</v>
      </c>
      <c r="H350" s="29"/>
    </row>
    <row r="351" spans="1:8" ht="15.75" hidden="1">
      <c r="A351" s="3" t="s">
        <v>235</v>
      </c>
      <c r="B351" s="4" t="s">
        <v>65</v>
      </c>
      <c r="C351" s="4" t="s">
        <v>257</v>
      </c>
      <c r="D351" s="4" t="s">
        <v>262</v>
      </c>
      <c r="E351" s="4" t="s">
        <v>401</v>
      </c>
      <c r="F351" s="4" t="s">
        <v>22</v>
      </c>
      <c r="G351" s="29"/>
      <c r="H351" s="29"/>
    </row>
    <row r="352" spans="1:8" ht="47.25">
      <c r="A352" s="1" t="s">
        <v>282</v>
      </c>
      <c r="B352" s="2" t="s">
        <v>65</v>
      </c>
      <c r="C352" s="2" t="s">
        <v>257</v>
      </c>
      <c r="D352" s="2" t="s">
        <v>257</v>
      </c>
      <c r="E352" s="4"/>
      <c r="F352" s="4"/>
      <c r="G352" s="33">
        <f>G364+G353</f>
        <v>86920167.85</v>
      </c>
      <c r="H352" s="33">
        <f>H364</f>
        <v>66452430</v>
      </c>
    </row>
    <row r="353" spans="1:8" ht="116.25" customHeight="1">
      <c r="A353" s="3" t="s">
        <v>34</v>
      </c>
      <c r="B353" s="4" t="s">
        <v>65</v>
      </c>
      <c r="C353" s="4" t="s">
        <v>257</v>
      </c>
      <c r="D353" s="4" t="s">
        <v>257</v>
      </c>
      <c r="E353" s="4" t="s">
        <v>35</v>
      </c>
      <c r="F353" s="4"/>
      <c r="G353" s="29">
        <f>G354+G357</f>
        <v>20467737.85</v>
      </c>
      <c r="H353" s="29"/>
    </row>
    <row r="354" spans="1:8" ht="78.75">
      <c r="A354" s="3" t="s">
        <v>378</v>
      </c>
      <c r="B354" s="4" t="s">
        <v>65</v>
      </c>
      <c r="C354" s="4" t="s">
        <v>257</v>
      </c>
      <c r="D354" s="4" t="s">
        <v>257</v>
      </c>
      <c r="E354" s="4" t="s">
        <v>379</v>
      </c>
      <c r="F354" s="4"/>
      <c r="G354" s="29">
        <f>G355</f>
        <v>5743368.59</v>
      </c>
      <c r="H354" s="29"/>
    </row>
    <row r="355" spans="1:8" ht="110.25">
      <c r="A355" s="3" t="s">
        <v>383</v>
      </c>
      <c r="B355" s="4" t="s">
        <v>65</v>
      </c>
      <c r="C355" s="4" t="s">
        <v>257</v>
      </c>
      <c r="D355" s="4" t="s">
        <v>257</v>
      </c>
      <c r="E355" s="4" t="s">
        <v>384</v>
      </c>
      <c r="F355" s="4"/>
      <c r="G355" s="29">
        <f>G356</f>
        <v>5743368.59</v>
      </c>
      <c r="H355" s="29"/>
    </row>
    <row r="356" spans="1:12" ht="63">
      <c r="A356" s="3" t="s">
        <v>330</v>
      </c>
      <c r="B356" s="4" t="s">
        <v>65</v>
      </c>
      <c r="C356" s="4" t="s">
        <v>257</v>
      </c>
      <c r="D356" s="4" t="s">
        <v>257</v>
      </c>
      <c r="E356" s="4" t="s">
        <v>384</v>
      </c>
      <c r="F356" s="4" t="s">
        <v>23</v>
      </c>
      <c r="G356" s="29">
        <f>6652456-909087.41</f>
        <v>5743368.59</v>
      </c>
      <c r="H356" s="29"/>
      <c r="L356" s="26"/>
    </row>
    <row r="357" spans="1:8" ht="63">
      <c r="A357" s="3" t="s">
        <v>402</v>
      </c>
      <c r="B357" s="4" t="s">
        <v>65</v>
      </c>
      <c r="C357" s="4" t="s">
        <v>257</v>
      </c>
      <c r="D357" s="4" t="s">
        <v>257</v>
      </c>
      <c r="E357" s="4" t="s">
        <v>403</v>
      </c>
      <c r="F357" s="4"/>
      <c r="G357" s="29">
        <f>G358+G362</f>
        <v>14724369.26</v>
      </c>
      <c r="H357" s="29"/>
    </row>
    <row r="358" spans="1:8" ht="110.25">
      <c r="A358" s="3" t="s">
        <v>209</v>
      </c>
      <c r="B358" s="4" t="s">
        <v>65</v>
      </c>
      <c r="C358" s="4" t="s">
        <v>257</v>
      </c>
      <c r="D358" s="4" t="s">
        <v>257</v>
      </c>
      <c r="E358" s="4" t="s">
        <v>404</v>
      </c>
      <c r="F358" s="4"/>
      <c r="G358" s="29">
        <f>G359+G360+G361</f>
        <v>14484369.26</v>
      </c>
      <c r="H358" s="29"/>
    </row>
    <row r="359" spans="1:12" ht="126">
      <c r="A359" s="3" t="s">
        <v>305</v>
      </c>
      <c r="B359" s="4" t="s">
        <v>65</v>
      </c>
      <c r="C359" s="4" t="s">
        <v>257</v>
      </c>
      <c r="D359" s="4" t="s">
        <v>257</v>
      </c>
      <c r="E359" s="4" t="s">
        <v>404</v>
      </c>
      <c r="F359" s="4" t="s">
        <v>18</v>
      </c>
      <c r="G359" s="29">
        <f>11285687-110000-300000+220000+1521416.26</f>
        <v>12617103.26</v>
      </c>
      <c r="H359" s="29"/>
      <c r="L359" s="26"/>
    </row>
    <row r="360" spans="1:8" ht="47.25">
      <c r="A360" s="3" t="s">
        <v>306</v>
      </c>
      <c r="B360" s="4" t="s">
        <v>65</v>
      </c>
      <c r="C360" s="4" t="s">
        <v>257</v>
      </c>
      <c r="D360" s="4" t="s">
        <v>257</v>
      </c>
      <c r="E360" s="4" t="s">
        <v>404</v>
      </c>
      <c r="F360" s="4" t="s">
        <v>19</v>
      </c>
      <c r="G360" s="29">
        <f>877266-16306.93</f>
        <v>860959.07</v>
      </c>
      <c r="H360" s="29"/>
    </row>
    <row r="361" spans="1:12" ht="47.25" customHeight="1">
      <c r="A361" s="3" t="s">
        <v>235</v>
      </c>
      <c r="B361" s="4" t="s">
        <v>65</v>
      </c>
      <c r="C361" s="4" t="s">
        <v>257</v>
      </c>
      <c r="D361" s="4" t="s">
        <v>257</v>
      </c>
      <c r="E361" s="4" t="s">
        <v>404</v>
      </c>
      <c r="F361" s="4" t="s">
        <v>22</v>
      </c>
      <c r="G361" s="29">
        <f>300000+16306.93+80000+300000+300000+10000</f>
        <v>1006306.9299999999</v>
      </c>
      <c r="H361" s="29"/>
      <c r="L361" s="26"/>
    </row>
    <row r="362" spans="1:8" ht="110.25">
      <c r="A362" s="3" t="s">
        <v>409</v>
      </c>
      <c r="B362" s="4" t="s">
        <v>65</v>
      </c>
      <c r="C362" s="4" t="s">
        <v>257</v>
      </c>
      <c r="D362" s="4" t="s">
        <v>257</v>
      </c>
      <c r="E362" s="4" t="s">
        <v>432</v>
      </c>
      <c r="F362" s="4"/>
      <c r="G362" s="29">
        <f>G363</f>
        <v>240000</v>
      </c>
      <c r="H362" s="29"/>
    </row>
    <row r="363" spans="1:12" ht="126">
      <c r="A363" s="3" t="s">
        <v>417</v>
      </c>
      <c r="B363" s="4" t="s">
        <v>65</v>
      </c>
      <c r="C363" s="4" t="s">
        <v>257</v>
      </c>
      <c r="D363" s="4" t="s">
        <v>257</v>
      </c>
      <c r="E363" s="4" t="s">
        <v>432</v>
      </c>
      <c r="F363" s="4" t="s">
        <v>18</v>
      </c>
      <c r="G363" s="29">
        <f>110000+130000</f>
        <v>240000</v>
      </c>
      <c r="H363" s="29"/>
      <c r="L363" s="26"/>
    </row>
    <row r="364" spans="1:8" ht="88.5" customHeight="1">
      <c r="A364" s="27" t="s">
        <v>313</v>
      </c>
      <c r="B364" s="4" t="s">
        <v>65</v>
      </c>
      <c r="C364" s="4" t="s">
        <v>257</v>
      </c>
      <c r="D364" s="4" t="s">
        <v>257</v>
      </c>
      <c r="E364" s="4" t="s">
        <v>314</v>
      </c>
      <c r="F364" s="4"/>
      <c r="G364" s="29">
        <f aca="true" t="shared" si="2" ref="G364:H366">G365</f>
        <v>66452430</v>
      </c>
      <c r="H364" s="29">
        <f t="shared" si="2"/>
        <v>66452430</v>
      </c>
    </row>
    <row r="365" spans="1:8" ht="78.75">
      <c r="A365" s="3" t="s">
        <v>45</v>
      </c>
      <c r="B365" s="4" t="s">
        <v>65</v>
      </c>
      <c r="C365" s="4" t="s">
        <v>257</v>
      </c>
      <c r="D365" s="4" t="s">
        <v>257</v>
      </c>
      <c r="E365" s="4" t="s">
        <v>46</v>
      </c>
      <c r="F365" s="4"/>
      <c r="G365" s="29">
        <f t="shared" si="2"/>
        <v>66452430</v>
      </c>
      <c r="H365" s="29">
        <f t="shared" si="2"/>
        <v>66452430</v>
      </c>
    </row>
    <row r="366" spans="1:8" ht="104.25" customHeight="1">
      <c r="A366" s="3" t="s">
        <v>47</v>
      </c>
      <c r="B366" s="4" t="s">
        <v>65</v>
      </c>
      <c r="C366" s="4" t="s">
        <v>257</v>
      </c>
      <c r="D366" s="4" t="s">
        <v>257</v>
      </c>
      <c r="E366" s="4" t="s">
        <v>48</v>
      </c>
      <c r="F366" s="4"/>
      <c r="G366" s="29">
        <f t="shared" si="2"/>
        <v>66452430</v>
      </c>
      <c r="H366" s="29">
        <f t="shared" si="2"/>
        <v>66452430</v>
      </c>
    </row>
    <row r="367" spans="1:8" ht="63">
      <c r="A367" s="3" t="s">
        <v>49</v>
      </c>
      <c r="B367" s="4" t="s">
        <v>65</v>
      </c>
      <c r="C367" s="4" t="s">
        <v>257</v>
      </c>
      <c r="D367" s="4" t="s">
        <v>257</v>
      </c>
      <c r="E367" s="4" t="s">
        <v>48</v>
      </c>
      <c r="F367" s="4" t="s">
        <v>297</v>
      </c>
      <c r="G367" s="29">
        <v>66452430</v>
      </c>
      <c r="H367" s="29">
        <f>G367</f>
        <v>66452430</v>
      </c>
    </row>
    <row r="368" spans="1:8" ht="15.75">
      <c r="A368" s="13" t="s">
        <v>25</v>
      </c>
      <c r="B368" s="5" t="s">
        <v>65</v>
      </c>
      <c r="C368" s="5" t="s">
        <v>256</v>
      </c>
      <c r="D368" s="5"/>
      <c r="E368" s="5"/>
      <c r="F368" s="5"/>
      <c r="G368" s="28">
        <f>G373+G369</f>
        <v>859086.3700000001</v>
      </c>
      <c r="H368" s="28">
        <f>H369</f>
        <v>310168.31</v>
      </c>
    </row>
    <row r="369" spans="1:8" ht="62.25" customHeight="1">
      <c r="A369" s="1" t="s">
        <v>197</v>
      </c>
      <c r="B369" s="2" t="s">
        <v>65</v>
      </c>
      <c r="C369" s="2" t="s">
        <v>256</v>
      </c>
      <c r="D369" s="2" t="s">
        <v>262</v>
      </c>
      <c r="E369" s="2"/>
      <c r="F369" s="2"/>
      <c r="G369" s="33">
        <f>G370</f>
        <v>310168.31</v>
      </c>
      <c r="H369" s="33">
        <f>H370</f>
        <v>310168.31</v>
      </c>
    </row>
    <row r="370" spans="1:8" ht="63">
      <c r="A370" s="3" t="s">
        <v>0</v>
      </c>
      <c r="B370" s="4" t="s">
        <v>65</v>
      </c>
      <c r="C370" s="4" t="s">
        <v>256</v>
      </c>
      <c r="D370" s="4" t="s">
        <v>262</v>
      </c>
      <c r="E370" s="4" t="s">
        <v>1</v>
      </c>
      <c r="F370" s="2"/>
      <c r="G370" s="29">
        <f>G371</f>
        <v>310168.31</v>
      </c>
      <c r="H370" s="29">
        <f>H371</f>
        <v>310168.31</v>
      </c>
    </row>
    <row r="371" spans="1:8" ht="162.75" customHeight="1">
      <c r="A371" s="3" t="s">
        <v>198</v>
      </c>
      <c r="B371" s="4" t="s">
        <v>65</v>
      </c>
      <c r="C371" s="4" t="s">
        <v>256</v>
      </c>
      <c r="D371" s="4" t="s">
        <v>262</v>
      </c>
      <c r="E371" s="4" t="s">
        <v>199</v>
      </c>
      <c r="F371" s="4"/>
      <c r="G371" s="29">
        <f>G372</f>
        <v>310168.31</v>
      </c>
      <c r="H371" s="29">
        <f>H372</f>
        <v>310168.31</v>
      </c>
    </row>
    <row r="372" spans="1:8" ht="47.25">
      <c r="A372" s="3" t="s">
        <v>306</v>
      </c>
      <c r="B372" s="4" t="s">
        <v>65</v>
      </c>
      <c r="C372" s="4" t="s">
        <v>256</v>
      </c>
      <c r="D372" s="4" t="s">
        <v>262</v>
      </c>
      <c r="E372" s="4" t="s">
        <v>199</v>
      </c>
      <c r="F372" s="4" t="s">
        <v>19</v>
      </c>
      <c r="G372" s="29">
        <v>310168.31</v>
      </c>
      <c r="H372" s="29">
        <f>G372</f>
        <v>310168.31</v>
      </c>
    </row>
    <row r="373" spans="1:8" ht="31.5">
      <c r="A373" s="1" t="s">
        <v>26</v>
      </c>
      <c r="B373" s="2" t="s">
        <v>65</v>
      </c>
      <c r="C373" s="2" t="s">
        <v>256</v>
      </c>
      <c r="D373" s="2" t="s">
        <v>257</v>
      </c>
      <c r="E373" s="2"/>
      <c r="F373" s="2"/>
      <c r="G373" s="33">
        <f>G374</f>
        <v>548918.06</v>
      </c>
      <c r="H373" s="33"/>
    </row>
    <row r="374" spans="1:8" ht="63">
      <c r="A374" s="3" t="s">
        <v>0</v>
      </c>
      <c r="B374" s="4" t="s">
        <v>65</v>
      </c>
      <c r="C374" s="4" t="s">
        <v>256</v>
      </c>
      <c r="D374" s="4" t="s">
        <v>257</v>
      </c>
      <c r="E374" s="4" t="s">
        <v>1</v>
      </c>
      <c r="F374" s="4"/>
      <c r="G374" s="29">
        <f>G375</f>
        <v>548918.06</v>
      </c>
      <c r="H374" s="29"/>
    </row>
    <row r="375" spans="1:8" ht="31.5">
      <c r="A375" s="3" t="s">
        <v>326</v>
      </c>
      <c r="B375" s="4" t="s">
        <v>65</v>
      </c>
      <c r="C375" s="4" t="s">
        <v>256</v>
      </c>
      <c r="D375" s="4" t="s">
        <v>257</v>
      </c>
      <c r="E375" s="4" t="s">
        <v>2</v>
      </c>
      <c r="F375" s="4"/>
      <c r="G375" s="29">
        <f>G376</f>
        <v>548918.06</v>
      </c>
      <c r="H375" s="29"/>
    </row>
    <row r="376" spans="1:12" ht="47.25">
      <c r="A376" s="3" t="s">
        <v>306</v>
      </c>
      <c r="B376" s="4" t="s">
        <v>65</v>
      </c>
      <c r="C376" s="4" t="s">
        <v>256</v>
      </c>
      <c r="D376" s="4" t="s">
        <v>257</v>
      </c>
      <c r="E376" s="4" t="s">
        <v>2</v>
      </c>
      <c r="F376" s="4" t="s">
        <v>19</v>
      </c>
      <c r="G376" s="29">
        <f>1020000-10000-450000-11081.94</f>
        <v>548918.06</v>
      </c>
      <c r="H376" s="29"/>
      <c r="L376" s="26"/>
    </row>
    <row r="377" spans="1:8" ht="15.75">
      <c r="A377" s="13" t="s">
        <v>266</v>
      </c>
      <c r="B377" s="5" t="s">
        <v>65</v>
      </c>
      <c r="C377" s="5" t="s">
        <v>258</v>
      </c>
      <c r="D377" s="5"/>
      <c r="E377" s="5"/>
      <c r="F377" s="5"/>
      <c r="G377" s="28">
        <f>G378+G385</f>
        <v>340807502.75</v>
      </c>
      <c r="H377" s="28">
        <f>H378+H385</f>
        <v>153856484.18</v>
      </c>
    </row>
    <row r="378" spans="1:8" ht="15.75">
      <c r="A378" s="1" t="s">
        <v>267</v>
      </c>
      <c r="B378" s="2" t="s">
        <v>65</v>
      </c>
      <c r="C378" s="2" t="s">
        <v>258</v>
      </c>
      <c r="D378" s="2" t="s">
        <v>255</v>
      </c>
      <c r="E378" s="2"/>
      <c r="F378" s="4"/>
      <c r="G378" s="33">
        <f>G379</f>
        <v>155467418.57</v>
      </c>
      <c r="H378" s="33">
        <f>H379</f>
        <v>124750000</v>
      </c>
    </row>
    <row r="379" spans="1:8" ht="47.25">
      <c r="A379" s="3" t="s">
        <v>331</v>
      </c>
      <c r="B379" s="4" t="s">
        <v>65</v>
      </c>
      <c r="C379" s="4" t="s">
        <v>258</v>
      </c>
      <c r="D379" s="4" t="s">
        <v>255</v>
      </c>
      <c r="E379" s="4" t="s">
        <v>332</v>
      </c>
      <c r="F379" s="4"/>
      <c r="G379" s="29">
        <f>G380</f>
        <v>155467418.57</v>
      </c>
      <c r="H379" s="29">
        <f>H380</f>
        <v>124750000</v>
      </c>
    </row>
    <row r="380" spans="1:8" ht="63">
      <c r="A380" s="3" t="s">
        <v>57</v>
      </c>
      <c r="B380" s="4" t="s">
        <v>65</v>
      </c>
      <c r="C380" s="4" t="s">
        <v>258</v>
      </c>
      <c r="D380" s="4" t="s">
        <v>255</v>
      </c>
      <c r="E380" s="4" t="s">
        <v>58</v>
      </c>
      <c r="F380" s="4"/>
      <c r="G380" s="29">
        <f>G383+G381</f>
        <v>155467418.57</v>
      </c>
      <c r="H380" s="29">
        <f>H383</f>
        <v>124750000</v>
      </c>
    </row>
    <row r="381" spans="1:8" ht="63">
      <c r="A381" s="3" t="s">
        <v>222</v>
      </c>
      <c r="B381" s="4" t="s">
        <v>65</v>
      </c>
      <c r="C381" s="4" t="s">
        <v>258</v>
      </c>
      <c r="D381" s="4" t="s">
        <v>255</v>
      </c>
      <c r="E381" s="4" t="s">
        <v>223</v>
      </c>
      <c r="F381" s="4"/>
      <c r="G381" s="29">
        <f>G382</f>
        <v>30717418.57</v>
      </c>
      <c r="H381" s="29"/>
    </row>
    <row r="382" spans="1:12" ht="63">
      <c r="A382" s="3" t="s">
        <v>49</v>
      </c>
      <c r="B382" s="4" t="s">
        <v>65</v>
      </c>
      <c r="C382" s="4" t="s">
        <v>258</v>
      </c>
      <c r="D382" s="4" t="s">
        <v>255</v>
      </c>
      <c r="E382" s="4" t="s">
        <v>223</v>
      </c>
      <c r="F382" s="4" t="s">
        <v>297</v>
      </c>
      <c r="G382" s="29">
        <f>53237500-22520081.43</f>
        <v>30717418.57</v>
      </c>
      <c r="H382" s="29"/>
      <c r="L382" s="26"/>
    </row>
    <row r="383" spans="1:8" ht="101.25" customHeight="1">
      <c r="A383" s="3" t="s">
        <v>456</v>
      </c>
      <c r="B383" s="4" t="s">
        <v>65</v>
      </c>
      <c r="C383" s="4" t="s">
        <v>258</v>
      </c>
      <c r="D383" s="4" t="s">
        <v>255</v>
      </c>
      <c r="E383" s="4" t="s">
        <v>457</v>
      </c>
      <c r="F383" s="4"/>
      <c r="G383" s="29">
        <f>G384</f>
        <v>124750000</v>
      </c>
      <c r="H383" s="29">
        <f>H384</f>
        <v>124750000</v>
      </c>
    </row>
    <row r="384" spans="1:8" ht="63">
      <c r="A384" s="3" t="s">
        <v>49</v>
      </c>
      <c r="B384" s="4" t="s">
        <v>65</v>
      </c>
      <c r="C384" s="4" t="s">
        <v>258</v>
      </c>
      <c r="D384" s="4" t="s">
        <v>255</v>
      </c>
      <c r="E384" s="4" t="s">
        <v>457</v>
      </c>
      <c r="F384" s="4" t="s">
        <v>297</v>
      </c>
      <c r="G384" s="29">
        <v>124750000</v>
      </c>
      <c r="H384" s="29">
        <f>G384</f>
        <v>124750000</v>
      </c>
    </row>
    <row r="385" spans="1:8" ht="15.75">
      <c r="A385" s="13" t="s">
        <v>268</v>
      </c>
      <c r="B385" s="5" t="s">
        <v>65</v>
      </c>
      <c r="C385" s="5" t="s">
        <v>258</v>
      </c>
      <c r="D385" s="5" t="s">
        <v>260</v>
      </c>
      <c r="E385" s="23"/>
      <c r="F385" s="23"/>
      <c r="G385" s="28">
        <f>G386</f>
        <v>185340084.18</v>
      </c>
      <c r="H385" s="28">
        <f>H386</f>
        <v>29106484.18</v>
      </c>
    </row>
    <row r="386" spans="1:8" ht="47.25">
      <c r="A386" s="3" t="s">
        <v>331</v>
      </c>
      <c r="B386" s="4" t="s">
        <v>65</v>
      </c>
      <c r="C386" s="4" t="s">
        <v>258</v>
      </c>
      <c r="D386" s="4" t="s">
        <v>260</v>
      </c>
      <c r="E386" s="4" t="s">
        <v>332</v>
      </c>
      <c r="F386" s="4"/>
      <c r="G386" s="29">
        <f>G387</f>
        <v>185340084.18</v>
      </c>
      <c r="H386" s="29">
        <f>H387</f>
        <v>29106484.18</v>
      </c>
    </row>
    <row r="387" spans="1:8" ht="63">
      <c r="A387" s="3" t="s">
        <v>57</v>
      </c>
      <c r="B387" s="4" t="s">
        <v>65</v>
      </c>
      <c r="C387" s="4" t="s">
        <v>258</v>
      </c>
      <c r="D387" s="4" t="s">
        <v>260</v>
      </c>
      <c r="E387" s="4" t="s">
        <v>58</v>
      </c>
      <c r="F387" s="4"/>
      <c r="G387" s="29">
        <f>G388+G390</f>
        <v>185340084.18</v>
      </c>
      <c r="H387" s="29">
        <f>H388+H390</f>
        <v>29106484.18</v>
      </c>
    </row>
    <row r="388" spans="1:8" ht="63">
      <c r="A388" s="3" t="s">
        <v>222</v>
      </c>
      <c r="B388" s="4" t="s">
        <v>65</v>
      </c>
      <c r="C388" s="4" t="s">
        <v>258</v>
      </c>
      <c r="D388" s="4" t="s">
        <v>260</v>
      </c>
      <c r="E388" s="4" t="s">
        <v>223</v>
      </c>
      <c r="F388" s="4"/>
      <c r="G388" s="29">
        <f>G389</f>
        <v>156233600</v>
      </c>
      <c r="H388" s="29"/>
    </row>
    <row r="389" spans="1:12" ht="63">
      <c r="A389" s="3" t="s">
        <v>49</v>
      </c>
      <c r="B389" s="4" t="s">
        <v>65</v>
      </c>
      <c r="C389" s="4" t="s">
        <v>258</v>
      </c>
      <c r="D389" s="4" t="s">
        <v>260</v>
      </c>
      <c r="E389" s="4" t="s">
        <v>223</v>
      </c>
      <c r="F389" s="4" t="s">
        <v>297</v>
      </c>
      <c r="G389" s="29">
        <f>78115022+29368978-2537663.72+51287263.72</f>
        <v>156233600</v>
      </c>
      <c r="H389" s="29"/>
      <c r="J389" s="26">
        <f>-2537663.72</f>
        <v>-2537663.72</v>
      </c>
      <c r="L389" s="26"/>
    </row>
    <row r="390" spans="1:8" ht="63">
      <c r="A390" s="3" t="s">
        <v>449</v>
      </c>
      <c r="B390" s="4" t="s">
        <v>65</v>
      </c>
      <c r="C390" s="4" t="s">
        <v>258</v>
      </c>
      <c r="D390" s="4" t="s">
        <v>260</v>
      </c>
      <c r="E390" s="4" t="s">
        <v>448</v>
      </c>
      <c r="F390" s="4"/>
      <c r="G390" s="29">
        <f>G391</f>
        <v>29106484.18</v>
      </c>
      <c r="H390" s="29">
        <f>G390</f>
        <v>29106484.18</v>
      </c>
    </row>
    <row r="391" spans="1:8" ht="63">
      <c r="A391" s="3" t="s">
        <v>49</v>
      </c>
      <c r="B391" s="4" t="s">
        <v>65</v>
      </c>
      <c r="C391" s="4" t="s">
        <v>258</v>
      </c>
      <c r="D391" s="4" t="s">
        <v>260</v>
      </c>
      <c r="E391" s="4" t="s">
        <v>448</v>
      </c>
      <c r="F391" s="4" t="s">
        <v>297</v>
      </c>
      <c r="G391" s="29">
        <v>29106484.18</v>
      </c>
      <c r="H391" s="29">
        <f>G391</f>
        <v>29106484.18</v>
      </c>
    </row>
    <row r="392" spans="1:8" ht="15.75">
      <c r="A392" s="13" t="s">
        <v>269</v>
      </c>
      <c r="B392" s="5" t="s">
        <v>65</v>
      </c>
      <c r="C392" s="5" t="s">
        <v>263</v>
      </c>
      <c r="D392" s="5"/>
      <c r="E392" s="5"/>
      <c r="F392" s="5"/>
      <c r="G392" s="28">
        <f aca="true" t="shared" si="3" ref="G392:H396">G393</f>
        <v>16245570</v>
      </c>
      <c r="H392" s="28">
        <f t="shared" si="3"/>
        <v>16245570</v>
      </c>
    </row>
    <row r="393" spans="1:8" ht="31.5">
      <c r="A393" s="1" t="s">
        <v>290</v>
      </c>
      <c r="B393" s="2" t="s">
        <v>65</v>
      </c>
      <c r="C393" s="2" t="s">
        <v>263</v>
      </c>
      <c r="D393" s="2" t="s">
        <v>256</v>
      </c>
      <c r="E393" s="2"/>
      <c r="F393" s="2"/>
      <c r="G393" s="33">
        <f t="shared" si="3"/>
        <v>16245570</v>
      </c>
      <c r="H393" s="33">
        <f t="shared" si="3"/>
        <v>16245570</v>
      </c>
    </row>
    <row r="394" spans="1:8" ht="92.25" customHeight="1">
      <c r="A394" s="27" t="s">
        <v>313</v>
      </c>
      <c r="B394" s="4" t="s">
        <v>65</v>
      </c>
      <c r="C394" s="4" t="s">
        <v>263</v>
      </c>
      <c r="D394" s="4" t="s">
        <v>256</v>
      </c>
      <c r="E394" s="4" t="s">
        <v>314</v>
      </c>
      <c r="F394" s="4"/>
      <c r="G394" s="29">
        <f t="shared" si="3"/>
        <v>16245570</v>
      </c>
      <c r="H394" s="29">
        <f t="shared" si="3"/>
        <v>16245570</v>
      </c>
    </row>
    <row r="395" spans="1:8" ht="112.5" customHeight="1">
      <c r="A395" s="3" t="s">
        <v>45</v>
      </c>
      <c r="B395" s="4" t="s">
        <v>65</v>
      </c>
      <c r="C395" s="4" t="s">
        <v>263</v>
      </c>
      <c r="D395" s="4" t="s">
        <v>256</v>
      </c>
      <c r="E395" s="4" t="s">
        <v>46</v>
      </c>
      <c r="F395" s="4"/>
      <c r="G395" s="29">
        <f t="shared" si="3"/>
        <v>16245570</v>
      </c>
      <c r="H395" s="29">
        <f t="shared" si="3"/>
        <v>16245570</v>
      </c>
    </row>
    <row r="396" spans="1:8" ht="63">
      <c r="A396" s="3" t="s">
        <v>47</v>
      </c>
      <c r="B396" s="4" t="s">
        <v>65</v>
      </c>
      <c r="C396" s="4" t="s">
        <v>263</v>
      </c>
      <c r="D396" s="4" t="s">
        <v>256</v>
      </c>
      <c r="E396" s="4" t="s">
        <v>48</v>
      </c>
      <c r="F396" s="4"/>
      <c r="G396" s="29">
        <f t="shared" si="3"/>
        <v>16245570</v>
      </c>
      <c r="H396" s="29">
        <f t="shared" si="3"/>
        <v>16245570</v>
      </c>
    </row>
    <row r="397" spans="1:8" ht="31.5">
      <c r="A397" s="61" t="s">
        <v>239</v>
      </c>
      <c r="B397" s="4" t="s">
        <v>65</v>
      </c>
      <c r="C397" s="4" t="s">
        <v>263</v>
      </c>
      <c r="D397" s="4" t="s">
        <v>256</v>
      </c>
      <c r="E397" s="4" t="s">
        <v>48</v>
      </c>
      <c r="F397" s="4" t="s">
        <v>240</v>
      </c>
      <c r="G397" s="29">
        <v>16245570</v>
      </c>
      <c r="H397" s="29">
        <f>G397</f>
        <v>16245570</v>
      </c>
    </row>
    <row r="398" spans="1:8" ht="15.75">
      <c r="A398" s="39" t="s">
        <v>166</v>
      </c>
      <c r="B398" s="5" t="s">
        <v>65</v>
      </c>
      <c r="C398" s="5" t="s">
        <v>169</v>
      </c>
      <c r="D398" s="5" t="s">
        <v>285</v>
      </c>
      <c r="E398" s="23"/>
      <c r="F398" s="23"/>
      <c r="G398" s="28">
        <f aca="true" t="shared" si="4" ref="G398:H400">G399</f>
        <v>2965800</v>
      </c>
      <c r="H398" s="28">
        <f t="shared" si="4"/>
        <v>1250000</v>
      </c>
    </row>
    <row r="399" spans="1:8" ht="15.75">
      <c r="A399" s="50" t="s">
        <v>8</v>
      </c>
      <c r="B399" s="2" t="s">
        <v>65</v>
      </c>
      <c r="C399" s="2" t="s">
        <v>169</v>
      </c>
      <c r="D399" s="2" t="s">
        <v>255</v>
      </c>
      <c r="E399" s="4"/>
      <c r="F399" s="4"/>
      <c r="G399" s="33">
        <f t="shared" si="4"/>
        <v>2965800</v>
      </c>
      <c r="H399" s="33">
        <f t="shared" si="4"/>
        <v>1250000</v>
      </c>
    </row>
    <row r="400" spans="1:8" ht="78.75">
      <c r="A400" s="27" t="s">
        <v>343</v>
      </c>
      <c r="B400" s="4" t="s">
        <v>65</v>
      </c>
      <c r="C400" s="4" t="s">
        <v>169</v>
      </c>
      <c r="D400" s="4" t="s">
        <v>255</v>
      </c>
      <c r="E400" s="4" t="s">
        <v>344</v>
      </c>
      <c r="F400" s="38"/>
      <c r="G400" s="29">
        <f t="shared" si="4"/>
        <v>2965800</v>
      </c>
      <c r="H400" s="29">
        <f t="shared" si="4"/>
        <v>1250000</v>
      </c>
    </row>
    <row r="401" spans="1:8" ht="31.5">
      <c r="A401" s="27" t="s">
        <v>347</v>
      </c>
      <c r="B401" s="4" t="s">
        <v>65</v>
      </c>
      <c r="C401" s="4" t="s">
        <v>169</v>
      </c>
      <c r="D401" s="4" t="s">
        <v>255</v>
      </c>
      <c r="E401" s="4" t="s">
        <v>348</v>
      </c>
      <c r="F401" s="38"/>
      <c r="G401" s="29">
        <f>G402+G404</f>
        <v>2965800</v>
      </c>
      <c r="H401" s="29">
        <f>H402+H404</f>
        <v>1250000</v>
      </c>
    </row>
    <row r="402" spans="1:8" ht="31.5">
      <c r="A402" s="27" t="s">
        <v>326</v>
      </c>
      <c r="B402" s="4" t="s">
        <v>65</v>
      </c>
      <c r="C402" s="4" t="s">
        <v>169</v>
      </c>
      <c r="D402" s="4" t="s">
        <v>255</v>
      </c>
      <c r="E402" s="4" t="s">
        <v>150</v>
      </c>
      <c r="F402" s="38"/>
      <c r="G402" s="29">
        <f>G403</f>
        <v>1715800</v>
      </c>
      <c r="H402" s="29"/>
    </row>
    <row r="403" spans="1:8" ht="47.25">
      <c r="A403" s="3" t="s">
        <v>306</v>
      </c>
      <c r="B403" s="4" t="s">
        <v>65</v>
      </c>
      <c r="C403" s="4" t="s">
        <v>169</v>
      </c>
      <c r="D403" s="4" t="s">
        <v>255</v>
      </c>
      <c r="E403" s="4" t="s">
        <v>150</v>
      </c>
      <c r="F403" s="4" t="s">
        <v>19</v>
      </c>
      <c r="G403" s="29">
        <f>2000000-350000+65800</f>
        <v>1715800</v>
      </c>
      <c r="H403" s="29"/>
    </row>
    <row r="404" spans="1:8" ht="63">
      <c r="A404" s="3" t="s">
        <v>458</v>
      </c>
      <c r="B404" s="4" t="s">
        <v>65</v>
      </c>
      <c r="C404" s="4" t="s">
        <v>169</v>
      </c>
      <c r="D404" s="4" t="s">
        <v>255</v>
      </c>
      <c r="E404" s="4" t="s">
        <v>459</v>
      </c>
      <c r="F404" s="4"/>
      <c r="G404" s="29">
        <f>G405</f>
        <v>1250000</v>
      </c>
      <c r="H404" s="29">
        <f>H405</f>
        <v>1250000</v>
      </c>
    </row>
    <row r="405" spans="1:8" ht="63" customHeight="1">
      <c r="A405" s="3" t="s">
        <v>306</v>
      </c>
      <c r="B405" s="4" t="s">
        <v>65</v>
      </c>
      <c r="C405" s="4" t="s">
        <v>169</v>
      </c>
      <c r="D405" s="4" t="s">
        <v>255</v>
      </c>
      <c r="E405" s="4" t="s">
        <v>459</v>
      </c>
      <c r="F405" s="4" t="s">
        <v>19</v>
      </c>
      <c r="G405" s="29">
        <v>1250000</v>
      </c>
      <c r="H405" s="29">
        <f>G405</f>
        <v>1250000</v>
      </c>
    </row>
    <row r="406" spans="1:12" ht="58.5">
      <c r="A406" s="34" t="s">
        <v>245</v>
      </c>
      <c r="B406" s="24" t="s">
        <v>67</v>
      </c>
      <c r="C406" s="24"/>
      <c r="D406" s="24"/>
      <c r="E406" s="5"/>
      <c r="F406" s="5"/>
      <c r="G406" s="28">
        <f>G407+G432+G426</f>
        <v>14837917.209999999</v>
      </c>
      <c r="H406" s="28"/>
      <c r="L406" s="26">
        <f>G406-'[4]прил7'!$G$401</f>
        <v>0</v>
      </c>
    </row>
    <row r="407" spans="1:8" ht="15.75">
      <c r="A407" s="1" t="s">
        <v>274</v>
      </c>
      <c r="B407" s="2" t="s">
        <v>67</v>
      </c>
      <c r="C407" s="2" t="s">
        <v>255</v>
      </c>
      <c r="D407" s="2"/>
      <c r="E407" s="2"/>
      <c r="F407" s="2"/>
      <c r="G407" s="33">
        <f>G408+G418</f>
        <v>10873473.51</v>
      </c>
      <c r="H407" s="33"/>
    </row>
    <row r="408" spans="1:8" ht="126">
      <c r="A408" s="1" t="s">
        <v>12</v>
      </c>
      <c r="B408" s="2" t="s">
        <v>67</v>
      </c>
      <c r="C408" s="2" t="s">
        <v>255</v>
      </c>
      <c r="D408" s="2" t="s">
        <v>265</v>
      </c>
      <c r="E408" s="2"/>
      <c r="F408" s="2"/>
      <c r="G408" s="33">
        <f>G409</f>
        <v>10151679</v>
      </c>
      <c r="H408" s="33"/>
    </row>
    <row r="409" spans="1:12" ht="110.25">
      <c r="A409" s="61" t="s">
        <v>6</v>
      </c>
      <c r="B409" s="4" t="s">
        <v>67</v>
      </c>
      <c r="C409" s="4" t="s">
        <v>255</v>
      </c>
      <c r="D409" s="4" t="s">
        <v>265</v>
      </c>
      <c r="E409" s="4" t="s">
        <v>7</v>
      </c>
      <c r="F409" s="4"/>
      <c r="G409" s="29">
        <f>G410</f>
        <v>10151679</v>
      </c>
      <c r="H409" s="29"/>
      <c r="L409" s="26"/>
    </row>
    <row r="410" spans="1:8" ht="47.25">
      <c r="A410" s="61" t="s">
        <v>101</v>
      </c>
      <c r="B410" s="4" t="s">
        <v>67</v>
      </c>
      <c r="C410" s="4" t="s">
        <v>255</v>
      </c>
      <c r="D410" s="4" t="s">
        <v>265</v>
      </c>
      <c r="E410" s="4" t="s">
        <v>102</v>
      </c>
      <c r="F410" s="4"/>
      <c r="G410" s="29">
        <f>G411+G413+G416</f>
        <v>10151679</v>
      </c>
      <c r="H410" s="29"/>
    </row>
    <row r="411" spans="1:8" ht="47.25">
      <c r="A411" s="61" t="s">
        <v>413</v>
      </c>
      <c r="B411" s="4" t="s">
        <v>67</v>
      </c>
      <c r="C411" s="4" t="s">
        <v>255</v>
      </c>
      <c r="D411" s="4" t="s">
        <v>265</v>
      </c>
      <c r="E411" s="4" t="s">
        <v>433</v>
      </c>
      <c r="F411" s="4"/>
      <c r="G411" s="29">
        <f>G412</f>
        <v>9730617.03</v>
      </c>
      <c r="H411" s="29"/>
    </row>
    <row r="412" spans="1:12" ht="126">
      <c r="A412" s="61" t="s">
        <v>434</v>
      </c>
      <c r="B412" s="4" t="s">
        <v>67</v>
      </c>
      <c r="C412" s="4" t="s">
        <v>255</v>
      </c>
      <c r="D412" s="4" t="s">
        <v>265</v>
      </c>
      <c r="E412" s="4" t="s">
        <v>433</v>
      </c>
      <c r="F412" s="4" t="s">
        <v>18</v>
      </c>
      <c r="G412" s="29">
        <f>9854445+76924-198740-100000-35000+121815.83-75827.8+87000</f>
        <v>9730617.03</v>
      </c>
      <c r="H412" s="29"/>
      <c r="J412" s="26">
        <f>9597629-9632629</f>
        <v>-35000</v>
      </c>
      <c r="L412" s="26"/>
    </row>
    <row r="413" spans="1:8" ht="47.25">
      <c r="A413" s="61" t="s">
        <v>415</v>
      </c>
      <c r="B413" s="4" t="s">
        <v>67</v>
      </c>
      <c r="C413" s="4" t="s">
        <v>255</v>
      </c>
      <c r="D413" s="4" t="s">
        <v>265</v>
      </c>
      <c r="E413" s="4" t="s">
        <v>435</v>
      </c>
      <c r="F413" s="4"/>
      <c r="G413" s="29">
        <f>G414+G415</f>
        <v>154910.62999999998</v>
      </c>
      <c r="H413" s="29"/>
    </row>
    <row r="414" spans="1:12" ht="126">
      <c r="A414" s="61" t="s">
        <v>417</v>
      </c>
      <c r="B414" s="4" t="s">
        <v>67</v>
      </c>
      <c r="C414" s="4" t="s">
        <v>255</v>
      </c>
      <c r="D414" s="4" t="s">
        <v>265</v>
      </c>
      <c r="E414" s="4" t="s">
        <v>435</v>
      </c>
      <c r="F414" s="4" t="s">
        <v>18</v>
      </c>
      <c r="G414" s="29">
        <f>18680+45000-55000-256.67+2647-860</f>
        <v>10210.33</v>
      </c>
      <c r="H414" s="29"/>
      <c r="L414" s="26"/>
    </row>
    <row r="415" spans="1:12" ht="47.25">
      <c r="A415" s="61" t="s">
        <v>306</v>
      </c>
      <c r="B415" s="4" t="s">
        <v>67</v>
      </c>
      <c r="C415" s="4" t="s">
        <v>255</v>
      </c>
      <c r="D415" s="4" t="s">
        <v>265</v>
      </c>
      <c r="E415" s="4" t="s">
        <v>435</v>
      </c>
      <c r="F415" s="4" t="s">
        <v>19</v>
      </c>
      <c r="G415" s="29">
        <f>220310-45000-20297.5-872.2-4045.5-5394.5</f>
        <v>144700.3</v>
      </c>
      <c r="H415" s="29"/>
      <c r="L415" s="26"/>
    </row>
    <row r="416" spans="1:10" ht="110.25">
      <c r="A416" s="3" t="s">
        <v>409</v>
      </c>
      <c r="B416" s="4" t="s">
        <v>67</v>
      </c>
      <c r="C416" s="4" t="s">
        <v>255</v>
      </c>
      <c r="D416" s="4" t="s">
        <v>265</v>
      </c>
      <c r="E416" s="4" t="s">
        <v>436</v>
      </c>
      <c r="F416" s="4"/>
      <c r="G416" s="29">
        <f>G417</f>
        <v>266151.33999999997</v>
      </c>
      <c r="H416" s="29"/>
      <c r="J416" s="26">
        <f>370060-335060</f>
        <v>35000</v>
      </c>
    </row>
    <row r="417" spans="1:12" ht="126">
      <c r="A417" s="3" t="s">
        <v>417</v>
      </c>
      <c r="B417" s="4" t="s">
        <v>67</v>
      </c>
      <c r="C417" s="4" t="s">
        <v>255</v>
      </c>
      <c r="D417" s="4" t="s">
        <v>265</v>
      </c>
      <c r="E417" s="4" t="s">
        <v>436</v>
      </c>
      <c r="F417" s="4" t="s">
        <v>18</v>
      </c>
      <c r="G417" s="29">
        <f>180060+155000+35000-103908.66</f>
        <v>266151.33999999997</v>
      </c>
      <c r="H417" s="29"/>
      <c r="L417" s="26"/>
    </row>
    <row r="418" spans="1:8" ht="31.5">
      <c r="A418" s="1" t="s">
        <v>284</v>
      </c>
      <c r="B418" s="2" t="s">
        <v>67</v>
      </c>
      <c r="C418" s="2" t="s">
        <v>255</v>
      </c>
      <c r="D418" s="2" t="s">
        <v>16</v>
      </c>
      <c r="E418" s="2"/>
      <c r="F418" s="2"/>
      <c r="G418" s="33">
        <f>G423+G419</f>
        <v>721794.51</v>
      </c>
      <c r="H418" s="29"/>
    </row>
    <row r="419" spans="1:8" ht="63">
      <c r="A419" s="27" t="s">
        <v>313</v>
      </c>
      <c r="B419" s="4" t="s">
        <v>67</v>
      </c>
      <c r="C419" s="4" t="s">
        <v>255</v>
      </c>
      <c r="D419" s="4" t="s">
        <v>16</v>
      </c>
      <c r="E419" s="4" t="s">
        <v>314</v>
      </c>
      <c r="F419" s="4"/>
      <c r="G419" s="29">
        <f>G420</f>
        <v>142100</v>
      </c>
      <c r="H419" s="29"/>
    </row>
    <row r="420" spans="1:8" ht="47.25">
      <c r="A420" s="3" t="s">
        <v>130</v>
      </c>
      <c r="B420" s="4" t="s">
        <v>67</v>
      </c>
      <c r="C420" s="4" t="s">
        <v>255</v>
      </c>
      <c r="D420" s="4" t="s">
        <v>16</v>
      </c>
      <c r="E420" s="4" t="s">
        <v>131</v>
      </c>
      <c r="F420" s="4"/>
      <c r="G420" s="29">
        <f>G421</f>
        <v>142100</v>
      </c>
      <c r="H420" s="29"/>
    </row>
    <row r="421" spans="1:8" ht="31.5">
      <c r="A421" s="3" t="s">
        <v>326</v>
      </c>
      <c r="B421" s="4" t="s">
        <v>67</v>
      </c>
      <c r="C421" s="4" t="s">
        <v>255</v>
      </c>
      <c r="D421" s="4" t="s">
        <v>16</v>
      </c>
      <c r="E421" s="4" t="s">
        <v>132</v>
      </c>
      <c r="F421" s="4"/>
      <c r="G421" s="29">
        <f>G422</f>
        <v>142100</v>
      </c>
      <c r="H421" s="29"/>
    </row>
    <row r="422" spans="1:12" ht="47.25">
      <c r="A422" s="3" t="s">
        <v>306</v>
      </c>
      <c r="B422" s="4" t="s">
        <v>67</v>
      </c>
      <c r="C422" s="4" t="s">
        <v>255</v>
      </c>
      <c r="D422" s="4" t="s">
        <v>16</v>
      </c>
      <c r="E422" s="4" t="s">
        <v>132</v>
      </c>
      <c r="F422" s="4" t="s">
        <v>19</v>
      </c>
      <c r="G422" s="29">
        <v>142100</v>
      </c>
      <c r="H422" s="29"/>
      <c r="L422" s="26"/>
    </row>
    <row r="423" spans="1:8" ht="31.5">
      <c r="A423" s="3" t="s">
        <v>389</v>
      </c>
      <c r="B423" s="4" t="s">
        <v>67</v>
      </c>
      <c r="C423" s="4" t="s">
        <v>255</v>
      </c>
      <c r="D423" s="4" t="s">
        <v>16</v>
      </c>
      <c r="E423" s="4" t="s">
        <v>390</v>
      </c>
      <c r="F423" s="62"/>
      <c r="G423" s="29">
        <f>G424+G425</f>
        <v>579694.51</v>
      </c>
      <c r="H423" s="29"/>
    </row>
    <row r="424" spans="1:12" ht="47.25">
      <c r="A424" s="3" t="s">
        <v>306</v>
      </c>
      <c r="B424" s="4" t="s">
        <v>67</v>
      </c>
      <c r="C424" s="4" t="s">
        <v>255</v>
      </c>
      <c r="D424" s="4" t="s">
        <v>16</v>
      </c>
      <c r="E424" s="4" t="s">
        <v>390</v>
      </c>
      <c r="F424" s="4" t="s">
        <v>19</v>
      </c>
      <c r="G424" s="29">
        <f>352558.46+210472.29</f>
        <v>563030.75</v>
      </c>
      <c r="H424" s="29"/>
      <c r="L424" s="26"/>
    </row>
    <row r="425" spans="1:12" ht="15.75">
      <c r="A425" s="3" t="s">
        <v>235</v>
      </c>
      <c r="B425" s="4" t="s">
        <v>67</v>
      </c>
      <c r="C425" s="4" t="s">
        <v>255</v>
      </c>
      <c r="D425" s="4" t="s">
        <v>16</v>
      </c>
      <c r="E425" s="4" t="s">
        <v>390</v>
      </c>
      <c r="F425" s="62">
        <v>800</v>
      </c>
      <c r="G425" s="29">
        <f>10051.17+6612.59</f>
        <v>16663.760000000002</v>
      </c>
      <c r="H425" s="29"/>
      <c r="L425" s="26"/>
    </row>
    <row r="426" spans="1:8" ht="15.75">
      <c r="A426" s="1" t="s">
        <v>276</v>
      </c>
      <c r="B426" s="2" t="s">
        <v>67</v>
      </c>
      <c r="C426" s="2" t="s">
        <v>265</v>
      </c>
      <c r="D426" s="2"/>
      <c r="E426" s="2"/>
      <c r="F426" s="2"/>
      <c r="G426" s="33">
        <f>G427</f>
        <v>420201.44</v>
      </c>
      <c r="H426" s="29"/>
    </row>
    <row r="427" spans="1:8" ht="15.75">
      <c r="A427" s="3" t="s">
        <v>10</v>
      </c>
      <c r="B427" s="4" t="s">
        <v>67</v>
      </c>
      <c r="C427" s="4" t="s">
        <v>265</v>
      </c>
      <c r="D427" s="4" t="s">
        <v>263</v>
      </c>
      <c r="E427" s="4"/>
      <c r="F427" s="4"/>
      <c r="G427" s="29">
        <f>G428</f>
        <v>420201.44</v>
      </c>
      <c r="H427" s="29"/>
    </row>
    <row r="428" spans="1:8" ht="47.25">
      <c r="A428" s="3" t="s">
        <v>307</v>
      </c>
      <c r="B428" s="4" t="s">
        <v>67</v>
      </c>
      <c r="C428" s="4" t="s">
        <v>265</v>
      </c>
      <c r="D428" s="4" t="s">
        <v>263</v>
      </c>
      <c r="E428" s="4" t="s">
        <v>308</v>
      </c>
      <c r="F428" s="4"/>
      <c r="G428" s="29">
        <f>G429</f>
        <v>420201.44</v>
      </c>
      <c r="H428" s="29"/>
    </row>
    <row r="429" spans="1:8" ht="63">
      <c r="A429" s="3" t="s">
        <v>309</v>
      </c>
      <c r="B429" s="4" t="s">
        <v>67</v>
      </c>
      <c r="C429" s="4" t="s">
        <v>265</v>
      </c>
      <c r="D429" s="4" t="s">
        <v>263</v>
      </c>
      <c r="E429" s="4" t="s">
        <v>310</v>
      </c>
      <c r="F429" s="4"/>
      <c r="G429" s="29">
        <f>G430</f>
        <v>420201.44</v>
      </c>
      <c r="H429" s="29"/>
    </row>
    <row r="430" spans="1:8" ht="31.5">
      <c r="A430" s="3" t="s">
        <v>311</v>
      </c>
      <c r="B430" s="4" t="s">
        <v>67</v>
      </c>
      <c r="C430" s="4" t="s">
        <v>265</v>
      </c>
      <c r="D430" s="4" t="s">
        <v>263</v>
      </c>
      <c r="E430" s="4" t="s">
        <v>312</v>
      </c>
      <c r="F430" s="4"/>
      <c r="G430" s="29">
        <f>G431</f>
        <v>420201.44</v>
      </c>
      <c r="H430" s="29"/>
    </row>
    <row r="431" spans="1:12" ht="47.25">
      <c r="A431" s="3" t="s">
        <v>306</v>
      </c>
      <c r="B431" s="4" t="s">
        <v>67</v>
      </c>
      <c r="C431" s="4" t="s">
        <v>265</v>
      </c>
      <c r="D431" s="4" t="s">
        <v>263</v>
      </c>
      <c r="E431" s="4" t="s">
        <v>312</v>
      </c>
      <c r="F431" s="4" t="s">
        <v>19</v>
      </c>
      <c r="G431" s="29">
        <f>417000-7348.56+10550</f>
        <v>420201.44</v>
      </c>
      <c r="H431" s="29"/>
      <c r="L431" s="26"/>
    </row>
    <row r="432" spans="1:8" ht="31.5">
      <c r="A432" s="73" t="s">
        <v>168</v>
      </c>
      <c r="B432" s="2" t="s">
        <v>67</v>
      </c>
      <c r="C432" s="2" t="s">
        <v>16</v>
      </c>
      <c r="D432" s="2"/>
      <c r="E432" s="2"/>
      <c r="F432" s="2"/>
      <c r="G432" s="33">
        <f>G433</f>
        <v>3544242.26</v>
      </c>
      <c r="H432" s="33"/>
    </row>
    <row r="433" spans="1:8" ht="47.25">
      <c r="A433" s="73" t="s">
        <v>103</v>
      </c>
      <c r="B433" s="2" t="s">
        <v>67</v>
      </c>
      <c r="C433" s="2" t="s">
        <v>16</v>
      </c>
      <c r="D433" s="2" t="s">
        <v>255</v>
      </c>
      <c r="E433" s="4"/>
      <c r="F433" s="4"/>
      <c r="G433" s="33">
        <f>G434</f>
        <v>3544242.26</v>
      </c>
      <c r="H433" s="33"/>
    </row>
    <row r="434" spans="1:8" ht="110.25">
      <c r="A434" s="61" t="s">
        <v>6</v>
      </c>
      <c r="B434" s="4" t="s">
        <v>67</v>
      </c>
      <c r="C434" s="4" t="s">
        <v>16</v>
      </c>
      <c r="D434" s="4" t="s">
        <v>255</v>
      </c>
      <c r="E434" s="4" t="s">
        <v>7</v>
      </c>
      <c r="F434" s="4"/>
      <c r="G434" s="29">
        <f>G435</f>
        <v>3544242.26</v>
      </c>
      <c r="H434" s="29"/>
    </row>
    <row r="435" spans="1:8" ht="47.25">
      <c r="A435" s="61" t="s">
        <v>104</v>
      </c>
      <c r="B435" s="4" t="s">
        <v>67</v>
      </c>
      <c r="C435" s="4" t="s">
        <v>16</v>
      </c>
      <c r="D435" s="4" t="s">
        <v>255</v>
      </c>
      <c r="E435" s="4" t="s">
        <v>105</v>
      </c>
      <c r="F435" s="4"/>
      <c r="G435" s="29">
        <f>G436</f>
        <v>3544242.26</v>
      </c>
      <c r="H435" s="29"/>
    </row>
    <row r="436" spans="1:12" ht="31.5">
      <c r="A436" s="61" t="s">
        <v>106</v>
      </c>
      <c r="B436" s="4" t="s">
        <v>67</v>
      </c>
      <c r="C436" s="4" t="s">
        <v>16</v>
      </c>
      <c r="D436" s="4" t="s">
        <v>255</v>
      </c>
      <c r="E436" s="4" t="s">
        <v>107</v>
      </c>
      <c r="F436" s="4"/>
      <c r="G436" s="29">
        <f>G437</f>
        <v>3544242.26</v>
      </c>
      <c r="H436" s="29"/>
      <c r="K436" s="52"/>
      <c r="L436" s="26"/>
    </row>
    <row r="437" spans="1:12" ht="31.5">
      <c r="A437" s="61" t="s">
        <v>298</v>
      </c>
      <c r="B437" s="4" t="s">
        <v>67</v>
      </c>
      <c r="C437" s="4" t="s">
        <v>16</v>
      </c>
      <c r="D437" s="4" t="s">
        <v>255</v>
      </c>
      <c r="E437" s="4" t="s">
        <v>107</v>
      </c>
      <c r="F437" s="4" t="s">
        <v>21</v>
      </c>
      <c r="G437" s="29">
        <f>996619+9680000+3681-3000000-10550-330000-70000-382040-217084.88-2126382.86-1000000</f>
        <v>3544242.26</v>
      </c>
      <c r="H437" s="29"/>
      <c r="J437" s="26">
        <v>-3000000</v>
      </c>
      <c r="L437" s="26"/>
    </row>
    <row r="438" spans="1:12" ht="58.5">
      <c r="A438" s="34" t="s">
        <v>68</v>
      </c>
      <c r="B438" s="11" t="s">
        <v>69</v>
      </c>
      <c r="C438" s="5"/>
      <c r="D438" s="5"/>
      <c r="E438" s="5"/>
      <c r="F438" s="5"/>
      <c r="G438" s="28">
        <f>G471+G554+G439+G464+G458</f>
        <v>1262457932.72</v>
      </c>
      <c r="H438" s="28">
        <f>H471+H554+H439+H464+H458</f>
        <v>657406018</v>
      </c>
      <c r="L438" s="26"/>
    </row>
    <row r="439" spans="1:8" ht="18.75">
      <c r="A439" s="1" t="s">
        <v>274</v>
      </c>
      <c r="B439" s="2" t="s">
        <v>69</v>
      </c>
      <c r="C439" s="2" t="s">
        <v>255</v>
      </c>
      <c r="D439" s="9"/>
      <c r="E439" s="2"/>
      <c r="F439" s="2"/>
      <c r="G439" s="33">
        <f>G440+G452</f>
        <v>13038713</v>
      </c>
      <c r="H439" s="33"/>
    </row>
    <row r="440" spans="1:8" ht="126">
      <c r="A440" s="1" t="s">
        <v>12</v>
      </c>
      <c r="B440" s="2" t="s">
        <v>69</v>
      </c>
      <c r="C440" s="2" t="s">
        <v>255</v>
      </c>
      <c r="D440" s="2" t="s">
        <v>265</v>
      </c>
      <c r="E440" s="2"/>
      <c r="F440" s="2"/>
      <c r="G440" s="33">
        <f>G441</f>
        <v>12523313</v>
      </c>
      <c r="H440" s="33"/>
    </row>
    <row r="441" spans="1:8" ht="47.25">
      <c r="A441" s="3" t="s">
        <v>331</v>
      </c>
      <c r="B441" s="4" t="s">
        <v>69</v>
      </c>
      <c r="C441" s="4" t="s">
        <v>255</v>
      </c>
      <c r="D441" s="4" t="s">
        <v>265</v>
      </c>
      <c r="E441" s="4" t="s">
        <v>332</v>
      </c>
      <c r="F441" s="2"/>
      <c r="G441" s="29">
        <f>G442</f>
        <v>12523313</v>
      </c>
      <c r="H441" s="33"/>
    </row>
    <row r="442" spans="1:8" ht="63">
      <c r="A442" s="21" t="s">
        <v>362</v>
      </c>
      <c r="B442" s="4" t="s">
        <v>69</v>
      </c>
      <c r="C442" s="4" t="s">
        <v>255</v>
      </c>
      <c r="D442" s="4" t="s">
        <v>265</v>
      </c>
      <c r="E442" s="4" t="s">
        <v>363</v>
      </c>
      <c r="F442" s="4"/>
      <c r="G442" s="29">
        <f>G443+G445+G448+G450</f>
        <v>12523313</v>
      </c>
      <c r="H442" s="33"/>
    </row>
    <row r="443" spans="1:8" ht="47.25">
      <c r="A443" s="21" t="s">
        <v>413</v>
      </c>
      <c r="B443" s="4" t="s">
        <v>69</v>
      </c>
      <c r="C443" s="4" t="s">
        <v>255</v>
      </c>
      <c r="D443" s="4" t="s">
        <v>265</v>
      </c>
      <c r="E443" s="4" t="s">
        <v>438</v>
      </c>
      <c r="F443" s="4"/>
      <c r="G443" s="29">
        <f>G444</f>
        <v>11753736.52</v>
      </c>
      <c r="H443" s="33"/>
    </row>
    <row r="444" spans="1:10" ht="126">
      <c r="A444" s="21" t="s">
        <v>417</v>
      </c>
      <c r="B444" s="4" t="s">
        <v>69</v>
      </c>
      <c r="C444" s="4" t="s">
        <v>255</v>
      </c>
      <c r="D444" s="4" t="s">
        <v>265</v>
      </c>
      <c r="E444" s="4" t="s">
        <v>438</v>
      </c>
      <c r="F444" s="4" t="s">
        <v>18</v>
      </c>
      <c r="G444" s="29">
        <f>12186244+140469-566036.37-15742.96+8802.85</f>
        <v>11753736.52</v>
      </c>
      <c r="H444" s="33"/>
      <c r="J444" s="26">
        <v>-15742.96</v>
      </c>
    </row>
    <row r="445" spans="1:8" ht="47.25">
      <c r="A445" s="21" t="s">
        <v>415</v>
      </c>
      <c r="B445" s="4" t="s">
        <v>69</v>
      </c>
      <c r="C445" s="4" t="s">
        <v>255</v>
      </c>
      <c r="D445" s="4" t="s">
        <v>265</v>
      </c>
      <c r="E445" s="4" t="s">
        <v>439</v>
      </c>
      <c r="F445" s="4"/>
      <c r="G445" s="29">
        <f>G446+G447</f>
        <v>217797.87</v>
      </c>
      <c r="H445" s="33"/>
    </row>
    <row r="446" spans="1:10" ht="126">
      <c r="A446" s="21" t="s">
        <v>417</v>
      </c>
      <c r="B446" s="4" t="s">
        <v>69</v>
      </c>
      <c r="C446" s="4" t="s">
        <v>255</v>
      </c>
      <c r="D446" s="4" t="s">
        <v>265</v>
      </c>
      <c r="E446" s="4" t="s">
        <v>439</v>
      </c>
      <c r="F446" s="4" t="s">
        <v>18</v>
      </c>
      <c r="G446" s="29">
        <f>30000+33900-8739.93+282.8</f>
        <v>55442.87</v>
      </c>
      <c r="H446" s="33"/>
      <c r="J446" s="26">
        <v>-8739.93</v>
      </c>
    </row>
    <row r="447" spans="1:10" ht="47.25">
      <c r="A447" s="21" t="s">
        <v>306</v>
      </c>
      <c r="B447" s="4" t="s">
        <v>69</v>
      </c>
      <c r="C447" s="4" t="s">
        <v>255</v>
      </c>
      <c r="D447" s="4" t="s">
        <v>265</v>
      </c>
      <c r="E447" s="4" t="s">
        <v>439</v>
      </c>
      <c r="F447" s="4" t="s">
        <v>19</v>
      </c>
      <c r="G447" s="29">
        <f>196600-33900-22000+21655</f>
        <v>162355</v>
      </c>
      <c r="H447" s="33"/>
      <c r="J447" s="26">
        <v>-22000</v>
      </c>
    </row>
    <row r="448" spans="1:8" ht="126">
      <c r="A448" s="21" t="s">
        <v>437</v>
      </c>
      <c r="B448" s="4" t="s">
        <v>69</v>
      </c>
      <c r="C448" s="4" t="s">
        <v>255</v>
      </c>
      <c r="D448" s="4" t="s">
        <v>265</v>
      </c>
      <c r="E448" s="4" t="s">
        <v>440</v>
      </c>
      <c r="F448" s="4"/>
      <c r="G448" s="29">
        <f>G449</f>
        <v>437810.65</v>
      </c>
      <c r="H448" s="33"/>
    </row>
    <row r="449" spans="1:8" ht="126">
      <c r="A449" s="21" t="s">
        <v>417</v>
      </c>
      <c r="B449" s="4" t="s">
        <v>69</v>
      </c>
      <c r="C449" s="4" t="s">
        <v>255</v>
      </c>
      <c r="D449" s="4" t="s">
        <v>265</v>
      </c>
      <c r="E449" s="4" t="s">
        <v>440</v>
      </c>
      <c r="F449" s="4" t="s">
        <v>18</v>
      </c>
      <c r="G449" s="29">
        <f>437811.37-0.72</f>
        <v>437810.65</v>
      </c>
      <c r="H449" s="33"/>
    </row>
    <row r="450" spans="1:8" ht="110.25">
      <c r="A450" s="21" t="s">
        <v>409</v>
      </c>
      <c r="B450" s="4" t="s">
        <v>69</v>
      </c>
      <c r="C450" s="4" t="s">
        <v>255</v>
      </c>
      <c r="D450" s="4" t="s">
        <v>265</v>
      </c>
      <c r="E450" s="4" t="s">
        <v>441</v>
      </c>
      <c r="F450" s="4"/>
      <c r="G450" s="29">
        <f>G451</f>
        <v>113967.95999999999</v>
      </c>
      <c r="H450" s="33"/>
    </row>
    <row r="451" spans="1:10" ht="126">
      <c r="A451" s="21" t="s">
        <v>417</v>
      </c>
      <c r="B451" s="4" t="s">
        <v>69</v>
      </c>
      <c r="C451" s="4" t="s">
        <v>255</v>
      </c>
      <c r="D451" s="4" t="s">
        <v>265</v>
      </c>
      <c r="E451" s="4" t="s">
        <v>441</v>
      </c>
      <c r="F451" s="4" t="s">
        <v>18</v>
      </c>
      <c r="G451" s="29">
        <f>98225+30739.93+15742.96-30739.93</f>
        <v>113967.95999999999</v>
      </c>
      <c r="H451" s="33"/>
      <c r="J451" s="26">
        <f>30739.93+15742.96</f>
        <v>46482.89</v>
      </c>
    </row>
    <row r="452" spans="1:10" s="16" customFormat="1" ht="31.5">
      <c r="A452" s="1" t="s">
        <v>284</v>
      </c>
      <c r="B452" s="2" t="s">
        <v>69</v>
      </c>
      <c r="C452" s="2" t="s">
        <v>255</v>
      </c>
      <c r="D452" s="2" t="s">
        <v>16</v>
      </c>
      <c r="E452" s="2"/>
      <c r="F452" s="2"/>
      <c r="G452" s="33">
        <f>G453</f>
        <v>515400</v>
      </c>
      <c r="H452" s="33"/>
      <c r="I452" s="48"/>
      <c r="J452" s="48"/>
    </row>
    <row r="453" spans="1:10" ht="63">
      <c r="A453" s="27" t="s">
        <v>313</v>
      </c>
      <c r="B453" s="4" t="s">
        <v>69</v>
      </c>
      <c r="C453" s="4" t="s">
        <v>255</v>
      </c>
      <c r="D453" s="4" t="s">
        <v>16</v>
      </c>
      <c r="E453" s="4" t="s">
        <v>314</v>
      </c>
      <c r="F453" s="4"/>
      <c r="G453" s="29">
        <f>G454</f>
        <v>515400</v>
      </c>
      <c r="H453" s="33"/>
      <c r="J453" s="26"/>
    </row>
    <row r="454" spans="1:10" ht="47.25">
      <c r="A454" s="3" t="s">
        <v>130</v>
      </c>
      <c r="B454" s="4" t="s">
        <v>69</v>
      </c>
      <c r="C454" s="4" t="s">
        <v>255</v>
      </c>
      <c r="D454" s="4" t="s">
        <v>16</v>
      </c>
      <c r="E454" s="4" t="s">
        <v>131</v>
      </c>
      <c r="F454" s="4"/>
      <c r="G454" s="29">
        <f>G455</f>
        <v>515400</v>
      </c>
      <c r="H454" s="33"/>
      <c r="J454" s="26"/>
    </row>
    <row r="455" spans="1:10" ht="31.5">
      <c r="A455" s="3" t="s">
        <v>326</v>
      </c>
      <c r="B455" s="4" t="s">
        <v>69</v>
      </c>
      <c r="C455" s="4" t="s">
        <v>255</v>
      </c>
      <c r="D455" s="4" t="s">
        <v>16</v>
      </c>
      <c r="E455" s="4" t="s">
        <v>132</v>
      </c>
      <c r="F455" s="62"/>
      <c r="G455" s="29">
        <f>G456+G457</f>
        <v>515400</v>
      </c>
      <c r="H455" s="33"/>
      <c r="J455" s="26"/>
    </row>
    <row r="456" spans="1:12" ht="126">
      <c r="A456" s="3" t="s">
        <v>417</v>
      </c>
      <c r="B456" s="4" t="s">
        <v>69</v>
      </c>
      <c r="C456" s="4" t="s">
        <v>255</v>
      </c>
      <c r="D456" s="4" t="s">
        <v>16</v>
      </c>
      <c r="E456" s="4" t="s">
        <v>132</v>
      </c>
      <c r="F456" s="62">
        <v>100</v>
      </c>
      <c r="G456" s="29">
        <v>240000</v>
      </c>
      <c r="H456" s="33"/>
      <c r="J456" s="26"/>
      <c r="L456" s="26"/>
    </row>
    <row r="457" spans="1:12" ht="47.25">
      <c r="A457" s="3" t="s">
        <v>306</v>
      </c>
      <c r="B457" s="4" t="s">
        <v>69</v>
      </c>
      <c r="C457" s="4" t="s">
        <v>255</v>
      </c>
      <c r="D457" s="4" t="s">
        <v>16</v>
      </c>
      <c r="E457" s="4" t="s">
        <v>132</v>
      </c>
      <c r="F457" s="62">
        <v>200</v>
      </c>
      <c r="G457" s="29">
        <v>275400</v>
      </c>
      <c r="H457" s="33"/>
      <c r="J457" s="26"/>
      <c r="L457" s="26"/>
    </row>
    <row r="458" spans="1:8" ht="75">
      <c r="A458" s="10" t="s">
        <v>275</v>
      </c>
      <c r="B458" s="5" t="s">
        <v>69</v>
      </c>
      <c r="C458" s="5" t="s">
        <v>262</v>
      </c>
      <c r="D458" s="5" t="s">
        <v>285</v>
      </c>
      <c r="E458" s="5"/>
      <c r="F458" s="5"/>
      <c r="G458" s="28">
        <f>G459</f>
        <v>850648</v>
      </c>
      <c r="H458" s="28"/>
    </row>
    <row r="459" spans="1:8" ht="63">
      <c r="A459" s="1" t="s">
        <v>289</v>
      </c>
      <c r="B459" s="2" t="s">
        <v>69</v>
      </c>
      <c r="C459" s="2" t="s">
        <v>262</v>
      </c>
      <c r="D459" s="2" t="s">
        <v>243</v>
      </c>
      <c r="E459" s="2"/>
      <c r="F459" s="2"/>
      <c r="G459" s="33">
        <f>G460</f>
        <v>850648</v>
      </c>
      <c r="H459" s="33"/>
    </row>
    <row r="460" spans="1:8" ht="78.75">
      <c r="A460" s="3" t="s">
        <v>115</v>
      </c>
      <c r="B460" s="4" t="s">
        <v>69</v>
      </c>
      <c r="C460" s="4" t="s">
        <v>262</v>
      </c>
      <c r="D460" s="4" t="s">
        <v>243</v>
      </c>
      <c r="E460" s="4" t="s">
        <v>116</v>
      </c>
      <c r="F460" s="4"/>
      <c r="G460" s="29">
        <f>G461</f>
        <v>850648</v>
      </c>
      <c r="H460" s="29"/>
    </row>
    <row r="461" spans="1:8" ht="63">
      <c r="A461" s="3" t="s">
        <v>117</v>
      </c>
      <c r="B461" s="4" t="s">
        <v>69</v>
      </c>
      <c r="C461" s="4" t="s">
        <v>262</v>
      </c>
      <c r="D461" s="4" t="s">
        <v>243</v>
      </c>
      <c r="E461" s="4" t="s">
        <v>118</v>
      </c>
      <c r="F461" s="4"/>
      <c r="G461" s="29">
        <f>G462</f>
        <v>850648</v>
      </c>
      <c r="H461" s="29"/>
    </row>
    <row r="462" spans="1:8" ht="47.25">
      <c r="A462" s="3" t="s">
        <v>119</v>
      </c>
      <c r="B462" s="4" t="s">
        <v>69</v>
      </c>
      <c r="C462" s="4" t="s">
        <v>262</v>
      </c>
      <c r="D462" s="4" t="s">
        <v>243</v>
      </c>
      <c r="E462" s="4" t="s">
        <v>120</v>
      </c>
      <c r="F462" s="4"/>
      <c r="G462" s="29">
        <f>G463</f>
        <v>850648</v>
      </c>
      <c r="H462" s="29"/>
    </row>
    <row r="463" spans="1:8" ht="87" customHeight="1">
      <c r="A463" s="3" t="s">
        <v>330</v>
      </c>
      <c r="B463" s="4" t="s">
        <v>69</v>
      </c>
      <c r="C463" s="4" t="s">
        <v>262</v>
      </c>
      <c r="D463" s="4" t="s">
        <v>243</v>
      </c>
      <c r="E463" s="4" t="s">
        <v>120</v>
      </c>
      <c r="F463" s="4" t="s">
        <v>23</v>
      </c>
      <c r="G463" s="29">
        <f>850648</f>
        <v>850648</v>
      </c>
      <c r="H463" s="29"/>
    </row>
    <row r="464" spans="1:8" ht="15.75">
      <c r="A464" s="13" t="s">
        <v>276</v>
      </c>
      <c r="B464" s="5" t="s">
        <v>69</v>
      </c>
      <c r="C464" s="5" t="s">
        <v>265</v>
      </c>
      <c r="D464" s="5"/>
      <c r="E464" s="5"/>
      <c r="F464" s="5"/>
      <c r="G464" s="28">
        <f>G465</f>
        <v>7001873</v>
      </c>
      <c r="H464" s="28"/>
    </row>
    <row r="465" spans="1:8" ht="15.75">
      <c r="A465" s="3" t="s">
        <v>10</v>
      </c>
      <c r="B465" s="4" t="s">
        <v>69</v>
      </c>
      <c r="C465" s="4" t="s">
        <v>265</v>
      </c>
      <c r="D465" s="4" t="s">
        <v>263</v>
      </c>
      <c r="E465" s="4"/>
      <c r="F465" s="4"/>
      <c r="G465" s="29">
        <f>G466</f>
        <v>7001873</v>
      </c>
      <c r="H465" s="33"/>
    </row>
    <row r="466" spans="1:8" ht="47.25">
      <c r="A466" s="3" t="s">
        <v>307</v>
      </c>
      <c r="B466" s="4" t="s">
        <v>69</v>
      </c>
      <c r="C466" s="4" t="s">
        <v>265</v>
      </c>
      <c r="D466" s="4" t="s">
        <v>263</v>
      </c>
      <c r="E466" s="4" t="s">
        <v>308</v>
      </c>
      <c r="F466" s="4"/>
      <c r="G466" s="29">
        <f>G467</f>
        <v>7001873</v>
      </c>
      <c r="H466" s="33"/>
    </row>
    <row r="467" spans="1:8" ht="63">
      <c r="A467" s="3" t="s">
        <v>309</v>
      </c>
      <c r="B467" s="4" t="s">
        <v>69</v>
      </c>
      <c r="C467" s="4" t="s">
        <v>265</v>
      </c>
      <c r="D467" s="4" t="s">
        <v>263</v>
      </c>
      <c r="E467" s="4" t="s">
        <v>310</v>
      </c>
      <c r="F467" s="4"/>
      <c r="G467" s="29">
        <f>G468</f>
        <v>7001873</v>
      </c>
      <c r="H467" s="33"/>
    </row>
    <row r="468" spans="1:8" ht="31.5">
      <c r="A468" s="3" t="s">
        <v>311</v>
      </c>
      <c r="B468" s="4" t="s">
        <v>69</v>
      </c>
      <c r="C468" s="4" t="s">
        <v>265</v>
      </c>
      <c r="D468" s="4" t="s">
        <v>263</v>
      </c>
      <c r="E468" s="4" t="s">
        <v>312</v>
      </c>
      <c r="F468" s="4"/>
      <c r="G468" s="29">
        <f>G469+G470</f>
        <v>7001873</v>
      </c>
      <c r="H468" s="33"/>
    </row>
    <row r="469" spans="1:8" ht="47.25">
      <c r="A469" s="3" t="s">
        <v>306</v>
      </c>
      <c r="B469" s="4" t="s">
        <v>69</v>
      </c>
      <c r="C469" s="4" t="s">
        <v>265</v>
      </c>
      <c r="D469" s="4" t="s">
        <v>263</v>
      </c>
      <c r="E469" s="4" t="s">
        <v>312</v>
      </c>
      <c r="F469" s="4" t="s">
        <v>19</v>
      </c>
      <c r="G469" s="29">
        <f>544454</f>
        <v>544454</v>
      </c>
      <c r="H469" s="33"/>
    </row>
    <row r="470" spans="1:8" ht="63">
      <c r="A470" s="3" t="s">
        <v>330</v>
      </c>
      <c r="B470" s="4" t="s">
        <v>69</v>
      </c>
      <c r="C470" s="4" t="s">
        <v>265</v>
      </c>
      <c r="D470" s="4" t="s">
        <v>263</v>
      </c>
      <c r="E470" s="4" t="s">
        <v>312</v>
      </c>
      <c r="F470" s="4" t="s">
        <v>23</v>
      </c>
      <c r="G470" s="29">
        <v>6457419</v>
      </c>
      <c r="H470" s="33"/>
    </row>
    <row r="471" spans="1:8" ht="18.75">
      <c r="A471" s="10" t="s">
        <v>266</v>
      </c>
      <c r="B471" s="11" t="s">
        <v>69</v>
      </c>
      <c r="C471" s="11" t="s">
        <v>258</v>
      </c>
      <c r="D471" s="23"/>
      <c r="E471" s="23"/>
      <c r="F471" s="23"/>
      <c r="G471" s="28">
        <f>G493+G516+G523+G472</f>
        <v>1190758202.72</v>
      </c>
      <c r="H471" s="28">
        <f>H493+H516+H523+H472</f>
        <v>606597522</v>
      </c>
    </row>
    <row r="472" spans="1:8" ht="23.25" customHeight="1">
      <c r="A472" s="1" t="s">
        <v>267</v>
      </c>
      <c r="B472" s="2" t="s">
        <v>69</v>
      </c>
      <c r="C472" s="2" t="s">
        <v>258</v>
      </c>
      <c r="D472" s="2" t="s">
        <v>255</v>
      </c>
      <c r="E472" s="2"/>
      <c r="F472" s="4"/>
      <c r="G472" s="29">
        <f>G473+G488</f>
        <v>473756684.97999996</v>
      </c>
      <c r="H472" s="29">
        <f>H473</f>
        <v>282376702</v>
      </c>
    </row>
    <row r="473" spans="1:8" ht="73.5" customHeight="1">
      <c r="A473" s="3" t="s">
        <v>331</v>
      </c>
      <c r="B473" s="4" t="s">
        <v>69</v>
      </c>
      <c r="C473" s="4" t="s">
        <v>258</v>
      </c>
      <c r="D473" s="4" t="s">
        <v>255</v>
      </c>
      <c r="E473" s="4" t="s">
        <v>332</v>
      </c>
      <c r="F473" s="4"/>
      <c r="G473" s="29">
        <f>G474+G483</f>
        <v>473556684.97999996</v>
      </c>
      <c r="H473" s="29">
        <f>H474+H483+H488</f>
        <v>282376702</v>
      </c>
    </row>
    <row r="474" spans="1:8" ht="47.25">
      <c r="A474" s="3" t="s">
        <v>354</v>
      </c>
      <c r="B474" s="4" t="s">
        <v>69</v>
      </c>
      <c r="C474" s="4" t="s">
        <v>258</v>
      </c>
      <c r="D474" s="4" t="s">
        <v>255</v>
      </c>
      <c r="E474" s="4" t="s">
        <v>355</v>
      </c>
      <c r="F474" s="4"/>
      <c r="G474" s="29">
        <f>G481+G477+G479+G475</f>
        <v>465640069.03</v>
      </c>
      <c r="H474" s="29">
        <f>H481+H477+H479+H475</f>
        <v>282276702</v>
      </c>
    </row>
    <row r="475" spans="1:8" ht="110.25">
      <c r="A475" s="3" t="s">
        <v>209</v>
      </c>
      <c r="B475" s="4" t="s">
        <v>69</v>
      </c>
      <c r="C475" s="4" t="s">
        <v>258</v>
      </c>
      <c r="D475" s="4" t="s">
        <v>255</v>
      </c>
      <c r="E475" s="4" t="s">
        <v>210</v>
      </c>
      <c r="F475" s="4"/>
      <c r="G475" s="29">
        <f>G476</f>
        <v>183363367.03</v>
      </c>
      <c r="H475" s="29"/>
    </row>
    <row r="476" spans="1:8" ht="63">
      <c r="A476" s="3" t="s">
        <v>330</v>
      </c>
      <c r="B476" s="4" t="s">
        <v>69</v>
      </c>
      <c r="C476" s="4" t="s">
        <v>258</v>
      </c>
      <c r="D476" s="4" t="s">
        <v>255</v>
      </c>
      <c r="E476" s="4" t="s">
        <v>210</v>
      </c>
      <c r="F476" s="4" t="s">
        <v>23</v>
      </c>
      <c r="G476" s="29">
        <f>182399586+615093+232288.03+116400</f>
        <v>183363367.03</v>
      </c>
      <c r="H476" s="29"/>
    </row>
    <row r="477" spans="1:8" ht="141.75">
      <c r="A477" s="3" t="s">
        <v>59</v>
      </c>
      <c r="B477" s="4" t="s">
        <v>69</v>
      </c>
      <c r="C477" s="4" t="s">
        <v>258</v>
      </c>
      <c r="D477" s="4" t="s">
        <v>255</v>
      </c>
      <c r="E477" s="4" t="s">
        <v>181</v>
      </c>
      <c r="F477" s="4"/>
      <c r="G477" s="29">
        <f>G478</f>
        <v>889602</v>
      </c>
      <c r="H477" s="29">
        <f>H478</f>
        <v>889602</v>
      </c>
    </row>
    <row r="478" spans="1:8" ht="63">
      <c r="A478" s="3" t="s">
        <v>330</v>
      </c>
      <c r="B478" s="4" t="s">
        <v>69</v>
      </c>
      <c r="C478" s="4" t="s">
        <v>258</v>
      </c>
      <c r="D478" s="4" t="s">
        <v>255</v>
      </c>
      <c r="E478" s="4" t="s">
        <v>181</v>
      </c>
      <c r="F478" s="4" t="s">
        <v>23</v>
      </c>
      <c r="G478" s="29">
        <v>889602</v>
      </c>
      <c r="H478" s="29">
        <f>G478</f>
        <v>889602</v>
      </c>
    </row>
    <row r="479" spans="1:8" ht="110.25">
      <c r="A479" s="3" t="s">
        <v>301</v>
      </c>
      <c r="B479" s="4" t="s">
        <v>69</v>
      </c>
      <c r="C479" s="4" t="s">
        <v>258</v>
      </c>
      <c r="D479" s="4" t="s">
        <v>255</v>
      </c>
      <c r="E479" s="4" t="s">
        <v>187</v>
      </c>
      <c r="F479" s="4"/>
      <c r="G479" s="29">
        <f>G480</f>
        <v>4347200</v>
      </c>
      <c r="H479" s="29">
        <f>H480</f>
        <v>4347200</v>
      </c>
    </row>
    <row r="480" spans="1:8" ht="63">
      <c r="A480" s="3" t="s">
        <v>330</v>
      </c>
      <c r="B480" s="4" t="s">
        <v>69</v>
      </c>
      <c r="C480" s="4" t="s">
        <v>258</v>
      </c>
      <c r="D480" s="4" t="s">
        <v>255</v>
      </c>
      <c r="E480" s="4" t="s">
        <v>187</v>
      </c>
      <c r="F480" s="4" t="s">
        <v>23</v>
      </c>
      <c r="G480" s="29">
        <v>4347200</v>
      </c>
      <c r="H480" s="29">
        <f>G480</f>
        <v>4347200</v>
      </c>
    </row>
    <row r="481" spans="1:8" ht="94.5">
      <c r="A481" s="3" t="s">
        <v>356</v>
      </c>
      <c r="B481" s="4" t="s">
        <v>69</v>
      </c>
      <c r="C481" s="4" t="s">
        <v>258</v>
      </c>
      <c r="D481" s="4" t="s">
        <v>255</v>
      </c>
      <c r="E481" s="4" t="s">
        <v>357</v>
      </c>
      <c r="F481" s="4"/>
      <c r="G481" s="29">
        <f>G482</f>
        <v>277039900</v>
      </c>
      <c r="H481" s="29">
        <f>H482</f>
        <v>277039900</v>
      </c>
    </row>
    <row r="482" spans="1:8" ht="63">
      <c r="A482" s="3" t="s">
        <v>330</v>
      </c>
      <c r="B482" s="4" t="s">
        <v>69</v>
      </c>
      <c r="C482" s="4" t="s">
        <v>258</v>
      </c>
      <c r="D482" s="4" t="s">
        <v>255</v>
      </c>
      <c r="E482" s="4" t="s">
        <v>357</v>
      </c>
      <c r="F482" s="4" t="s">
        <v>23</v>
      </c>
      <c r="G482" s="29">
        <f>269133200+7906700</f>
        <v>277039900</v>
      </c>
      <c r="H482" s="29">
        <f>G482</f>
        <v>277039900</v>
      </c>
    </row>
    <row r="483" spans="1:8" ht="63">
      <c r="A483" s="3" t="s">
        <v>57</v>
      </c>
      <c r="B483" s="4" t="s">
        <v>69</v>
      </c>
      <c r="C483" s="4" t="s">
        <v>258</v>
      </c>
      <c r="D483" s="4" t="s">
        <v>255</v>
      </c>
      <c r="E483" s="4" t="s">
        <v>58</v>
      </c>
      <c r="F483" s="4"/>
      <c r="G483" s="29">
        <f>G484+G486</f>
        <v>7916615.95</v>
      </c>
      <c r="H483" s="29"/>
    </row>
    <row r="484" spans="1:8" ht="47.25">
      <c r="A484" s="3" t="s">
        <v>228</v>
      </c>
      <c r="B484" s="4" t="s">
        <v>69</v>
      </c>
      <c r="C484" s="4" t="s">
        <v>258</v>
      </c>
      <c r="D484" s="4" t="s">
        <v>255</v>
      </c>
      <c r="E484" s="4" t="s">
        <v>171</v>
      </c>
      <c r="F484" s="4"/>
      <c r="G484" s="29">
        <f>G485</f>
        <v>5374152.07</v>
      </c>
      <c r="H484" s="29"/>
    </row>
    <row r="485" spans="1:10" ht="63">
      <c r="A485" s="3" t="s">
        <v>330</v>
      </c>
      <c r="B485" s="4" t="s">
        <v>69</v>
      </c>
      <c r="C485" s="4" t="s">
        <v>258</v>
      </c>
      <c r="D485" s="4" t="s">
        <v>255</v>
      </c>
      <c r="E485" s="4" t="s">
        <v>171</v>
      </c>
      <c r="F485" s="4" t="s">
        <v>23</v>
      </c>
      <c r="G485" s="29">
        <f>1374688+958643.75+2092545+1527008.48-1374688+795954.84</f>
        <v>5374152.07</v>
      </c>
      <c r="H485" s="29"/>
      <c r="J485" s="26">
        <v>795954.84</v>
      </c>
    </row>
    <row r="486" spans="1:8" ht="31.5">
      <c r="A486" s="3" t="s">
        <v>311</v>
      </c>
      <c r="B486" s="4" t="s">
        <v>69</v>
      </c>
      <c r="C486" s="4" t="s">
        <v>258</v>
      </c>
      <c r="D486" s="4" t="s">
        <v>255</v>
      </c>
      <c r="E486" s="4" t="s">
        <v>406</v>
      </c>
      <c r="F486" s="4"/>
      <c r="G486" s="29">
        <f>G487</f>
        <v>2542463.88</v>
      </c>
      <c r="H486" s="29"/>
    </row>
    <row r="487" spans="1:10" ht="63">
      <c r="A487" s="3" t="s">
        <v>330</v>
      </c>
      <c r="B487" s="4" t="s">
        <v>69</v>
      </c>
      <c r="C487" s="4" t="s">
        <v>258</v>
      </c>
      <c r="D487" s="4" t="s">
        <v>255</v>
      </c>
      <c r="E487" s="4" t="s">
        <v>406</v>
      </c>
      <c r="F487" s="4" t="s">
        <v>23</v>
      </c>
      <c r="G487" s="29">
        <f>1800000+742463.88</f>
        <v>2542463.88</v>
      </c>
      <c r="H487" s="29"/>
      <c r="J487" s="26">
        <v>742463.88</v>
      </c>
    </row>
    <row r="488" spans="1:8" ht="78.75">
      <c r="A488" s="3" t="s">
        <v>324</v>
      </c>
      <c r="B488" s="4" t="s">
        <v>69</v>
      </c>
      <c r="C488" s="4" t="s">
        <v>258</v>
      </c>
      <c r="D488" s="4" t="s">
        <v>255</v>
      </c>
      <c r="E488" s="4" t="s">
        <v>325</v>
      </c>
      <c r="F488" s="4"/>
      <c r="G488" s="29">
        <f>G491+G489</f>
        <v>200000</v>
      </c>
      <c r="H488" s="29">
        <f>H491+H489</f>
        <v>100000</v>
      </c>
    </row>
    <row r="489" spans="1:8" ht="31.5">
      <c r="A489" s="3" t="s">
        <v>326</v>
      </c>
      <c r="B489" s="4" t="s">
        <v>69</v>
      </c>
      <c r="C489" s="4" t="s">
        <v>258</v>
      </c>
      <c r="D489" s="4" t="s">
        <v>255</v>
      </c>
      <c r="E489" s="4" t="s">
        <v>327</v>
      </c>
      <c r="F489" s="4"/>
      <c r="G489" s="29">
        <f>G490</f>
        <v>100000</v>
      </c>
      <c r="H489" s="29"/>
    </row>
    <row r="490" spans="1:10" ht="63">
      <c r="A490" s="3" t="s">
        <v>330</v>
      </c>
      <c r="B490" s="4" t="s">
        <v>69</v>
      </c>
      <c r="C490" s="4" t="s">
        <v>258</v>
      </c>
      <c r="D490" s="4" t="s">
        <v>255</v>
      </c>
      <c r="E490" s="4" t="s">
        <v>327</v>
      </c>
      <c r="F490" s="4" t="s">
        <v>23</v>
      </c>
      <c r="G490" s="29">
        <f>150000+350000+30000-430000</f>
        <v>100000</v>
      </c>
      <c r="H490" s="29"/>
      <c r="J490" s="26">
        <v>-430000</v>
      </c>
    </row>
    <row r="491" spans="1:8" ht="83.25" customHeight="1">
      <c r="A491" s="3" t="s">
        <v>452</v>
      </c>
      <c r="B491" s="4" t="s">
        <v>69</v>
      </c>
      <c r="C491" s="4" t="s">
        <v>258</v>
      </c>
      <c r="D491" s="4" t="s">
        <v>255</v>
      </c>
      <c r="E491" s="4" t="s">
        <v>453</v>
      </c>
      <c r="F491" s="4"/>
      <c r="G491" s="29">
        <f>G492</f>
        <v>100000</v>
      </c>
      <c r="H491" s="29">
        <f>H492</f>
        <v>100000</v>
      </c>
    </row>
    <row r="492" spans="1:8" ht="63">
      <c r="A492" s="3" t="s">
        <v>330</v>
      </c>
      <c r="B492" s="4" t="s">
        <v>69</v>
      </c>
      <c r="C492" s="4" t="s">
        <v>258</v>
      </c>
      <c r="D492" s="4" t="s">
        <v>255</v>
      </c>
      <c r="E492" s="4" t="s">
        <v>453</v>
      </c>
      <c r="F492" s="4" t="s">
        <v>23</v>
      </c>
      <c r="G492" s="29">
        <v>100000</v>
      </c>
      <c r="H492" s="29">
        <f>G492</f>
        <v>100000</v>
      </c>
    </row>
    <row r="493" spans="1:8" ht="15.75">
      <c r="A493" s="1" t="s">
        <v>268</v>
      </c>
      <c r="B493" s="2" t="s">
        <v>69</v>
      </c>
      <c r="C493" s="2" t="s">
        <v>258</v>
      </c>
      <c r="D493" s="2" t="s">
        <v>260</v>
      </c>
      <c r="E493" s="4"/>
      <c r="F493" s="4"/>
      <c r="G493" s="33">
        <f>G494+G511</f>
        <v>615019952.97</v>
      </c>
      <c r="H493" s="33">
        <f>H494+H511</f>
        <v>304967520</v>
      </c>
    </row>
    <row r="494" spans="1:8" ht="47.25">
      <c r="A494" s="3" t="s">
        <v>331</v>
      </c>
      <c r="B494" s="4" t="s">
        <v>69</v>
      </c>
      <c r="C494" s="4" t="s">
        <v>258</v>
      </c>
      <c r="D494" s="4" t="s">
        <v>260</v>
      </c>
      <c r="E494" s="4" t="s">
        <v>332</v>
      </c>
      <c r="F494" s="4"/>
      <c r="G494" s="29">
        <f>G495+G504</f>
        <v>612719952.97</v>
      </c>
      <c r="H494" s="29">
        <f>H495+H504</f>
        <v>304667520</v>
      </c>
    </row>
    <row r="495" spans="1:8" ht="63">
      <c r="A495" s="3" t="s">
        <v>351</v>
      </c>
      <c r="B495" s="4" t="s">
        <v>69</v>
      </c>
      <c r="C495" s="4" t="s">
        <v>258</v>
      </c>
      <c r="D495" s="4" t="s">
        <v>260</v>
      </c>
      <c r="E495" s="4" t="s">
        <v>352</v>
      </c>
      <c r="F495" s="4"/>
      <c r="G495" s="29">
        <f>G500+G498+G502+G496</f>
        <v>582746510.97</v>
      </c>
      <c r="H495" s="29">
        <f>H500+H498+H502+H496</f>
        <v>304667520</v>
      </c>
    </row>
    <row r="496" spans="1:8" ht="110.25">
      <c r="A496" s="3" t="s">
        <v>209</v>
      </c>
      <c r="B496" s="4" t="s">
        <v>69</v>
      </c>
      <c r="C496" s="4" t="s">
        <v>258</v>
      </c>
      <c r="D496" s="4" t="s">
        <v>260</v>
      </c>
      <c r="E496" s="4" t="s">
        <v>211</v>
      </c>
      <c r="F496" s="4"/>
      <c r="G496" s="29">
        <f>G497</f>
        <v>278078990.97</v>
      </c>
      <c r="H496" s="29"/>
    </row>
    <row r="497" spans="1:8" ht="63">
      <c r="A497" s="3" t="s">
        <v>330</v>
      </c>
      <c r="B497" s="4" t="s">
        <v>69</v>
      </c>
      <c r="C497" s="4" t="s">
        <v>258</v>
      </c>
      <c r="D497" s="4" t="s">
        <v>260</v>
      </c>
      <c r="E497" s="4" t="s">
        <v>211</v>
      </c>
      <c r="F497" s="4" t="s">
        <v>23</v>
      </c>
      <c r="G497" s="29">
        <f>278926372-597511-17582-232288.03</f>
        <v>278078990.97</v>
      </c>
      <c r="H497" s="29"/>
    </row>
    <row r="498" spans="1:8" ht="141.75">
      <c r="A498" s="3" t="s">
        <v>59</v>
      </c>
      <c r="B498" s="4" t="s">
        <v>69</v>
      </c>
      <c r="C498" s="4" t="s">
        <v>258</v>
      </c>
      <c r="D498" s="4" t="s">
        <v>260</v>
      </c>
      <c r="E498" s="4" t="s">
        <v>182</v>
      </c>
      <c r="F498" s="4"/>
      <c r="G498" s="29">
        <f>G499</f>
        <v>223820</v>
      </c>
      <c r="H498" s="29">
        <f>H499</f>
        <v>223820</v>
      </c>
    </row>
    <row r="499" spans="1:8" ht="63">
      <c r="A499" s="3" t="s">
        <v>330</v>
      </c>
      <c r="B499" s="4" t="s">
        <v>69</v>
      </c>
      <c r="C499" s="4" t="s">
        <v>258</v>
      </c>
      <c r="D499" s="4" t="s">
        <v>260</v>
      </c>
      <c r="E499" s="4" t="s">
        <v>182</v>
      </c>
      <c r="F499" s="4" t="s">
        <v>23</v>
      </c>
      <c r="G499" s="29">
        <v>223820</v>
      </c>
      <c r="H499" s="29">
        <f>G499</f>
        <v>223820</v>
      </c>
    </row>
    <row r="500" spans="1:8" ht="123" customHeight="1">
      <c r="A500" s="3" t="s">
        <v>30</v>
      </c>
      <c r="B500" s="4" t="s">
        <v>69</v>
      </c>
      <c r="C500" s="4" t="s">
        <v>258</v>
      </c>
      <c r="D500" s="4" t="s">
        <v>260</v>
      </c>
      <c r="E500" s="4" t="s">
        <v>353</v>
      </c>
      <c r="F500" s="4"/>
      <c r="G500" s="29">
        <f>G501</f>
        <v>294096900</v>
      </c>
      <c r="H500" s="29">
        <f>H501</f>
        <v>294096900</v>
      </c>
    </row>
    <row r="501" spans="1:8" ht="63">
      <c r="A501" s="3" t="s">
        <v>330</v>
      </c>
      <c r="B501" s="4" t="s">
        <v>69</v>
      </c>
      <c r="C501" s="4" t="s">
        <v>258</v>
      </c>
      <c r="D501" s="4" t="s">
        <v>260</v>
      </c>
      <c r="E501" s="4" t="s">
        <v>353</v>
      </c>
      <c r="F501" s="4" t="s">
        <v>23</v>
      </c>
      <c r="G501" s="29">
        <f>304091500-9994600</f>
        <v>294096900</v>
      </c>
      <c r="H501" s="29">
        <f>G501</f>
        <v>294096900</v>
      </c>
    </row>
    <row r="502" spans="1:8" ht="110.25">
      <c r="A502" s="3" t="s">
        <v>301</v>
      </c>
      <c r="B502" s="4" t="s">
        <v>69</v>
      </c>
      <c r="C502" s="4" t="s">
        <v>258</v>
      </c>
      <c r="D502" s="4" t="s">
        <v>260</v>
      </c>
      <c r="E502" s="4" t="s">
        <v>188</v>
      </c>
      <c r="F502" s="4"/>
      <c r="G502" s="29">
        <f>G503</f>
        <v>10346800</v>
      </c>
      <c r="H502" s="29">
        <f>H503</f>
        <v>10346800</v>
      </c>
    </row>
    <row r="503" spans="1:8" ht="63">
      <c r="A503" s="3" t="s">
        <v>330</v>
      </c>
      <c r="B503" s="4" t="s">
        <v>69</v>
      </c>
      <c r="C503" s="4" t="s">
        <v>258</v>
      </c>
      <c r="D503" s="4" t="s">
        <v>260</v>
      </c>
      <c r="E503" s="4" t="s">
        <v>188</v>
      </c>
      <c r="F503" s="4" t="s">
        <v>23</v>
      </c>
      <c r="G503" s="29">
        <v>10346800</v>
      </c>
      <c r="H503" s="29">
        <f>G503</f>
        <v>10346800</v>
      </c>
    </row>
    <row r="504" spans="1:8" ht="63">
      <c r="A504" s="3" t="s">
        <v>57</v>
      </c>
      <c r="B504" s="4" t="s">
        <v>69</v>
      </c>
      <c r="C504" s="4" t="s">
        <v>258</v>
      </c>
      <c r="D504" s="4" t="s">
        <v>260</v>
      </c>
      <c r="E504" s="4" t="s">
        <v>58</v>
      </c>
      <c r="F504" s="4"/>
      <c r="G504" s="29">
        <f>G505+G509+G507</f>
        <v>29973442</v>
      </c>
      <c r="H504" s="29"/>
    </row>
    <row r="505" spans="1:8" ht="47.25">
      <c r="A505" s="3" t="s">
        <v>228</v>
      </c>
      <c r="B505" s="4" t="s">
        <v>69</v>
      </c>
      <c r="C505" s="4" t="s">
        <v>258</v>
      </c>
      <c r="D505" s="4" t="s">
        <v>260</v>
      </c>
      <c r="E505" s="4" t="s">
        <v>171</v>
      </c>
      <c r="F505" s="4"/>
      <c r="G505" s="29">
        <f>G506</f>
        <v>21690799.33</v>
      </c>
      <c r="H505" s="29"/>
    </row>
    <row r="506" spans="1:10" ht="63">
      <c r="A506" s="3" t="s">
        <v>330</v>
      </c>
      <c r="B506" s="4" t="s">
        <v>69</v>
      </c>
      <c r="C506" s="4" t="s">
        <v>258</v>
      </c>
      <c r="D506" s="4" t="s">
        <v>260</v>
      </c>
      <c r="E506" s="4" t="s">
        <v>171</v>
      </c>
      <c r="F506" s="4" t="s">
        <v>23</v>
      </c>
      <c r="G506" s="29">
        <f>598506.25+4258370+413637+178740+214000+12174189.52+2294688+1364268+234424+999245-1039268.44</f>
        <v>21690799.33</v>
      </c>
      <c r="H506" s="29"/>
      <c r="J506" s="26">
        <v>999245</v>
      </c>
    </row>
    <row r="507" spans="1:8" ht="61.5" customHeight="1">
      <c r="A507" s="3" t="s">
        <v>326</v>
      </c>
      <c r="B507" s="4" t="s">
        <v>69</v>
      </c>
      <c r="C507" s="4" t="s">
        <v>258</v>
      </c>
      <c r="D507" s="4" t="s">
        <v>260</v>
      </c>
      <c r="E507" s="4" t="s">
        <v>406</v>
      </c>
      <c r="F507" s="4"/>
      <c r="G507" s="29">
        <f>G508</f>
        <v>8282642.67</v>
      </c>
      <c r="H507" s="29"/>
    </row>
    <row r="508" spans="1:8" ht="81" customHeight="1">
      <c r="A508" s="3" t="s">
        <v>330</v>
      </c>
      <c r="B508" s="4" t="s">
        <v>69</v>
      </c>
      <c r="C508" s="4" t="s">
        <v>258</v>
      </c>
      <c r="D508" s="4" t="s">
        <v>260</v>
      </c>
      <c r="E508" s="4" t="s">
        <v>406</v>
      </c>
      <c r="F508" s="4" t="s">
        <v>23</v>
      </c>
      <c r="G508" s="29">
        <f>2540480+2300000+393630+1834679+419000-614.14+795467.81</f>
        <v>8282642.67</v>
      </c>
      <c r="H508" s="29"/>
    </row>
    <row r="509" spans="1:8" ht="63" hidden="1">
      <c r="A509" s="3" t="s">
        <v>222</v>
      </c>
      <c r="B509" s="4" t="s">
        <v>69</v>
      </c>
      <c r="C509" s="4" t="s">
        <v>258</v>
      </c>
      <c r="D509" s="4" t="s">
        <v>260</v>
      </c>
      <c r="E509" s="4" t="s">
        <v>223</v>
      </c>
      <c r="F509" s="4"/>
      <c r="G509" s="29">
        <f>G510</f>
        <v>0</v>
      </c>
      <c r="H509" s="29"/>
    </row>
    <row r="510" spans="1:8" ht="63" hidden="1">
      <c r="A510" s="3" t="s">
        <v>330</v>
      </c>
      <c r="B510" s="4" t="s">
        <v>69</v>
      </c>
      <c r="C510" s="4" t="s">
        <v>258</v>
      </c>
      <c r="D510" s="4" t="s">
        <v>260</v>
      </c>
      <c r="E510" s="4" t="s">
        <v>223</v>
      </c>
      <c r="F510" s="4" t="s">
        <v>23</v>
      </c>
      <c r="G510" s="29">
        <f>13701198-13701198</f>
        <v>0</v>
      </c>
      <c r="H510" s="29"/>
    </row>
    <row r="511" spans="1:8" ht="78.75">
      <c r="A511" s="3" t="s">
        <v>324</v>
      </c>
      <c r="B511" s="4" t="s">
        <v>69</v>
      </c>
      <c r="C511" s="4" t="s">
        <v>258</v>
      </c>
      <c r="D511" s="4" t="s">
        <v>260</v>
      </c>
      <c r="E511" s="4" t="s">
        <v>325</v>
      </c>
      <c r="F511" s="4"/>
      <c r="G511" s="29">
        <f>G512+G514</f>
        <v>2300000</v>
      </c>
      <c r="H511" s="29">
        <f>H512+H514</f>
        <v>300000</v>
      </c>
    </row>
    <row r="512" spans="1:8" ht="47.25">
      <c r="A512" s="3" t="s">
        <v>228</v>
      </c>
      <c r="B512" s="4" t="s">
        <v>69</v>
      </c>
      <c r="C512" s="4" t="s">
        <v>258</v>
      </c>
      <c r="D512" s="4" t="s">
        <v>260</v>
      </c>
      <c r="E512" s="4" t="s">
        <v>108</v>
      </c>
      <c r="F512" s="4"/>
      <c r="G512" s="29">
        <f>G513</f>
        <v>2000000</v>
      </c>
      <c r="H512" s="29"/>
    </row>
    <row r="513" spans="1:10" ht="63">
      <c r="A513" s="3" t="s">
        <v>330</v>
      </c>
      <c r="B513" s="4" t="s">
        <v>69</v>
      </c>
      <c r="C513" s="4" t="s">
        <v>258</v>
      </c>
      <c r="D513" s="4" t="s">
        <v>260</v>
      </c>
      <c r="E513" s="4" t="s">
        <v>108</v>
      </c>
      <c r="F513" s="4" t="s">
        <v>23</v>
      </c>
      <c r="G513" s="29">
        <f>2600000-920000-480000+800000</f>
        <v>2000000</v>
      </c>
      <c r="H513" s="29"/>
      <c r="J513" s="26">
        <v>800000</v>
      </c>
    </row>
    <row r="514" spans="1:8" ht="63">
      <c r="A514" s="3" t="s">
        <v>452</v>
      </c>
      <c r="B514" s="4" t="s">
        <v>69</v>
      </c>
      <c r="C514" s="4" t="s">
        <v>258</v>
      </c>
      <c r="D514" s="4" t="s">
        <v>260</v>
      </c>
      <c r="E514" s="4" t="s">
        <v>453</v>
      </c>
      <c r="F514" s="4"/>
      <c r="G514" s="29">
        <f>G515</f>
        <v>300000</v>
      </c>
      <c r="H514" s="29">
        <f>H515</f>
        <v>300000</v>
      </c>
    </row>
    <row r="515" spans="1:8" ht="63">
      <c r="A515" s="3" t="s">
        <v>330</v>
      </c>
      <c r="B515" s="4" t="s">
        <v>69</v>
      </c>
      <c r="C515" s="4" t="s">
        <v>258</v>
      </c>
      <c r="D515" s="4" t="s">
        <v>260</v>
      </c>
      <c r="E515" s="4" t="s">
        <v>453</v>
      </c>
      <c r="F515" s="4" t="s">
        <v>23</v>
      </c>
      <c r="G515" s="29">
        <v>300000</v>
      </c>
      <c r="H515" s="29">
        <f>G515</f>
        <v>300000</v>
      </c>
    </row>
    <row r="516" spans="1:8" ht="31.5">
      <c r="A516" s="13" t="s">
        <v>61</v>
      </c>
      <c r="B516" s="5" t="s">
        <v>69</v>
      </c>
      <c r="C516" s="5" t="s">
        <v>258</v>
      </c>
      <c r="D516" s="5" t="s">
        <v>258</v>
      </c>
      <c r="E516" s="23"/>
      <c r="F516" s="23"/>
      <c r="G516" s="28">
        <f aca="true" t="shared" si="5" ref="G516:H519">G517</f>
        <v>12783339</v>
      </c>
      <c r="H516" s="28">
        <f t="shared" si="5"/>
        <v>3072400</v>
      </c>
    </row>
    <row r="517" spans="1:8" ht="47.25">
      <c r="A517" s="3" t="s">
        <v>331</v>
      </c>
      <c r="B517" s="4" t="s">
        <v>69</v>
      </c>
      <c r="C517" s="4" t="s">
        <v>258</v>
      </c>
      <c r="D517" s="4" t="s">
        <v>258</v>
      </c>
      <c r="E517" s="4" t="s">
        <v>332</v>
      </c>
      <c r="F517" s="4"/>
      <c r="G517" s="29">
        <f>G518</f>
        <v>12783339</v>
      </c>
      <c r="H517" s="29">
        <f>H518</f>
        <v>3072400</v>
      </c>
    </row>
    <row r="518" spans="1:8" ht="61.5" customHeight="1">
      <c r="A518" s="3" t="s">
        <v>219</v>
      </c>
      <c r="B518" s="4" t="s">
        <v>69</v>
      </c>
      <c r="C518" s="4" t="s">
        <v>258</v>
      </c>
      <c r="D518" s="4" t="s">
        <v>258</v>
      </c>
      <c r="E518" s="4" t="s">
        <v>220</v>
      </c>
      <c r="F518" s="4"/>
      <c r="G518" s="29">
        <f>G519+G521</f>
        <v>12783339</v>
      </c>
      <c r="H518" s="29">
        <f>H519+H521</f>
        <v>3072400</v>
      </c>
    </row>
    <row r="519" spans="1:8" ht="94.5">
      <c r="A519" s="3" t="s">
        <v>238</v>
      </c>
      <c r="B519" s="4" t="s">
        <v>69</v>
      </c>
      <c r="C519" s="4" t="s">
        <v>258</v>
      </c>
      <c r="D519" s="4" t="s">
        <v>258</v>
      </c>
      <c r="E519" s="4" t="s">
        <v>345</v>
      </c>
      <c r="F519" s="4"/>
      <c r="G519" s="29">
        <f t="shared" si="5"/>
        <v>3072400</v>
      </c>
      <c r="H519" s="29">
        <f t="shared" si="5"/>
        <v>3072400</v>
      </c>
    </row>
    <row r="520" spans="1:8" ht="63">
      <c r="A520" s="3" t="s">
        <v>330</v>
      </c>
      <c r="B520" s="4" t="s">
        <v>69</v>
      </c>
      <c r="C520" s="4" t="s">
        <v>258</v>
      </c>
      <c r="D520" s="4" t="s">
        <v>258</v>
      </c>
      <c r="E520" s="4" t="s">
        <v>345</v>
      </c>
      <c r="F520" s="4" t="s">
        <v>23</v>
      </c>
      <c r="G520" s="29">
        <v>3072400</v>
      </c>
      <c r="H520" s="29">
        <f>G520</f>
        <v>3072400</v>
      </c>
    </row>
    <row r="521" spans="1:8" ht="31.5">
      <c r="A521" s="3" t="s">
        <v>326</v>
      </c>
      <c r="B521" s="4" t="s">
        <v>69</v>
      </c>
      <c r="C521" s="4" t="s">
        <v>258</v>
      </c>
      <c r="D521" s="4" t="s">
        <v>258</v>
      </c>
      <c r="E521" s="4" t="s">
        <v>221</v>
      </c>
      <c r="F521" s="4"/>
      <c r="G521" s="29">
        <f>G522</f>
        <v>9710939</v>
      </c>
      <c r="H521" s="29"/>
    </row>
    <row r="522" spans="1:8" ht="63">
      <c r="A522" s="3" t="s">
        <v>330</v>
      </c>
      <c r="B522" s="4" t="s">
        <v>69</v>
      </c>
      <c r="C522" s="4" t="s">
        <v>258</v>
      </c>
      <c r="D522" s="4" t="s">
        <v>258</v>
      </c>
      <c r="E522" s="4" t="s">
        <v>221</v>
      </c>
      <c r="F522" s="4" t="s">
        <v>23</v>
      </c>
      <c r="G522" s="29">
        <f>7560259+2150680</f>
        <v>9710939</v>
      </c>
      <c r="H522" s="29"/>
    </row>
    <row r="523" spans="1:8" ht="31.5">
      <c r="A523" s="13" t="s">
        <v>279</v>
      </c>
      <c r="B523" s="5" t="s">
        <v>69</v>
      </c>
      <c r="C523" s="5" t="s">
        <v>258</v>
      </c>
      <c r="D523" s="5" t="s">
        <v>261</v>
      </c>
      <c r="E523" s="23"/>
      <c r="F523" s="23"/>
      <c r="G523" s="28">
        <f>G524+G545+G541+G549</f>
        <v>89198225.77</v>
      </c>
      <c r="H523" s="28">
        <f>H524+H545</f>
        <v>16180900</v>
      </c>
    </row>
    <row r="524" spans="1:8" ht="69" customHeight="1">
      <c r="A524" s="3" t="s">
        <v>331</v>
      </c>
      <c r="B524" s="4" t="s">
        <v>69</v>
      </c>
      <c r="C524" s="4" t="s">
        <v>258</v>
      </c>
      <c r="D524" s="4" t="s">
        <v>261</v>
      </c>
      <c r="E524" s="4" t="s">
        <v>332</v>
      </c>
      <c r="F524" s="4"/>
      <c r="G524" s="29">
        <f>G534+G525+G528+G531</f>
        <v>82369086</v>
      </c>
      <c r="H524" s="29">
        <f>H534+H525</f>
        <v>16180900</v>
      </c>
    </row>
    <row r="525" spans="1:8" ht="119.25" customHeight="1">
      <c r="A525" s="3" t="s">
        <v>351</v>
      </c>
      <c r="B525" s="4" t="s">
        <v>69</v>
      </c>
      <c r="C525" s="4" t="s">
        <v>258</v>
      </c>
      <c r="D525" s="4" t="s">
        <v>261</v>
      </c>
      <c r="E525" s="4" t="s">
        <v>352</v>
      </c>
      <c r="F525" s="4"/>
      <c r="G525" s="29">
        <f>G526</f>
        <v>8027246</v>
      </c>
      <c r="H525" s="29"/>
    </row>
    <row r="526" spans="1:8" ht="130.5" customHeight="1">
      <c r="A526" s="3" t="s">
        <v>209</v>
      </c>
      <c r="B526" s="4" t="s">
        <v>69</v>
      </c>
      <c r="C526" s="4" t="s">
        <v>258</v>
      </c>
      <c r="D526" s="4" t="s">
        <v>261</v>
      </c>
      <c r="E526" s="4" t="s">
        <v>211</v>
      </c>
      <c r="F526" s="4"/>
      <c r="G526" s="29">
        <f>G527</f>
        <v>8027246</v>
      </c>
      <c r="H526" s="29"/>
    </row>
    <row r="527" spans="1:8" ht="84.75" customHeight="1">
      <c r="A527" s="3" t="s">
        <v>330</v>
      </c>
      <c r="B527" s="4" t="s">
        <v>69</v>
      </c>
      <c r="C527" s="4" t="s">
        <v>258</v>
      </c>
      <c r="D527" s="4" t="s">
        <v>261</v>
      </c>
      <c r="E527" s="4" t="s">
        <v>211</v>
      </c>
      <c r="F527" s="4" t="s">
        <v>23</v>
      </c>
      <c r="G527" s="29">
        <v>8027246</v>
      </c>
      <c r="H527" s="29"/>
    </row>
    <row r="528" spans="1:8" ht="122.25" customHeight="1">
      <c r="A528" s="3" t="s">
        <v>212</v>
      </c>
      <c r="B528" s="4" t="s">
        <v>69</v>
      </c>
      <c r="C528" s="4" t="s">
        <v>258</v>
      </c>
      <c r="D528" s="4" t="s">
        <v>261</v>
      </c>
      <c r="E528" s="4" t="s">
        <v>213</v>
      </c>
      <c r="F528" s="4"/>
      <c r="G528" s="29">
        <f>G529</f>
        <v>23839977</v>
      </c>
      <c r="H528" s="29"/>
    </row>
    <row r="529" spans="1:8" ht="131.25" customHeight="1">
      <c r="A529" s="3" t="s">
        <v>209</v>
      </c>
      <c r="B529" s="4" t="s">
        <v>69</v>
      </c>
      <c r="C529" s="4" t="s">
        <v>258</v>
      </c>
      <c r="D529" s="4" t="s">
        <v>261</v>
      </c>
      <c r="E529" s="4" t="s">
        <v>214</v>
      </c>
      <c r="F529" s="4"/>
      <c r="G529" s="29">
        <f>G530</f>
        <v>23839977</v>
      </c>
      <c r="H529" s="29"/>
    </row>
    <row r="530" spans="1:8" ht="93.75" customHeight="1">
      <c r="A530" s="3" t="s">
        <v>330</v>
      </c>
      <c r="B530" s="4" t="s">
        <v>69</v>
      </c>
      <c r="C530" s="4" t="s">
        <v>258</v>
      </c>
      <c r="D530" s="4" t="s">
        <v>261</v>
      </c>
      <c r="E530" s="4" t="s">
        <v>214</v>
      </c>
      <c r="F530" s="4" t="s">
        <v>23</v>
      </c>
      <c r="G530" s="29">
        <v>23839977</v>
      </c>
      <c r="H530" s="29"/>
    </row>
    <row r="531" spans="1:8" ht="101.25" customHeight="1">
      <c r="A531" s="3" t="s">
        <v>215</v>
      </c>
      <c r="B531" s="4" t="s">
        <v>69</v>
      </c>
      <c r="C531" s="4" t="s">
        <v>258</v>
      </c>
      <c r="D531" s="4" t="s">
        <v>261</v>
      </c>
      <c r="E531" s="4" t="s">
        <v>216</v>
      </c>
      <c r="F531" s="4"/>
      <c r="G531" s="29">
        <f>G532</f>
        <v>28400869</v>
      </c>
      <c r="H531" s="29"/>
    </row>
    <row r="532" spans="1:8" ht="93.75" customHeight="1">
      <c r="A532" s="3" t="s">
        <v>209</v>
      </c>
      <c r="B532" s="4" t="s">
        <v>69</v>
      </c>
      <c r="C532" s="4" t="s">
        <v>258</v>
      </c>
      <c r="D532" s="4" t="s">
        <v>261</v>
      </c>
      <c r="E532" s="4" t="s">
        <v>217</v>
      </c>
      <c r="F532" s="4"/>
      <c r="G532" s="29">
        <f>G533</f>
        <v>28400869</v>
      </c>
      <c r="H532" s="29"/>
    </row>
    <row r="533" spans="1:8" ht="93.75" customHeight="1">
      <c r="A533" s="3" t="s">
        <v>330</v>
      </c>
      <c r="B533" s="4" t="s">
        <v>69</v>
      </c>
      <c r="C533" s="4" t="s">
        <v>258</v>
      </c>
      <c r="D533" s="4" t="s">
        <v>261</v>
      </c>
      <c r="E533" s="4" t="s">
        <v>217</v>
      </c>
      <c r="F533" s="4" t="s">
        <v>23</v>
      </c>
      <c r="G533" s="29">
        <v>28400869</v>
      </c>
      <c r="H533" s="29"/>
    </row>
    <row r="534" spans="1:8" ht="39" customHeight="1">
      <c r="A534" s="3" t="s">
        <v>333</v>
      </c>
      <c r="B534" s="4" t="s">
        <v>69</v>
      </c>
      <c r="C534" s="4" t="s">
        <v>258</v>
      </c>
      <c r="D534" s="4" t="s">
        <v>261</v>
      </c>
      <c r="E534" s="4" t="s">
        <v>335</v>
      </c>
      <c r="F534" s="4"/>
      <c r="G534" s="29">
        <f>G537+G539+G535</f>
        <v>22100994</v>
      </c>
      <c r="H534" s="29">
        <f>H537+H539</f>
        <v>16180900</v>
      </c>
    </row>
    <row r="535" spans="1:8" ht="139.5" customHeight="1">
      <c r="A535" s="3" t="s">
        <v>209</v>
      </c>
      <c r="B535" s="4" t="s">
        <v>69</v>
      </c>
      <c r="C535" s="4" t="s">
        <v>258</v>
      </c>
      <c r="D535" s="4" t="s">
        <v>261</v>
      </c>
      <c r="E535" s="4" t="s">
        <v>218</v>
      </c>
      <c r="F535" s="4"/>
      <c r="G535" s="29">
        <f>G536</f>
        <v>5920094</v>
      </c>
      <c r="H535" s="29"/>
    </row>
    <row r="536" spans="1:8" ht="96.75" customHeight="1">
      <c r="A536" s="3" t="s">
        <v>330</v>
      </c>
      <c r="B536" s="4" t="s">
        <v>69</v>
      </c>
      <c r="C536" s="4" t="s">
        <v>258</v>
      </c>
      <c r="D536" s="4" t="s">
        <v>261</v>
      </c>
      <c r="E536" s="4" t="s">
        <v>218</v>
      </c>
      <c r="F536" s="4" t="s">
        <v>23</v>
      </c>
      <c r="G536" s="29">
        <f>8070774-2150680</f>
        <v>5920094</v>
      </c>
      <c r="H536" s="29"/>
    </row>
    <row r="537" spans="1:8" ht="165" customHeight="1">
      <c r="A537" s="3" t="s">
        <v>170</v>
      </c>
      <c r="B537" s="4" t="s">
        <v>69</v>
      </c>
      <c r="C537" s="4" t="s">
        <v>258</v>
      </c>
      <c r="D537" s="4" t="s">
        <v>261</v>
      </c>
      <c r="E537" s="4" t="s">
        <v>334</v>
      </c>
      <c r="F537" s="4"/>
      <c r="G537" s="29">
        <f>G538</f>
        <v>905200</v>
      </c>
      <c r="H537" s="29">
        <f>H538</f>
        <v>905200</v>
      </c>
    </row>
    <row r="538" spans="1:8" ht="63">
      <c r="A538" s="3" t="s">
        <v>330</v>
      </c>
      <c r="B538" s="4" t="s">
        <v>69</v>
      </c>
      <c r="C538" s="4" t="s">
        <v>258</v>
      </c>
      <c r="D538" s="4" t="s">
        <v>261</v>
      </c>
      <c r="E538" s="4" t="s">
        <v>334</v>
      </c>
      <c r="F538" s="4" t="s">
        <v>23</v>
      </c>
      <c r="G538" s="29">
        <v>905200</v>
      </c>
      <c r="H538" s="29">
        <f>G538</f>
        <v>905200</v>
      </c>
    </row>
    <row r="539" spans="1:8" ht="47.25">
      <c r="A539" s="3" t="s">
        <v>294</v>
      </c>
      <c r="B539" s="4" t="s">
        <v>69</v>
      </c>
      <c r="C539" s="4" t="s">
        <v>258</v>
      </c>
      <c r="D539" s="4" t="s">
        <v>261</v>
      </c>
      <c r="E539" s="4" t="s">
        <v>361</v>
      </c>
      <c r="F539" s="4"/>
      <c r="G539" s="29">
        <f>G540</f>
        <v>15275700</v>
      </c>
      <c r="H539" s="29">
        <f>H540</f>
        <v>15275700</v>
      </c>
    </row>
    <row r="540" spans="1:8" ht="63">
      <c r="A540" s="3" t="s">
        <v>330</v>
      </c>
      <c r="B540" s="4" t="s">
        <v>69</v>
      </c>
      <c r="C540" s="4" t="s">
        <v>258</v>
      </c>
      <c r="D540" s="4" t="s">
        <v>261</v>
      </c>
      <c r="E540" s="4" t="s">
        <v>361</v>
      </c>
      <c r="F540" s="4" t="s">
        <v>23</v>
      </c>
      <c r="G540" s="29">
        <v>15275700</v>
      </c>
      <c r="H540" s="29">
        <f>G540</f>
        <v>15275700</v>
      </c>
    </row>
    <row r="541" spans="1:8" ht="78.75">
      <c r="A541" s="3" t="s">
        <v>343</v>
      </c>
      <c r="B541" s="4" t="s">
        <v>69</v>
      </c>
      <c r="C541" s="4" t="s">
        <v>258</v>
      </c>
      <c r="D541" s="4" t="s">
        <v>261</v>
      </c>
      <c r="E541" s="4" t="s">
        <v>344</v>
      </c>
      <c r="F541" s="4"/>
      <c r="G541" s="29">
        <f>G542</f>
        <v>61750</v>
      </c>
      <c r="H541" s="29"/>
    </row>
    <row r="542" spans="1:8" ht="15.75">
      <c r="A542" s="61" t="s">
        <v>159</v>
      </c>
      <c r="B542" s="4" t="s">
        <v>69</v>
      </c>
      <c r="C542" s="4" t="s">
        <v>258</v>
      </c>
      <c r="D542" s="4" t="s">
        <v>261</v>
      </c>
      <c r="E542" s="4" t="s">
        <v>160</v>
      </c>
      <c r="F542" s="4"/>
      <c r="G542" s="29">
        <f>G543</f>
        <v>61750</v>
      </c>
      <c r="H542" s="29"/>
    </row>
    <row r="543" spans="1:8" ht="31.5">
      <c r="A543" s="3" t="s">
        <v>326</v>
      </c>
      <c r="B543" s="4" t="s">
        <v>69</v>
      </c>
      <c r="C543" s="4" t="s">
        <v>258</v>
      </c>
      <c r="D543" s="4" t="s">
        <v>261</v>
      </c>
      <c r="E543" s="4" t="s">
        <v>161</v>
      </c>
      <c r="F543" s="4"/>
      <c r="G543" s="29">
        <f>G544</f>
        <v>61750</v>
      </c>
      <c r="H543" s="29"/>
    </row>
    <row r="544" spans="1:8" ht="63">
      <c r="A544" s="3" t="s">
        <v>330</v>
      </c>
      <c r="B544" s="4" t="s">
        <v>69</v>
      </c>
      <c r="C544" s="4" t="s">
        <v>258</v>
      </c>
      <c r="D544" s="4" t="s">
        <v>261</v>
      </c>
      <c r="E544" s="4" t="s">
        <v>161</v>
      </c>
      <c r="F544" s="4" t="s">
        <v>23</v>
      </c>
      <c r="G544" s="29">
        <v>61750</v>
      </c>
      <c r="H544" s="29"/>
    </row>
    <row r="545" spans="1:8" ht="78.75">
      <c r="A545" s="3" t="s">
        <v>115</v>
      </c>
      <c r="B545" s="4" t="s">
        <v>69</v>
      </c>
      <c r="C545" s="4" t="s">
        <v>258</v>
      </c>
      <c r="D545" s="4" t="s">
        <v>261</v>
      </c>
      <c r="E545" s="4" t="s">
        <v>116</v>
      </c>
      <c r="F545" s="4"/>
      <c r="G545" s="29">
        <f>G546</f>
        <v>153800</v>
      </c>
      <c r="H545" s="29"/>
    </row>
    <row r="546" spans="1:8" ht="78.75">
      <c r="A546" s="3" t="s">
        <v>121</v>
      </c>
      <c r="B546" s="4" t="s">
        <v>69</v>
      </c>
      <c r="C546" s="4" t="s">
        <v>258</v>
      </c>
      <c r="D546" s="4" t="s">
        <v>261</v>
      </c>
      <c r="E546" s="4" t="s">
        <v>122</v>
      </c>
      <c r="F546" s="4"/>
      <c r="G546" s="29">
        <f>G547</f>
        <v>153800</v>
      </c>
      <c r="H546" s="29"/>
    </row>
    <row r="547" spans="1:8" ht="31.5">
      <c r="A547" s="3" t="s">
        <v>326</v>
      </c>
      <c r="B547" s="4" t="s">
        <v>69</v>
      </c>
      <c r="C547" s="4" t="s">
        <v>258</v>
      </c>
      <c r="D547" s="4" t="s">
        <v>261</v>
      </c>
      <c r="E547" s="4" t="s">
        <v>123</v>
      </c>
      <c r="F547" s="4"/>
      <c r="G547" s="29">
        <f>G548</f>
        <v>153800</v>
      </c>
      <c r="H547" s="29"/>
    </row>
    <row r="548" spans="1:8" ht="63">
      <c r="A548" s="3" t="s">
        <v>330</v>
      </c>
      <c r="B548" s="4" t="s">
        <v>69</v>
      </c>
      <c r="C548" s="4" t="s">
        <v>258</v>
      </c>
      <c r="D548" s="4" t="s">
        <v>261</v>
      </c>
      <c r="E548" s="4" t="s">
        <v>123</v>
      </c>
      <c r="F548" s="4" t="s">
        <v>23</v>
      </c>
      <c r="G548" s="29">
        <f>1953800-1800000</f>
        <v>153800</v>
      </c>
      <c r="H548" s="29"/>
    </row>
    <row r="549" spans="1:8" ht="63">
      <c r="A549" s="3" t="s">
        <v>71</v>
      </c>
      <c r="B549" s="4" t="s">
        <v>69</v>
      </c>
      <c r="C549" s="4" t="s">
        <v>258</v>
      </c>
      <c r="D549" s="4" t="s">
        <v>261</v>
      </c>
      <c r="E549" s="4" t="s">
        <v>72</v>
      </c>
      <c r="F549" s="4"/>
      <c r="G549" s="29">
        <f>G550+G552</f>
        <v>6613589.77</v>
      </c>
      <c r="H549" s="29"/>
    </row>
    <row r="550" spans="1:8" ht="47.25">
      <c r="A550" s="3" t="s">
        <v>228</v>
      </c>
      <c r="B550" s="4" t="s">
        <v>69</v>
      </c>
      <c r="C550" s="4" t="s">
        <v>258</v>
      </c>
      <c r="D550" s="4" t="s">
        <v>261</v>
      </c>
      <c r="E550" s="4" t="s">
        <v>73</v>
      </c>
      <c r="F550" s="4"/>
      <c r="G550" s="29">
        <f>G551</f>
        <v>3505086.39</v>
      </c>
      <c r="H550" s="29"/>
    </row>
    <row r="551" spans="1:10" ht="63">
      <c r="A551" s="3" t="s">
        <v>330</v>
      </c>
      <c r="B551" s="4" t="s">
        <v>69</v>
      </c>
      <c r="C551" s="4" t="s">
        <v>258</v>
      </c>
      <c r="D551" s="4" t="s">
        <v>261</v>
      </c>
      <c r="E551" s="4" t="s">
        <v>73</v>
      </c>
      <c r="F551" s="4" t="s">
        <v>23</v>
      </c>
      <c r="G551" s="29">
        <f>2780000+1446355-628268.61-93000</f>
        <v>3505086.39</v>
      </c>
      <c r="H551" s="29"/>
      <c r="J551" s="26">
        <f>-628268.61-93000</f>
        <v>-721268.61</v>
      </c>
    </row>
    <row r="552" spans="1:8" ht="31.5">
      <c r="A552" s="3" t="s">
        <v>326</v>
      </c>
      <c r="B552" s="4" t="s">
        <v>69</v>
      </c>
      <c r="C552" s="4" t="s">
        <v>258</v>
      </c>
      <c r="D552" s="4" t="s">
        <v>261</v>
      </c>
      <c r="E552" s="4" t="s">
        <v>74</v>
      </c>
      <c r="F552" s="4"/>
      <c r="G552" s="29">
        <f>G553</f>
        <v>3108503.38</v>
      </c>
      <c r="H552" s="29"/>
    </row>
    <row r="553" spans="1:10" ht="63">
      <c r="A553" s="3" t="s">
        <v>330</v>
      </c>
      <c r="B553" s="4" t="s">
        <v>69</v>
      </c>
      <c r="C553" s="4" t="s">
        <v>258</v>
      </c>
      <c r="D553" s="4" t="s">
        <v>261</v>
      </c>
      <c r="E553" s="4" t="s">
        <v>74</v>
      </c>
      <c r="F553" s="4" t="s">
        <v>23</v>
      </c>
      <c r="G553" s="29">
        <f>4075575-1446355+272468.61+78800+128014.77</f>
        <v>3108503.38</v>
      </c>
      <c r="H553" s="29"/>
      <c r="J553" s="26">
        <f>272468.61+78800</f>
        <v>351268.61</v>
      </c>
    </row>
    <row r="554" spans="1:8" ht="15.75">
      <c r="A554" s="13" t="s">
        <v>269</v>
      </c>
      <c r="B554" s="5" t="s">
        <v>69</v>
      </c>
      <c r="C554" s="5" t="s">
        <v>263</v>
      </c>
      <c r="D554" s="5"/>
      <c r="E554" s="5"/>
      <c r="F554" s="5"/>
      <c r="G554" s="28">
        <f>G555+G576</f>
        <v>50808496</v>
      </c>
      <c r="H554" s="28">
        <f>H555+H576</f>
        <v>50808496</v>
      </c>
    </row>
    <row r="555" spans="1:8" ht="31.5">
      <c r="A555" s="1" t="s">
        <v>281</v>
      </c>
      <c r="B555" s="2" t="s">
        <v>69</v>
      </c>
      <c r="C555" s="2" t="s">
        <v>263</v>
      </c>
      <c r="D555" s="2" t="s">
        <v>262</v>
      </c>
      <c r="E555" s="2"/>
      <c r="F555" s="2"/>
      <c r="G555" s="33">
        <f>G556</f>
        <v>5108096</v>
      </c>
      <c r="H555" s="33">
        <f>H556</f>
        <v>5108096</v>
      </c>
    </row>
    <row r="556" spans="1:8" ht="69" customHeight="1">
      <c r="A556" s="3" t="s">
        <v>331</v>
      </c>
      <c r="B556" s="4" t="s">
        <v>69</v>
      </c>
      <c r="C556" s="4" t="s">
        <v>263</v>
      </c>
      <c r="D556" s="4" t="s">
        <v>262</v>
      </c>
      <c r="E556" s="4" t="s">
        <v>332</v>
      </c>
      <c r="F556" s="4"/>
      <c r="G556" s="29">
        <f>G567+G557+G562</f>
        <v>5108096</v>
      </c>
      <c r="H556" s="29">
        <f>H567+H557+H562</f>
        <v>5108096</v>
      </c>
    </row>
    <row r="557" spans="1:8" ht="57" customHeight="1">
      <c r="A557" s="3" t="s">
        <v>354</v>
      </c>
      <c r="B557" s="4" t="s">
        <v>69</v>
      </c>
      <c r="C557" s="4" t="s">
        <v>263</v>
      </c>
      <c r="D557" s="4" t="s">
        <v>262</v>
      </c>
      <c r="E557" s="4" t="s">
        <v>355</v>
      </c>
      <c r="F557" s="4"/>
      <c r="G557" s="29">
        <f>G560+G558</f>
        <v>1175096</v>
      </c>
      <c r="H557" s="29">
        <f>H560+H558</f>
        <v>1175096</v>
      </c>
    </row>
    <row r="558" spans="1:8" ht="168.75" customHeight="1">
      <c r="A558" s="3" t="s">
        <v>202</v>
      </c>
      <c r="B558" s="4" t="s">
        <v>69</v>
      </c>
      <c r="C558" s="4" t="s">
        <v>263</v>
      </c>
      <c r="D558" s="4" t="s">
        <v>262</v>
      </c>
      <c r="E558" s="4" t="s">
        <v>205</v>
      </c>
      <c r="F558" s="4"/>
      <c r="G558" s="29">
        <f>G559</f>
        <v>3030</v>
      </c>
      <c r="H558" s="29">
        <f>H559</f>
        <v>3030</v>
      </c>
    </row>
    <row r="559" spans="1:8" ht="78" customHeight="1">
      <c r="A559" s="3" t="s">
        <v>330</v>
      </c>
      <c r="B559" s="4" t="s">
        <v>69</v>
      </c>
      <c r="C559" s="4" t="s">
        <v>263</v>
      </c>
      <c r="D559" s="4" t="s">
        <v>262</v>
      </c>
      <c r="E559" s="4" t="s">
        <v>205</v>
      </c>
      <c r="F559" s="4" t="s">
        <v>23</v>
      </c>
      <c r="G559" s="29">
        <v>3030</v>
      </c>
      <c r="H559" s="29">
        <f>G559</f>
        <v>3030</v>
      </c>
    </row>
    <row r="560" spans="1:8" ht="163.5" customHeight="1">
      <c r="A560" s="3" t="s">
        <v>190</v>
      </c>
      <c r="B560" s="4" t="s">
        <v>69</v>
      </c>
      <c r="C560" s="4" t="s">
        <v>263</v>
      </c>
      <c r="D560" s="4" t="s">
        <v>262</v>
      </c>
      <c r="E560" s="4" t="s">
        <v>191</v>
      </c>
      <c r="F560" s="4"/>
      <c r="G560" s="29">
        <f>G561</f>
        <v>1172066</v>
      </c>
      <c r="H560" s="29">
        <f>H561</f>
        <v>1172066</v>
      </c>
    </row>
    <row r="561" spans="1:8" ht="86.25" customHeight="1">
      <c r="A561" s="3" t="s">
        <v>330</v>
      </c>
      <c r="B561" s="4" t="s">
        <v>69</v>
      </c>
      <c r="C561" s="4" t="s">
        <v>263</v>
      </c>
      <c r="D561" s="4" t="s">
        <v>262</v>
      </c>
      <c r="E561" s="4" t="s">
        <v>191</v>
      </c>
      <c r="F561" s="4" t="s">
        <v>23</v>
      </c>
      <c r="G561" s="29">
        <f>1172066</f>
        <v>1172066</v>
      </c>
      <c r="H561" s="29">
        <f>G561</f>
        <v>1172066</v>
      </c>
    </row>
    <row r="562" spans="1:8" ht="121.5" customHeight="1">
      <c r="A562" s="3" t="s">
        <v>351</v>
      </c>
      <c r="B562" s="4" t="s">
        <v>69</v>
      </c>
      <c r="C562" s="4" t="s">
        <v>263</v>
      </c>
      <c r="D562" s="4" t="s">
        <v>262</v>
      </c>
      <c r="E562" s="4" t="s">
        <v>352</v>
      </c>
      <c r="F562" s="4"/>
      <c r="G562" s="29">
        <f>G565+G563</f>
        <v>1506400</v>
      </c>
      <c r="H562" s="29">
        <f>H565+H563</f>
        <v>1506400</v>
      </c>
    </row>
    <row r="563" spans="1:8" ht="165.75" customHeight="1">
      <c r="A563" s="3" t="s">
        <v>202</v>
      </c>
      <c r="B563" s="4" t="s">
        <v>69</v>
      </c>
      <c r="C563" s="4" t="s">
        <v>263</v>
      </c>
      <c r="D563" s="4" t="s">
        <v>262</v>
      </c>
      <c r="E563" s="4" t="s">
        <v>206</v>
      </c>
      <c r="F563" s="4"/>
      <c r="G563" s="29">
        <f>G564</f>
        <v>4140</v>
      </c>
      <c r="H563" s="29">
        <f>H564</f>
        <v>4140</v>
      </c>
    </row>
    <row r="564" spans="1:8" ht="84" customHeight="1">
      <c r="A564" s="3" t="s">
        <v>330</v>
      </c>
      <c r="B564" s="4" t="s">
        <v>69</v>
      </c>
      <c r="C564" s="4" t="s">
        <v>263</v>
      </c>
      <c r="D564" s="4" t="s">
        <v>262</v>
      </c>
      <c r="E564" s="4" t="s">
        <v>206</v>
      </c>
      <c r="F564" s="4" t="s">
        <v>23</v>
      </c>
      <c r="G564" s="29">
        <v>4140</v>
      </c>
      <c r="H564" s="29">
        <f>G564</f>
        <v>4140</v>
      </c>
    </row>
    <row r="565" spans="1:8" ht="175.5" customHeight="1">
      <c r="A565" s="3" t="s">
        <v>190</v>
      </c>
      <c r="B565" s="4" t="s">
        <v>69</v>
      </c>
      <c r="C565" s="4" t="s">
        <v>263</v>
      </c>
      <c r="D565" s="4" t="s">
        <v>262</v>
      </c>
      <c r="E565" s="4" t="s">
        <v>192</v>
      </c>
      <c r="F565" s="4"/>
      <c r="G565" s="29">
        <f>G566</f>
        <v>1502260</v>
      </c>
      <c r="H565" s="29">
        <f>H566</f>
        <v>1502260</v>
      </c>
    </row>
    <row r="566" spans="1:8" ht="86.25" customHeight="1">
      <c r="A566" s="3" t="s">
        <v>330</v>
      </c>
      <c r="B566" s="4" t="s">
        <v>69</v>
      </c>
      <c r="C566" s="4" t="s">
        <v>263</v>
      </c>
      <c r="D566" s="4" t="s">
        <v>262</v>
      </c>
      <c r="E566" s="4" t="s">
        <v>192</v>
      </c>
      <c r="F566" s="4" t="s">
        <v>23</v>
      </c>
      <c r="G566" s="29">
        <f>1672060-169800</f>
        <v>1502260</v>
      </c>
      <c r="H566" s="29">
        <f>G566</f>
        <v>1502260</v>
      </c>
    </row>
    <row r="567" spans="1:8" ht="63">
      <c r="A567" s="21" t="s">
        <v>362</v>
      </c>
      <c r="B567" s="4" t="s">
        <v>69</v>
      </c>
      <c r="C567" s="4" t="s">
        <v>263</v>
      </c>
      <c r="D567" s="4" t="s">
        <v>262</v>
      </c>
      <c r="E567" s="4" t="s">
        <v>363</v>
      </c>
      <c r="F567" s="4"/>
      <c r="G567" s="29">
        <f>G568+G570+G572+G574</f>
        <v>2426600</v>
      </c>
      <c r="H567" s="29">
        <f>H568+H570+H572+H574</f>
        <v>2426600</v>
      </c>
    </row>
    <row r="568" spans="1:8" ht="126">
      <c r="A568" s="21" t="s">
        <v>364</v>
      </c>
      <c r="B568" s="4" t="s">
        <v>69</v>
      </c>
      <c r="C568" s="4" t="s">
        <v>263</v>
      </c>
      <c r="D568" s="4" t="s">
        <v>262</v>
      </c>
      <c r="E568" s="4" t="s">
        <v>365</v>
      </c>
      <c r="F568" s="4"/>
      <c r="G568" s="37">
        <f>G569</f>
        <v>1853600</v>
      </c>
      <c r="H568" s="37">
        <f>H569</f>
        <v>1853600</v>
      </c>
    </row>
    <row r="569" spans="1:8" ht="31.5">
      <c r="A569" s="3" t="s">
        <v>239</v>
      </c>
      <c r="B569" s="4" t="s">
        <v>69</v>
      </c>
      <c r="C569" s="4" t="s">
        <v>263</v>
      </c>
      <c r="D569" s="4" t="s">
        <v>262</v>
      </c>
      <c r="E569" s="4" t="s">
        <v>365</v>
      </c>
      <c r="F569" s="4" t="s">
        <v>240</v>
      </c>
      <c r="G569" s="37">
        <f>1951000-97400</f>
        <v>1853600</v>
      </c>
      <c r="H569" s="37">
        <f>G569</f>
        <v>1853600</v>
      </c>
    </row>
    <row r="570" spans="1:8" ht="141.75">
      <c r="A570" s="3" t="s">
        <v>366</v>
      </c>
      <c r="B570" s="4" t="s">
        <v>69</v>
      </c>
      <c r="C570" s="4" t="s">
        <v>263</v>
      </c>
      <c r="D570" s="4" t="s">
        <v>262</v>
      </c>
      <c r="E570" s="4" t="s">
        <v>367</v>
      </c>
      <c r="F570" s="4"/>
      <c r="G570" s="37">
        <f>G571</f>
        <v>22700</v>
      </c>
      <c r="H570" s="37">
        <f>H571</f>
        <v>22700</v>
      </c>
    </row>
    <row r="571" spans="1:8" ht="126">
      <c r="A571" s="3" t="s">
        <v>305</v>
      </c>
      <c r="B571" s="4" t="s">
        <v>69</v>
      </c>
      <c r="C571" s="4" t="s">
        <v>263</v>
      </c>
      <c r="D571" s="4" t="s">
        <v>262</v>
      </c>
      <c r="E571" s="4" t="s">
        <v>367</v>
      </c>
      <c r="F571" s="4" t="s">
        <v>18</v>
      </c>
      <c r="G571" s="37">
        <v>22700</v>
      </c>
      <c r="H571" s="37">
        <f>G571</f>
        <v>22700</v>
      </c>
    </row>
    <row r="572" spans="1:8" ht="236.25">
      <c r="A572" s="3" t="s">
        <v>40</v>
      </c>
      <c r="B572" s="4" t="s">
        <v>69</v>
      </c>
      <c r="C572" s="4" t="s">
        <v>263</v>
      </c>
      <c r="D572" s="4" t="s">
        <v>262</v>
      </c>
      <c r="E572" s="4" t="s">
        <v>41</v>
      </c>
      <c r="F572" s="4"/>
      <c r="G572" s="37">
        <f>G573</f>
        <v>131600</v>
      </c>
      <c r="H572" s="37">
        <f>H573</f>
        <v>131600</v>
      </c>
    </row>
    <row r="573" spans="1:8" ht="31.5">
      <c r="A573" s="3" t="s">
        <v>239</v>
      </c>
      <c r="B573" s="4" t="s">
        <v>69</v>
      </c>
      <c r="C573" s="4" t="s">
        <v>263</v>
      </c>
      <c r="D573" s="4" t="s">
        <v>262</v>
      </c>
      <c r="E573" s="4" t="s">
        <v>41</v>
      </c>
      <c r="F573" s="4" t="s">
        <v>240</v>
      </c>
      <c r="G573" s="37">
        <v>131600</v>
      </c>
      <c r="H573" s="37">
        <f>G573</f>
        <v>131600</v>
      </c>
    </row>
    <row r="574" spans="1:8" ht="200.25" customHeight="1">
      <c r="A574" s="3" t="s">
        <v>42</v>
      </c>
      <c r="B574" s="4" t="s">
        <v>69</v>
      </c>
      <c r="C574" s="4" t="s">
        <v>263</v>
      </c>
      <c r="D574" s="4" t="s">
        <v>262</v>
      </c>
      <c r="E574" s="4" t="s">
        <v>43</v>
      </c>
      <c r="F574" s="4"/>
      <c r="G574" s="37">
        <f>G575</f>
        <v>418700</v>
      </c>
      <c r="H574" s="37">
        <f>H575</f>
        <v>418700</v>
      </c>
    </row>
    <row r="575" spans="1:8" ht="31.5">
      <c r="A575" s="3" t="s">
        <v>239</v>
      </c>
      <c r="B575" s="4" t="s">
        <v>69</v>
      </c>
      <c r="C575" s="4" t="s">
        <v>263</v>
      </c>
      <c r="D575" s="4" t="s">
        <v>262</v>
      </c>
      <c r="E575" s="4" t="s">
        <v>43</v>
      </c>
      <c r="F575" s="4" t="s">
        <v>240</v>
      </c>
      <c r="G575" s="37">
        <v>418700</v>
      </c>
      <c r="H575" s="37">
        <f>G575</f>
        <v>418700</v>
      </c>
    </row>
    <row r="576" spans="1:8" ht="15.75">
      <c r="A576" s="13" t="s">
        <v>295</v>
      </c>
      <c r="B576" s="5" t="s">
        <v>69</v>
      </c>
      <c r="C576" s="5" t="s">
        <v>263</v>
      </c>
      <c r="D576" s="5" t="s">
        <v>265</v>
      </c>
      <c r="E576" s="23"/>
      <c r="F576" s="23"/>
      <c r="G576" s="45">
        <f>G577</f>
        <v>45700400</v>
      </c>
      <c r="H576" s="45">
        <f>H577</f>
        <v>45700400</v>
      </c>
    </row>
    <row r="577" spans="1:8" ht="47.25">
      <c r="A577" s="3" t="s">
        <v>331</v>
      </c>
      <c r="B577" s="4" t="s">
        <v>69</v>
      </c>
      <c r="C577" s="4" t="s">
        <v>263</v>
      </c>
      <c r="D577" s="4" t="s">
        <v>265</v>
      </c>
      <c r="E577" s="4" t="s">
        <v>332</v>
      </c>
      <c r="F577" s="4"/>
      <c r="G577" s="37">
        <f>G585+G578</f>
        <v>45700400</v>
      </c>
      <c r="H577" s="37">
        <f>H585+H578</f>
        <v>45700400</v>
      </c>
    </row>
    <row r="578" spans="1:8" ht="47.25">
      <c r="A578" s="3" t="s">
        <v>354</v>
      </c>
      <c r="B578" s="4" t="s">
        <v>69</v>
      </c>
      <c r="C578" s="4" t="s">
        <v>263</v>
      </c>
      <c r="D578" s="4" t="s">
        <v>265</v>
      </c>
      <c r="E578" s="4" t="s">
        <v>355</v>
      </c>
      <c r="F578" s="4"/>
      <c r="G578" s="37">
        <f>G579+G583</f>
        <v>19367200</v>
      </c>
      <c r="H578" s="37">
        <f>H579+H583</f>
        <v>19367200</v>
      </c>
    </row>
    <row r="579" spans="1:8" ht="159" customHeight="1">
      <c r="A579" s="21" t="s">
        <v>371</v>
      </c>
      <c r="B579" s="99" t="s">
        <v>69</v>
      </c>
      <c r="C579" s="99" t="s">
        <v>263</v>
      </c>
      <c r="D579" s="99" t="s">
        <v>265</v>
      </c>
      <c r="E579" s="99" t="s">
        <v>373</v>
      </c>
      <c r="F579" s="99"/>
      <c r="G579" s="96">
        <f>G581+G582</f>
        <v>472400</v>
      </c>
      <c r="H579" s="96">
        <f>H581+H582</f>
        <v>472400</v>
      </c>
    </row>
    <row r="580" spans="1:8" ht="78.75">
      <c r="A580" s="3" t="s">
        <v>372</v>
      </c>
      <c r="B580" s="99"/>
      <c r="C580" s="99"/>
      <c r="D580" s="99"/>
      <c r="E580" s="99"/>
      <c r="F580" s="99"/>
      <c r="G580" s="96"/>
      <c r="H580" s="96"/>
    </row>
    <row r="581" spans="1:8" ht="31.5">
      <c r="A581" s="3" t="s">
        <v>239</v>
      </c>
      <c r="B581" s="4" t="s">
        <v>69</v>
      </c>
      <c r="C581" s="4" t="s">
        <v>263</v>
      </c>
      <c r="D581" s="4" t="s">
        <v>265</v>
      </c>
      <c r="E581" s="4" t="s">
        <v>373</v>
      </c>
      <c r="F581" s="4" t="s">
        <v>240</v>
      </c>
      <c r="G581" s="37">
        <v>188948</v>
      </c>
      <c r="H581" s="37">
        <f>G581</f>
        <v>188948</v>
      </c>
    </row>
    <row r="582" spans="1:8" ht="63">
      <c r="A582" s="3" t="s">
        <v>330</v>
      </c>
      <c r="B582" s="4" t="s">
        <v>69</v>
      </c>
      <c r="C582" s="4" t="s">
        <v>263</v>
      </c>
      <c r="D582" s="4" t="s">
        <v>265</v>
      </c>
      <c r="E582" s="4" t="s">
        <v>373</v>
      </c>
      <c r="F582" s="4" t="s">
        <v>23</v>
      </c>
      <c r="G582" s="37">
        <v>283452</v>
      </c>
      <c r="H582" s="37">
        <f>G582</f>
        <v>283452</v>
      </c>
    </row>
    <row r="583" spans="1:8" ht="137.25" customHeight="1">
      <c r="A583" s="3" t="s">
        <v>374</v>
      </c>
      <c r="B583" s="4" t="s">
        <v>69</v>
      </c>
      <c r="C583" s="4" t="s">
        <v>263</v>
      </c>
      <c r="D583" s="4" t="s">
        <v>265</v>
      </c>
      <c r="E583" s="4" t="s">
        <v>375</v>
      </c>
      <c r="F583" s="4"/>
      <c r="G583" s="37">
        <f>G584</f>
        <v>18894800</v>
      </c>
      <c r="H583" s="37">
        <f>H584</f>
        <v>18894800</v>
      </c>
    </row>
    <row r="584" spans="1:8" ht="31.5">
      <c r="A584" s="3" t="s">
        <v>239</v>
      </c>
      <c r="B584" s="4" t="s">
        <v>69</v>
      </c>
      <c r="C584" s="4" t="s">
        <v>263</v>
      </c>
      <c r="D584" s="4" t="s">
        <v>265</v>
      </c>
      <c r="E584" s="4" t="s">
        <v>375</v>
      </c>
      <c r="F584" s="4" t="s">
        <v>240</v>
      </c>
      <c r="G584" s="37">
        <v>18894800</v>
      </c>
      <c r="H584" s="37">
        <f>G584</f>
        <v>18894800</v>
      </c>
    </row>
    <row r="585" spans="1:8" ht="63">
      <c r="A585" s="21" t="s">
        <v>362</v>
      </c>
      <c r="B585" s="4" t="s">
        <v>69</v>
      </c>
      <c r="C585" s="4" t="s">
        <v>263</v>
      </c>
      <c r="D585" s="4" t="s">
        <v>265</v>
      </c>
      <c r="E585" s="4" t="s">
        <v>363</v>
      </c>
      <c r="F585" s="4"/>
      <c r="G585" s="37">
        <f>G586+G589+G591</f>
        <v>26333200</v>
      </c>
      <c r="H585" s="37">
        <f>H586+H589+H591</f>
        <v>26333200</v>
      </c>
    </row>
    <row r="586" spans="1:8" ht="129.75" customHeight="1">
      <c r="A586" s="59" t="s">
        <v>368</v>
      </c>
      <c r="B586" s="4" t="s">
        <v>69</v>
      </c>
      <c r="C586" s="4" t="s">
        <v>263</v>
      </c>
      <c r="D586" s="4" t="s">
        <v>265</v>
      </c>
      <c r="E586" s="4" t="s">
        <v>369</v>
      </c>
      <c r="F586" s="4"/>
      <c r="G586" s="37">
        <f>G587+G588</f>
        <v>21476900</v>
      </c>
      <c r="H586" s="37">
        <f>H587+H588</f>
        <v>21476900</v>
      </c>
    </row>
    <row r="587" spans="1:8" ht="47.25">
      <c r="A587" s="3" t="s">
        <v>306</v>
      </c>
      <c r="B587" s="4" t="s">
        <v>69</v>
      </c>
      <c r="C587" s="4" t="s">
        <v>263</v>
      </c>
      <c r="D587" s="4" t="s">
        <v>265</v>
      </c>
      <c r="E587" s="4" t="s">
        <v>369</v>
      </c>
      <c r="F587" s="4" t="s">
        <v>19</v>
      </c>
      <c r="G587" s="37">
        <v>7602000</v>
      </c>
      <c r="H587" s="37">
        <f>G587</f>
        <v>7602000</v>
      </c>
    </row>
    <row r="588" spans="1:8" ht="31.5">
      <c r="A588" s="3" t="s">
        <v>239</v>
      </c>
      <c r="B588" s="4" t="s">
        <v>69</v>
      </c>
      <c r="C588" s="4" t="s">
        <v>263</v>
      </c>
      <c r="D588" s="4" t="s">
        <v>265</v>
      </c>
      <c r="E588" s="4" t="s">
        <v>369</v>
      </c>
      <c r="F588" s="4" t="s">
        <v>240</v>
      </c>
      <c r="G588" s="37">
        <v>13874900</v>
      </c>
      <c r="H588" s="37">
        <f>G588</f>
        <v>13874900</v>
      </c>
    </row>
    <row r="589" spans="1:8" ht="175.5" customHeight="1">
      <c r="A589" s="49" t="s">
        <v>167</v>
      </c>
      <c r="B589" s="4" t="s">
        <v>69</v>
      </c>
      <c r="C589" s="4" t="s">
        <v>263</v>
      </c>
      <c r="D589" s="4" t="s">
        <v>265</v>
      </c>
      <c r="E589" s="4" t="s">
        <v>370</v>
      </c>
      <c r="F589" s="4"/>
      <c r="G589" s="37">
        <f>G590</f>
        <v>591300</v>
      </c>
      <c r="H589" s="37">
        <f>H590</f>
        <v>591300</v>
      </c>
    </row>
    <row r="590" spans="1:8" ht="47.25">
      <c r="A590" s="3" t="s">
        <v>306</v>
      </c>
      <c r="B590" s="4" t="s">
        <v>69</v>
      </c>
      <c r="C590" s="4" t="s">
        <v>263</v>
      </c>
      <c r="D590" s="4" t="s">
        <v>265</v>
      </c>
      <c r="E590" s="4" t="s">
        <v>370</v>
      </c>
      <c r="F590" s="4" t="s">
        <v>19</v>
      </c>
      <c r="G590" s="37">
        <v>591300</v>
      </c>
      <c r="H590" s="37">
        <f>G590</f>
        <v>591300</v>
      </c>
    </row>
    <row r="591" spans="1:8" ht="188.25" customHeight="1">
      <c r="A591" s="72" t="s">
        <v>233</v>
      </c>
      <c r="B591" s="4" t="s">
        <v>69</v>
      </c>
      <c r="C591" s="4" t="s">
        <v>263</v>
      </c>
      <c r="D591" s="4" t="s">
        <v>265</v>
      </c>
      <c r="E591" s="4" t="s">
        <v>189</v>
      </c>
      <c r="F591" s="4"/>
      <c r="G591" s="37">
        <f>G592+G593</f>
        <v>4265000</v>
      </c>
      <c r="H591" s="37">
        <f>H592+H593</f>
        <v>4265000</v>
      </c>
    </row>
    <row r="592" spans="1:10" ht="126">
      <c r="A592" s="3" t="s">
        <v>305</v>
      </c>
      <c r="B592" s="4" t="s">
        <v>69</v>
      </c>
      <c r="C592" s="4" t="s">
        <v>263</v>
      </c>
      <c r="D592" s="4" t="s">
        <v>265</v>
      </c>
      <c r="E592" s="4" t="s">
        <v>189</v>
      </c>
      <c r="F592" s="4" t="s">
        <v>18</v>
      </c>
      <c r="G592" s="37">
        <f>3562421-11547.5</f>
        <v>3550873.5</v>
      </c>
      <c r="H592" s="37">
        <f>G592</f>
        <v>3550873.5</v>
      </c>
      <c r="J592" s="26">
        <v>-11547.5</v>
      </c>
    </row>
    <row r="593" spans="1:10" ht="47.25">
      <c r="A593" s="3" t="s">
        <v>306</v>
      </c>
      <c r="B593" s="4" t="s">
        <v>69</v>
      </c>
      <c r="C593" s="4" t="s">
        <v>263</v>
      </c>
      <c r="D593" s="4" t="s">
        <v>265</v>
      </c>
      <c r="E593" s="4" t="s">
        <v>189</v>
      </c>
      <c r="F593" s="4" t="s">
        <v>19</v>
      </c>
      <c r="G593" s="37">
        <f>702579+11547.5</f>
        <v>714126.5</v>
      </c>
      <c r="H593" s="37">
        <f>G593</f>
        <v>714126.5</v>
      </c>
      <c r="J593" s="26">
        <v>11547.5</v>
      </c>
    </row>
    <row r="594" spans="1:12" s="14" customFormat="1" ht="78">
      <c r="A594" s="34" t="s">
        <v>292</v>
      </c>
      <c r="B594" s="24" t="s">
        <v>66</v>
      </c>
      <c r="C594" s="11"/>
      <c r="D594" s="11"/>
      <c r="E594" s="11"/>
      <c r="F594" s="11"/>
      <c r="G594" s="35">
        <f>G722+G661+G709+G618+G595+G611</f>
        <v>265853020.00000003</v>
      </c>
      <c r="H594" s="35">
        <f>H722+H661+H709+H618+H595+H611</f>
        <v>2071382</v>
      </c>
      <c r="I594" s="51"/>
      <c r="L594" s="51"/>
    </row>
    <row r="595" spans="1:9" s="14" customFormat="1" ht="18.75">
      <c r="A595" s="1" t="s">
        <v>274</v>
      </c>
      <c r="B595" s="2" t="s">
        <v>66</v>
      </c>
      <c r="C595" s="2" t="s">
        <v>255</v>
      </c>
      <c r="D595" s="9"/>
      <c r="E595" s="2"/>
      <c r="F595" s="2"/>
      <c r="G595" s="33">
        <f>G596+G606</f>
        <v>7286829</v>
      </c>
      <c r="H595" s="36"/>
      <c r="I595" s="51"/>
    </row>
    <row r="596" spans="1:9" s="14" customFormat="1" ht="126">
      <c r="A596" s="1" t="s">
        <v>12</v>
      </c>
      <c r="B596" s="2" t="s">
        <v>66</v>
      </c>
      <c r="C596" s="2" t="s">
        <v>255</v>
      </c>
      <c r="D596" s="2" t="s">
        <v>265</v>
      </c>
      <c r="E596" s="2"/>
      <c r="F596" s="2"/>
      <c r="G596" s="33">
        <f>G597</f>
        <v>7211129</v>
      </c>
      <c r="H596" s="36"/>
      <c r="I596" s="51"/>
    </row>
    <row r="597" spans="1:9" s="14" customFormat="1" ht="63">
      <c r="A597" s="3" t="s">
        <v>313</v>
      </c>
      <c r="B597" s="4" t="s">
        <v>66</v>
      </c>
      <c r="C597" s="4" t="s">
        <v>255</v>
      </c>
      <c r="D597" s="4" t="s">
        <v>265</v>
      </c>
      <c r="E597" s="4" t="s">
        <v>314</v>
      </c>
      <c r="F597" s="2"/>
      <c r="G597" s="29">
        <f>G598</f>
        <v>7211129</v>
      </c>
      <c r="H597" s="36"/>
      <c r="I597" s="51"/>
    </row>
    <row r="598" spans="1:9" s="14" customFormat="1" ht="78.75">
      <c r="A598" s="21" t="s">
        <v>162</v>
      </c>
      <c r="B598" s="4" t="s">
        <v>66</v>
      </c>
      <c r="C598" s="4" t="s">
        <v>255</v>
      </c>
      <c r="D598" s="4" t="s">
        <v>265</v>
      </c>
      <c r="E598" s="4" t="s">
        <v>163</v>
      </c>
      <c r="F598" s="4"/>
      <c r="G598" s="29">
        <f>G599+G601+G604</f>
        <v>7211129</v>
      </c>
      <c r="H598" s="36"/>
      <c r="I598" s="51"/>
    </row>
    <row r="599" spans="1:9" s="14" customFormat="1" ht="47.25">
      <c r="A599" s="21" t="s">
        <v>413</v>
      </c>
      <c r="B599" s="4" t="s">
        <v>66</v>
      </c>
      <c r="C599" s="4" t="s">
        <v>255</v>
      </c>
      <c r="D599" s="4" t="s">
        <v>265</v>
      </c>
      <c r="E599" s="4" t="s">
        <v>442</v>
      </c>
      <c r="F599" s="4"/>
      <c r="G599" s="29">
        <f>G600</f>
        <v>6937697.01</v>
      </c>
      <c r="H599" s="36"/>
      <c r="I599" s="51"/>
    </row>
    <row r="600" spans="1:9" s="14" customFormat="1" ht="126">
      <c r="A600" s="21" t="s">
        <v>417</v>
      </c>
      <c r="B600" s="4" t="s">
        <v>66</v>
      </c>
      <c r="C600" s="4" t="s">
        <v>255</v>
      </c>
      <c r="D600" s="4" t="s">
        <v>265</v>
      </c>
      <c r="E600" s="4" t="s">
        <v>442</v>
      </c>
      <c r="F600" s="4" t="s">
        <v>18</v>
      </c>
      <c r="G600" s="29">
        <f>7077375+57754-197431.99</f>
        <v>6937697.01</v>
      </c>
      <c r="H600" s="36"/>
      <c r="I600" s="51"/>
    </row>
    <row r="601" spans="1:9" s="14" customFormat="1" ht="47.25">
      <c r="A601" s="21" t="s">
        <v>415</v>
      </c>
      <c r="B601" s="4" t="s">
        <v>66</v>
      </c>
      <c r="C601" s="4" t="s">
        <v>255</v>
      </c>
      <c r="D601" s="4" t="s">
        <v>265</v>
      </c>
      <c r="E601" s="4" t="s">
        <v>443</v>
      </c>
      <c r="F601" s="4"/>
      <c r="G601" s="29">
        <f>G602+G603</f>
        <v>166191.2</v>
      </c>
      <c r="H601" s="36"/>
      <c r="I601" s="51"/>
    </row>
    <row r="602" spans="1:9" s="14" customFormat="1" ht="126">
      <c r="A602" s="21" t="s">
        <v>417</v>
      </c>
      <c r="B602" s="4" t="s">
        <v>66</v>
      </c>
      <c r="C602" s="4" t="s">
        <v>255</v>
      </c>
      <c r="D602" s="4" t="s">
        <v>265</v>
      </c>
      <c r="E602" s="4" t="s">
        <v>443</v>
      </c>
      <c r="F602" s="4" t="s">
        <v>18</v>
      </c>
      <c r="G602" s="29">
        <f>29296+7848.2</f>
        <v>37144.2</v>
      </c>
      <c r="H602" s="36"/>
      <c r="I602" s="51"/>
    </row>
    <row r="603" spans="1:9" s="14" customFormat="1" ht="47.25">
      <c r="A603" s="21" t="s">
        <v>306</v>
      </c>
      <c r="B603" s="4" t="s">
        <v>66</v>
      </c>
      <c r="C603" s="4" t="s">
        <v>255</v>
      </c>
      <c r="D603" s="4" t="s">
        <v>265</v>
      </c>
      <c r="E603" s="4" t="s">
        <v>443</v>
      </c>
      <c r="F603" s="4" t="s">
        <v>19</v>
      </c>
      <c r="G603" s="29">
        <v>129047</v>
      </c>
      <c r="H603" s="36"/>
      <c r="I603" s="51"/>
    </row>
    <row r="604" spans="1:9" s="14" customFormat="1" ht="110.25">
      <c r="A604" s="21" t="s">
        <v>409</v>
      </c>
      <c r="B604" s="4" t="s">
        <v>66</v>
      </c>
      <c r="C604" s="4" t="s">
        <v>255</v>
      </c>
      <c r="D604" s="4" t="s">
        <v>265</v>
      </c>
      <c r="E604" s="4" t="s">
        <v>444</v>
      </c>
      <c r="F604" s="4"/>
      <c r="G604" s="29">
        <f>G605</f>
        <v>107240.79000000001</v>
      </c>
      <c r="H604" s="36"/>
      <c r="I604" s="51"/>
    </row>
    <row r="605" spans="1:9" s="14" customFormat="1" ht="126">
      <c r="A605" s="21" t="s">
        <v>417</v>
      </c>
      <c r="B605" s="4" t="s">
        <v>66</v>
      </c>
      <c r="C605" s="4" t="s">
        <v>255</v>
      </c>
      <c r="D605" s="4" t="s">
        <v>265</v>
      </c>
      <c r="E605" s="4" t="s">
        <v>444</v>
      </c>
      <c r="F605" s="4" t="s">
        <v>18</v>
      </c>
      <c r="G605" s="29">
        <f>115088.99-7848.2</f>
        <v>107240.79000000001</v>
      </c>
      <c r="H605" s="36"/>
      <c r="I605" s="51"/>
    </row>
    <row r="606" spans="1:9" s="14" customFormat="1" ht="31.5">
      <c r="A606" s="1" t="s">
        <v>284</v>
      </c>
      <c r="B606" s="2" t="s">
        <v>66</v>
      </c>
      <c r="C606" s="2" t="s">
        <v>255</v>
      </c>
      <c r="D606" s="2" t="s">
        <v>16</v>
      </c>
      <c r="E606" s="2"/>
      <c r="F606" s="2"/>
      <c r="G606" s="33">
        <f>G607</f>
        <v>75700</v>
      </c>
      <c r="H606" s="36"/>
      <c r="I606" s="51"/>
    </row>
    <row r="607" spans="1:9" s="14" customFormat="1" ht="63">
      <c r="A607" s="27" t="s">
        <v>313</v>
      </c>
      <c r="B607" s="4" t="s">
        <v>66</v>
      </c>
      <c r="C607" s="4" t="s">
        <v>255</v>
      </c>
      <c r="D607" s="4" t="s">
        <v>16</v>
      </c>
      <c r="E607" s="4" t="s">
        <v>314</v>
      </c>
      <c r="F607" s="4"/>
      <c r="G607" s="29">
        <f>G608</f>
        <v>75700</v>
      </c>
      <c r="H607" s="36"/>
      <c r="I607" s="51"/>
    </row>
    <row r="608" spans="1:9" s="14" customFormat="1" ht="47.25">
      <c r="A608" s="3" t="s">
        <v>130</v>
      </c>
      <c r="B608" s="4" t="s">
        <v>66</v>
      </c>
      <c r="C608" s="4" t="s">
        <v>255</v>
      </c>
      <c r="D608" s="4" t="s">
        <v>16</v>
      </c>
      <c r="E608" s="4" t="s">
        <v>131</v>
      </c>
      <c r="F608" s="4"/>
      <c r="G608" s="29">
        <f>G609</f>
        <v>75700</v>
      </c>
      <c r="H608" s="36"/>
      <c r="I608" s="51"/>
    </row>
    <row r="609" spans="1:9" s="14" customFormat="1" ht="31.5">
      <c r="A609" s="3" t="s">
        <v>326</v>
      </c>
      <c r="B609" s="4" t="s">
        <v>66</v>
      </c>
      <c r="C609" s="4" t="s">
        <v>255</v>
      </c>
      <c r="D609" s="4" t="s">
        <v>16</v>
      </c>
      <c r="E609" s="4" t="s">
        <v>132</v>
      </c>
      <c r="F609" s="62"/>
      <c r="G609" s="29">
        <f>G610</f>
        <v>75700</v>
      </c>
      <c r="H609" s="36"/>
      <c r="I609" s="51"/>
    </row>
    <row r="610" spans="1:12" s="14" customFormat="1" ht="47.25">
      <c r="A610" s="3" t="s">
        <v>306</v>
      </c>
      <c r="B610" s="4" t="s">
        <v>66</v>
      </c>
      <c r="C610" s="4" t="s">
        <v>255</v>
      </c>
      <c r="D610" s="4" t="s">
        <v>16</v>
      </c>
      <c r="E610" s="4" t="s">
        <v>132</v>
      </c>
      <c r="F610" s="4" t="s">
        <v>19</v>
      </c>
      <c r="G610" s="29">
        <v>75700</v>
      </c>
      <c r="H610" s="36"/>
      <c r="I610" s="51"/>
      <c r="L610" s="51"/>
    </row>
    <row r="611" spans="1:9" s="14" customFormat="1" ht="18.75">
      <c r="A611" s="13" t="s">
        <v>276</v>
      </c>
      <c r="B611" s="5" t="s">
        <v>66</v>
      </c>
      <c r="C611" s="5" t="s">
        <v>265</v>
      </c>
      <c r="D611" s="5"/>
      <c r="E611" s="5"/>
      <c r="F611" s="5"/>
      <c r="G611" s="28">
        <f>G612</f>
        <v>2105196.04</v>
      </c>
      <c r="H611" s="35"/>
      <c r="I611" s="51"/>
    </row>
    <row r="612" spans="1:9" s="14" customFormat="1" ht="18.75">
      <c r="A612" s="3" t="s">
        <v>10</v>
      </c>
      <c r="B612" s="4" t="s">
        <v>66</v>
      </c>
      <c r="C612" s="4" t="s">
        <v>265</v>
      </c>
      <c r="D612" s="4" t="s">
        <v>263</v>
      </c>
      <c r="E612" s="4"/>
      <c r="F612" s="4"/>
      <c r="G612" s="29">
        <f>G613</f>
        <v>2105196.04</v>
      </c>
      <c r="H612" s="36"/>
      <c r="I612" s="51"/>
    </row>
    <row r="613" spans="1:9" s="14" customFormat="1" ht="47.25">
      <c r="A613" s="3" t="s">
        <v>307</v>
      </c>
      <c r="B613" s="4" t="s">
        <v>66</v>
      </c>
      <c r="C613" s="4" t="s">
        <v>265</v>
      </c>
      <c r="D613" s="4" t="s">
        <v>263</v>
      </c>
      <c r="E613" s="4" t="s">
        <v>308</v>
      </c>
      <c r="F613" s="4"/>
      <c r="G613" s="29">
        <f>G614</f>
        <v>2105196.04</v>
      </c>
      <c r="H613" s="36"/>
      <c r="I613" s="51"/>
    </row>
    <row r="614" spans="1:9" s="14" customFormat="1" ht="63">
      <c r="A614" s="3" t="s">
        <v>309</v>
      </c>
      <c r="B614" s="4" t="s">
        <v>66</v>
      </c>
      <c r="C614" s="4" t="s">
        <v>265</v>
      </c>
      <c r="D614" s="4" t="s">
        <v>263</v>
      </c>
      <c r="E614" s="4" t="s">
        <v>310</v>
      </c>
      <c r="F614" s="4"/>
      <c r="G614" s="29">
        <f>G615</f>
        <v>2105196.04</v>
      </c>
      <c r="H614" s="36"/>
      <c r="I614" s="51"/>
    </row>
    <row r="615" spans="1:9" s="14" customFormat="1" ht="31.5">
      <c r="A615" s="3" t="s">
        <v>311</v>
      </c>
      <c r="B615" s="4" t="s">
        <v>66</v>
      </c>
      <c r="C615" s="4" t="s">
        <v>265</v>
      </c>
      <c r="D615" s="4" t="s">
        <v>263</v>
      </c>
      <c r="E615" s="4" t="s">
        <v>312</v>
      </c>
      <c r="F615" s="4"/>
      <c r="G615" s="29">
        <f>G616+G617</f>
        <v>2105196.04</v>
      </c>
      <c r="H615" s="36"/>
      <c r="I615" s="51"/>
    </row>
    <row r="616" spans="1:9" s="14" customFormat="1" ht="47.25">
      <c r="A616" s="3" t="s">
        <v>306</v>
      </c>
      <c r="B616" s="4" t="s">
        <v>66</v>
      </c>
      <c r="C616" s="4" t="s">
        <v>265</v>
      </c>
      <c r="D616" s="4" t="s">
        <v>263</v>
      </c>
      <c r="E616" s="4" t="s">
        <v>312</v>
      </c>
      <c r="F616" s="4" t="s">
        <v>19</v>
      </c>
      <c r="G616" s="29">
        <v>237500</v>
      </c>
      <c r="H616" s="36"/>
      <c r="I616" s="51"/>
    </row>
    <row r="617" spans="1:12" s="14" customFormat="1" ht="63">
      <c r="A617" s="3" t="s">
        <v>330</v>
      </c>
      <c r="B617" s="4" t="s">
        <v>66</v>
      </c>
      <c r="C617" s="4" t="s">
        <v>265</v>
      </c>
      <c r="D617" s="4" t="s">
        <v>263</v>
      </c>
      <c r="E617" s="4" t="s">
        <v>312</v>
      </c>
      <c r="F617" s="4" t="s">
        <v>23</v>
      </c>
      <c r="G617" s="29">
        <f>1752759+22656+82503.04+9778</f>
        <v>1867696.04</v>
      </c>
      <c r="H617" s="36"/>
      <c r="I617" s="51"/>
      <c r="L617" s="51"/>
    </row>
    <row r="618" spans="1:9" s="14" customFormat="1" ht="18.75">
      <c r="A618" s="13" t="s">
        <v>266</v>
      </c>
      <c r="B618" s="5" t="s">
        <v>66</v>
      </c>
      <c r="C618" s="5" t="s">
        <v>258</v>
      </c>
      <c r="D618" s="5"/>
      <c r="E618" s="5"/>
      <c r="F618" s="5"/>
      <c r="G618" s="28">
        <f>G619+G639</f>
        <v>82863087</v>
      </c>
      <c r="H618" s="28">
        <f>H619+H639</f>
        <v>60000</v>
      </c>
      <c r="I618" s="51"/>
    </row>
    <row r="619" spans="1:9" s="14" customFormat="1" ht="18.75">
      <c r="A619" s="1" t="s">
        <v>268</v>
      </c>
      <c r="B619" s="2" t="s">
        <v>66</v>
      </c>
      <c r="C619" s="2" t="s">
        <v>258</v>
      </c>
      <c r="D619" s="2" t="s">
        <v>260</v>
      </c>
      <c r="E619" s="2"/>
      <c r="F619" s="2"/>
      <c r="G619" s="33">
        <f>G620+G625+G634</f>
        <v>65479830</v>
      </c>
      <c r="H619" s="33">
        <f>H620+H625+H634</f>
        <v>60000</v>
      </c>
      <c r="I619" s="51"/>
    </row>
    <row r="620" spans="1:9" s="14" customFormat="1" ht="78.75">
      <c r="A620" s="3" t="s">
        <v>324</v>
      </c>
      <c r="B620" s="4" t="s">
        <v>66</v>
      </c>
      <c r="C620" s="4" t="s">
        <v>258</v>
      </c>
      <c r="D620" s="4" t="s">
        <v>260</v>
      </c>
      <c r="E620" s="4" t="s">
        <v>325</v>
      </c>
      <c r="F620" s="4"/>
      <c r="G620" s="29">
        <f>G621+G623</f>
        <v>180000</v>
      </c>
      <c r="H620" s="29">
        <f>H621+H623</f>
        <v>60000</v>
      </c>
      <c r="I620" s="51"/>
    </row>
    <row r="621" spans="1:9" s="14" customFormat="1" ht="47.25">
      <c r="A621" s="3" t="s">
        <v>228</v>
      </c>
      <c r="B621" s="4" t="s">
        <v>66</v>
      </c>
      <c r="C621" s="4" t="s">
        <v>258</v>
      </c>
      <c r="D621" s="4" t="s">
        <v>260</v>
      </c>
      <c r="E621" s="4" t="s">
        <v>108</v>
      </c>
      <c r="F621" s="4"/>
      <c r="G621" s="29">
        <f>G622</f>
        <v>120000</v>
      </c>
      <c r="H621" s="29"/>
      <c r="I621" s="51"/>
    </row>
    <row r="622" spans="1:9" s="16" customFormat="1" ht="63">
      <c r="A622" s="3" t="s">
        <v>330</v>
      </c>
      <c r="B622" s="4" t="s">
        <v>66</v>
      </c>
      <c r="C622" s="4" t="s">
        <v>258</v>
      </c>
      <c r="D622" s="4" t="s">
        <v>260</v>
      </c>
      <c r="E622" s="4" t="s">
        <v>108</v>
      </c>
      <c r="F622" s="4" t="s">
        <v>23</v>
      </c>
      <c r="G622" s="29">
        <v>120000</v>
      </c>
      <c r="H622" s="33"/>
      <c r="I622" s="48"/>
    </row>
    <row r="623" spans="1:9" s="16" customFormat="1" ht="63">
      <c r="A623" s="3" t="s">
        <v>452</v>
      </c>
      <c r="B623" s="4" t="s">
        <v>66</v>
      </c>
      <c r="C623" s="4" t="s">
        <v>258</v>
      </c>
      <c r="D623" s="4" t="s">
        <v>260</v>
      </c>
      <c r="E623" s="4" t="s">
        <v>453</v>
      </c>
      <c r="F623" s="4"/>
      <c r="G623" s="29">
        <f>G624</f>
        <v>60000</v>
      </c>
      <c r="H623" s="29">
        <f>H624</f>
        <v>60000</v>
      </c>
      <c r="I623" s="48"/>
    </row>
    <row r="624" spans="1:9" s="16" customFormat="1" ht="63">
      <c r="A624" s="3" t="s">
        <v>330</v>
      </c>
      <c r="B624" s="4" t="s">
        <v>66</v>
      </c>
      <c r="C624" s="4" t="s">
        <v>258</v>
      </c>
      <c r="D624" s="4" t="s">
        <v>260</v>
      </c>
      <c r="E624" s="4" t="s">
        <v>453</v>
      </c>
      <c r="F624" s="4" t="s">
        <v>23</v>
      </c>
      <c r="G624" s="29">
        <v>60000</v>
      </c>
      <c r="H624" s="29">
        <f>G624</f>
        <v>60000</v>
      </c>
      <c r="I624" s="48"/>
    </row>
    <row r="625" spans="1:9" s="16" customFormat="1" ht="63">
      <c r="A625" s="3" t="s">
        <v>50</v>
      </c>
      <c r="B625" s="4" t="s">
        <v>66</v>
      </c>
      <c r="C625" s="4" t="s">
        <v>258</v>
      </c>
      <c r="D625" s="4" t="s">
        <v>260</v>
      </c>
      <c r="E625" s="4" t="s">
        <v>51</v>
      </c>
      <c r="F625" s="4"/>
      <c r="G625" s="29">
        <f>G626+G631</f>
        <v>64773696.21</v>
      </c>
      <c r="H625" s="33"/>
      <c r="I625" s="48"/>
    </row>
    <row r="626" spans="1:9" s="16" customFormat="1" ht="63">
      <c r="A626" s="3" t="s">
        <v>183</v>
      </c>
      <c r="B626" s="4" t="s">
        <v>66</v>
      </c>
      <c r="C626" s="4" t="s">
        <v>258</v>
      </c>
      <c r="D626" s="4" t="s">
        <v>260</v>
      </c>
      <c r="E626" s="4" t="s">
        <v>184</v>
      </c>
      <c r="F626" s="4"/>
      <c r="G626" s="29">
        <f>G627+G629</f>
        <v>64175694.34</v>
      </c>
      <c r="H626" s="33"/>
      <c r="I626" s="48"/>
    </row>
    <row r="627" spans="1:9" s="16" customFormat="1" ht="110.25">
      <c r="A627" s="3" t="s">
        <v>209</v>
      </c>
      <c r="B627" s="4" t="s">
        <v>66</v>
      </c>
      <c r="C627" s="4" t="s">
        <v>258</v>
      </c>
      <c r="D627" s="4" t="s">
        <v>260</v>
      </c>
      <c r="E627" s="4" t="s">
        <v>137</v>
      </c>
      <c r="F627" s="4"/>
      <c r="G627" s="29">
        <f>G628</f>
        <v>63986492.34</v>
      </c>
      <c r="H627" s="33"/>
      <c r="I627" s="48"/>
    </row>
    <row r="628" spans="1:12" s="16" customFormat="1" ht="63">
      <c r="A628" s="3" t="s">
        <v>330</v>
      </c>
      <c r="B628" s="4" t="s">
        <v>66</v>
      </c>
      <c r="C628" s="4" t="s">
        <v>258</v>
      </c>
      <c r="D628" s="4" t="s">
        <v>260</v>
      </c>
      <c r="E628" s="4" t="s">
        <v>137</v>
      </c>
      <c r="F628" s="4" t="s">
        <v>23</v>
      </c>
      <c r="G628" s="29">
        <f>63737150+249342.34</f>
        <v>63986492.34</v>
      </c>
      <c r="H628" s="33"/>
      <c r="I628" s="48"/>
      <c r="L628" s="51"/>
    </row>
    <row r="629" spans="1:9" s="16" customFormat="1" ht="39.75" customHeight="1">
      <c r="A629" s="3" t="s">
        <v>326</v>
      </c>
      <c r="B629" s="4" t="s">
        <v>66</v>
      </c>
      <c r="C629" s="4" t="s">
        <v>258</v>
      </c>
      <c r="D629" s="4" t="s">
        <v>260</v>
      </c>
      <c r="E629" s="4" t="s">
        <v>136</v>
      </c>
      <c r="F629" s="4"/>
      <c r="G629" s="29">
        <f>G630</f>
        <v>189202</v>
      </c>
      <c r="H629" s="33"/>
      <c r="I629" s="48"/>
    </row>
    <row r="630" spans="1:9" s="16" customFormat="1" ht="67.5" customHeight="1">
      <c r="A630" s="3" t="s">
        <v>330</v>
      </c>
      <c r="B630" s="4" t="s">
        <v>66</v>
      </c>
      <c r="C630" s="4" t="s">
        <v>258</v>
      </c>
      <c r="D630" s="4" t="s">
        <v>260</v>
      </c>
      <c r="E630" s="4" t="s">
        <v>136</v>
      </c>
      <c r="F630" s="4" t="s">
        <v>23</v>
      </c>
      <c r="G630" s="29">
        <f>151668+37534</f>
        <v>189202</v>
      </c>
      <c r="H630" s="33"/>
      <c r="I630" s="48"/>
    </row>
    <row r="631" spans="1:9" s="16" customFormat="1" ht="78.75">
      <c r="A631" s="3" t="s">
        <v>146</v>
      </c>
      <c r="B631" s="4" t="s">
        <v>66</v>
      </c>
      <c r="C631" s="4" t="s">
        <v>258</v>
      </c>
      <c r="D631" s="4" t="s">
        <v>260</v>
      </c>
      <c r="E631" s="4" t="s">
        <v>147</v>
      </c>
      <c r="F631" s="4"/>
      <c r="G631" s="29">
        <f>G632</f>
        <v>598001.8700000001</v>
      </c>
      <c r="H631" s="33"/>
      <c r="I631" s="48"/>
    </row>
    <row r="632" spans="1:9" s="16" customFormat="1" ht="31.5">
      <c r="A632" s="3" t="s">
        <v>326</v>
      </c>
      <c r="B632" s="4" t="s">
        <v>66</v>
      </c>
      <c r="C632" s="4" t="s">
        <v>258</v>
      </c>
      <c r="D632" s="4" t="s">
        <v>260</v>
      </c>
      <c r="E632" s="4" t="s">
        <v>149</v>
      </c>
      <c r="F632" s="4"/>
      <c r="G632" s="29">
        <f>G633</f>
        <v>598001.8700000001</v>
      </c>
      <c r="H632" s="33"/>
      <c r="I632" s="48"/>
    </row>
    <row r="633" spans="1:12" s="16" customFormat="1" ht="63">
      <c r="A633" s="3" t="s">
        <v>330</v>
      </c>
      <c r="B633" s="4" t="s">
        <v>66</v>
      </c>
      <c r="C633" s="4" t="s">
        <v>258</v>
      </c>
      <c r="D633" s="4" t="s">
        <v>260</v>
      </c>
      <c r="E633" s="4" t="s">
        <v>149</v>
      </c>
      <c r="F633" s="4" t="s">
        <v>23</v>
      </c>
      <c r="G633" s="29">
        <f>167000+432233.56-1231.69</f>
        <v>598001.8700000001</v>
      </c>
      <c r="H633" s="33"/>
      <c r="I633" s="48"/>
      <c r="L633" s="51"/>
    </row>
    <row r="634" spans="1:9" s="16" customFormat="1" ht="63">
      <c r="A634" s="3" t="s">
        <v>71</v>
      </c>
      <c r="B634" s="4" t="s">
        <v>66</v>
      </c>
      <c r="C634" s="4" t="s">
        <v>258</v>
      </c>
      <c r="D634" s="4" t="s">
        <v>260</v>
      </c>
      <c r="E634" s="4" t="s">
        <v>72</v>
      </c>
      <c r="F634" s="4"/>
      <c r="G634" s="29">
        <f>G635+G637</f>
        <v>526133.79</v>
      </c>
      <c r="H634" s="33"/>
      <c r="I634" s="48"/>
    </row>
    <row r="635" spans="1:9" s="16" customFormat="1" ht="47.25">
      <c r="A635" s="3" t="s">
        <v>228</v>
      </c>
      <c r="B635" s="4" t="s">
        <v>66</v>
      </c>
      <c r="C635" s="4" t="s">
        <v>258</v>
      </c>
      <c r="D635" s="4" t="s">
        <v>260</v>
      </c>
      <c r="E635" s="4" t="s">
        <v>73</v>
      </c>
      <c r="F635" s="4"/>
      <c r="G635" s="29">
        <f>G636</f>
        <v>177163.82</v>
      </c>
      <c r="H635" s="33"/>
      <c r="I635" s="48"/>
    </row>
    <row r="636" spans="1:9" s="16" customFormat="1" ht="63">
      <c r="A636" s="3" t="s">
        <v>330</v>
      </c>
      <c r="B636" s="4" t="s">
        <v>66</v>
      </c>
      <c r="C636" s="4" t="s">
        <v>258</v>
      </c>
      <c r="D636" s="4" t="s">
        <v>260</v>
      </c>
      <c r="E636" s="4" t="s">
        <v>73</v>
      </c>
      <c r="F636" s="4" t="s">
        <v>23</v>
      </c>
      <c r="G636" s="29">
        <f>372357-195193.18</f>
        <v>177163.82</v>
      </c>
      <c r="H636" s="33"/>
      <c r="I636" s="48"/>
    </row>
    <row r="637" spans="1:9" s="16" customFormat="1" ht="31.5">
      <c r="A637" s="3" t="s">
        <v>326</v>
      </c>
      <c r="B637" s="4" t="s">
        <v>66</v>
      </c>
      <c r="C637" s="4" t="s">
        <v>258</v>
      </c>
      <c r="D637" s="4" t="s">
        <v>260</v>
      </c>
      <c r="E637" s="4" t="s">
        <v>74</v>
      </c>
      <c r="F637" s="4"/>
      <c r="G637" s="29">
        <f>G638</f>
        <v>348969.97</v>
      </c>
      <c r="H637" s="33"/>
      <c r="I637" s="48"/>
    </row>
    <row r="638" spans="1:12" s="16" customFormat="1" ht="63">
      <c r="A638" s="3" t="s">
        <v>330</v>
      </c>
      <c r="B638" s="4" t="s">
        <v>66</v>
      </c>
      <c r="C638" s="4" t="s">
        <v>258</v>
      </c>
      <c r="D638" s="4" t="s">
        <v>260</v>
      </c>
      <c r="E638" s="4" t="s">
        <v>74</v>
      </c>
      <c r="F638" s="4" t="s">
        <v>23</v>
      </c>
      <c r="G638" s="29">
        <f>869070-237040.38-40864-242195.65</f>
        <v>348969.97</v>
      </c>
      <c r="H638" s="33"/>
      <c r="I638" s="48"/>
      <c r="L638" s="51"/>
    </row>
    <row r="639" spans="1:9" s="16" customFormat="1" ht="31.5">
      <c r="A639" s="1" t="s">
        <v>61</v>
      </c>
      <c r="B639" s="2" t="s">
        <v>66</v>
      </c>
      <c r="C639" s="2" t="s">
        <v>258</v>
      </c>
      <c r="D639" s="2" t="s">
        <v>258</v>
      </c>
      <c r="E639" s="2"/>
      <c r="F639" s="2"/>
      <c r="G639" s="33">
        <f>G652+G640+G656</f>
        <v>17383257</v>
      </c>
      <c r="H639" s="33"/>
      <c r="I639" s="48"/>
    </row>
    <row r="640" spans="1:9" s="16" customFormat="1" ht="78.75">
      <c r="A640" s="3" t="s">
        <v>343</v>
      </c>
      <c r="B640" s="4" t="s">
        <v>66</v>
      </c>
      <c r="C640" s="4" t="s">
        <v>258</v>
      </c>
      <c r="D640" s="4" t="s">
        <v>258</v>
      </c>
      <c r="E640" s="4" t="s">
        <v>344</v>
      </c>
      <c r="F640" s="2"/>
      <c r="G640" s="29">
        <f>G641+G646+G649</f>
        <v>17136944</v>
      </c>
      <c r="H640" s="33"/>
      <c r="I640" s="48"/>
    </row>
    <row r="641" spans="1:9" s="16" customFormat="1" ht="40.5" customHeight="1">
      <c r="A641" s="3" t="s">
        <v>151</v>
      </c>
      <c r="B641" s="4" t="s">
        <v>66</v>
      </c>
      <c r="C641" s="4" t="s">
        <v>258</v>
      </c>
      <c r="D641" s="4" t="s">
        <v>258</v>
      </c>
      <c r="E641" s="4" t="s">
        <v>152</v>
      </c>
      <c r="F641" s="4"/>
      <c r="G641" s="29">
        <f>G642+G644</f>
        <v>882000</v>
      </c>
      <c r="H641" s="29"/>
      <c r="I641" s="48"/>
    </row>
    <row r="642" spans="1:9" s="16" customFormat="1" ht="47.25">
      <c r="A642" s="3" t="s">
        <v>153</v>
      </c>
      <c r="B642" s="4" t="s">
        <v>66</v>
      </c>
      <c r="C642" s="4" t="s">
        <v>258</v>
      </c>
      <c r="D642" s="4" t="s">
        <v>258</v>
      </c>
      <c r="E642" s="4" t="s">
        <v>154</v>
      </c>
      <c r="F642" s="4"/>
      <c r="G642" s="29">
        <f>G643</f>
        <v>300000</v>
      </c>
      <c r="H642" s="29"/>
      <c r="I642" s="48"/>
    </row>
    <row r="643" spans="1:9" s="16" customFormat="1" ht="47.25">
      <c r="A643" s="3" t="s">
        <v>306</v>
      </c>
      <c r="B643" s="4" t="s">
        <v>66</v>
      </c>
      <c r="C643" s="4" t="s">
        <v>258</v>
      </c>
      <c r="D643" s="4" t="s">
        <v>258</v>
      </c>
      <c r="E643" s="4" t="s">
        <v>154</v>
      </c>
      <c r="F643" s="4" t="s">
        <v>19</v>
      </c>
      <c r="G643" s="29">
        <v>300000</v>
      </c>
      <c r="H643" s="29"/>
      <c r="I643" s="48"/>
    </row>
    <row r="644" spans="1:9" s="16" customFormat="1" ht="31.5">
      <c r="A644" s="3" t="s">
        <v>326</v>
      </c>
      <c r="B644" s="4" t="s">
        <v>66</v>
      </c>
      <c r="C644" s="4" t="s">
        <v>258</v>
      </c>
      <c r="D644" s="4" t="s">
        <v>258</v>
      </c>
      <c r="E644" s="4" t="s">
        <v>155</v>
      </c>
      <c r="F644" s="4"/>
      <c r="G644" s="29">
        <f>G645</f>
        <v>582000</v>
      </c>
      <c r="H644" s="29"/>
      <c r="I644" s="48"/>
    </row>
    <row r="645" spans="1:12" s="16" customFormat="1" ht="47.25">
      <c r="A645" s="3" t="s">
        <v>306</v>
      </c>
      <c r="B645" s="4" t="s">
        <v>66</v>
      </c>
      <c r="C645" s="4" t="s">
        <v>258</v>
      </c>
      <c r="D645" s="4" t="s">
        <v>258</v>
      </c>
      <c r="E645" s="4" t="s">
        <v>155</v>
      </c>
      <c r="F645" s="4" t="s">
        <v>19</v>
      </c>
      <c r="G645" s="29">
        <f>622000-40000</f>
        <v>582000</v>
      </c>
      <c r="H645" s="29"/>
      <c r="I645" s="48"/>
      <c r="L645" s="51"/>
    </row>
    <row r="646" spans="1:9" s="16" customFormat="1" ht="31.5">
      <c r="A646" s="3" t="s">
        <v>156</v>
      </c>
      <c r="B646" s="4" t="s">
        <v>66</v>
      </c>
      <c r="C646" s="4" t="s">
        <v>258</v>
      </c>
      <c r="D646" s="4" t="s">
        <v>258</v>
      </c>
      <c r="E646" s="4" t="s">
        <v>157</v>
      </c>
      <c r="F646" s="4"/>
      <c r="G646" s="29">
        <f>G647</f>
        <v>16104944</v>
      </c>
      <c r="H646" s="29"/>
      <c r="I646" s="48"/>
    </row>
    <row r="647" spans="1:9" s="16" customFormat="1" ht="110.25">
      <c r="A647" s="3" t="s">
        <v>209</v>
      </c>
      <c r="B647" s="4" t="s">
        <v>66</v>
      </c>
      <c r="C647" s="4" t="s">
        <v>258</v>
      </c>
      <c r="D647" s="4" t="s">
        <v>258</v>
      </c>
      <c r="E647" s="4" t="s">
        <v>158</v>
      </c>
      <c r="F647" s="4"/>
      <c r="G647" s="29">
        <f>G648</f>
        <v>16104944</v>
      </c>
      <c r="H647" s="29"/>
      <c r="I647" s="48"/>
    </row>
    <row r="648" spans="1:12" s="16" customFormat="1" ht="63">
      <c r="A648" s="3" t="s">
        <v>330</v>
      </c>
      <c r="B648" s="4" t="s">
        <v>66</v>
      </c>
      <c r="C648" s="4" t="s">
        <v>258</v>
      </c>
      <c r="D648" s="4" t="s">
        <v>258</v>
      </c>
      <c r="E648" s="4" t="s">
        <v>158</v>
      </c>
      <c r="F648" s="4" t="s">
        <v>23</v>
      </c>
      <c r="G648" s="29">
        <f>15176589+878355+50000</f>
        <v>16104944</v>
      </c>
      <c r="H648" s="29"/>
      <c r="I648" s="48"/>
      <c r="L648" s="51"/>
    </row>
    <row r="649" spans="1:9" s="16" customFormat="1" ht="15.75">
      <c r="A649" s="61" t="s">
        <v>159</v>
      </c>
      <c r="B649" s="4" t="s">
        <v>66</v>
      </c>
      <c r="C649" s="4" t="s">
        <v>258</v>
      </c>
      <c r="D649" s="4" t="s">
        <v>258</v>
      </c>
      <c r="E649" s="4" t="s">
        <v>160</v>
      </c>
      <c r="F649" s="4"/>
      <c r="G649" s="29">
        <f>G650</f>
        <v>150000</v>
      </c>
      <c r="H649" s="29"/>
      <c r="I649" s="48"/>
    </row>
    <row r="650" spans="1:9" s="16" customFormat="1" ht="31.5">
      <c r="A650" s="3" t="s">
        <v>326</v>
      </c>
      <c r="B650" s="4" t="s">
        <v>66</v>
      </c>
      <c r="C650" s="4" t="s">
        <v>258</v>
      </c>
      <c r="D650" s="4" t="s">
        <v>258</v>
      </c>
      <c r="E650" s="4" t="s">
        <v>161</v>
      </c>
      <c r="F650" s="4"/>
      <c r="G650" s="29">
        <f>G651</f>
        <v>150000</v>
      </c>
      <c r="H650" s="29"/>
      <c r="I650" s="48"/>
    </row>
    <row r="651" spans="1:12" s="16" customFormat="1" ht="63">
      <c r="A651" s="3" t="s">
        <v>330</v>
      </c>
      <c r="B651" s="4" t="s">
        <v>66</v>
      </c>
      <c r="C651" s="4" t="s">
        <v>258</v>
      </c>
      <c r="D651" s="4" t="s">
        <v>258</v>
      </c>
      <c r="E651" s="4" t="s">
        <v>161</v>
      </c>
      <c r="F651" s="4" t="s">
        <v>23</v>
      </c>
      <c r="G651" s="29">
        <f>40000+110000</f>
        <v>150000</v>
      </c>
      <c r="H651" s="29"/>
      <c r="I651" s="48"/>
      <c r="L651" s="51"/>
    </row>
    <row r="652" spans="1:9" s="16" customFormat="1" ht="78.75">
      <c r="A652" s="3" t="s">
        <v>115</v>
      </c>
      <c r="B652" s="4" t="s">
        <v>66</v>
      </c>
      <c r="C652" s="4" t="s">
        <v>258</v>
      </c>
      <c r="D652" s="4" t="s">
        <v>258</v>
      </c>
      <c r="E652" s="4" t="s">
        <v>116</v>
      </c>
      <c r="F652" s="4"/>
      <c r="G652" s="29">
        <f>G653</f>
        <v>57602</v>
      </c>
      <c r="H652" s="33"/>
      <c r="I652" s="48"/>
    </row>
    <row r="653" spans="1:9" s="16" customFormat="1" ht="78.75">
      <c r="A653" s="3" t="s">
        <v>121</v>
      </c>
      <c r="B653" s="4" t="s">
        <v>66</v>
      </c>
      <c r="C653" s="4" t="s">
        <v>258</v>
      </c>
      <c r="D653" s="4" t="s">
        <v>258</v>
      </c>
      <c r="E653" s="4" t="s">
        <v>122</v>
      </c>
      <c r="F653" s="4"/>
      <c r="G653" s="29">
        <f>G654</f>
        <v>57602</v>
      </c>
      <c r="H653" s="33"/>
      <c r="I653" s="48"/>
    </row>
    <row r="654" spans="1:9" s="16" customFormat="1" ht="31.5">
      <c r="A654" s="3" t="s">
        <v>326</v>
      </c>
      <c r="B654" s="4" t="s">
        <v>66</v>
      </c>
      <c r="C654" s="4" t="s">
        <v>258</v>
      </c>
      <c r="D654" s="4" t="s">
        <v>258</v>
      </c>
      <c r="E654" s="4" t="s">
        <v>123</v>
      </c>
      <c r="F654" s="4"/>
      <c r="G654" s="29">
        <f>G655</f>
        <v>57602</v>
      </c>
      <c r="H654" s="33"/>
      <c r="I654" s="48"/>
    </row>
    <row r="655" spans="1:12" s="16" customFormat="1" ht="63">
      <c r="A655" s="3" t="s">
        <v>330</v>
      </c>
      <c r="B655" s="4" t="s">
        <v>66</v>
      </c>
      <c r="C655" s="4" t="s">
        <v>258</v>
      </c>
      <c r="D655" s="4" t="s">
        <v>258</v>
      </c>
      <c r="E655" s="4" t="s">
        <v>123</v>
      </c>
      <c r="F655" s="4" t="s">
        <v>23</v>
      </c>
      <c r="G655" s="29">
        <f>59170-1568</f>
        <v>57602</v>
      </c>
      <c r="H655" s="33"/>
      <c r="I655" s="48"/>
      <c r="L655" s="51"/>
    </row>
    <row r="656" spans="1:9" s="16" customFormat="1" ht="63">
      <c r="A656" s="3" t="s">
        <v>71</v>
      </c>
      <c r="B656" s="4" t="s">
        <v>66</v>
      </c>
      <c r="C656" s="4" t="s">
        <v>258</v>
      </c>
      <c r="D656" s="4" t="s">
        <v>258</v>
      </c>
      <c r="E656" s="4" t="s">
        <v>72</v>
      </c>
      <c r="F656" s="4"/>
      <c r="G656" s="29">
        <f>G657+G659</f>
        <v>188711</v>
      </c>
      <c r="H656" s="33"/>
      <c r="I656" s="48"/>
    </row>
    <row r="657" spans="1:9" s="16" customFormat="1" ht="47.25">
      <c r="A657" s="3" t="s">
        <v>228</v>
      </c>
      <c r="B657" s="4" t="s">
        <v>66</v>
      </c>
      <c r="C657" s="4" t="s">
        <v>258</v>
      </c>
      <c r="D657" s="4" t="s">
        <v>258</v>
      </c>
      <c r="E657" s="4" t="s">
        <v>73</v>
      </c>
      <c r="F657" s="4"/>
      <c r="G657" s="29">
        <f>G658</f>
        <v>62143</v>
      </c>
      <c r="H657" s="33"/>
      <c r="I657" s="48"/>
    </row>
    <row r="658" spans="1:10" s="16" customFormat="1" ht="63">
      <c r="A658" s="3" t="s">
        <v>330</v>
      </c>
      <c r="B658" s="4" t="s">
        <v>66</v>
      </c>
      <c r="C658" s="4" t="s">
        <v>258</v>
      </c>
      <c r="D658" s="4" t="s">
        <v>258</v>
      </c>
      <c r="E658" s="4" t="s">
        <v>73</v>
      </c>
      <c r="F658" s="4" t="s">
        <v>23</v>
      </c>
      <c r="G658" s="29">
        <f>62143</f>
        <v>62143</v>
      </c>
      <c r="H658" s="33"/>
      <c r="I658" s="48"/>
      <c r="J658" s="26"/>
    </row>
    <row r="659" spans="1:9" s="16" customFormat="1" ht="31.5">
      <c r="A659" s="3" t="s">
        <v>326</v>
      </c>
      <c r="B659" s="4" t="s">
        <v>66</v>
      </c>
      <c r="C659" s="4" t="s">
        <v>258</v>
      </c>
      <c r="D659" s="4" t="s">
        <v>258</v>
      </c>
      <c r="E659" s="4" t="s">
        <v>74</v>
      </c>
      <c r="F659" s="4"/>
      <c r="G659" s="29">
        <f>G660</f>
        <v>126568</v>
      </c>
      <c r="H659" s="33"/>
      <c r="I659" s="48"/>
    </row>
    <row r="660" spans="1:12" s="16" customFormat="1" ht="63">
      <c r="A660" s="3" t="s">
        <v>330</v>
      </c>
      <c r="B660" s="4" t="s">
        <v>66</v>
      </c>
      <c r="C660" s="4" t="s">
        <v>258</v>
      </c>
      <c r="D660" s="4" t="s">
        <v>258</v>
      </c>
      <c r="E660" s="4" t="s">
        <v>74</v>
      </c>
      <c r="F660" s="4" t="s">
        <v>23</v>
      </c>
      <c r="G660" s="29">
        <f>145000-18432</f>
        <v>126568</v>
      </c>
      <c r="H660" s="33"/>
      <c r="I660" s="48"/>
      <c r="J660" s="26"/>
      <c r="L660" s="51"/>
    </row>
    <row r="661" spans="1:8" ht="15.75">
      <c r="A661" s="13" t="s">
        <v>20</v>
      </c>
      <c r="B661" s="5" t="s">
        <v>66</v>
      </c>
      <c r="C661" s="5" t="s">
        <v>259</v>
      </c>
      <c r="D661" s="5" t="s">
        <v>285</v>
      </c>
      <c r="E661" s="23"/>
      <c r="F661" s="23"/>
      <c r="G661" s="28">
        <f>G662</f>
        <v>171517603.96000004</v>
      </c>
      <c r="H661" s="28">
        <f>H662</f>
        <v>1360078</v>
      </c>
    </row>
    <row r="662" spans="1:8" ht="15.75">
      <c r="A662" s="1" t="s">
        <v>280</v>
      </c>
      <c r="B662" s="2" t="s">
        <v>66</v>
      </c>
      <c r="C662" s="2" t="s">
        <v>259</v>
      </c>
      <c r="D662" s="2" t="s">
        <v>255</v>
      </c>
      <c r="E662" s="4"/>
      <c r="F662" s="4"/>
      <c r="G662" s="33">
        <f>G674+G663+G700+G670+G704</f>
        <v>171517603.96000004</v>
      </c>
      <c r="H662" s="33">
        <f>H674+H663+H700+H670+H704</f>
        <v>1360078</v>
      </c>
    </row>
    <row r="663" spans="1:8" ht="78.75">
      <c r="A663" s="3" t="s">
        <v>324</v>
      </c>
      <c r="B663" s="4" t="s">
        <v>66</v>
      </c>
      <c r="C663" s="4" t="s">
        <v>259</v>
      </c>
      <c r="D663" s="4" t="s">
        <v>255</v>
      </c>
      <c r="E663" s="4" t="s">
        <v>325</v>
      </c>
      <c r="F663" s="4"/>
      <c r="G663" s="29">
        <f>G664+G666+G668</f>
        <v>1813173</v>
      </c>
      <c r="H663" s="29">
        <f>H664+H666+H668</f>
        <v>530000</v>
      </c>
    </row>
    <row r="664" spans="1:8" ht="47.25">
      <c r="A664" s="3" t="s">
        <v>228</v>
      </c>
      <c r="B664" s="4" t="s">
        <v>66</v>
      </c>
      <c r="C664" s="4" t="s">
        <v>259</v>
      </c>
      <c r="D664" s="4" t="s">
        <v>255</v>
      </c>
      <c r="E664" s="4" t="s">
        <v>108</v>
      </c>
      <c r="F664" s="4"/>
      <c r="G664" s="29">
        <f>G665</f>
        <v>843000</v>
      </c>
      <c r="H664" s="29"/>
    </row>
    <row r="665" spans="1:10" ht="63">
      <c r="A665" s="3" t="s">
        <v>330</v>
      </c>
      <c r="B665" s="4" t="s">
        <v>66</v>
      </c>
      <c r="C665" s="4" t="s">
        <v>259</v>
      </c>
      <c r="D665" s="4" t="s">
        <v>255</v>
      </c>
      <c r="E665" s="4" t="s">
        <v>108</v>
      </c>
      <c r="F665" s="4" t="s">
        <v>23</v>
      </c>
      <c r="G665" s="29">
        <f>1968000-260000-60000-434000-371000</f>
        <v>843000</v>
      </c>
      <c r="H665" s="29"/>
      <c r="J665" s="26">
        <f>-60000-434000</f>
        <v>-494000</v>
      </c>
    </row>
    <row r="666" spans="1:8" ht="31.5">
      <c r="A666" s="3" t="s">
        <v>326</v>
      </c>
      <c r="B666" s="4" t="s">
        <v>66</v>
      </c>
      <c r="C666" s="4" t="s">
        <v>259</v>
      </c>
      <c r="D666" s="4" t="s">
        <v>255</v>
      </c>
      <c r="E666" s="4" t="s">
        <v>327</v>
      </c>
      <c r="F666" s="4"/>
      <c r="G666" s="29">
        <f>G667</f>
        <v>440173</v>
      </c>
      <c r="H666" s="29"/>
    </row>
    <row r="667" spans="1:10" ht="63">
      <c r="A667" s="3" t="s">
        <v>330</v>
      </c>
      <c r="B667" s="4" t="s">
        <v>66</v>
      </c>
      <c r="C667" s="4" t="s">
        <v>259</v>
      </c>
      <c r="D667" s="4" t="s">
        <v>255</v>
      </c>
      <c r="E667" s="4" t="s">
        <v>327</v>
      </c>
      <c r="F667" s="4" t="s">
        <v>23</v>
      </c>
      <c r="G667" s="29">
        <f>380000+260000+60000-59827-150000-50000</f>
        <v>440173</v>
      </c>
      <c r="H667" s="29"/>
      <c r="J667" s="26">
        <f>60000-59827</f>
        <v>173</v>
      </c>
    </row>
    <row r="668" spans="1:8" ht="63">
      <c r="A668" s="3" t="s">
        <v>452</v>
      </c>
      <c r="B668" s="4" t="s">
        <v>66</v>
      </c>
      <c r="C668" s="4" t="s">
        <v>259</v>
      </c>
      <c r="D668" s="4" t="s">
        <v>255</v>
      </c>
      <c r="E668" s="4" t="s">
        <v>453</v>
      </c>
      <c r="F668" s="4"/>
      <c r="G668" s="29">
        <f>G669</f>
        <v>530000</v>
      </c>
      <c r="H668" s="29">
        <f>H669</f>
        <v>530000</v>
      </c>
    </row>
    <row r="669" spans="1:8" ht="63">
      <c r="A669" s="3" t="s">
        <v>330</v>
      </c>
      <c r="B669" s="4" t="s">
        <v>66</v>
      </c>
      <c r="C669" s="4" t="s">
        <v>259</v>
      </c>
      <c r="D669" s="4" t="s">
        <v>255</v>
      </c>
      <c r="E669" s="4" t="s">
        <v>453</v>
      </c>
      <c r="F669" s="4" t="s">
        <v>23</v>
      </c>
      <c r="G669" s="29">
        <v>530000</v>
      </c>
      <c r="H669" s="29">
        <f>G669</f>
        <v>530000</v>
      </c>
    </row>
    <row r="670" spans="1:8" ht="78.75">
      <c r="A670" s="3" t="s">
        <v>343</v>
      </c>
      <c r="B670" s="4" t="s">
        <v>66</v>
      </c>
      <c r="C670" s="4" t="s">
        <v>259</v>
      </c>
      <c r="D670" s="4" t="s">
        <v>255</v>
      </c>
      <c r="E670" s="4" t="s">
        <v>344</v>
      </c>
      <c r="F670" s="4"/>
      <c r="G670" s="29">
        <f>G671</f>
        <v>30000</v>
      </c>
      <c r="H670" s="29"/>
    </row>
    <row r="671" spans="1:8" ht="15.75">
      <c r="A671" s="61" t="s">
        <v>159</v>
      </c>
      <c r="B671" s="4" t="s">
        <v>66</v>
      </c>
      <c r="C671" s="4" t="s">
        <v>259</v>
      </c>
      <c r="D671" s="4" t="s">
        <v>255</v>
      </c>
      <c r="E671" s="4" t="s">
        <v>160</v>
      </c>
      <c r="F671" s="4"/>
      <c r="G671" s="29">
        <f>G672</f>
        <v>30000</v>
      </c>
      <c r="H671" s="29"/>
    </row>
    <row r="672" spans="1:8" ht="31.5">
      <c r="A672" s="3" t="s">
        <v>326</v>
      </c>
      <c r="B672" s="4" t="s">
        <v>66</v>
      </c>
      <c r="C672" s="4" t="s">
        <v>259</v>
      </c>
      <c r="D672" s="4" t="s">
        <v>255</v>
      </c>
      <c r="E672" s="4" t="s">
        <v>161</v>
      </c>
      <c r="F672" s="4"/>
      <c r="G672" s="29">
        <f>G673</f>
        <v>30000</v>
      </c>
      <c r="H672" s="29"/>
    </row>
    <row r="673" spans="1:8" ht="63">
      <c r="A673" s="3" t="s">
        <v>330</v>
      </c>
      <c r="B673" s="4" t="s">
        <v>66</v>
      </c>
      <c r="C673" s="4" t="s">
        <v>259</v>
      </c>
      <c r="D673" s="4" t="s">
        <v>255</v>
      </c>
      <c r="E673" s="4" t="s">
        <v>161</v>
      </c>
      <c r="F673" s="4" t="s">
        <v>23</v>
      </c>
      <c r="G673" s="29">
        <v>30000</v>
      </c>
      <c r="H673" s="29"/>
    </row>
    <row r="674" spans="1:8" ht="63">
      <c r="A674" s="3" t="s">
        <v>50</v>
      </c>
      <c r="B674" s="4" t="s">
        <v>66</v>
      </c>
      <c r="C674" s="4" t="s">
        <v>259</v>
      </c>
      <c r="D674" s="4" t="s">
        <v>255</v>
      </c>
      <c r="E674" s="4" t="s">
        <v>51</v>
      </c>
      <c r="F674" s="4"/>
      <c r="G674" s="29">
        <f>G683+G675+G690+G695</f>
        <v>165049045.22000003</v>
      </c>
      <c r="H674" s="29">
        <f>H683+H675</f>
        <v>830078</v>
      </c>
    </row>
    <row r="675" spans="1:8" ht="63">
      <c r="A675" s="3" t="s">
        <v>183</v>
      </c>
      <c r="B675" s="4" t="s">
        <v>66</v>
      </c>
      <c r="C675" s="4" t="s">
        <v>259</v>
      </c>
      <c r="D675" s="4" t="s">
        <v>255</v>
      </c>
      <c r="E675" s="4" t="s">
        <v>184</v>
      </c>
      <c r="F675" s="4"/>
      <c r="G675" s="29">
        <f>G681+G678+G676</f>
        <v>96577405.21000001</v>
      </c>
      <c r="H675" s="29">
        <f>H681</f>
        <v>635139.31</v>
      </c>
    </row>
    <row r="676" spans="1:8" ht="110.25">
      <c r="A676" s="3" t="s">
        <v>209</v>
      </c>
      <c r="B676" s="4" t="s">
        <v>66</v>
      </c>
      <c r="C676" s="4" t="s">
        <v>259</v>
      </c>
      <c r="D676" s="4" t="s">
        <v>255</v>
      </c>
      <c r="E676" s="4" t="s">
        <v>137</v>
      </c>
      <c r="F676" s="4"/>
      <c r="G676" s="29">
        <f>G677</f>
        <v>94401487.9</v>
      </c>
      <c r="H676" s="29"/>
    </row>
    <row r="677" spans="1:8" ht="63">
      <c r="A677" s="3" t="s">
        <v>330</v>
      </c>
      <c r="B677" s="4" t="s">
        <v>66</v>
      </c>
      <c r="C677" s="4" t="s">
        <v>259</v>
      </c>
      <c r="D677" s="4" t="s">
        <v>255</v>
      </c>
      <c r="E677" s="4" t="s">
        <v>137</v>
      </c>
      <c r="F677" s="4" t="s">
        <v>23</v>
      </c>
      <c r="G677" s="29">
        <f>77978234+13000000+2459285+963968.9</f>
        <v>94401487.9</v>
      </c>
      <c r="H677" s="29"/>
    </row>
    <row r="678" spans="1:8" ht="31.5">
      <c r="A678" s="3" t="s">
        <v>326</v>
      </c>
      <c r="B678" s="4" t="s">
        <v>66</v>
      </c>
      <c r="C678" s="4" t="s">
        <v>259</v>
      </c>
      <c r="D678" s="4" t="s">
        <v>255</v>
      </c>
      <c r="E678" s="4" t="s">
        <v>136</v>
      </c>
      <c r="F678" s="4"/>
      <c r="G678" s="29">
        <f>G679+G680</f>
        <v>1540778</v>
      </c>
      <c r="H678" s="29"/>
    </row>
    <row r="679" spans="1:10" ht="47.25">
      <c r="A679" s="3" t="s">
        <v>306</v>
      </c>
      <c r="B679" s="4" t="s">
        <v>66</v>
      </c>
      <c r="C679" s="4" t="s">
        <v>259</v>
      </c>
      <c r="D679" s="4" t="s">
        <v>255</v>
      </c>
      <c r="E679" s="4" t="s">
        <v>136</v>
      </c>
      <c r="F679" s="4" t="s">
        <v>19</v>
      </c>
      <c r="G679" s="29">
        <f>1743000-450000-100000-34020-150000</f>
        <v>1008980</v>
      </c>
      <c r="H679" s="29"/>
      <c r="J679" s="26">
        <v>-100000</v>
      </c>
    </row>
    <row r="680" spans="1:10" ht="79.5" customHeight="1">
      <c r="A680" s="3" t="s">
        <v>330</v>
      </c>
      <c r="B680" s="4" t="s">
        <v>66</v>
      </c>
      <c r="C680" s="4" t="s">
        <v>259</v>
      </c>
      <c r="D680" s="4" t="s">
        <v>255</v>
      </c>
      <c r="E680" s="4" t="s">
        <v>136</v>
      </c>
      <c r="F680" s="4" t="s">
        <v>23</v>
      </c>
      <c r="G680" s="29">
        <f>419196+112602+100000-100000</f>
        <v>531798</v>
      </c>
      <c r="H680" s="29"/>
      <c r="J680" s="26">
        <v>100000</v>
      </c>
    </row>
    <row r="681" spans="1:8" ht="141.75">
      <c r="A681" s="3" t="s">
        <v>59</v>
      </c>
      <c r="B681" s="4" t="s">
        <v>66</v>
      </c>
      <c r="C681" s="4" t="s">
        <v>259</v>
      </c>
      <c r="D681" s="4" t="s">
        <v>255</v>
      </c>
      <c r="E681" s="4" t="s">
        <v>185</v>
      </c>
      <c r="F681" s="4"/>
      <c r="G681" s="29">
        <f>G682</f>
        <v>635139.31</v>
      </c>
      <c r="H681" s="29">
        <f>H682</f>
        <v>635139.31</v>
      </c>
    </row>
    <row r="682" spans="1:8" ht="63">
      <c r="A682" s="3" t="s">
        <v>330</v>
      </c>
      <c r="B682" s="4" t="s">
        <v>66</v>
      </c>
      <c r="C682" s="4" t="s">
        <v>259</v>
      </c>
      <c r="D682" s="4" t="s">
        <v>255</v>
      </c>
      <c r="E682" s="4" t="s">
        <v>185</v>
      </c>
      <c r="F682" s="4" t="s">
        <v>23</v>
      </c>
      <c r="G682" s="29">
        <f>632030+3109.31</f>
        <v>635139.31</v>
      </c>
      <c r="H682" s="29">
        <f>G682</f>
        <v>635139.31</v>
      </c>
    </row>
    <row r="683" spans="1:8" ht="31.5">
      <c r="A683" s="3" t="s">
        <v>53</v>
      </c>
      <c r="B683" s="4" t="s">
        <v>66</v>
      </c>
      <c r="C683" s="4" t="s">
        <v>259</v>
      </c>
      <c r="D683" s="4" t="s">
        <v>255</v>
      </c>
      <c r="E683" s="4" t="s">
        <v>54</v>
      </c>
      <c r="F683" s="4"/>
      <c r="G683" s="29">
        <f>G686+G688+G684</f>
        <v>50198568.69</v>
      </c>
      <c r="H683" s="29">
        <f>H686+H688</f>
        <v>194938.69</v>
      </c>
    </row>
    <row r="684" spans="1:8" ht="110.25">
      <c r="A684" s="3" t="s">
        <v>209</v>
      </c>
      <c r="B684" s="4" t="s">
        <v>66</v>
      </c>
      <c r="C684" s="4" t="s">
        <v>259</v>
      </c>
      <c r="D684" s="4" t="s">
        <v>255</v>
      </c>
      <c r="E684" s="4" t="s">
        <v>138</v>
      </c>
      <c r="F684" s="4"/>
      <c r="G684" s="29">
        <f>G685</f>
        <v>50003630</v>
      </c>
      <c r="H684" s="29"/>
    </row>
    <row r="685" spans="1:10" ht="63">
      <c r="A685" s="3" t="s">
        <v>330</v>
      </c>
      <c r="B685" s="4" t="s">
        <v>66</v>
      </c>
      <c r="C685" s="4" t="s">
        <v>259</v>
      </c>
      <c r="D685" s="4" t="s">
        <v>255</v>
      </c>
      <c r="E685" s="4" t="s">
        <v>138</v>
      </c>
      <c r="F685" s="4" t="s">
        <v>23</v>
      </c>
      <c r="G685" s="29">
        <f>49512776+450000+40854</f>
        <v>50003630</v>
      </c>
      <c r="H685" s="29"/>
      <c r="J685" s="26">
        <v>40854</v>
      </c>
    </row>
    <row r="686" spans="1:9" s="16" customFormat="1" ht="141.75" customHeight="1" hidden="1">
      <c r="A686" s="3" t="s">
        <v>55</v>
      </c>
      <c r="B686" s="4" t="s">
        <v>66</v>
      </c>
      <c r="C686" s="4" t="s">
        <v>259</v>
      </c>
      <c r="D686" s="4" t="s">
        <v>255</v>
      </c>
      <c r="E686" s="4" t="s">
        <v>56</v>
      </c>
      <c r="F686" s="4"/>
      <c r="G686" s="29">
        <f>G687</f>
        <v>0</v>
      </c>
      <c r="H686" s="29">
        <f>H687</f>
        <v>0</v>
      </c>
      <c r="I686" s="48"/>
    </row>
    <row r="687" spans="1:8" ht="63" hidden="1">
      <c r="A687" s="3" t="s">
        <v>330</v>
      </c>
      <c r="B687" s="4" t="s">
        <v>66</v>
      </c>
      <c r="C687" s="4" t="s">
        <v>259</v>
      </c>
      <c r="D687" s="4" t="s">
        <v>255</v>
      </c>
      <c r="E687" s="4" t="s">
        <v>56</v>
      </c>
      <c r="F687" s="4" t="s">
        <v>23</v>
      </c>
      <c r="G687" s="29">
        <f>104800-104800</f>
        <v>0</v>
      </c>
      <c r="H687" s="29">
        <f>G687</f>
        <v>0</v>
      </c>
    </row>
    <row r="688" spans="1:8" ht="141.75">
      <c r="A688" s="3" t="s">
        <v>59</v>
      </c>
      <c r="B688" s="4" t="s">
        <v>66</v>
      </c>
      <c r="C688" s="4" t="s">
        <v>259</v>
      </c>
      <c r="D688" s="4" t="s">
        <v>255</v>
      </c>
      <c r="E688" s="4" t="s">
        <v>186</v>
      </c>
      <c r="F688" s="4"/>
      <c r="G688" s="29">
        <f>G689</f>
        <v>194938.69</v>
      </c>
      <c r="H688" s="29">
        <f>H689</f>
        <v>194938.69</v>
      </c>
    </row>
    <row r="689" spans="1:8" ht="63">
      <c r="A689" s="3" t="s">
        <v>330</v>
      </c>
      <c r="B689" s="4" t="s">
        <v>66</v>
      </c>
      <c r="C689" s="4" t="s">
        <v>259</v>
      </c>
      <c r="D689" s="4" t="s">
        <v>255</v>
      </c>
      <c r="E689" s="4" t="s">
        <v>186</v>
      </c>
      <c r="F689" s="4" t="s">
        <v>23</v>
      </c>
      <c r="G689" s="29">
        <f>198048-3109.31</f>
        <v>194938.69</v>
      </c>
      <c r="H689" s="29">
        <f>G689</f>
        <v>194938.69</v>
      </c>
    </row>
    <row r="690" spans="1:8" ht="31.5">
      <c r="A690" s="3" t="s">
        <v>139</v>
      </c>
      <c r="B690" s="4" t="s">
        <v>66</v>
      </c>
      <c r="C690" s="4" t="s">
        <v>259</v>
      </c>
      <c r="D690" s="4" t="s">
        <v>255</v>
      </c>
      <c r="E690" s="4" t="s">
        <v>140</v>
      </c>
      <c r="F690" s="4"/>
      <c r="G690" s="29">
        <f>G691+G693</f>
        <v>12441660.3</v>
      </c>
      <c r="H690" s="29"/>
    </row>
    <row r="691" spans="1:8" ht="110.25">
      <c r="A691" s="3" t="s">
        <v>209</v>
      </c>
      <c r="B691" s="4" t="s">
        <v>66</v>
      </c>
      <c r="C691" s="4" t="s">
        <v>259</v>
      </c>
      <c r="D691" s="4" t="s">
        <v>255</v>
      </c>
      <c r="E691" s="4" t="s">
        <v>141</v>
      </c>
      <c r="F691" s="4"/>
      <c r="G691" s="29">
        <f>G692</f>
        <v>12407640.3</v>
      </c>
      <c r="H691" s="29"/>
    </row>
    <row r="692" spans="1:10" ht="63">
      <c r="A692" s="3" t="s">
        <v>330</v>
      </c>
      <c r="B692" s="4" t="s">
        <v>66</v>
      </c>
      <c r="C692" s="4" t="s">
        <v>259</v>
      </c>
      <c r="D692" s="4" t="s">
        <v>255</v>
      </c>
      <c r="E692" s="4" t="s">
        <v>141</v>
      </c>
      <c r="F692" s="4" t="s">
        <v>23</v>
      </c>
      <c r="G692" s="29">
        <f>11881058+526582.3</f>
        <v>12407640.3</v>
      </c>
      <c r="H692" s="29"/>
      <c r="J692" s="26">
        <v>526582.3</v>
      </c>
    </row>
    <row r="693" spans="1:10" ht="39" customHeight="1">
      <c r="A693" s="3" t="s">
        <v>326</v>
      </c>
      <c r="B693" s="4" t="s">
        <v>66</v>
      </c>
      <c r="C693" s="4" t="s">
        <v>259</v>
      </c>
      <c r="D693" s="4" t="s">
        <v>255</v>
      </c>
      <c r="E693" s="4" t="s">
        <v>346</v>
      </c>
      <c r="F693" s="4"/>
      <c r="G693" s="29">
        <f>G694</f>
        <v>34020</v>
      </c>
      <c r="H693" s="29"/>
      <c r="J693" s="26"/>
    </row>
    <row r="694" spans="1:10" ht="66" customHeight="1">
      <c r="A694" s="3" t="s">
        <v>330</v>
      </c>
      <c r="B694" s="4" t="s">
        <v>66</v>
      </c>
      <c r="C694" s="4" t="s">
        <v>259</v>
      </c>
      <c r="D694" s="4" t="s">
        <v>255</v>
      </c>
      <c r="E694" s="4" t="s">
        <v>346</v>
      </c>
      <c r="F694" s="4" t="s">
        <v>23</v>
      </c>
      <c r="G694" s="29">
        <v>34020</v>
      </c>
      <c r="H694" s="29"/>
      <c r="J694" s="26"/>
    </row>
    <row r="695" spans="1:8" ht="78.75">
      <c r="A695" s="3" t="s">
        <v>146</v>
      </c>
      <c r="B695" s="4" t="s">
        <v>66</v>
      </c>
      <c r="C695" s="4" t="s">
        <v>259</v>
      </c>
      <c r="D695" s="4" t="s">
        <v>255</v>
      </c>
      <c r="E695" s="4" t="s">
        <v>147</v>
      </c>
      <c r="F695" s="4"/>
      <c r="G695" s="29">
        <f>G696+G698</f>
        <v>5831411.02</v>
      </c>
      <c r="H695" s="29"/>
    </row>
    <row r="696" spans="1:8" ht="47.25">
      <c r="A696" s="3" t="s">
        <v>228</v>
      </c>
      <c r="B696" s="4" t="s">
        <v>66</v>
      </c>
      <c r="C696" s="4" t="s">
        <v>259</v>
      </c>
      <c r="D696" s="4" t="s">
        <v>255</v>
      </c>
      <c r="E696" s="4" t="s">
        <v>148</v>
      </c>
      <c r="F696" s="4"/>
      <c r="G696" s="29">
        <f>G697</f>
        <v>867000</v>
      </c>
      <c r="H696" s="29"/>
    </row>
    <row r="697" spans="1:8" ht="63">
      <c r="A697" s="3" t="s">
        <v>330</v>
      </c>
      <c r="B697" s="4" t="s">
        <v>66</v>
      </c>
      <c r="C697" s="4" t="s">
        <v>259</v>
      </c>
      <c r="D697" s="4" t="s">
        <v>255</v>
      </c>
      <c r="E697" s="4" t="s">
        <v>148</v>
      </c>
      <c r="F697" s="4" t="s">
        <v>23</v>
      </c>
      <c r="G697" s="29">
        <f>1290000-716000+293000</f>
        <v>867000</v>
      </c>
      <c r="H697" s="29"/>
    </row>
    <row r="698" spans="1:8" ht="31.5">
      <c r="A698" s="3" t="s">
        <v>326</v>
      </c>
      <c r="B698" s="4" t="s">
        <v>66</v>
      </c>
      <c r="C698" s="4" t="s">
        <v>259</v>
      </c>
      <c r="D698" s="4" t="s">
        <v>255</v>
      </c>
      <c r="E698" s="4" t="s">
        <v>149</v>
      </c>
      <c r="F698" s="4"/>
      <c r="G698" s="29">
        <f>G699</f>
        <v>4964411.02</v>
      </c>
      <c r="H698" s="29"/>
    </row>
    <row r="699" spans="1:12" ht="63">
      <c r="A699" s="3" t="s">
        <v>330</v>
      </c>
      <c r="B699" s="4" t="s">
        <v>66</v>
      </c>
      <c r="C699" s="4" t="s">
        <v>259</v>
      </c>
      <c r="D699" s="4" t="s">
        <v>255</v>
      </c>
      <c r="E699" s="4" t="s">
        <v>149</v>
      </c>
      <c r="F699" s="4" t="s">
        <v>23</v>
      </c>
      <c r="G699" s="29">
        <f>820900+540000+2520273+165000+70000+50000+344438+941801.8-40000+274946-35919-394028.78-293000</f>
        <v>4964411.02</v>
      </c>
      <c r="H699" s="29"/>
      <c r="J699" s="26">
        <v>274946</v>
      </c>
      <c r="L699" s="51"/>
    </row>
    <row r="700" spans="1:8" ht="78.75">
      <c r="A700" s="3" t="s">
        <v>115</v>
      </c>
      <c r="B700" s="4" t="s">
        <v>66</v>
      </c>
      <c r="C700" s="4" t="s">
        <v>259</v>
      </c>
      <c r="D700" s="4" t="s">
        <v>255</v>
      </c>
      <c r="E700" s="4" t="s">
        <v>116</v>
      </c>
      <c r="F700" s="4"/>
      <c r="G700" s="29">
        <f>G701</f>
        <v>184030</v>
      </c>
      <c r="H700" s="29"/>
    </row>
    <row r="701" spans="1:8" ht="78.75">
      <c r="A701" s="3" t="s">
        <v>121</v>
      </c>
      <c r="B701" s="4" t="s">
        <v>66</v>
      </c>
      <c r="C701" s="4" t="s">
        <v>259</v>
      </c>
      <c r="D701" s="4" t="s">
        <v>255</v>
      </c>
      <c r="E701" s="4" t="s">
        <v>122</v>
      </c>
      <c r="F701" s="4"/>
      <c r="G701" s="29">
        <f>G702</f>
        <v>184030</v>
      </c>
      <c r="H701" s="29"/>
    </row>
    <row r="702" spans="1:8" ht="31.5">
      <c r="A702" s="3" t="s">
        <v>326</v>
      </c>
      <c r="B702" s="4" t="s">
        <v>66</v>
      </c>
      <c r="C702" s="4" t="s">
        <v>259</v>
      </c>
      <c r="D702" s="4" t="s">
        <v>255</v>
      </c>
      <c r="E702" s="4" t="s">
        <v>123</v>
      </c>
      <c r="F702" s="4"/>
      <c r="G702" s="29">
        <f>G703</f>
        <v>184030</v>
      </c>
      <c r="H702" s="29"/>
    </row>
    <row r="703" spans="1:8" ht="63">
      <c r="A703" s="3" t="s">
        <v>330</v>
      </c>
      <c r="B703" s="4" t="s">
        <v>66</v>
      </c>
      <c r="C703" s="4" t="s">
        <v>259</v>
      </c>
      <c r="D703" s="4" t="s">
        <v>255</v>
      </c>
      <c r="E703" s="4" t="s">
        <v>123</v>
      </c>
      <c r="F703" s="4" t="s">
        <v>23</v>
      </c>
      <c r="G703" s="29">
        <f>204030-20000</f>
        <v>184030</v>
      </c>
      <c r="H703" s="29"/>
    </row>
    <row r="704" spans="1:8" ht="63">
      <c r="A704" s="3" t="s">
        <v>71</v>
      </c>
      <c r="B704" s="4" t="s">
        <v>66</v>
      </c>
      <c r="C704" s="4" t="s">
        <v>259</v>
      </c>
      <c r="D704" s="4" t="s">
        <v>255</v>
      </c>
      <c r="E704" s="4" t="s">
        <v>72</v>
      </c>
      <c r="F704" s="4"/>
      <c r="G704" s="29">
        <f>G705+G707</f>
        <v>4441355.74</v>
      </c>
      <c r="H704" s="29"/>
    </row>
    <row r="705" spans="1:8" ht="47.25">
      <c r="A705" s="3" t="s">
        <v>228</v>
      </c>
      <c r="B705" s="4" t="s">
        <v>66</v>
      </c>
      <c r="C705" s="4" t="s">
        <v>259</v>
      </c>
      <c r="D705" s="4" t="s">
        <v>255</v>
      </c>
      <c r="E705" s="4" t="s">
        <v>73</v>
      </c>
      <c r="F705" s="4"/>
      <c r="G705" s="29">
        <f>G706</f>
        <v>1159891.04</v>
      </c>
      <c r="H705" s="29"/>
    </row>
    <row r="706" spans="1:12" ht="63">
      <c r="A706" s="3" t="s">
        <v>330</v>
      </c>
      <c r="B706" s="4" t="s">
        <v>66</v>
      </c>
      <c r="C706" s="4" t="s">
        <v>259</v>
      </c>
      <c r="D706" s="4" t="s">
        <v>255</v>
      </c>
      <c r="E706" s="4" t="s">
        <v>73</v>
      </c>
      <c r="F706" s="4" t="s">
        <v>23</v>
      </c>
      <c r="G706" s="29">
        <f>1583150-175801.8-40000-11521.2+40000-690042.96+454107</f>
        <v>1159891.04</v>
      </c>
      <c r="H706" s="29"/>
      <c r="J706" s="26">
        <v>-11521.2</v>
      </c>
      <c r="L706" s="51"/>
    </row>
    <row r="707" spans="1:8" ht="31.5">
      <c r="A707" s="3" t="s">
        <v>326</v>
      </c>
      <c r="B707" s="4" t="s">
        <v>66</v>
      </c>
      <c r="C707" s="4" t="s">
        <v>259</v>
      </c>
      <c r="D707" s="4" t="s">
        <v>255</v>
      </c>
      <c r="E707" s="4" t="s">
        <v>74</v>
      </c>
      <c r="F707" s="4"/>
      <c r="G707" s="29">
        <f>G708</f>
        <v>3281464.6999999997</v>
      </c>
      <c r="H707" s="29"/>
    </row>
    <row r="708" spans="1:12" ht="63">
      <c r="A708" s="3" t="s">
        <v>330</v>
      </c>
      <c r="B708" s="4" t="s">
        <v>66</v>
      </c>
      <c r="C708" s="4" t="s">
        <v>259</v>
      </c>
      <c r="D708" s="4" t="s">
        <v>255</v>
      </c>
      <c r="E708" s="4" t="s">
        <v>74</v>
      </c>
      <c r="F708" s="4" t="s">
        <v>23</v>
      </c>
      <c r="G708" s="29">
        <f>3693780-50000-337034.1-40000+607543.92-138718.12-454107</f>
        <v>3281464.6999999997</v>
      </c>
      <c r="H708" s="29"/>
      <c r="J708" s="26">
        <v>-337034.1</v>
      </c>
      <c r="L708" s="51"/>
    </row>
    <row r="709" spans="1:8" ht="15.75">
      <c r="A709" s="13" t="s">
        <v>269</v>
      </c>
      <c r="B709" s="5" t="s">
        <v>66</v>
      </c>
      <c r="C709" s="5" t="s">
        <v>263</v>
      </c>
      <c r="D709" s="5"/>
      <c r="E709" s="5"/>
      <c r="F709" s="23"/>
      <c r="G709" s="28">
        <f>G710</f>
        <v>579304</v>
      </c>
      <c r="H709" s="28">
        <f>H710</f>
        <v>579304</v>
      </c>
    </row>
    <row r="710" spans="1:8" ht="31.5">
      <c r="A710" s="1" t="s">
        <v>281</v>
      </c>
      <c r="B710" s="2" t="s">
        <v>66</v>
      </c>
      <c r="C710" s="2" t="s">
        <v>263</v>
      </c>
      <c r="D710" s="2" t="s">
        <v>262</v>
      </c>
      <c r="E710" s="2"/>
      <c r="F710" s="4"/>
      <c r="G710" s="33">
        <f>G711</f>
        <v>579304</v>
      </c>
      <c r="H710" s="33">
        <f>H711</f>
        <v>579304</v>
      </c>
    </row>
    <row r="711" spans="1:8" ht="63">
      <c r="A711" s="3" t="s">
        <v>50</v>
      </c>
      <c r="B711" s="4" t="s">
        <v>66</v>
      </c>
      <c r="C711" s="4" t="s">
        <v>263</v>
      </c>
      <c r="D711" s="4" t="s">
        <v>262</v>
      </c>
      <c r="E711" s="4" t="s">
        <v>51</v>
      </c>
      <c r="F711" s="4"/>
      <c r="G711" s="29">
        <f>G712+G717</f>
        <v>579304</v>
      </c>
      <c r="H711" s="29">
        <f>H712+H717</f>
        <v>579304</v>
      </c>
    </row>
    <row r="712" spans="1:8" ht="63">
      <c r="A712" s="3" t="s">
        <v>183</v>
      </c>
      <c r="B712" s="4" t="s">
        <v>66</v>
      </c>
      <c r="C712" s="4" t="s">
        <v>263</v>
      </c>
      <c r="D712" s="4" t="s">
        <v>262</v>
      </c>
      <c r="E712" s="4" t="s">
        <v>184</v>
      </c>
      <c r="F712" s="4"/>
      <c r="G712" s="29">
        <f>G715+G713</f>
        <v>438294</v>
      </c>
      <c r="H712" s="29">
        <f>H715+H713</f>
        <v>438294</v>
      </c>
    </row>
    <row r="713" spans="1:8" ht="126">
      <c r="A713" s="3" t="s">
        <v>202</v>
      </c>
      <c r="B713" s="4" t="s">
        <v>66</v>
      </c>
      <c r="C713" s="4" t="s">
        <v>263</v>
      </c>
      <c r="D713" s="4" t="s">
        <v>262</v>
      </c>
      <c r="E713" s="4" t="s">
        <v>203</v>
      </c>
      <c r="F713" s="4"/>
      <c r="G713" s="29">
        <f>G714</f>
        <v>2323</v>
      </c>
      <c r="H713" s="29">
        <f>H714</f>
        <v>2323</v>
      </c>
    </row>
    <row r="714" spans="1:8" ht="63">
      <c r="A714" s="3" t="s">
        <v>330</v>
      </c>
      <c r="B714" s="4" t="s">
        <v>66</v>
      </c>
      <c r="C714" s="4" t="s">
        <v>263</v>
      </c>
      <c r="D714" s="4" t="s">
        <v>262</v>
      </c>
      <c r="E714" s="4" t="s">
        <v>203</v>
      </c>
      <c r="F714" s="4" t="s">
        <v>23</v>
      </c>
      <c r="G714" s="29">
        <v>2323</v>
      </c>
      <c r="H714" s="29">
        <f>G714</f>
        <v>2323</v>
      </c>
    </row>
    <row r="715" spans="1:8" ht="126">
      <c r="A715" s="3" t="s">
        <v>190</v>
      </c>
      <c r="B715" s="4" t="s">
        <v>66</v>
      </c>
      <c r="C715" s="4" t="s">
        <v>263</v>
      </c>
      <c r="D715" s="4" t="s">
        <v>262</v>
      </c>
      <c r="E715" s="4" t="s">
        <v>193</v>
      </c>
      <c r="F715" s="4"/>
      <c r="G715" s="29">
        <f>G716</f>
        <v>435971</v>
      </c>
      <c r="H715" s="29">
        <f>H716</f>
        <v>435971</v>
      </c>
    </row>
    <row r="716" spans="1:8" ht="63">
      <c r="A716" s="3" t="s">
        <v>330</v>
      </c>
      <c r="B716" s="4" t="s">
        <v>66</v>
      </c>
      <c r="C716" s="4" t="s">
        <v>263</v>
      </c>
      <c r="D716" s="4" t="s">
        <v>262</v>
      </c>
      <c r="E716" s="4" t="s">
        <v>193</v>
      </c>
      <c r="F716" s="4" t="s">
        <v>23</v>
      </c>
      <c r="G716" s="29">
        <v>435971</v>
      </c>
      <c r="H716" s="29">
        <f>G716</f>
        <v>435971</v>
      </c>
    </row>
    <row r="717" spans="1:8" ht="31.5">
      <c r="A717" s="3" t="s">
        <v>53</v>
      </c>
      <c r="B717" s="4" t="s">
        <v>66</v>
      </c>
      <c r="C717" s="4" t="s">
        <v>263</v>
      </c>
      <c r="D717" s="4" t="s">
        <v>262</v>
      </c>
      <c r="E717" s="4" t="s">
        <v>54</v>
      </c>
      <c r="F717" s="4"/>
      <c r="G717" s="29">
        <f>G720+G718</f>
        <v>141010</v>
      </c>
      <c r="H717" s="29">
        <f>H720+H718</f>
        <v>141010</v>
      </c>
    </row>
    <row r="718" spans="1:8" ht="126">
      <c r="A718" s="3" t="s">
        <v>202</v>
      </c>
      <c r="B718" s="4" t="s">
        <v>66</v>
      </c>
      <c r="C718" s="4" t="s">
        <v>263</v>
      </c>
      <c r="D718" s="4" t="s">
        <v>262</v>
      </c>
      <c r="E718" s="4" t="s">
        <v>204</v>
      </c>
      <c r="F718" s="4"/>
      <c r="G718" s="29">
        <f>G719</f>
        <v>707</v>
      </c>
      <c r="H718" s="29">
        <f>H719</f>
        <v>707</v>
      </c>
    </row>
    <row r="719" spans="1:8" ht="63">
      <c r="A719" s="3" t="s">
        <v>330</v>
      </c>
      <c r="B719" s="4" t="s">
        <v>66</v>
      </c>
      <c r="C719" s="4" t="s">
        <v>263</v>
      </c>
      <c r="D719" s="4" t="s">
        <v>262</v>
      </c>
      <c r="E719" s="4" t="s">
        <v>204</v>
      </c>
      <c r="F719" s="4" t="s">
        <v>23</v>
      </c>
      <c r="G719" s="29">
        <v>707</v>
      </c>
      <c r="H719" s="29">
        <f>G719</f>
        <v>707</v>
      </c>
    </row>
    <row r="720" spans="1:8" ht="126">
      <c r="A720" s="3" t="s">
        <v>190</v>
      </c>
      <c r="B720" s="4" t="s">
        <v>66</v>
      </c>
      <c r="C720" s="4" t="s">
        <v>263</v>
      </c>
      <c r="D720" s="4" t="s">
        <v>262</v>
      </c>
      <c r="E720" s="4" t="s">
        <v>194</v>
      </c>
      <c r="F720" s="4"/>
      <c r="G720" s="29">
        <f>G721</f>
        <v>140303</v>
      </c>
      <c r="H720" s="29">
        <f>H721</f>
        <v>140303</v>
      </c>
    </row>
    <row r="721" spans="1:8" ht="63">
      <c r="A721" s="3" t="s">
        <v>330</v>
      </c>
      <c r="B721" s="4" t="s">
        <v>66</v>
      </c>
      <c r="C721" s="4" t="s">
        <v>263</v>
      </c>
      <c r="D721" s="4" t="s">
        <v>262</v>
      </c>
      <c r="E721" s="4" t="s">
        <v>194</v>
      </c>
      <c r="F721" s="4" t="s">
        <v>23</v>
      </c>
      <c r="G721" s="29">
        <v>140303</v>
      </c>
      <c r="H721" s="29">
        <f>G721</f>
        <v>140303</v>
      </c>
    </row>
    <row r="722" spans="1:8" ht="18.75">
      <c r="A722" s="39" t="s">
        <v>166</v>
      </c>
      <c r="B722" s="5" t="s">
        <v>66</v>
      </c>
      <c r="C722" s="5" t="s">
        <v>169</v>
      </c>
      <c r="D722" s="5" t="s">
        <v>285</v>
      </c>
      <c r="E722" s="11"/>
      <c r="F722" s="11"/>
      <c r="G722" s="32">
        <f>G728+G723</f>
        <v>1501000</v>
      </c>
      <c r="H722" s="32">
        <f>H728</f>
        <v>72000</v>
      </c>
    </row>
    <row r="723" spans="1:8" ht="18.75">
      <c r="A723" s="50" t="s">
        <v>8</v>
      </c>
      <c r="B723" s="2" t="s">
        <v>66</v>
      </c>
      <c r="C723" s="2" t="s">
        <v>169</v>
      </c>
      <c r="D723" s="2" t="s">
        <v>255</v>
      </c>
      <c r="E723" s="9"/>
      <c r="F723" s="9"/>
      <c r="G723" s="33">
        <f>G724</f>
        <v>1429000</v>
      </c>
      <c r="H723" s="33"/>
    </row>
    <row r="724" spans="1:8" ht="78.75">
      <c r="A724" s="27" t="s">
        <v>343</v>
      </c>
      <c r="B724" s="4" t="s">
        <v>66</v>
      </c>
      <c r="C724" s="4" t="s">
        <v>169</v>
      </c>
      <c r="D724" s="4" t="s">
        <v>255</v>
      </c>
      <c r="E724" s="4" t="s">
        <v>344</v>
      </c>
      <c r="F724" s="38"/>
      <c r="G724" s="29">
        <f>G725</f>
        <v>1429000</v>
      </c>
      <c r="H724" s="29"/>
    </row>
    <row r="725" spans="1:8" ht="31.5">
      <c r="A725" s="27" t="s">
        <v>347</v>
      </c>
      <c r="B725" s="4" t="s">
        <v>66</v>
      </c>
      <c r="C725" s="4" t="s">
        <v>169</v>
      </c>
      <c r="D725" s="4" t="s">
        <v>255</v>
      </c>
      <c r="E725" s="4" t="s">
        <v>348</v>
      </c>
      <c r="F725" s="38"/>
      <c r="G725" s="29">
        <f>G726</f>
        <v>1429000</v>
      </c>
      <c r="H725" s="29"/>
    </row>
    <row r="726" spans="1:8" ht="31.5">
      <c r="A726" s="27" t="s">
        <v>326</v>
      </c>
      <c r="B726" s="4" t="s">
        <v>66</v>
      </c>
      <c r="C726" s="4" t="s">
        <v>169</v>
      </c>
      <c r="D726" s="4" t="s">
        <v>255</v>
      </c>
      <c r="E726" s="4" t="s">
        <v>150</v>
      </c>
      <c r="F726" s="38"/>
      <c r="G726" s="29">
        <f>G727</f>
        <v>1429000</v>
      </c>
      <c r="H726" s="29"/>
    </row>
    <row r="727" spans="1:8" ht="47.25">
      <c r="A727" s="3" t="s">
        <v>306</v>
      </c>
      <c r="B727" s="4" t="s">
        <v>66</v>
      </c>
      <c r="C727" s="4" t="s">
        <v>169</v>
      </c>
      <c r="D727" s="4" t="s">
        <v>255</v>
      </c>
      <c r="E727" s="4" t="s">
        <v>150</v>
      </c>
      <c r="F727" s="4" t="s">
        <v>19</v>
      </c>
      <c r="G727" s="29">
        <f>1579000-150000</f>
        <v>1429000</v>
      </c>
      <c r="H727" s="29"/>
    </row>
    <row r="728" spans="1:8" ht="48" customHeight="1">
      <c r="A728" s="1" t="s">
        <v>342</v>
      </c>
      <c r="B728" s="2" t="s">
        <v>66</v>
      </c>
      <c r="C728" s="2" t="s">
        <v>169</v>
      </c>
      <c r="D728" s="2" t="s">
        <v>257</v>
      </c>
      <c r="E728" s="9"/>
      <c r="F728" s="9"/>
      <c r="G728" s="33">
        <f aca="true" t="shared" si="6" ref="G728:H731">G729</f>
        <v>72000</v>
      </c>
      <c r="H728" s="33">
        <f t="shared" si="6"/>
        <v>72000</v>
      </c>
    </row>
    <row r="729" spans="1:8" ht="78.75">
      <c r="A729" s="3" t="s">
        <v>343</v>
      </c>
      <c r="B729" s="4" t="s">
        <v>66</v>
      </c>
      <c r="C729" s="4" t="s">
        <v>169</v>
      </c>
      <c r="D729" s="4" t="s">
        <v>257</v>
      </c>
      <c r="E729" s="4" t="s">
        <v>344</v>
      </c>
      <c r="F729" s="4"/>
      <c r="G729" s="29">
        <f t="shared" si="6"/>
        <v>72000</v>
      </c>
      <c r="H729" s="29">
        <f t="shared" si="6"/>
        <v>72000</v>
      </c>
    </row>
    <row r="730" spans="1:8" ht="31.5">
      <c r="A730" s="27" t="s">
        <v>347</v>
      </c>
      <c r="B730" s="4" t="s">
        <v>66</v>
      </c>
      <c r="C730" s="4" t="s">
        <v>169</v>
      </c>
      <c r="D730" s="4" t="s">
        <v>257</v>
      </c>
      <c r="E730" s="4" t="s">
        <v>348</v>
      </c>
      <c r="F730" s="4"/>
      <c r="G730" s="29">
        <f t="shared" si="6"/>
        <v>72000</v>
      </c>
      <c r="H730" s="29">
        <f t="shared" si="6"/>
        <v>72000</v>
      </c>
    </row>
    <row r="731" spans="1:8" ht="190.5" customHeight="1">
      <c r="A731" s="27" t="s">
        <v>349</v>
      </c>
      <c r="B731" s="4" t="s">
        <v>66</v>
      </c>
      <c r="C731" s="4" t="s">
        <v>169</v>
      </c>
      <c r="D731" s="4" t="s">
        <v>257</v>
      </c>
      <c r="E731" s="4" t="s">
        <v>350</v>
      </c>
      <c r="F731" s="4"/>
      <c r="G731" s="29">
        <f t="shared" si="6"/>
        <v>72000</v>
      </c>
      <c r="H731" s="29">
        <f t="shared" si="6"/>
        <v>72000</v>
      </c>
    </row>
    <row r="732" spans="1:8" ht="126">
      <c r="A732" s="3" t="s">
        <v>305</v>
      </c>
      <c r="B732" s="4" t="s">
        <v>66</v>
      </c>
      <c r="C732" s="4" t="s">
        <v>169</v>
      </c>
      <c r="D732" s="4" t="s">
        <v>257</v>
      </c>
      <c r="E732" s="4" t="s">
        <v>350</v>
      </c>
      <c r="F732" s="4" t="s">
        <v>18</v>
      </c>
      <c r="G732" s="29">
        <v>72000</v>
      </c>
      <c r="H732" s="29">
        <f>G732</f>
        <v>72000</v>
      </c>
    </row>
    <row r="733" spans="1:8" ht="58.5">
      <c r="A733" s="34" t="s">
        <v>178</v>
      </c>
      <c r="B733" s="24" t="s">
        <v>299</v>
      </c>
      <c r="C733" s="24"/>
      <c r="D733" s="24"/>
      <c r="E733" s="24"/>
      <c r="F733" s="24"/>
      <c r="G733" s="28">
        <f>G734+G750</f>
        <v>3640204</v>
      </c>
      <c r="H733" s="28"/>
    </row>
    <row r="734" spans="1:8" ht="15.75">
      <c r="A734" s="1" t="s">
        <v>274</v>
      </c>
      <c r="B734" s="2" t="s">
        <v>299</v>
      </c>
      <c r="C734" s="2" t="s">
        <v>255</v>
      </c>
      <c r="D734" s="2"/>
      <c r="E734" s="2"/>
      <c r="F734" s="2"/>
      <c r="G734" s="33">
        <f>G735+G744</f>
        <v>3584563</v>
      </c>
      <c r="H734" s="29"/>
    </row>
    <row r="735" spans="1:8" ht="78.75">
      <c r="A735" s="1" t="s">
        <v>300</v>
      </c>
      <c r="B735" s="2" t="s">
        <v>299</v>
      </c>
      <c r="C735" s="2" t="s">
        <v>255</v>
      </c>
      <c r="D735" s="2" t="s">
        <v>256</v>
      </c>
      <c r="E735" s="2"/>
      <c r="F735" s="2"/>
      <c r="G735" s="33">
        <f>G736</f>
        <v>3493463</v>
      </c>
      <c r="H735" s="29"/>
    </row>
    <row r="736" spans="1:8" ht="15.75">
      <c r="A736" s="27" t="s">
        <v>303</v>
      </c>
      <c r="B736" s="4" t="s">
        <v>299</v>
      </c>
      <c r="C736" s="4" t="s">
        <v>255</v>
      </c>
      <c r="D736" s="4" t="s">
        <v>256</v>
      </c>
      <c r="E736" s="4" t="s">
        <v>304</v>
      </c>
      <c r="F736" s="4"/>
      <c r="G736" s="29">
        <f>G737+G739+G741</f>
        <v>3493463</v>
      </c>
      <c r="H736" s="29"/>
    </row>
    <row r="737" spans="1:8" ht="63">
      <c r="A737" s="27" t="s">
        <v>445</v>
      </c>
      <c r="B737" s="4" t="s">
        <v>299</v>
      </c>
      <c r="C737" s="4" t="s">
        <v>255</v>
      </c>
      <c r="D737" s="4" t="s">
        <v>256</v>
      </c>
      <c r="E737" s="4" t="s">
        <v>446</v>
      </c>
      <c r="F737" s="4"/>
      <c r="G737" s="29">
        <f>G738</f>
        <v>1310000</v>
      </c>
      <c r="H737" s="29"/>
    </row>
    <row r="738" spans="1:8" ht="126">
      <c r="A738" s="27" t="s">
        <v>417</v>
      </c>
      <c r="B738" s="4" t="s">
        <v>299</v>
      </c>
      <c r="C738" s="4" t="s">
        <v>255</v>
      </c>
      <c r="D738" s="4" t="s">
        <v>256</v>
      </c>
      <c r="E738" s="4" t="s">
        <v>446</v>
      </c>
      <c r="F738" s="4" t="s">
        <v>18</v>
      </c>
      <c r="G738" s="29">
        <f>1882768+1490518-2063286</f>
        <v>1310000</v>
      </c>
      <c r="H738" s="29"/>
    </row>
    <row r="739" spans="1:8" ht="47.25">
      <c r="A739" s="27" t="s">
        <v>413</v>
      </c>
      <c r="B739" s="4" t="s">
        <v>299</v>
      </c>
      <c r="C739" s="4" t="s">
        <v>255</v>
      </c>
      <c r="D739" s="4" t="s">
        <v>256</v>
      </c>
      <c r="E739" s="4" t="s">
        <v>414</v>
      </c>
      <c r="F739" s="4"/>
      <c r="G739" s="29">
        <f>G740</f>
        <v>1845010</v>
      </c>
      <c r="H739" s="29"/>
    </row>
    <row r="740" spans="1:8" ht="126">
      <c r="A740" s="27" t="s">
        <v>417</v>
      </c>
      <c r="B740" s="4" t="s">
        <v>299</v>
      </c>
      <c r="C740" s="4" t="s">
        <v>255</v>
      </c>
      <c r="D740" s="4" t="s">
        <v>256</v>
      </c>
      <c r="E740" s="4" t="s">
        <v>414</v>
      </c>
      <c r="F740" s="4" t="s">
        <v>18</v>
      </c>
      <c r="G740" s="29">
        <v>1845010</v>
      </c>
      <c r="H740" s="29"/>
    </row>
    <row r="741" spans="1:8" ht="47.25">
      <c r="A741" s="27" t="s">
        <v>415</v>
      </c>
      <c r="B741" s="4" t="s">
        <v>299</v>
      </c>
      <c r="C741" s="4" t="s">
        <v>255</v>
      </c>
      <c r="D741" s="4" t="s">
        <v>256</v>
      </c>
      <c r="E741" s="4" t="s">
        <v>416</v>
      </c>
      <c r="F741" s="4"/>
      <c r="G741" s="29">
        <f>G742+G743</f>
        <v>338453</v>
      </c>
      <c r="H741" s="29"/>
    </row>
    <row r="742" spans="1:8" ht="126">
      <c r="A742" s="27" t="s">
        <v>417</v>
      </c>
      <c r="B742" s="4" t="s">
        <v>299</v>
      </c>
      <c r="C742" s="4" t="s">
        <v>255</v>
      </c>
      <c r="D742" s="4" t="s">
        <v>256</v>
      </c>
      <c r="E742" s="4" t="s">
        <v>416</v>
      </c>
      <c r="F742" s="4" t="s">
        <v>18</v>
      </c>
      <c r="G742" s="29">
        <v>20000</v>
      </c>
      <c r="H742" s="29"/>
    </row>
    <row r="743" spans="1:8" ht="47.25">
      <c r="A743" s="27" t="s">
        <v>306</v>
      </c>
      <c r="B743" s="4" t="s">
        <v>299</v>
      </c>
      <c r="C743" s="4" t="s">
        <v>255</v>
      </c>
      <c r="D743" s="4" t="s">
        <v>256</v>
      </c>
      <c r="E743" s="4" t="s">
        <v>416</v>
      </c>
      <c r="F743" s="4" t="s">
        <v>19</v>
      </c>
      <c r="G743" s="29">
        <v>318453</v>
      </c>
      <c r="H743" s="29"/>
    </row>
    <row r="744" spans="1:8" ht="31.5">
      <c r="A744" s="1" t="s">
        <v>284</v>
      </c>
      <c r="B744" s="2" t="s">
        <v>299</v>
      </c>
      <c r="C744" s="2" t="s">
        <v>255</v>
      </c>
      <c r="D744" s="2" t="s">
        <v>16</v>
      </c>
      <c r="E744" s="2"/>
      <c r="F744" s="2"/>
      <c r="G744" s="33">
        <f>G745</f>
        <v>91100</v>
      </c>
      <c r="H744" s="29"/>
    </row>
    <row r="745" spans="1:8" ht="63">
      <c r="A745" s="27" t="s">
        <v>313</v>
      </c>
      <c r="B745" s="4" t="s">
        <v>299</v>
      </c>
      <c r="C745" s="4" t="s">
        <v>255</v>
      </c>
      <c r="D745" s="4" t="s">
        <v>16</v>
      </c>
      <c r="E745" s="4" t="s">
        <v>314</v>
      </c>
      <c r="F745" s="4"/>
      <c r="G745" s="29">
        <f>G746</f>
        <v>91100</v>
      </c>
      <c r="H745" s="29"/>
    </row>
    <row r="746" spans="1:8" ht="47.25">
      <c r="A746" s="3" t="s">
        <v>130</v>
      </c>
      <c r="B746" s="4" t="s">
        <v>299</v>
      </c>
      <c r="C746" s="4" t="s">
        <v>255</v>
      </c>
      <c r="D746" s="4" t="s">
        <v>16</v>
      </c>
      <c r="E746" s="4" t="s">
        <v>131</v>
      </c>
      <c r="F746" s="4"/>
      <c r="G746" s="29">
        <f>G747</f>
        <v>91100</v>
      </c>
      <c r="H746" s="29"/>
    </row>
    <row r="747" spans="1:8" ht="31.5">
      <c r="A747" s="3" t="s">
        <v>326</v>
      </c>
      <c r="B747" s="4" t="s">
        <v>299</v>
      </c>
      <c r="C747" s="4" t="s">
        <v>255</v>
      </c>
      <c r="D747" s="4" t="s">
        <v>16</v>
      </c>
      <c r="E747" s="4" t="s">
        <v>132</v>
      </c>
      <c r="F747" s="62"/>
      <c r="G747" s="29">
        <f>G748+G749</f>
        <v>91100</v>
      </c>
      <c r="H747" s="29"/>
    </row>
    <row r="748" spans="1:12" ht="126">
      <c r="A748" s="3" t="s">
        <v>417</v>
      </c>
      <c r="B748" s="4" t="s">
        <v>299</v>
      </c>
      <c r="C748" s="4" t="s">
        <v>255</v>
      </c>
      <c r="D748" s="4" t="s">
        <v>16</v>
      </c>
      <c r="E748" s="4" t="s">
        <v>132</v>
      </c>
      <c r="F748" s="62">
        <v>100</v>
      </c>
      <c r="G748" s="29">
        <v>20000</v>
      </c>
      <c r="H748" s="29"/>
      <c r="L748" s="26"/>
    </row>
    <row r="749" spans="1:12" ht="47.25">
      <c r="A749" s="3" t="s">
        <v>306</v>
      </c>
      <c r="B749" s="4" t="s">
        <v>299</v>
      </c>
      <c r="C749" s="4" t="s">
        <v>255</v>
      </c>
      <c r="D749" s="4" t="s">
        <v>16</v>
      </c>
      <c r="E749" s="4" t="s">
        <v>132</v>
      </c>
      <c r="F749" s="62">
        <v>200</v>
      </c>
      <c r="G749" s="29">
        <v>71100</v>
      </c>
      <c r="H749" s="29"/>
      <c r="L749" s="26"/>
    </row>
    <row r="750" spans="1:8" ht="15.75">
      <c r="A750" s="13" t="s">
        <v>276</v>
      </c>
      <c r="B750" s="5" t="s">
        <v>299</v>
      </c>
      <c r="C750" s="5" t="s">
        <v>265</v>
      </c>
      <c r="D750" s="5"/>
      <c r="E750" s="5"/>
      <c r="F750" s="5"/>
      <c r="G750" s="28">
        <f>G751</f>
        <v>55641</v>
      </c>
      <c r="H750" s="28"/>
    </row>
    <row r="751" spans="1:8" ht="15.75">
      <c r="A751" s="3" t="s">
        <v>10</v>
      </c>
      <c r="B751" s="4" t="s">
        <v>299</v>
      </c>
      <c r="C751" s="4" t="s">
        <v>265</v>
      </c>
      <c r="D751" s="4" t="s">
        <v>263</v>
      </c>
      <c r="E751" s="4"/>
      <c r="F751" s="4"/>
      <c r="G751" s="29">
        <f>G752</f>
        <v>55641</v>
      </c>
      <c r="H751" s="33"/>
    </row>
    <row r="752" spans="1:8" ht="47.25">
      <c r="A752" s="3" t="s">
        <v>307</v>
      </c>
      <c r="B752" s="4" t="s">
        <v>299</v>
      </c>
      <c r="C752" s="4" t="s">
        <v>265</v>
      </c>
      <c r="D752" s="4" t="s">
        <v>263</v>
      </c>
      <c r="E752" s="4" t="s">
        <v>308</v>
      </c>
      <c r="F752" s="4"/>
      <c r="G752" s="29">
        <f>G753</f>
        <v>55641</v>
      </c>
      <c r="H752" s="29"/>
    </row>
    <row r="753" spans="1:8" ht="63">
      <c r="A753" s="3" t="s">
        <v>309</v>
      </c>
      <c r="B753" s="4" t="s">
        <v>299</v>
      </c>
      <c r="C753" s="4" t="s">
        <v>265</v>
      </c>
      <c r="D753" s="4" t="s">
        <v>263</v>
      </c>
      <c r="E753" s="4" t="s">
        <v>310</v>
      </c>
      <c r="F753" s="4"/>
      <c r="G753" s="29">
        <f>G754</f>
        <v>55641</v>
      </c>
      <c r="H753" s="29"/>
    </row>
    <row r="754" spans="1:8" ht="31.5">
      <c r="A754" s="3" t="s">
        <v>311</v>
      </c>
      <c r="B754" s="4" t="s">
        <v>299</v>
      </c>
      <c r="C754" s="4" t="s">
        <v>265</v>
      </c>
      <c r="D754" s="4" t="s">
        <v>263</v>
      </c>
      <c r="E754" s="4" t="s">
        <v>312</v>
      </c>
      <c r="F754" s="4"/>
      <c r="G754" s="29">
        <f>G755</f>
        <v>55641</v>
      </c>
      <c r="H754" s="29"/>
    </row>
    <row r="755" spans="1:8" ht="47.25">
      <c r="A755" s="3" t="s">
        <v>306</v>
      </c>
      <c r="B755" s="4" t="s">
        <v>299</v>
      </c>
      <c r="C755" s="4" t="s">
        <v>265</v>
      </c>
      <c r="D755" s="4" t="s">
        <v>263</v>
      </c>
      <c r="E755" s="4" t="s">
        <v>312</v>
      </c>
      <c r="F755" s="4" t="s">
        <v>19</v>
      </c>
      <c r="G755" s="29">
        <f>85500-29859</f>
        <v>55641</v>
      </c>
      <c r="H755" s="29"/>
    </row>
    <row r="756" spans="1:9" s="14" customFormat="1" ht="18.75">
      <c r="A756" s="54" t="s">
        <v>358</v>
      </c>
      <c r="B756" s="56"/>
      <c r="C756" s="56"/>
      <c r="D756" s="56"/>
      <c r="E756" s="56"/>
      <c r="F756" s="56"/>
      <c r="G756" s="58">
        <f>G11+G45+G438+G594+G201+G406+G733</f>
        <v>2471239410.1800003</v>
      </c>
      <c r="H756" s="58">
        <f>H11+H45+H438+H594+H201+H406+H733</f>
        <v>919596979.34</v>
      </c>
      <c r="I756" s="51"/>
    </row>
    <row r="757" spans="1:8" ht="21.75" customHeight="1">
      <c r="A757" s="17"/>
      <c r="B757" s="17"/>
      <c r="C757" s="18"/>
      <c r="D757" s="18"/>
      <c r="E757" s="18"/>
      <c r="F757" s="18"/>
      <c r="G757" s="17"/>
      <c r="H757" s="17"/>
    </row>
    <row r="758" spans="1:8" ht="15.75" hidden="1">
      <c r="A758" s="17"/>
      <c r="B758" s="17"/>
      <c r="C758" s="18"/>
      <c r="D758" s="18"/>
      <c r="E758" s="18"/>
      <c r="F758" s="18"/>
      <c r="G758" s="44">
        <f>'[4]прил7'!$G$751-G756</f>
        <v>0</v>
      </c>
      <c r="H758" s="44">
        <f>'[4]прил7'!$H$751-H756</f>
        <v>0</v>
      </c>
    </row>
    <row r="759" spans="1:8" ht="15.75">
      <c r="A759" s="17"/>
      <c r="B759" s="17"/>
      <c r="C759" s="18"/>
      <c r="D759" s="18"/>
      <c r="E759" s="18"/>
      <c r="F759" s="18"/>
      <c r="G759" s="44"/>
      <c r="H759" s="44"/>
    </row>
    <row r="760" spans="1:8" ht="15.75">
      <c r="A760" s="17"/>
      <c r="B760" s="17"/>
      <c r="C760" s="18"/>
      <c r="D760" s="18"/>
      <c r="E760" s="18"/>
      <c r="F760" s="18"/>
      <c r="G760" s="44"/>
      <c r="H760" s="44"/>
    </row>
    <row r="761" spans="1:8" ht="15.75">
      <c r="A761" s="17"/>
      <c r="B761" s="17"/>
      <c r="C761" s="18"/>
      <c r="D761" s="18"/>
      <c r="E761" s="18"/>
      <c r="F761" s="18"/>
      <c r="G761" s="44"/>
      <c r="H761" s="44"/>
    </row>
    <row r="762" spans="1:8" ht="15.75">
      <c r="A762" s="17"/>
      <c r="B762" s="17"/>
      <c r="C762" s="18"/>
      <c r="D762" s="18"/>
      <c r="E762" s="18"/>
      <c r="F762" s="18"/>
      <c r="G762" s="44"/>
      <c r="H762" s="44"/>
    </row>
    <row r="763" spans="1:8" ht="15.75">
      <c r="A763" s="17"/>
      <c r="B763" s="17"/>
      <c r="C763" s="18"/>
      <c r="D763" s="18"/>
      <c r="E763" s="18"/>
      <c r="F763" s="18"/>
      <c r="G763" s="44"/>
      <c r="H763" s="17"/>
    </row>
    <row r="764" spans="1:8" ht="15.75">
      <c r="A764" s="17"/>
      <c r="B764" s="17"/>
      <c r="C764" s="18"/>
      <c r="D764" s="18"/>
      <c r="E764" s="18"/>
      <c r="F764" s="18"/>
      <c r="G764" s="44"/>
      <c r="H764" s="17"/>
    </row>
    <row r="765" spans="1:8" ht="15.75">
      <c r="A765" s="17"/>
      <c r="B765" s="17"/>
      <c r="C765" s="18"/>
      <c r="D765" s="18"/>
      <c r="E765" s="18"/>
      <c r="F765" s="18"/>
      <c r="G765" s="44"/>
      <c r="H765" s="17"/>
    </row>
    <row r="766" spans="1:8" ht="15.75">
      <c r="A766" s="17"/>
      <c r="B766" s="17"/>
      <c r="C766" s="18"/>
      <c r="D766" s="18"/>
      <c r="E766" s="18"/>
      <c r="F766" s="18"/>
      <c r="G766" s="44"/>
      <c r="H766" s="17"/>
    </row>
    <row r="767" spans="1:8" ht="15.75">
      <c r="A767" s="17"/>
      <c r="B767" s="17"/>
      <c r="C767" s="18"/>
      <c r="D767" s="18"/>
      <c r="E767" s="18"/>
      <c r="F767" s="18"/>
      <c r="G767" s="44"/>
      <c r="H767" s="17"/>
    </row>
    <row r="768" spans="1:8" ht="15.75">
      <c r="A768" s="17"/>
      <c r="B768" s="17"/>
      <c r="C768" s="18"/>
      <c r="D768" s="18"/>
      <c r="E768" s="18"/>
      <c r="F768" s="18"/>
      <c r="G768" s="44"/>
      <c r="H768" s="17"/>
    </row>
    <row r="769" spans="1:8" ht="15.75">
      <c r="A769" s="17"/>
      <c r="B769" s="17"/>
      <c r="C769" s="18"/>
      <c r="D769" s="18"/>
      <c r="E769" s="18"/>
      <c r="F769" s="18"/>
      <c r="G769" s="44"/>
      <c r="H769" s="17"/>
    </row>
    <row r="770" spans="1:8" ht="15.75">
      <c r="A770" s="17"/>
      <c r="B770" s="17"/>
      <c r="C770" s="18"/>
      <c r="D770" s="18"/>
      <c r="E770" s="18"/>
      <c r="F770" s="18"/>
      <c r="G770" s="44"/>
      <c r="H770" s="17"/>
    </row>
    <row r="771" spans="1:8" ht="15.75">
      <c r="A771" s="17"/>
      <c r="B771" s="17"/>
      <c r="C771" s="18"/>
      <c r="D771" s="18"/>
      <c r="E771" s="18"/>
      <c r="F771" s="18"/>
      <c r="G771" s="44"/>
      <c r="H771" s="17"/>
    </row>
    <row r="772" spans="1:8" ht="15.75">
      <c r="A772" s="17"/>
      <c r="B772" s="17"/>
      <c r="C772" s="18"/>
      <c r="D772" s="18"/>
      <c r="E772" s="18"/>
      <c r="F772" s="18"/>
      <c r="G772" s="44"/>
      <c r="H772" s="17"/>
    </row>
    <row r="773" spans="1:8" ht="15.75">
      <c r="A773" s="17"/>
      <c r="B773" s="17"/>
      <c r="C773" s="18"/>
      <c r="D773" s="18"/>
      <c r="E773" s="18"/>
      <c r="F773" s="18"/>
      <c r="G773" s="44"/>
      <c r="H773" s="17"/>
    </row>
    <row r="774" spans="1:8" ht="15.75">
      <c r="A774" s="17"/>
      <c r="B774" s="17"/>
      <c r="C774" s="18"/>
      <c r="D774" s="18"/>
      <c r="E774" s="18"/>
      <c r="F774" s="18"/>
      <c r="G774" s="44"/>
      <c r="H774" s="17"/>
    </row>
    <row r="775" spans="1:8" ht="15.75">
      <c r="A775" s="17"/>
      <c r="B775" s="17"/>
      <c r="C775" s="18"/>
      <c r="D775" s="18"/>
      <c r="E775" s="18"/>
      <c r="F775" s="18"/>
      <c r="G775" s="44"/>
      <c r="H775" s="17"/>
    </row>
    <row r="776" spans="1:8" ht="15.75">
      <c r="A776" s="17"/>
      <c r="B776" s="17"/>
      <c r="C776" s="18"/>
      <c r="D776" s="18"/>
      <c r="E776" s="18"/>
      <c r="F776" s="18"/>
      <c r="G776" s="44"/>
      <c r="H776" s="17"/>
    </row>
    <row r="777" spans="1:8" ht="15.75">
      <c r="A777" s="17"/>
      <c r="B777" s="17"/>
      <c r="C777" s="18"/>
      <c r="D777" s="18"/>
      <c r="E777" s="18"/>
      <c r="F777" s="18"/>
      <c r="G777" s="44"/>
      <c r="H777" s="17"/>
    </row>
    <row r="778" spans="1:8" ht="15.75">
      <c r="A778" s="17"/>
      <c r="B778" s="17"/>
      <c r="C778" s="18"/>
      <c r="D778" s="18"/>
      <c r="E778" s="18"/>
      <c r="F778" s="18"/>
      <c r="G778" s="44"/>
      <c r="H778" s="17"/>
    </row>
    <row r="779" spans="1:8" ht="15.75">
      <c r="A779" s="17"/>
      <c r="B779" s="17"/>
      <c r="C779" s="18"/>
      <c r="D779" s="18"/>
      <c r="E779" s="18"/>
      <c r="F779" s="18"/>
      <c r="G779" s="44"/>
      <c r="H779" s="17"/>
    </row>
    <row r="780" spans="1:8" ht="15.75">
      <c r="A780" s="17"/>
      <c r="B780" s="17"/>
      <c r="C780" s="18"/>
      <c r="D780" s="18"/>
      <c r="E780" s="18"/>
      <c r="F780" s="18"/>
      <c r="G780" s="44"/>
      <c r="H780" s="17"/>
    </row>
    <row r="781" spans="1:8" ht="15.75">
      <c r="A781" s="17"/>
      <c r="B781" s="17"/>
      <c r="C781" s="18"/>
      <c r="D781" s="18"/>
      <c r="E781" s="18"/>
      <c r="F781" s="18"/>
      <c r="G781" s="44"/>
      <c r="H781" s="17"/>
    </row>
    <row r="782" spans="1:8" ht="15.75">
      <c r="A782" s="17"/>
      <c r="B782" s="17"/>
      <c r="C782" s="18"/>
      <c r="D782" s="18"/>
      <c r="E782" s="18"/>
      <c r="F782" s="18"/>
      <c r="G782" s="44"/>
      <c r="H782" s="17"/>
    </row>
    <row r="783" spans="1:8" ht="15.75">
      <c r="A783" s="17"/>
      <c r="B783" s="17"/>
      <c r="C783" s="18"/>
      <c r="D783" s="18"/>
      <c r="E783" s="18"/>
      <c r="F783" s="18"/>
      <c r="G783" s="44"/>
      <c r="H783" s="17"/>
    </row>
    <row r="784" spans="1:8" ht="15.75">
      <c r="A784" s="17"/>
      <c r="B784" s="17"/>
      <c r="C784" s="18"/>
      <c r="D784" s="18"/>
      <c r="E784" s="18"/>
      <c r="F784" s="18"/>
      <c r="G784" s="44"/>
      <c r="H784" s="17"/>
    </row>
    <row r="785" spans="1:8" ht="15.75">
      <c r="A785" s="17"/>
      <c r="B785" s="17"/>
      <c r="C785" s="18"/>
      <c r="D785" s="18"/>
      <c r="E785" s="18"/>
      <c r="F785" s="18"/>
      <c r="G785" s="44"/>
      <c r="H785" s="17"/>
    </row>
    <row r="786" spans="1:8" ht="15.75">
      <c r="A786" s="17"/>
      <c r="B786" s="17"/>
      <c r="C786" s="18"/>
      <c r="D786" s="18"/>
      <c r="E786" s="18"/>
      <c r="F786" s="18"/>
      <c r="G786" s="44"/>
      <c r="H786" s="17"/>
    </row>
    <row r="787" spans="1:8" ht="15.75">
      <c r="A787" s="17"/>
      <c r="B787" s="17"/>
      <c r="C787" s="18"/>
      <c r="D787" s="18"/>
      <c r="E787" s="18"/>
      <c r="F787" s="18"/>
      <c r="G787" s="44"/>
      <c r="H787" s="17"/>
    </row>
    <row r="788" spans="1:8" ht="15.75">
      <c r="A788" s="17"/>
      <c r="B788" s="17"/>
      <c r="C788" s="18"/>
      <c r="D788" s="18"/>
      <c r="E788" s="18"/>
      <c r="F788" s="18"/>
      <c r="G788" s="44"/>
      <c r="H788" s="17"/>
    </row>
    <row r="789" spans="1:8" ht="15.75">
      <c r="A789" s="17"/>
      <c r="B789" s="17"/>
      <c r="C789" s="18"/>
      <c r="D789" s="18"/>
      <c r="E789" s="18"/>
      <c r="F789" s="18"/>
      <c r="G789" s="44"/>
      <c r="H789" s="17"/>
    </row>
    <row r="790" spans="1:8" ht="15.75">
      <c r="A790" s="17"/>
      <c r="B790" s="17"/>
      <c r="C790" s="18"/>
      <c r="D790" s="18"/>
      <c r="E790" s="18"/>
      <c r="F790" s="18"/>
      <c r="G790" s="17"/>
      <c r="H790" s="17"/>
    </row>
    <row r="791" spans="1:8" ht="15.75">
      <c r="A791" s="17"/>
      <c r="B791" s="17"/>
      <c r="C791" s="18"/>
      <c r="D791" s="18"/>
      <c r="E791" s="18"/>
      <c r="F791" s="18"/>
      <c r="G791" s="17"/>
      <c r="H791" s="17"/>
    </row>
    <row r="792" spans="1:8" ht="15.75">
      <c r="A792" s="17"/>
      <c r="B792" s="17"/>
      <c r="C792" s="18"/>
      <c r="D792" s="18"/>
      <c r="E792" s="18"/>
      <c r="F792" s="18"/>
      <c r="G792" s="17"/>
      <c r="H792" s="17"/>
    </row>
    <row r="793" spans="1:8" ht="15.75">
      <c r="A793" s="17"/>
      <c r="B793" s="17"/>
      <c r="C793" s="18"/>
      <c r="D793" s="18"/>
      <c r="E793" s="18"/>
      <c r="F793" s="18"/>
      <c r="G793" s="17"/>
      <c r="H793" s="17"/>
    </row>
    <row r="794" spans="1:8" ht="15.75">
      <c r="A794" s="17"/>
      <c r="B794" s="17"/>
      <c r="C794" s="18"/>
      <c r="D794" s="18"/>
      <c r="E794" s="18"/>
      <c r="F794" s="18"/>
      <c r="G794" s="17"/>
      <c r="H794" s="17"/>
    </row>
    <row r="795" spans="1:8" ht="15.75">
      <c r="A795" s="17"/>
      <c r="B795" s="17"/>
      <c r="C795" s="18"/>
      <c r="D795" s="18"/>
      <c r="E795" s="18"/>
      <c r="F795" s="18"/>
      <c r="G795" s="17"/>
      <c r="H795" s="17"/>
    </row>
    <row r="796" spans="1:8" ht="15.75">
      <c r="A796" s="17"/>
      <c r="B796" s="17"/>
      <c r="C796" s="18"/>
      <c r="D796" s="18"/>
      <c r="E796" s="18"/>
      <c r="F796" s="18"/>
      <c r="G796" s="17"/>
      <c r="H796" s="17"/>
    </row>
    <row r="797" spans="1:8" ht="15.75">
      <c r="A797" s="17"/>
      <c r="B797" s="17"/>
      <c r="C797" s="18"/>
      <c r="D797" s="18"/>
      <c r="E797" s="18"/>
      <c r="F797" s="18"/>
      <c r="G797" s="17"/>
      <c r="H797" s="17"/>
    </row>
    <row r="798" spans="1:8" ht="15.75">
      <c r="A798" s="17"/>
      <c r="B798" s="17"/>
      <c r="C798" s="18"/>
      <c r="D798" s="18"/>
      <c r="E798" s="18"/>
      <c r="F798" s="18"/>
      <c r="G798" s="17"/>
      <c r="H798" s="17"/>
    </row>
    <row r="799" spans="1:8" ht="15.75">
      <c r="A799" s="17"/>
      <c r="B799" s="17"/>
      <c r="C799" s="18"/>
      <c r="D799" s="18"/>
      <c r="E799" s="18"/>
      <c r="F799" s="18"/>
      <c r="G799" s="17"/>
      <c r="H799" s="17"/>
    </row>
    <row r="800" spans="1:8" ht="15.75">
      <c r="A800" s="17"/>
      <c r="B800" s="17"/>
      <c r="C800" s="18"/>
      <c r="D800" s="18"/>
      <c r="E800" s="18"/>
      <c r="F800" s="18"/>
      <c r="G800" s="17"/>
      <c r="H800" s="17"/>
    </row>
    <row r="801" spans="1:8" ht="15.75">
      <c r="A801" s="17"/>
      <c r="B801" s="17"/>
      <c r="C801" s="18"/>
      <c r="D801" s="18"/>
      <c r="E801" s="18"/>
      <c r="F801" s="18"/>
      <c r="G801" s="17"/>
      <c r="H801" s="17"/>
    </row>
    <row r="802" spans="1:8" ht="15.75">
      <c r="A802" s="17"/>
      <c r="B802" s="17"/>
      <c r="C802" s="18"/>
      <c r="D802" s="18"/>
      <c r="E802" s="18"/>
      <c r="F802" s="18"/>
      <c r="G802" s="17"/>
      <c r="H802" s="17"/>
    </row>
    <row r="803" spans="1:8" ht="15.75">
      <c r="A803" s="17"/>
      <c r="B803" s="17"/>
      <c r="C803" s="18"/>
      <c r="D803" s="18"/>
      <c r="E803" s="18"/>
      <c r="F803" s="18"/>
      <c r="G803" s="17"/>
      <c r="H803" s="17"/>
    </row>
    <row r="804" spans="1:8" ht="15.75">
      <c r="A804" s="17"/>
      <c r="B804" s="17"/>
      <c r="C804" s="18"/>
      <c r="D804" s="18"/>
      <c r="E804" s="18"/>
      <c r="F804" s="18"/>
      <c r="G804" s="17"/>
      <c r="H804" s="17"/>
    </row>
    <row r="805" spans="1:8" ht="15.75">
      <c r="A805" s="17"/>
      <c r="B805" s="17"/>
      <c r="C805" s="18"/>
      <c r="D805" s="18"/>
      <c r="E805" s="18"/>
      <c r="F805" s="18"/>
      <c r="G805" s="17"/>
      <c r="H805" s="17"/>
    </row>
    <row r="806" spans="1:8" ht="15.75">
      <c r="A806" s="17"/>
      <c r="B806" s="17"/>
      <c r="C806" s="18"/>
      <c r="D806" s="18"/>
      <c r="E806" s="18"/>
      <c r="F806" s="18"/>
      <c r="G806" s="17"/>
      <c r="H806" s="17"/>
    </row>
    <row r="807" spans="1:8" ht="15.75">
      <c r="A807" s="17"/>
      <c r="B807" s="17"/>
      <c r="C807" s="18"/>
      <c r="D807" s="18"/>
      <c r="E807" s="18"/>
      <c r="F807" s="18"/>
      <c r="G807" s="17"/>
      <c r="H807" s="17"/>
    </row>
    <row r="808" spans="1:8" ht="15.75">
      <c r="A808" s="17"/>
      <c r="B808" s="17"/>
      <c r="C808" s="18"/>
      <c r="D808" s="18"/>
      <c r="E808" s="18"/>
      <c r="F808" s="18"/>
      <c r="G808" s="17"/>
      <c r="H808" s="17"/>
    </row>
    <row r="809" spans="1:8" ht="15.75">
      <c r="A809" s="17"/>
      <c r="B809" s="17"/>
      <c r="C809" s="18"/>
      <c r="D809" s="18"/>
      <c r="E809" s="18"/>
      <c r="F809" s="18"/>
      <c r="G809" s="17"/>
      <c r="H809" s="17"/>
    </row>
    <row r="810" spans="1:8" ht="15.75">
      <c r="A810" s="17"/>
      <c r="B810" s="17"/>
      <c r="C810" s="18"/>
      <c r="D810" s="18"/>
      <c r="E810" s="18"/>
      <c r="F810" s="18"/>
      <c r="G810" s="17"/>
      <c r="H810" s="17"/>
    </row>
    <row r="811" spans="1:8" ht="15.75">
      <c r="A811" s="17"/>
      <c r="B811" s="17"/>
      <c r="C811" s="18"/>
      <c r="D811" s="18"/>
      <c r="E811" s="18"/>
      <c r="F811" s="18"/>
      <c r="G811" s="17"/>
      <c r="H811" s="17"/>
    </row>
    <row r="812" spans="1:8" ht="15.75">
      <c r="A812" s="17"/>
      <c r="B812" s="17"/>
      <c r="C812" s="18"/>
      <c r="D812" s="18"/>
      <c r="E812" s="18"/>
      <c r="F812" s="18"/>
      <c r="G812" s="17"/>
      <c r="H812" s="17"/>
    </row>
    <row r="813" spans="1:8" ht="15.75">
      <c r="A813" s="17"/>
      <c r="B813" s="17"/>
      <c r="C813" s="18"/>
      <c r="D813" s="18"/>
      <c r="E813" s="18"/>
      <c r="F813" s="18"/>
      <c r="G813" s="17"/>
      <c r="H813" s="17"/>
    </row>
    <row r="814" spans="1:8" ht="15.75">
      <c r="A814" s="17"/>
      <c r="B814" s="17"/>
      <c r="C814" s="18"/>
      <c r="D814" s="18"/>
      <c r="E814" s="18"/>
      <c r="F814" s="18"/>
      <c r="G814" s="17"/>
      <c r="H814" s="17"/>
    </row>
    <row r="815" spans="1:8" ht="15.75">
      <c r="A815" s="17"/>
      <c r="B815" s="17"/>
      <c r="C815" s="18"/>
      <c r="D815" s="18"/>
      <c r="E815" s="18"/>
      <c r="F815" s="18"/>
      <c r="G815" s="17"/>
      <c r="H815" s="17"/>
    </row>
    <row r="816" spans="1:8" ht="15.75">
      <c r="A816" s="17"/>
      <c r="B816" s="17"/>
      <c r="C816" s="18"/>
      <c r="D816" s="18"/>
      <c r="E816" s="18"/>
      <c r="F816" s="18"/>
      <c r="G816" s="17"/>
      <c r="H816" s="17"/>
    </row>
    <row r="817" spans="1:8" ht="15.75">
      <c r="A817" s="17"/>
      <c r="B817" s="17"/>
      <c r="C817" s="18"/>
      <c r="D817" s="18"/>
      <c r="E817" s="18"/>
      <c r="F817" s="18"/>
      <c r="G817" s="17"/>
      <c r="H817" s="17"/>
    </row>
    <row r="818" spans="1:8" ht="15.75">
      <c r="A818" s="17"/>
      <c r="B818" s="17"/>
      <c r="C818" s="18"/>
      <c r="D818" s="18"/>
      <c r="E818" s="18"/>
      <c r="F818" s="18"/>
      <c r="G818" s="17"/>
      <c r="H818" s="17"/>
    </row>
    <row r="819" spans="1:8" ht="15.75">
      <c r="A819" s="17"/>
      <c r="B819" s="17"/>
      <c r="C819" s="18"/>
      <c r="D819" s="18"/>
      <c r="E819" s="18"/>
      <c r="F819" s="18"/>
      <c r="G819" s="17"/>
      <c r="H819" s="17"/>
    </row>
    <row r="820" spans="1:8" ht="15.75">
      <c r="A820" s="17"/>
      <c r="B820" s="17"/>
      <c r="C820" s="18"/>
      <c r="D820" s="18"/>
      <c r="E820" s="18"/>
      <c r="F820" s="18"/>
      <c r="G820" s="17"/>
      <c r="H820" s="17"/>
    </row>
    <row r="821" spans="1:8" ht="15.75">
      <c r="A821" s="17"/>
      <c r="B821" s="17"/>
      <c r="C821" s="18"/>
      <c r="D821" s="18"/>
      <c r="E821" s="18"/>
      <c r="F821" s="18"/>
      <c r="G821" s="17"/>
      <c r="H821" s="17"/>
    </row>
    <row r="822" spans="1:8" ht="15.75">
      <c r="A822" s="17"/>
      <c r="B822" s="17"/>
      <c r="C822" s="18"/>
      <c r="D822" s="18"/>
      <c r="E822" s="18"/>
      <c r="F822" s="18"/>
      <c r="G822" s="17"/>
      <c r="H822" s="17"/>
    </row>
    <row r="823" spans="1:8" ht="15.75">
      <c r="A823" s="17"/>
      <c r="B823" s="17"/>
      <c r="C823" s="18"/>
      <c r="D823" s="18"/>
      <c r="E823" s="18"/>
      <c r="F823" s="18"/>
      <c r="G823" s="17"/>
      <c r="H823" s="17"/>
    </row>
    <row r="824" spans="1:8" ht="15.75">
      <c r="A824" s="17"/>
      <c r="B824" s="17"/>
      <c r="C824" s="18"/>
      <c r="D824" s="18"/>
      <c r="E824" s="18"/>
      <c r="F824" s="18"/>
      <c r="G824" s="17"/>
      <c r="H824" s="17"/>
    </row>
    <row r="825" spans="1:8" ht="15.75">
      <c r="A825" s="17"/>
      <c r="B825" s="17"/>
      <c r="C825" s="18"/>
      <c r="D825" s="18"/>
      <c r="E825" s="18"/>
      <c r="F825" s="18"/>
      <c r="G825" s="17"/>
      <c r="H825" s="17"/>
    </row>
    <row r="826" spans="1:8" ht="15.75">
      <c r="A826" s="17"/>
      <c r="B826" s="17"/>
      <c r="C826" s="18"/>
      <c r="D826" s="18"/>
      <c r="E826" s="18"/>
      <c r="F826" s="18"/>
      <c r="G826" s="17"/>
      <c r="H826" s="17"/>
    </row>
    <row r="827" spans="1:8" ht="15.75">
      <c r="A827" s="17"/>
      <c r="B827" s="17"/>
      <c r="C827" s="18"/>
      <c r="D827" s="18"/>
      <c r="E827" s="18"/>
      <c r="F827" s="18"/>
      <c r="G827" s="17"/>
      <c r="H827" s="17"/>
    </row>
    <row r="828" spans="1:8" ht="15.75">
      <c r="A828" s="17"/>
      <c r="B828" s="17"/>
      <c r="C828" s="18"/>
      <c r="D828" s="18"/>
      <c r="E828" s="18"/>
      <c r="F828" s="18"/>
      <c r="G828" s="17"/>
      <c r="H828" s="17"/>
    </row>
    <row r="829" spans="1:8" ht="15.75">
      <c r="A829" s="17"/>
      <c r="B829" s="17"/>
      <c r="C829" s="18"/>
      <c r="D829" s="18"/>
      <c r="E829" s="18"/>
      <c r="F829" s="18"/>
      <c r="G829" s="17"/>
      <c r="H829" s="17"/>
    </row>
    <row r="830" spans="1:8" ht="15.75">
      <c r="A830" s="17"/>
      <c r="B830" s="17"/>
      <c r="C830" s="18"/>
      <c r="D830" s="18"/>
      <c r="E830" s="18"/>
      <c r="F830" s="18"/>
      <c r="G830" s="17"/>
      <c r="H830" s="17"/>
    </row>
    <row r="831" spans="1:8" ht="15.75">
      <c r="A831" s="17"/>
      <c r="B831" s="17"/>
      <c r="C831" s="18"/>
      <c r="D831" s="18"/>
      <c r="E831" s="18"/>
      <c r="F831" s="18"/>
      <c r="G831" s="17"/>
      <c r="H831" s="17"/>
    </row>
    <row r="832" spans="1:8" ht="15.75">
      <c r="A832" s="17"/>
      <c r="B832" s="17"/>
      <c r="C832" s="18"/>
      <c r="D832" s="18"/>
      <c r="E832" s="18"/>
      <c r="F832" s="18"/>
      <c r="G832" s="17"/>
      <c r="H832" s="17"/>
    </row>
    <row r="833" spans="1:8" ht="15.75">
      <c r="A833" s="17"/>
      <c r="B833" s="17"/>
      <c r="C833" s="18"/>
      <c r="D833" s="18"/>
      <c r="E833" s="18"/>
      <c r="F833" s="18"/>
      <c r="G833" s="17"/>
      <c r="H833" s="17"/>
    </row>
    <row r="834" spans="1:8" ht="15.75">
      <c r="A834" s="17"/>
      <c r="B834" s="17"/>
      <c r="C834" s="18"/>
      <c r="D834" s="18"/>
      <c r="E834" s="18"/>
      <c r="F834" s="18"/>
      <c r="G834" s="17"/>
      <c r="H834" s="17"/>
    </row>
    <row r="835" spans="1:8" ht="15.75">
      <c r="A835" s="17"/>
      <c r="B835" s="17"/>
      <c r="C835" s="18"/>
      <c r="D835" s="18"/>
      <c r="E835" s="18"/>
      <c r="F835" s="18"/>
      <c r="G835" s="17"/>
      <c r="H835" s="17"/>
    </row>
    <row r="836" spans="1:8" ht="15.75">
      <c r="A836" s="17"/>
      <c r="B836" s="17"/>
      <c r="C836" s="18"/>
      <c r="D836" s="18"/>
      <c r="E836" s="18"/>
      <c r="F836" s="18"/>
      <c r="G836" s="17"/>
      <c r="H836" s="17"/>
    </row>
    <row r="837" spans="1:8" ht="15.75">
      <c r="A837" s="17"/>
      <c r="B837" s="17"/>
      <c r="C837" s="18"/>
      <c r="D837" s="18"/>
      <c r="E837" s="18"/>
      <c r="F837" s="18"/>
      <c r="G837" s="17"/>
      <c r="H837" s="17"/>
    </row>
    <row r="838" spans="1:8" ht="15.75">
      <c r="A838" s="17"/>
      <c r="B838" s="17"/>
      <c r="C838" s="18"/>
      <c r="D838" s="18"/>
      <c r="E838" s="18"/>
      <c r="F838" s="18"/>
      <c r="G838" s="17"/>
      <c r="H838" s="17"/>
    </row>
    <row r="839" spans="1:8" ht="15.75">
      <c r="A839" s="17"/>
      <c r="B839" s="17"/>
      <c r="C839" s="18"/>
      <c r="D839" s="18"/>
      <c r="E839" s="18"/>
      <c r="F839" s="18"/>
      <c r="G839" s="17"/>
      <c r="H839" s="17"/>
    </row>
    <row r="840" spans="1:8" ht="15.75">
      <c r="A840" s="17"/>
      <c r="B840" s="17"/>
      <c r="C840" s="18"/>
      <c r="D840" s="18"/>
      <c r="E840" s="18"/>
      <c r="F840" s="18"/>
      <c r="G840" s="17"/>
      <c r="H840" s="17"/>
    </row>
    <row r="841" spans="1:8" ht="15.75">
      <c r="A841" s="17"/>
      <c r="B841" s="17"/>
      <c r="C841" s="18"/>
      <c r="D841" s="18"/>
      <c r="E841" s="18"/>
      <c r="F841" s="18"/>
      <c r="G841" s="17"/>
      <c r="H841" s="17"/>
    </row>
    <row r="842" spans="1:8" ht="15.75">
      <c r="A842" s="17"/>
      <c r="B842" s="17"/>
      <c r="C842" s="18"/>
      <c r="D842" s="18"/>
      <c r="E842" s="18"/>
      <c r="F842" s="18"/>
      <c r="G842" s="17"/>
      <c r="H842" s="17"/>
    </row>
    <row r="843" spans="1:8" ht="15.75">
      <c r="A843" s="17"/>
      <c r="B843" s="17"/>
      <c r="C843" s="18"/>
      <c r="D843" s="18"/>
      <c r="E843" s="18"/>
      <c r="F843" s="18"/>
      <c r="G843" s="17"/>
      <c r="H843" s="17"/>
    </row>
    <row r="844" spans="1:8" ht="15.75">
      <c r="A844" s="17"/>
      <c r="B844" s="17"/>
      <c r="C844" s="18"/>
      <c r="D844" s="18"/>
      <c r="E844" s="18"/>
      <c r="F844" s="18"/>
      <c r="G844" s="17"/>
      <c r="H844" s="17"/>
    </row>
    <row r="845" spans="1:8" ht="15.75">
      <c r="A845" s="17"/>
      <c r="B845" s="17"/>
      <c r="C845" s="18"/>
      <c r="D845" s="18"/>
      <c r="E845" s="18"/>
      <c r="F845" s="18"/>
      <c r="G845" s="17"/>
      <c r="H845" s="17"/>
    </row>
    <row r="846" spans="1:8" ht="15.75">
      <c r="A846" s="17"/>
      <c r="B846" s="17"/>
      <c r="C846" s="18"/>
      <c r="D846" s="18"/>
      <c r="E846" s="18"/>
      <c r="F846" s="18"/>
      <c r="G846" s="17"/>
      <c r="H846" s="17"/>
    </row>
    <row r="847" spans="1:8" ht="15.75">
      <c r="A847" s="17"/>
      <c r="B847" s="17"/>
      <c r="C847" s="18"/>
      <c r="D847" s="18"/>
      <c r="E847" s="18"/>
      <c r="F847" s="18"/>
      <c r="G847" s="17"/>
      <c r="H847" s="17"/>
    </row>
    <row r="848" spans="1:8" ht="15.75">
      <c r="A848" s="17"/>
      <c r="B848" s="17"/>
      <c r="C848" s="18"/>
      <c r="D848" s="18"/>
      <c r="E848" s="18"/>
      <c r="F848" s="18"/>
      <c r="G848" s="17"/>
      <c r="H848" s="17"/>
    </row>
    <row r="849" spans="1:8" ht="15.75">
      <c r="A849" s="17"/>
      <c r="B849" s="17"/>
      <c r="C849" s="18"/>
      <c r="D849" s="18"/>
      <c r="E849" s="18"/>
      <c r="F849" s="18"/>
      <c r="G849" s="17"/>
      <c r="H849" s="17"/>
    </row>
    <row r="850" spans="1:8" ht="15.75">
      <c r="A850" s="17"/>
      <c r="B850" s="17"/>
      <c r="C850" s="18"/>
      <c r="D850" s="18"/>
      <c r="E850" s="18"/>
      <c r="F850" s="18"/>
      <c r="G850" s="17"/>
      <c r="H850" s="17"/>
    </row>
    <row r="851" spans="1:8" ht="15.75">
      <c r="A851" s="17"/>
      <c r="B851" s="17"/>
      <c r="C851" s="18"/>
      <c r="D851" s="18"/>
      <c r="E851" s="18"/>
      <c r="F851" s="18"/>
      <c r="G851" s="17"/>
      <c r="H851" s="17"/>
    </row>
    <row r="852" spans="1:8" ht="15.75">
      <c r="A852" s="17"/>
      <c r="B852" s="17"/>
      <c r="C852" s="18"/>
      <c r="D852" s="18"/>
      <c r="E852" s="18"/>
      <c r="F852" s="18"/>
      <c r="G852" s="17"/>
      <c r="H852" s="17"/>
    </row>
    <row r="853" spans="1:8" ht="15.75">
      <c r="A853" s="17"/>
      <c r="B853" s="17"/>
      <c r="C853" s="18"/>
      <c r="D853" s="18"/>
      <c r="E853" s="18"/>
      <c r="F853" s="18"/>
      <c r="G853" s="17"/>
      <c r="H853" s="17"/>
    </row>
    <row r="854" spans="1:8" ht="15.75">
      <c r="A854" s="17"/>
      <c r="B854" s="17"/>
      <c r="C854" s="18"/>
      <c r="D854" s="18"/>
      <c r="E854" s="18"/>
      <c r="F854" s="18"/>
      <c r="G854" s="17"/>
      <c r="H854" s="17"/>
    </row>
    <row r="855" spans="1:8" ht="15.75">
      <c r="A855" s="17"/>
      <c r="B855" s="17"/>
      <c r="C855" s="18"/>
      <c r="D855" s="18"/>
      <c r="E855" s="18"/>
      <c r="F855" s="18"/>
      <c r="G855" s="17"/>
      <c r="H855" s="17"/>
    </row>
    <row r="856" spans="1:8" ht="15.75">
      <c r="A856" s="17"/>
      <c r="B856" s="17"/>
      <c r="C856" s="18"/>
      <c r="D856" s="18"/>
      <c r="E856" s="18"/>
      <c r="F856" s="18"/>
      <c r="G856" s="17"/>
      <c r="H856" s="17"/>
    </row>
    <row r="857" spans="1:8" ht="15.75">
      <c r="A857" s="17"/>
      <c r="B857" s="17"/>
      <c r="C857" s="18"/>
      <c r="D857" s="18"/>
      <c r="E857" s="18"/>
      <c r="F857" s="18"/>
      <c r="G857" s="17"/>
      <c r="H857" s="17"/>
    </row>
    <row r="858" spans="1:8" ht="15.75">
      <c r="A858" s="17"/>
      <c r="B858" s="17"/>
      <c r="C858" s="18"/>
      <c r="D858" s="18"/>
      <c r="E858" s="18"/>
      <c r="F858" s="18"/>
      <c r="G858" s="17"/>
      <c r="H858" s="17"/>
    </row>
    <row r="859" spans="1:8" ht="15.75">
      <c r="A859" s="17"/>
      <c r="B859" s="17"/>
      <c r="C859" s="18"/>
      <c r="D859" s="18"/>
      <c r="E859" s="18"/>
      <c r="F859" s="18"/>
      <c r="G859" s="17"/>
      <c r="H859" s="17"/>
    </row>
    <row r="860" spans="1:8" ht="15.75">
      <c r="A860" s="17"/>
      <c r="B860" s="17"/>
      <c r="C860" s="18"/>
      <c r="D860" s="18"/>
      <c r="E860" s="18"/>
      <c r="F860" s="18"/>
      <c r="G860" s="17"/>
      <c r="H860" s="17"/>
    </row>
    <row r="861" spans="1:8" ht="15.75">
      <c r="A861" s="17"/>
      <c r="B861" s="17"/>
      <c r="C861" s="18"/>
      <c r="D861" s="18"/>
      <c r="E861" s="18"/>
      <c r="F861" s="18"/>
      <c r="G861" s="17"/>
      <c r="H861" s="17"/>
    </row>
    <row r="862" spans="1:8" ht="15.75">
      <c r="A862" s="17"/>
      <c r="B862" s="17"/>
      <c r="C862" s="18"/>
      <c r="D862" s="18"/>
      <c r="E862" s="18"/>
      <c r="F862" s="18"/>
      <c r="G862" s="17"/>
      <c r="H862" s="17"/>
    </row>
    <row r="863" spans="1:8" ht="15.75">
      <c r="A863" s="17"/>
      <c r="B863" s="17"/>
      <c r="C863" s="18"/>
      <c r="D863" s="18"/>
      <c r="E863" s="18"/>
      <c r="F863" s="18"/>
      <c r="G863" s="17"/>
      <c r="H863" s="17"/>
    </row>
    <row r="864" spans="1:8" ht="15.75">
      <c r="A864" s="17"/>
      <c r="B864" s="17"/>
      <c r="C864" s="18"/>
      <c r="D864" s="18"/>
      <c r="E864" s="18"/>
      <c r="F864" s="18"/>
      <c r="G864" s="17"/>
      <c r="H864" s="17"/>
    </row>
    <row r="865" spans="1:8" ht="15.75">
      <c r="A865" s="17"/>
      <c r="B865" s="17"/>
      <c r="C865" s="18"/>
      <c r="D865" s="18"/>
      <c r="E865" s="18"/>
      <c r="F865" s="18"/>
      <c r="G865" s="17"/>
      <c r="H865" s="17"/>
    </row>
    <row r="866" spans="1:8" ht="15.75">
      <c r="A866" s="17"/>
      <c r="B866" s="17"/>
      <c r="C866" s="18"/>
      <c r="D866" s="18"/>
      <c r="E866" s="18"/>
      <c r="F866" s="18"/>
      <c r="G866" s="17"/>
      <c r="H866" s="17"/>
    </row>
    <row r="867" spans="1:8" ht="15.75">
      <c r="A867" s="17"/>
      <c r="B867" s="17"/>
      <c r="C867" s="18"/>
      <c r="D867" s="18"/>
      <c r="E867" s="18"/>
      <c r="F867" s="18"/>
      <c r="G867" s="17"/>
      <c r="H867" s="17"/>
    </row>
    <row r="868" spans="1:8" ht="15.75">
      <c r="A868" s="17"/>
      <c r="B868" s="17"/>
      <c r="C868" s="18"/>
      <c r="D868" s="18"/>
      <c r="E868" s="18"/>
      <c r="F868" s="18"/>
      <c r="G868" s="17"/>
      <c r="H868" s="17"/>
    </row>
    <row r="869" spans="1:8" ht="15.75">
      <c r="A869" s="17"/>
      <c r="B869" s="17"/>
      <c r="C869" s="18"/>
      <c r="D869" s="18"/>
      <c r="E869" s="18"/>
      <c r="F869" s="18"/>
      <c r="G869" s="17"/>
      <c r="H869" s="17"/>
    </row>
    <row r="870" spans="1:8" ht="15.75">
      <c r="A870" s="17"/>
      <c r="B870" s="17"/>
      <c r="C870" s="18"/>
      <c r="D870" s="18"/>
      <c r="E870" s="18"/>
      <c r="F870" s="18"/>
      <c r="G870" s="17"/>
      <c r="H870" s="17"/>
    </row>
    <row r="871" spans="1:8" ht="15.75">
      <c r="A871" s="17"/>
      <c r="B871" s="17"/>
      <c r="C871" s="18"/>
      <c r="D871" s="18"/>
      <c r="E871" s="18"/>
      <c r="F871" s="18"/>
      <c r="G871" s="17"/>
      <c r="H871" s="17"/>
    </row>
    <row r="872" spans="1:8" ht="15.75">
      <c r="A872" s="17"/>
      <c r="B872" s="17"/>
      <c r="C872" s="18"/>
      <c r="D872" s="18"/>
      <c r="E872" s="18"/>
      <c r="F872" s="18"/>
      <c r="G872" s="17"/>
      <c r="H872" s="17"/>
    </row>
    <row r="873" spans="1:8" ht="15.75">
      <c r="A873" s="17"/>
      <c r="B873" s="17"/>
      <c r="C873" s="18"/>
      <c r="D873" s="18"/>
      <c r="E873" s="18"/>
      <c r="F873" s="18"/>
      <c r="G873" s="17"/>
      <c r="H873" s="17"/>
    </row>
    <row r="874" spans="1:8" ht="15.75">
      <c r="A874" s="17"/>
      <c r="B874" s="17"/>
      <c r="C874" s="18"/>
      <c r="D874" s="18"/>
      <c r="E874" s="18"/>
      <c r="F874" s="18"/>
      <c r="G874" s="17"/>
      <c r="H874" s="17"/>
    </row>
    <row r="875" spans="1:8" ht="15.75">
      <c r="A875" s="17"/>
      <c r="B875" s="17"/>
      <c r="C875" s="18"/>
      <c r="D875" s="18"/>
      <c r="E875" s="18"/>
      <c r="F875" s="18"/>
      <c r="G875" s="17"/>
      <c r="H875" s="17"/>
    </row>
    <row r="876" spans="1:8" ht="15.75">
      <c r="A876" s="17"/>
      <c r="B876" s="17"/>
      <c r="C876" s="18"/>
      <c r="D876" s="18"/>
      <c r="E876" s="18"/>
      <c r="F876" s="18"/>
      <c r="G876" s="17"/>
      <c r="H876" s="17"/>
    </row>
    <row r="877" spans="1:8" ht="15.75">
      <c r="A877" s="17"/>
      <c r="B877" s="17"/>
      <c r="C877" s="18"/>
      <c r="D877" s="18"/>
      <c r="E877" s="18"/>
      <c r="F877" s="18"/>
      <c r="G877" s="17"/>
      <c r="H877" s="17"/>
    </row>
    <row r="878" spans="1:8" ht="15.75">
      <c r="A878" s="17"/>
      <c r="B878" s="17"/>
      <c r="C878" s="18"/>
      <c r="D878" s="18"/>
      <c r="E878" s="18"/>
      <c r="F878" s="18"/>
      <c r="G878" s="17"/>
      <c r="H878" s="17"/>
    </row>
    <row r="879" spans="1:8" ht="15.75">
      <c r="A879" s="17"/>
      <c r="B879" s="17"/>
      <c r="C879" s="18"/>
      <c r="D879" s="18"/>
      <c r="E879" s="18"/>
      <c r="F879" s="18"/>
      <c r="G879" s="17"/>
      <c r="H879" s="17"/>
    </row>
    <row r="880" spans="1:8" ht="15.75">
      <c r="A880" s="17"/>
      <c r="B880" s="17"/>
      <c r="C880" s="18"/>
      <c r="D880" s="18"/>
      <c r="E880" s="18"/>
      <c r="F880" s="18"/>
      <c r="G880" s="17"/>
      <c r="H880" s="17"/>
    </row>
    <row r="881" spans="1:8" ht="15.75">
      <c r="A881" s="17"/>
      <c r="B881" s="17"/>
      <c r="C881" s="18"/>
      <c r="D881" s="18"/>
      <c r="E881" s="18"/>
      <c r="F881" s="18"/>
      <c r="G881" s="17"/>
      <c r="H881" s="17"/>
    </row>
    <row r="882" spans="1:8" ht="15.75">
      <c r="A882" s="17"/>
      <c r="B882" s="17"/>
      <c r="C882" s="18"/>
      <c r="D882" s="18"/>
      <c r="E882" s="18"/>
      <c r="F882" s="18"/>
      <c r="G882" s="17"/>
      <c r="H882" s="17"/>
    </row>
    <row r="883" spans="1:8" ht="15.75">
      <c r="A883" s="17"/>
      <c r="B883" s="17"/>
      <c r="C883" s="18"/>
      <c r="D883" s="18"/>
      <c r="E883" s="18"/>
      <c r="F883" s="18"/>
      <c r="G883" s="17"/>
      <c r="H883" s="17"/>
    </row>
    <row r="884" spans="1:8" ht="15.75">
      <c r="A884" s="17"/>
      <c r="B884" s="17"/>
      <c r="C884" s="18"/>
      <c r="D884" s="18"/>
      <c r="E884" s="18"/>
      <c r="F884" s="18"/>
      <c r="G884" s="17"/>
      <c r="H884" s="17"/>
    </row>
    <row r="885" spans="1:8" ht="15.75">
      <c r="A885" s="17"/>
      <c r="B885" s="17"/>
      <c r="C885" s="18"/>
      <c r="D885" s="18"/>
      <c r="E885" s="18"/>
      <c r="F885" s="18"/>
      <c r="G885" s="17"/>
      <c r="H885" s="17"/>
    </row>
    <row r="886" spans="1:8" ht="15.75">
      <c r="A886" s="17"/>
      <c r="B886" s="17"/>
      <c r="C886" s="18"/>
      <c r="D886" s="18"/>
      <c r="E886" s="18"/>
      <c r="F886" s="18"/>
      <c r="G886" s="17"/>
      <c r="H886" s="17"/>
    </row>
    <row r="887" spans="1:8" ht="15.75">
      <c r="A887" s="17"/>
      <c r="B887" s="17"/>
      <c r="C887" s="18"/>
      <c r="D887" s="18"/>
      <c r="E887" s="18"/>
      <c r="F887" s="18"/>
      <c r="G887" s="17"/>
      <c r="H887" s="17"/>
    </row>
    <row r="888" spans="1:8" ht="15.75">
      <c r="A888" s="17"/>
      <c r="B888" s="17"/>
      <c r="C888" s="18"/>
      <c r="D888" s="18"/>
      <c r="E888" s="18"/>
      <c r="F888" s="18"/>
      <c r="G888" s="17"/>
      <c r="H888" s="17"/>
    </row>
    <row r="889" spans="1:8" ht="15.75">
      <c r="A889" s="17"/>
      <c r="B889" s="17"/>
      <c r="C889" s="18"/>
      <c r="D889" s="18"/>
      <c r="E889" s="18"/>
      <c r="F889" s="18"/>
      <c r="G889" s="17"/>
      <c r="H889" s="17"/>
    </row>
    <row r="890" spans="1:8" ht="15.75">
      <c r="A890" s="17"/>
      <c r="B890" s="17"/>
      <c r="C890" s="18"/>
      <c r="D890" s="18"/>
      <c r="E890" s="18"/>
      <c r="F890" s="18"/>
      <c r="G890" s="17"/>
      <c r="H890" s="17"/>
    </row>
    <row r="891" spans="1:8" ht="15.75">
      <c r="A891" s="17"/>
      <c r="B891" s="17"/>
      <c r="C891" s="18"/>
      <c r="D891" s="18"/>
      <c r="E891" s="18"/>
      <c r="F891" s="18"/>
      <c r="G891" s="17"/>
      <c r="H891" s="17"/>
    </row>
    <row r="892" spans="1:8" ht="15.75">
      <c r="A892" s="17"/>
      <c r="B892" s="17"/>
      <c r="C892" s="18"/>
      <c r="D892" s="18"/>
      <c r="E892" s="18"/>
      <c r="F892" s="18"/>
      <c r="G892" s="17"/>
      <c r="H892" s="17"/>
    </row>
    <row r="893" spans="1:8" ht="15.75">
      <c r="A893" s="17"/>
      <c r="B893" s="17"/>
      <c r="C893" s="18"/>
      <c r="D893" s="18"/>
      <c r="E893" s="18"/>
      <c r="F893" s="18"/>
      <c r="G893" s="17"/>
      <c r="H893" s="17"/>
    </row>
    <row r="894" spans="1:8" ht="15.75">
      <c r="A894" s="17"/>
      <c r="B894" s="17"/>
      <c r="C894" s="18"/>
      <c r="D894" s="18"/>
      <c r="E894" s="18"/>
      <c r="F894" s="18"/>
      <c r="G894" s="17"/>
      <c r="H894" s="17"/>
    </row>
    <row r="895" spans="1:8" ht="15.75">
      <c r="A895" s="17"/>
      <c r="B895" s="17"/>
      <c r="C895" s="18"/>
      <c r="D895" s="18"/>
      <c r="E895" s="18"/>
      <c r="F895" s="18"/>
      <c r="G895" s="17"/>
      <c r="H895" s="17"/>
    </row>
    <row r="896" spans="1:8" ht="15.75">
      <c r="A896" s="17"/>
      <c r="B896" s="17"/>
      <c r="C896" s="18"/>
      <c r="D896" s="18"/>
      <c r="E896" s="18"/>
      <c r="F896" s="18"/>
      <c r="G896" s="17"/>
      <c r="H896" s="17"/>
    </row>
    <row r="897" spans="1:8" ht="15.75">
      <c r="A897" s="17"/>
      <c r="B897" s="17"/>
      <c r="C897" s="18"/>
      <c r="D897" s="18"/>
      <c r="E897" s="18"/>
      <c r="F897" s="18"/>
      <c r="G897" s="17"/>
      <c r="H897" s="17"/>
    </row>
    <row r="898" spans="1:8" ht="15.75">
      <c r="A898" s="17"/>
      <c r="B898" s="17"/>
      <c r="C898" s="18"/>
      <c r="D898" s="18"/>
      <c r="E898" s="18"/>
      <c r="F898" s="18"/>
      <c r="G898" s="17"/>
      <c r="H898" s="17"/>
    </row>
    <row r="899" spans="1:8" ht="15.75">
      <c r="A899" s="17"/>
      <c r="B899" s="17"/>
      <c r="C899" s="18"/>
      <c r="D899" s="18"/>
      <c r="E899" s="18"/>
      <c r="F899" s="18"/>
      <c r="G899" s="17"/>
      <c r="H899" s="17"/>
    </row>
    <row r="900" spans="1:8" ht="15.75">
      <c r="A900" s="17"/>
      <c r="B900" s="17"/>
      <c r="C900" s="18"/>
      <c r="D900" s="18"/>
      <c r="E900" s="18"/>
      <c r="F900" s="18"/>
      <c r="G900" s="17"/>
      <c r="H900" s="17"/>
    </row>
    <row r="901" spans="1:8" ht="15.75">
      <c r="A901" s="17"/>
      <c r="B901" s="17"/>
      <c r="C901" s="18"/>
      <c r="D901" s="18"/>
      <c r="E901" s="18"/>
      <c r="F901" s="18"/>
      <c r="G901" s="17"/>
      <c r="H901" s="17"/>
    </row>
    <row r="902" spans="1:8" ht="15.75">
      <c r="A902" s="17"/>
      <c r="B902" s="17"/>
      <c r="C902" s="18"/>
      <c r="D902" s="18"/>
      <c r="E902" s="18"/>
      <c r="F902" s="18"/>
      <c r="G902" s="17"/>
      <c r="H902" s="17"/>
    </row>
    <row r="903" spans="1:8" ht="15.75">
      <c r="A903" s="17"/>
      <c r="B903" s="17"/>
      <c r="C903" s="18"/>
      <c r="D903" s="18"/>
      <c r="E903" s="18"/>
      <c r="F903" s="18"/>
      <c r="G903" s="17"/>
      <c r="H903" s="17"/>
    </row>
    <row r="904" spans="1:8" ht="15.75">
      <c r="A904" s="17"/>
      <c r="B904" s="17"/>
      <c r="C904" s="18"/>
      <c r="D904" s="18"/>
      <c r="E904" s="18"/>
      <c r="F904" s="18"/>
      <c r="G904" s="17"/>
      <c r="H904" s="17"/>
    </row>
    <row r="905" spans="1:8" ht="15.75">
      <c r="A905" s="17"/>
      <c r="B905" s="17"/>
      <c r="C905" s="18"/>
      <c r="D905" s="18"/>
      <c r="E905" s="18"/>
      <c r="F905" s="18"/>
      <c r="G905" s="17"/>
      <c r="H905" s="17"/>
    </row>
    <row r="906" spans="1:8" ht="15.75">
      <c r="A906" s="17"/>
      <c r="B906" s="17"/>
      <c r="C906" s="18"/>
      <c r="D906" s="18"/>
      <c r="E906" s="18"/>
      <c r="F906" s="18"/>
      <c r="G906" s="17"/>
      <c r="H906" s="17"/>
    </row>
    <row r="907" spans="1:8" ht="15.75">
      <c r="A907" s="17"/>
      <c r="B907" s="17"/>
      <c r="C907" s="18"/>
      <c r="D907" s="18"/>
      <c r="E907" s="18"/>
      <c r="F907" s="18"/>
      <c r="G907" s="17"/>
      <c r="H907" s="17"/>
    </row>
    <row r="908" spans="1:8" ht="15.75">
      <c r="A908" s="17"/>
      <c r="B908" s="17"/>
      <c r="C908" s="18"/>
      <c r="D908" s="18"/>
      <c r="E908" s="18"/>
      <c r="F908" s="18"/>
      <c r="G908" s="17"/>
      <c r="H908" s="17"/>
    </row>
    <row r="909" spans="1:8" ht="15.75">
      <c r="A909" s="17"/>
      <c r="B909" s="17"/>
      <c r="C909" s="18"/>
      <c r="D909" s="18"/>
      <c r="E909" s="18"/>
      <c r="F909" s="18"/>
      <c r="G909" s="17"/>
      <c r="H909" s="17"/>
    </row>
    <row r="910" spans="1:8" ht="15.75">
      <c r="A910" s="17"/>
      <c r="B910" s="17"/>
      <c r="C910" s="18"/>
      <c r="D910" s="18"/>
      <c r="E910" s="18"/>
      <c r="F910" s="18"/>
      <c r="G910" s="17"/>
      <c r="H910" s="17"/>
    </row>
    <row r="911" spans="1:8" ht="15.75">
      <c r="A911" s="17"/>
      <c r="B911" s="17"/>
      <c r="C911" s="18"/>
      <c r="D911" s="18"/>
      <c r="E911" s="18"/>
      <c r="F911" s="18"/>
      <c r="G911" s="17"/>
      <c r="H911" s="17"/>
    </row>
    <row r="912" spans="1:8" ht="15.75">
      <c r="A912" s="17"/>
      <c r="B912" s="17"/>
      <c r="C912" s="18"/>
      <c r="D912" s="18"/>
      <c r="E912" s="18"/>
      <c r="F912" s="18"/>
      <c r="G912" s="17"/>
      <c r="H912" s="17"/>
    </row>
    <row r="913" spans="3:6" ht="15.75">
      <c r="C913" s="19"/>
      <c r="D913" s="19"/>
      <c r="E913" s="19"/>
      <c r="F913" s="19"/>
    </row>
    <row r="914" spans="3:6" ht="15.75">
      <c r="C914" s="19"/>
      <c r="D914" s="19"/>
      <c r="E914" s="19"/>
      <c r="F914" s="19"/>
    </row>
    <row r="915" spans="3:6" ht="15.75">
      <c r="C915" s="19"/>
      <c r="D915" s="19"/>
      <c r="E915" s="19"/>
      <c r="F915" s="19"/>
    </row>
    <row r="916" spans="3:6" ht="15.75">
      <c r="C916" s="19"/>
      <c r="D916" s="19"/>
      <c r="E916" s="19"/>
      <c r="F916" s="19"/>
    </row>
    <row r="917" spans="3:6" ht="15.75">
      <c r="C917" s="19"/>
      <c r="D917" s="19"/>
      <c r="E917" s="19"/>
      <c r="F917" s="19"/>
    </row>
    <row r="918" spans="3:6" ht="15.75">
      <c r="C918" s="19"/>
      <c r="D918" s="19"/>
      <c r="E918" s="19"/>
      <c r="F918" s="19"/>
    </row>
    <row r="919" spans="3:6" ht="15.75">
      <c r="C919" s="19"/>
      <c r="D919" s="19"/>
      <c r="E919" s="19"/>
      <c r="F919" s="19"/>
    </row>
    <row r="920" spans="3:6" ht="15.75">
      <c r="C920" s="19"/>
      <c r="D920" s="19"/>
      <c r="E920" s="19"/>
      <c r="F920" s="19"/>
    </row>
    <row r="921" spans="3:6" ht="15.75">
      <c r="C921" s="19"/>
      <c r="D921" s="19"/>
      <c r="E921" s="19"/>
      <c r="F921" s="19"/>
    </row>
    <row r="922" spans="3:6" ht="15.75">
      <c r="C922" s="19"/>
      <c r="D922" s="19"/>
      <c r="E922" s="19"/>
      <c r="F922" s="19"/>
    </row>
    <row r="923" spans="3:6" ht="15.75">
      <c r="C923" s="19"/>
      <c r="D923" s="19"/>
      <c r="E923" s="19"/>
      <c r="F923" s="19"/>
    </row>
    <row r="924" spans="3:6" ht="15.75">
      <c r="C924" s="19"/>
      <c r="D924" s="19"/>
      <c r="E924" s="19"/>
      <c r="F924" s="19"/>
    </row>
    <row r="925" spans="3:6" ht="15.75">
      <c r="C925" s="19"/>
      <c r="D925" s="19"/>
      <c r="E925" s="19"/>
      <c r="F925" s="19"/>
    </row>
    <row r="926" spans="3:6" ht="15.75">
      <c r="C926" s="19"/>
      <c r="D926" s="19"/>
      <c r="E926" s="19"/>
      <c r="F926" s="19"/>
    </row>
    <row r="927" spans="3:6" ht="15.75">
      <c r="C927" s="19"/>
      <c r="D927" s="19"/>
      <c r="E927" s="19"/>
      <c r="F927" s="19"/>
    </row>
    <row r="928" spans="3:6" ht="15.75">
      <c r="C928" s="19"/>
      <c r="D928" s="19"/>
      <c r="E928" s="19"/>
      <c r="F928" s="19"/>
    </row>
    <row r="929" spans="3:6" ht="15.75">
      <c r="C929" s="19"/>
      <c r="D929" s="19"/>
      <c r="E929" s="19"/>
      <c r="F929" s="19"/>
    </row>
    <row r="930" spans="3:6" ht="15.75">
      <c r="C930" s="19"/>
      <c r="D930" s="19"/>
      <c r="E930" s="19"/>
      <c r="F930" s="19"/>
    </row>
    <row r="931" spans="3:6" ht="15.75">
      <c r="C931" s="19"/>
      <c r="D931" s="19"/>
      <c r="E931" s="19"/>
      <c r="F931" s="19"/>
    </row>
    <row r="932" spans="3:6" ht="15.75">
      <c r="C932" s="19"/>
      <c r="D932" s="19"/>
      <c r="E932" s="19"/>
      <c r="F932" s="19"/>
    </row>
    <row r="933" spans="3:6" ht="15.75">
      <c r="C933" s="19"/>
      <c r="D933" s="19"/>
      <c r="E933" s="19"/>
      <c r="F933" s="19"/>
    </row>
    <row r="934" spans="3:6" ht="15.75">
      <c r="C934" s="19"/>
      <c r="D934" s="19"/>
      <c r="E934" s="19"/>
      <c r="F934" s="19"/>
    </row>
    <row r="935" spans="3:6" ht="15.75">
      <c r="C935" s="19"/>
      <c r="D935" s="19"/>
      <c r="E935" s="19"/>
      <c r="F935" s="19"/>
    </row>
    <row r="936" spans="3:6" ht="15.75">
      <c r="C936" s="19"/>
      <c r="D936" s="19"/>
      <c r="E936" s="19"/>
      <c r="F936" s="19"/>
    </row>
    <row r="937" spans="3:6" ht="15.75">
      <c r="C937" s="19"/>
      <c r="D937" s="19"/>
      <c r="E937" s="19"/>
      <c r="F937" s="19"/>
    </row>
    <row r="938" spans="3:6" ht="15.75">
      <c r="C938" s="19"/>
      <c r="D938" s="19"/>
      <c r="E938" s="19"/>
      <c r="F938" s="19"/>
    </row>
    <row r="939" spans="3:6" ht="15.75">
      <c r="C939" s="19"/>
      <c r="D939" s="19"/>
      <c r="E939" s="19"/>
      <c r="F939" s="19"/>
    </row>
    <row r="940" spans="3:6" ht="15.75">
      <c r="C940" s="19"/>
      <c r="D940" s="19"/>
      <c r="E940" s="19"/>
      <c r="F940" s="19"/>
    </row>
    <row r="941" spans="3:6" ht="15.75">
      <c r="C941" s="19"/>
      <c r="D941" s="19"/>
      <c r="E941" s="19"/>
      <c r="F941" s="19"/>
    </row>
    <row r="942" spans="3:6" ht="15.75">
      <c r="C942" s="19"/>
      <c r="D942" s="19"/>
      <c r="E942" s="19"/>
      <c r="F942" s="19"/>
    </row>
    <row r="943" spans="3:6" ht="15.75">
      <c r="C943" s="19"/>
      <c r="D943" s="19"/>
      <c r="E943" s="19"/>
      <c r="F943" s="19"/>
    </row>
    <row r="944" spans="3:6" ht="15.75">
      <c r="C944" s="19"/>
      <c r="D944" s="19"/>
      <c r="E944" s="19"/>
      <c r="F944" s="19"/>
    </row>
    <row r="945" spans="3:6" ht="15.75">
      <c r="C945" s="19"/>
      <c r="D945" s="19"/>
      <c r="E945" s="19"/>
      <c r="F945" s="19"/>
    </row>
    <row r="946" spans="3:6" ht="15.75">
      <c r="C946" s="19"/>
      <c r="D946" s="19"/>
      <c r="E946" s="19"/>
      <c r="F946" s="19"/>
    </row>
    <row r="947" spans="3:6" ht="15.75">
      <c r="C947" s="19"/>
      <c r="D947" s="19"/>
      <c r="E947" s="19"/>
      <c r="F947" s="19"/>
    </row>
    <row r="948" spans="3:6" ht="15.75">
      <c r="C948" s="19"/>
      <c r="D948" s="19"/>
      <c r="E948" s="19"/>
      <c r="F948" s="19"/>
    </row>
    <row r="949" spans="3:6" ht="15.75">
      <c r="C949" s="19"/>
      <c r="D949" s="19"/>
      <c r="E949" s="19"/>
      <c r="F949" s="19"/>
    </row>
    <row r="950" spans="3:6" ht="15.75">
      <c r="C950" s="19"/>
      <c r="D950" s="19"/>
      <c r="E950" s="19"/>
      <c r="F950" s="19"/>
    </row>
    <row r="951" spans="3:6" ht="15.75">
      <c r="C951" s="19"/>
      <c r="D951" s="19"/>
      <c r="E951" s="19"/>
      <c r="F951" s="19"/>
    </row>
    <row r="952" spans="3:6" ht="15.75">
      <c r="C952" s="19"/>
      <c r="D952" s="19"/>
      <c r="E952" s="19"/>
      <c r="F952" s="19"/>
    </row>
    <row r="953" spans="3:6" ht="15.75">
      <c r="C953" s="19"/>
      <c r="D953" s="19"/>
      <c r="E953" s="19"/>
      <c r="F953" s="19"/>
    </row>
    <row r="954" spans="3:6" ht="15.75">
      <c r="C954" s="19"/>
      <c r="D954" s="19"/>
      <c r="E954" s="19"/>
      <c r="F954" s="19"/>
    </row>
    <row r="955" spans="3:6" ht="15.75">
      <c r="C955" s="19"/>
      <c r="D955" s="19"/>
      <c r="E955" s="19"/>
      <c r="F955" s="19"/>
    </row>
    <row r="956" spans="3:6" ht="15.75">
      <c r="C956" s="19"/>
      <c r="D956" s="19"/>
      <c r="E956" s="19"/>
      <c r="F956" s="19"/>
    </row>
    <row r="957" spans="3:6" ht="15.75">
      <c r="C957" s="19"/>
      <c r="D957" s="19"/>
      <c r="E957" s="19"/>
      <c r="F957" s="19"/>
    </row>
    <row r="958" spans="3:6" ht="15.75">
      <c r="C958" s="19"/>
      <c r="D958" s="19"/>
      <c r="E958" s="19"/>
      <c r="F958" s="19"/>
    </row>
    <row r="959" spans="3:6" ht="15.75">
      <c r="C959" s="19"/>
      <c r="D959" s="19"/>
      <c r="E959" s="19"/>
      <c r="F959" s="19"/>
    </row>
    <row r="960" spans="3:6" ht="15.75">
      <c r="C960" s="19"/>
      <c r="D960" s="19"/>
      <c r="E960" s="19"/>
      <c r="F960" s="19"/>
    </row>
    <row r="961" spans="3:6" ht="15.75">
      <c r="C961" s="19"/>
      <c r="D961" s="19"/>
      <c r="E961" s="19"/>
      <c r="F961" s="19"/>
    </row>
    <row r="962" spans="3:6" ht="15.75">
      <c r="C962" s="19"/>
      <c r="D962" s="19"/>
      <c r="E962" s="19"/>
      <c r="F962" s="19"/>
    </row>
    <row r="963" spans="3:6" ht="15.75">
      <c r="C963" s="19"/>
      <c r="D963" s="19"/>
      <c r="E963" s="19"/>
      <c r="F963" s="19"/>
    </row>
    <row r="964" spans="3:6" ht="15.75">
      <c r="C964" s="19"/>
      <c r="D964" s="19"/>
      <c r="E964" s="19"/>
      <c r="F964" s="19"/>
    </row>
    <row r="965" spans="3:6" ht="15.75">
      <c r="C965" s="19"/>
      <c r="D965" s="19"/>
      <c r="E965" s="19"/>
      <c r="F965" s="19"/>
    </row>
    <row r="966" spans="3:6" ht="15.75">
      <c r="C966" s="19"/>
      <c r="D966" s="19"/>
      <c r="E966" s="19"/>
      <c r="F966" s="19"/>
    </row>
    <row r="967" spans="3:6" ht="15.75">
      <c r="C967" s="19"/>
      <c r="D967" s="19"/>
      <c r="E967" s="19"/>
      <c r="F967" s="19"/>
    </row>
    <row r="968" spans="3:6" ht="15.75">
      <c r="C968" s="19"/>
      <c r="D968" s="19"/>
      <c r="E968" s="19"/>
      <c r="F968" s="19"/>
    </row>
    <row r="969" spans="3:6" ht="15.75">
      <c r="C969" s="19"/>
      <c r="D969" s="19"/>
      <c r="E969" s="19"/>
      <c r="F969" s="19"/>
    </row>
    <row r="970" spans="3:6" ht="15.75">
      <c r="C970" s="19"/>
      <c r="D970" s="19"/>
      <c r="E970" s="19"/>
      <c r="F970" s="19"/>
    </row>
    <row r="971" spans="3:6" ht="15.75">
      <c r="C971" s="19"/>
      <c r="D971" s="19"/>
      <c r="E971" s="19"/>
      <c r="F971" s="19"/>
    </row>
    <row r="972" spans="3:6" ht="15.75">
      <c r="C972" s="19"/>
      <c r="D972" s="19"/>
      <c r="E972" s="19"/>
      <c r="F972" s="19"/>
    </row>
    <row r="973" spans="3:6" ht="15.75">
      <c r="C973" s="19"/>
      <c r="D973" s="19"/>
      <c r="E973" s="19"/>
      <c r="F973" s="19"/>
    </row>
    <row r="974" spans="3:6" ht="15.75">
      <c r="C974" s="19"/>
      <c r="D974" s="19"/>
      <c r="E974" s="19"/>
      <c r="F974" s="19"/>
    </row>
    <row r="975" spans="3:6" ht="15.75">
      <c r="C975" s="19"/>
      <c r="D975" s="19"/>
      <c r="E975" s="19"/>
      <c r="F975" s="19"/>
    </row>
    <row r="976" spans="3:6" ht="15.75">
      <c r="C976" s="19"/>
      <c r="D976" s="19"/>
      <c r="E976" s="19"/>
      <c r="F976" s="19"/>
    </row>
    <row r="977" spans="3:6" ht="15.75">
      <c r="C977" s="19"/>
      <c r="D977" s="19"/>
      <c r="E977" s="19"/>
      <c r="F977" s="19"/>
    </row>
    <row r="978" spans="3:6" ht="15.75">
      <c r="C978" s="19"/>
      <c r="D978" s="19"/>
      <c r="E978" s="19"/>
      <c r="F978" s="19"/>
    </row>
    <row r="979" spans="3:6" ht="15.75">
      <c r="C979" s="19"/>
      <c r="D979" s="19"/>
      <c r="E979" s="19"/>
      <c r="F979" s="19"/>
    </row>
  </sheetData>
  <sheetProtection/>
  <mergeCells count="16">
    <mergeCell ref="F579:F580"/>
    <mergeCell ref="G579:G580"/>
    <mergeCell ref="H579:H580"/>
    <mergeCell ref="A7:H7"/>
    <mergeCell ref="B579:B580"/>
    <mergeCell ref="C579:C580"/>
    <mergeCell ref="D579:D580"/>
    <mergeCell ref="E579:E580"/>
    <mergeCell ref="G5:H5"/>
    <mergeCell ref="E4:H4"/>
    <mergeCell ref="E1:F1"/>
    <mergeCell ref="G1:H1"/>
    <mergeCell ref="E2:H2"/>
    <mergeCell ref="E3:F3"/>
    <mergeCell ref="G3:H3"/>
    <mergeCell ref="E5:F5"/>
  </mergeCells>
  <printOptions horizontalCentered="1"/>
  <pageMargins left="0.63" right="0.29" top="0.19" bottom="0.23" header="0.19" footer="0.23"/>
  <pageSetup fitToHeight="0" horizontalDpi="600" verticalDpi="600" orientation="portrait" paperSize="9" scale="75" r:id="rId1"/>
  <headerFooter alignWithMargins="0">
    <oddFooter>&amp;CСтраница &amp;P&amp;R&amp;A</oddFooter>
  </headerFooter>
</worksheet>
</file>

<file path=xl/worksheets/sheet3.xml><?xml version="1.0" encoding="utf-8"?>
<worksheet xmlns="http://schemas.openxmlformats.org/spreadsheetml/2006/main" xmlns:r="http://schemas.openxmlformats.org/officeDocument/2006/relationships">
  <dimension ref="A1:J1099"/>
  <sheetViews>
    <sheetView zoomScalePageLayoutView="0" workbookViewId="0" topLeftCell="A1">
      <selection activeCell="M7" sqref="M7"/>
    </sheetView>
  </sheetViews>
  <sheetFormatPr defaultColWidth="9.00390625" defaultRowHeight="12.75"/>
  <cols>
    <col min="1" max="1" width="35.125" style="12" customWidth="1"/>
    <col min="2" max="2" width="10.875" style="12" customWidth="1"/>
    <col min="3" max="3" width="8.875" style="12" customWidth="1"/>
    <col min="4" max="4" width="12.25390625" style="12" customWidth="1"/>
    <col min="5" max="5" width="11.75390625" style="12" customWidth="1"/>
    <col min="6" max="7" width="19.75390625" style="26" customWidth="1"/>
    <col min="8" max="8" width="9.125" style="12" customWidth="1"/>
    <col min="9" max="9" width="25.75390625" style="12" hidden="1" customWidth="1"/>
    <col min="10" max="10" width="23.375" style="12" hidden="1" customWidth="1"/>
    <col min="11" max="16384" width="9.125" style="12" customWidth="1"/>
  </cols>
  <sheetData>
    <row r="1" spans="2:7" ht="15.75">
      <c r="B1" s="30"/>
      <c r="C1" s="30"/>
      <c r="D1" s="95"/>
      <c r="E1" s="95"/>
      <c r="F1" s="95" t="s">
        <v>296</v>
      </c>
      <c r="G1" s="95"/>
    </row>
    <row r="2" spans="2:7" ht="15.75">
      <c r="B2" s="30"/>
      <c r="C2" s="30"/>
      <c r="D2" s="95" t="s">
        <v>246</v>
      </c>
      <c r="E2" s="95"/>
      <c r="F2" s="95"/>
      <c r="G2" s="95"/>
    </row>
    <row r="3" spans="2:7" ht="15.75">
      <c r="B3" s="52"/>
      <c r="C3" s="52"/>
      <c r="D3" s="95"/>
      <c r="E3" s="95"/>
      <c r="F3" s="95" t="s">
        <v>179</v>
      </c>
      <c r="G3" s="95"/>
    </row>
    <row r="4" spans="2:7" ht="15.75">
      <c r="B4" s="52"/>
      <c r="C4" s="52"/>
      <c r="D4" s="95" t="s">
        <v>180</v>
      </c>
      <c r="E4" s="95"/>
      <c r="F4" s="95"/>
      <c r="G4" s="95"/>
    </row>
    <row r="5" spans="2:7" ht="15.75">
      <c r="B5" s="30"/>
      <c r="C5" s="30"/>
      <c r="D5" s="95"/>
      <c r="E5" s="95"/>
      <c r="F5" s="95" t="s">
        <v>468</v>
      </c>
      <c r="G5" s="95"/>
    </row>
    <row r="7" spans="1:7" ht="58.5" customHeight="1">
      <c r="A7" s="97" t="s">
        <v>173</v>
      </c>
      <c r="B7" s="98"/>
      <c r="C7" s="98"/>
      <c r="D7" s="98"/>
      <c r="E7" s="98"/>
      <c r="F7" s="98"/>
      <c r="G7" s="98"/>
    </row>
    <row r="8" spans="6:7" ht="15.75">
      <c r="F8" s="41"/>
      <c r="G8" s="41" t="s">
        <v>286</v>
      </c>
    </row>
    <row r="9" spans="1:7" ht="126">
      <c r="A9" s="15" t="s">
        <v>253</v>
      </c>
      <c r="B9" s="63" t="s">
        <v>174</v>
      </c>
      <c r="C9" s="63" t="s">
        <v>175</v>
      </c>
      <c r="D9" s="63" t="s">
        <v>176</v>
      </c>
      <c r="E9" s="63" t="s">
        <v>177</v>
      </c>
      <c r="F9" s="40" t="s">
        <v>254</v>
      </c>
      <c r="G9" s="15" t="s">
        <v>15</v>
      </c>
    </row>
    <row r="10" spans="1:10" ht="15.75">
      <c r="A10" s="15">
        <v>1</v>
      </c>
      <c r="B10" s="15">
        <v>2</v>
      </c>
      <c r="C10" s="15">
        <v>3</v>
      </c>
      <c r="D10" s="15">
        <v>4</v>
      </c>
      <c r="E10" s="15">
        <v>5</v>
      </c>
      <c r="F10" s="42">
        <v>6</v>
      </c>
      <c r="G10" s="42">
        <v>7</v>
      </c>
      <c r="I10" s="12" t="s">
        <v>461</v>
      </c>
      <c r="J10" s="12" t="s">
        <v>460</v>
      </c>
    </row>
    <row r="11" spans="1:10" s="43" customFormat="1" ht="63">
      <c r="A11" s="1" t="s">
        <v>331</v>
      </c>
      <c r="B11" s="2" t="s">
        <v>332</v>
      </c>
      <c r="C11" s="2"/>
      <c r="D11" s="9"/>
      <c r="E11" s="9"/>
      <c r="F11" s="32">
        <f>F12+F48+F74+F126+F131+F136+F149+F158</f>
        <v>1585568374.7</v>
      </c>
      <c r="G11" s="32">
        <f>G12+G48+G74+G126+G131+G136+G149+G158</f>
        <v>810862502.1800001</v>
      </c>
      <c r="I11" s="85">
        <f>прил6!F30+прил6!F331+прил6!F356+прил6!F395+прил6!F423+прил6!F507+прил6!F539</f>
        <v>1585568374.7</v>
      </c>
      <c r="J11" s="85">
        <f>прил7!G379+прил7!G386+прил7!G441+прил7!G473+прил7!G494+прил7!G517+прил7!G524+прил7!G556+прил7!G577</f>
        <v>1585568374.7</v>
      </c>
    </row>
    <row r="12" spans="1:10" s="43" customFormat="1" ht="47.25">
      <c r="A12" s="3" t="s">
        <v>354</v>
      </c>
      <c r="B12" s="4" t="s">
        <v>355</v>
      </c>
      <c r="C12" s="4"/>
      <c r="D12" s="4"/>
      <c r="E12" s="4"/>
      <c r="F12" s="29">
        <f>F13+F17+F21+F25+F29+F33+F40+F44</f>
        <v>486182365.03</v>
      </c>
      <c r="G12" s="29">
        <f>G13+G17+G21+G25+G29+G33+G40+G44</f>
        <v>302818998</v>
      </c>
      <c r="I12" s="85">
        <f>прил6!F332+прил6!F508+прил6!F540-F12</f>
        <v>0</v>
      </c>
      <c r="J12" s="85">
        <f>прил7!G474+прил7!G557+прил7!G578-F12</f>
        <v>0</v>
      </c>
    </row>
    <row r="13" spans="1:7" s="43" customFormat="1" ht="110.25">
      <c r="A13" s="27" t="s">
        <v>209</v>
      </c>
      <c r="B13" s="4" t="s">
        <v>210</v>
      </c>
      <c r="C13" s="4"/>
      <c r="D13" s="4"/>
      <c r="E13" s="4"/>
      <c r="F13" s="29">
        <f>F14</f>
        <v>183363367.03</v>
      </c>
      <c r="G13" s="29"/>
    </row>
    <row r="14" spans="1:7" s="43" customFormat="1" ht="63">
      <c r="A14" s="3" t="s">
        <v>330</v>
      </c>
      <c r="B14" s="4" t="s">
        <v>210</v>
      </c>
      <c r="C14" s="4" t="s">
        <v>23</v>
      </c>
      <c r="D14" s="4"/>
      <c r="E14" s="4"/>
      <c r="F14" s="29">
        <f>F15</f>
        <v>183363367.03</v>
      </c>
      <c r="G14" s="29"/>
    </row>
    <row r="15" spans="1:7" s="43" customFormat="1" ht="20.25">
      <c r="A15" s="3" t="s">
        <v>266</v>
      </c>
      <c r="B15" s="4" t="s">
        <v>210</v>
      </c>
      <c r="C15" s="4" t="s">
        <v>23</v>
      </c>
      <c r="D15" s="4" t="s">
        <v>258</v>
      </c>
      <c r="E15" s="4"/>
      <c r="F15" s="29">
        <f>F16</f>
        <v>183363367.03</v>
      </c>
      <c r="G15" s="29"/>
    </row>
    <row r="16" spans="1:7" s="43" customFormat="1" ht="20.25">
      <c r="A16" s="3" t="s">
        <v>267</v>
      </c>
      <c r="B16" s="4" t="s">
        <v>210</v>
      </c>
      <c r="C16" s="4" t="s">
        <v>23</v>
      </c>
      <c r="D16" s="4" t="s">
        <v>258</v>
      </c>
      <c r="E16" s="4" t="s">
        <v>255</v>
      </c>
      <c r="F16" s="29">
        <f>прил6!F334</f>
        <v>183363367.03</v>
      </c>
      <c r="G16" s="29"/>
    </row>
    <row r="17" spans="1:7" s="43" customFormat="1" ht="141.75">
      <c r="A17" s="27" t="s">
        <v>59</v>
      </c>
      <c r="B17" s="4" t="s">
        <v>181</v>
      </c>
      <c r="C17" s="4"/>
      <c r="D17" s="4"/>
      <c r="E17" s="4"/>
      <c r="F17" s="29">
        <f aca="true" t="shared" si="0" ref="F17:G19">F18</f>
        <v>889602</v>
      </c>
      <c r="G17" s="29">
        <f t="shared" si="0"/>
        <v>889602</v>
      </c>
    </row>
    <row r="18" spans="1:7" s="16" customFormat="1" ht="63">
      <c r="A18" s="27" t="s">
        <v>330</v>
      </c>
      <c r="B18" s="4" t="s">
        <v>181</v>
      </c>
      <c r="C18" s="4" t="s">
        <v>23</v>
      </c>
      <c r="D18" s="4"/>
      <c r="E18" s="4"/>
      <c r="F18" s="29">
        <f t="shared" si="0"/>
        <v>889602</v>
      </c>
      <c r="G18" s="29">
        <f t="shared" si="0"/>
        <v>889602</v>
      </c>
    </row>
    <row r="19" spans="1:7" ht="15.75">
      <c r="A19" s="3" t="s">
        <v>266</v>
      </c>
      <c r="B19" s="4" t="s">
        <v>181</v>
      </c>
      <c r="C19" s="4" t="s">
        <v>23</v>
      </c>
      <c r="D19" s="4" t="s">
        <v>258</v>
      </c>
      <c r="E19" s="4"/>
      <c r="F19" s="29">
        <f t="shared" si="0"/>
        <v>889602</v>
      </c>
      <c r="G19" s="29">
        <f t="shared" si="0"/>
        <v>889602</v>
      </c>
    </row>
    <row r="20" spans="1:7" ht="15.75">
      <c r="A20" s="3" t="s">
        <v>267</v>
      </c>
      <c r="B20" s="4" t="s">
        <v>181</v>
      </c>
      <c r="C20" s="4" t="s">
        <v>23</v>
      </c>
      <c r="D20" s="4" t="s">
        <v>258</v>
      </c>
      <c r="E20" s="4" t="s">
        <v>255</v>
      </c>
      <c r="F20" s="29">
        <f>прил6!F336</f>
        <v>889602</v>
      </c>
      <c r="G20" s="29">
        <f>F20</f>
        <v>889602</v>
      </c>
    </row>
    <row r="21" spans="1:7" ht="126">
      <c r="A21" s="3" t="s">
        <v>202</v>
      </c>
      <c r="B21" s="4" t="s">
        <v>205</v>
      </c>
      <c r="C21" s="4"/>
      <c r="D21" s="4"/>
      <c r="E21" s="4"/>
      <c r="F21" s="29">
        <f aca="true" t="shared" si="1" ref="F21:G23">F22</f>
        <v>3030</v>
      </c>
      <c r="G21" s="29">
        <f t="shared" si="1"/>
        <v>3030</v>
      </c>
    </row>
    <row r="22" spans="1:7" ht="63">
      <c r="A22" s="27" t="s">
        <v>330</v>
      </c>
      <c r="B22" s="4" t="s">
        <v>205</v>
      </c>
      <c r="C22" s="4" t="s">
        <v>23</v>
      </c>
      <c r="D22" s="4"/>
      <c r="E22" s="4"/>
      <c r="F22" s="29">
        <f t="shared" si="1"/>
        <v>3030</v>
      </c>
      <c r="G22" s="29">
        <f t="shared" si="1"/>
        <v>3030</v>
      </c>
    </row>
    <row r="23" spans="1:7" ht="15.75">
      <c r="A23" s="3" t="s">
        <v>269</v>
      </c>
      <c r="B23" s="4" t="s">
        <v>205</v>
      </c>
      <c r="C23" s="4" t="s">
        <v>23</v>
      </c>
      <c r="D23" s="4" t="s">
        <v>263</v>
      </c>
      <c r="E23" s="4"/>
      <c r="F23" s="29">
        <f t="shared" si="1"/>
        <v>3030</v>
      </c>
      <c r="G23" s="29">
        <f t="shared" si="1"/>
        <v>3030</v>
      </c>
    </row>
    <row r="24" spans="1:7" ht="31.5">
      <c r="A24" s="3" t="s">
        <v>281</v>
      </c>
      <c r="B24" s="4" t="s">
        <v>205</v>
      </c>
      <c r="C24" s="4" t="s">
        <v>23</v>
      </c>
      <c r="D24" s="4" t="s">
        <v>263</v>
      </c>
      <c r="E24" s="4" t="s">
        <v>262</v>
      </c>
      <c r="F24" s="29">
        <f>прил6!F510</f>
        <v>3030</v>
      </c>
      <c r="G24" s="29">
        <f>F24</f>
        <v>3030</v>
      </c>
    </row>
    <row r="25" spans="1:7" ht="126">
      <c r="A25" s="3" t="s">
        <v>190</v>
      </c>
      <c r="B25" s="4" t="s">
        <v>191</v>
      </c>
      <c r="C25" s="4"/>
      <c r="D25" s="4"/>
      <c r="E25" s="4"/>
      <c r="F25" s="29">
        <f aca="true" t="shared" si="2" ref="F25:G27">F26</f>
        <v>1172066</v>
      </c>
      <c r="G25" s="29">
        <f t="shared" si="2"/>
        <v>1172066</v>
      </c>
    </row>
    <row r="26" spans="1:7" ht="63">
      <c r="A26" s="27" t="s">
        <v>330</v>
      </c>
      <c r="B26" s="4" t="s">
        <v>191</v>
      </c>
      <c r="C26" s="4" t="s">
        <v>23</v>
      </c>
      <c r="D26" s="4"/>
      <c r="E26" s="2"/>
      <c r="F26" s="29">
        <f t="shared" si="2"/>
        <v>1172066</v>
      </c>
      <c r="G26" s="29">
        <f t="shared" si="2"/>
        <v>1172066</v>
      </c>
    </row>
    <row r="27" spans="1:7" ht="15.75">
      <c r="A27" s="3" t="s">
        <v>269</v>
      </c>
      <c r="B27" s="4" t="s">
        <v>191</v>
      </c>
      <c r="C27" s="4" t="s">
        <v>23</v>
      </c>
      <c r="D27" s="4" t="s">
        <v>263</v>
      </c>
      <c r="E27" s="4"/>
      <c r="F27" s="29">
        <f t="shared" si="2"/>
        <v>1172066</v>
      </c>
      <c r="G27" s="29">
        <f t="shared" si="2"/>
        <v>1172066</v>
      </c>
    </row>
    <row r="28" spans="1:7" ht="31.5">
      <c r="A28" s="3" t="s">
        <v>281</v>
      </c>
      <c r="B28" s="4" t="s">
        <v>191</v>
      </c>
      <c r="C28" s="4" t="s">
        <v>23</v>
      </c>
      <c r="D28" s="4" t="s">
        <v>263</v>
      </c>
      <c r="E28" s="4" t="s">
        <v>262</v>
      </c>
      <c r="F28" s="29">
        <f>прил6!F512</f>
        <v>1172066</v>
      </c>
      <c r="G28" s="29">
        <f>F28</f>
        <v>1172066</v>
      </c>
    </row>
    <row r="29" spans="1:7" ht="126">
      <c r="A29" s="3" t="s">
        <v>301</v>
      </c>
      <c r="B29" s="4" t="s">
        <v>187</v>
      </c>
      <c r="C29" s="4"/>
      <c r="D29" s="4"/>
      <c r="E29" s="4"/>
      <c r="F29" s="29">
        <f aca="true" t="shared" si="3" ref="F29:G31">F30</f>
        <v>4347200</v>
      </c>
      <c r="G29" s="29">
        <f t="shared" si="3"/>
        <v>4347200</v>
      </c>
    </row>
    <row r="30" spans="1:7" ht="63">
      <c r="A30" s="27" t="s">
        <v>330</v>
      </c>
      <c r="B30" s="4" t="s">
        <v>187</v>
      </c>
      <c r="C30" s="4" t="s">
        <v>23</v>
      </c>
      <c r="D30" s="4"/>
      <c r="E30" s="4"/>
      <c r="F30" s="29">
        <f t="shared" si="3"/>
        <v>4347200</v>
      </c>
      <c r="G30" s="29">
        <f t="shared" si="3"/>
        <v>4347200</v>
      </c>
    </row>
    <row r="31" spans="1:7" ht="15.75">
      <c r="A31" s="3" t="s">
        <v>266</v>
      </c>
      <c r="B31" s="4" t="s">
        <v>187</v>
      </c>
      <c r="C31" s="4" t="s">
        <v>23</v>
      </c>
      <c r="D31" s="4" t="s">
        <v>258</v>
      </c>
      <c r="E31" s="4"/>
      <c r="F31" s="29">
        <f t="shared" si="3"/>
        <v>4347200</v>
      </c>
      <c r="G31" s="29">
        <f t="shared" si="3"/>
        <v>4347200</v>
      </c>
    </row>
    <row r="32" spans="1:7" ht="15.75">
      <c r="A32" s="3" t="s">
        <v>267</v>
      </c>
      <c r="B32" s="4" t="s">
        <v>187</v>
      </c>
      <c r="C32" s="4" t="s">
        <v>23</v>
      </c>
      <c r="D32" s="4" t="s">
        <v>258</v>
      </c>
      <c r="E32" s="4" t="s">
        <v>255</v>
      </c>
      <c r="F32" s="29">
        <f>прил6!F338</f>
        <v>4347200</v>
      </c>
      <c r="G32" s="29">
        <f>F32</f>
        <v>4347200</v>
      </c>
    </row>
    <row r="33" spans="1:7" ht="202.5" customHeight="1">
      <c r="A33" s="3" t="s">
        <v>447</v>
      </c>
      <c r="B33" s="4" t="s">
        <v>373</v>
      </c>
      <c r="C33" s="4"/>
      <c r="D33" s="4"/>
      <c r="E33" s="4"/>
      <c r="F33" s="29">
        <f>F34+F37</f>
        <v>472400</v>
      </c>
      <c r="G33" s="29">
        <f>G34+G37</f>
        <v>472400</v>
      </c>
    </row>
    <row r="34" spans="1:7" ht="44.25" customHeight="1">
      <c r="A34" s="3" t="s">
        <v>239</v>
      </c>
      <c r="B34" s="4" t="s">
        <v>373</v>
      </c>
      <c r="C34" s="4" t="s">
        <v>240</v>
      </c>
      <c r="D34" s="4"/>
      <c r="E34" s="4"/>
      <c r="F34" s="29">
        <f>F35</f>
        <v>188948</v>
      </c>
      <c r="G34" s="29">
        <f>G35</f>
        <v>188948</v>
      </c>
    </row>
    <row r="35" spans="1:7" ht="15.75">
      <c r="A35" s="3" t="s">
        <v>269</v>
      </c>
      <c r="B35" s="4" t="s">
        <v>373</v>
      </c>
      <c r="C35" s="4" t="s">
        <v>240</v>
      </c>
      <c r="D35" s="4" t="s">
        <v>263</v>
      </c>
      <c r="E35" s="4"/>
      <c r="F35" s="29">
        <f>F36</f>
        <v>188948</v>
      </c>
      <c r="G35" s="29">
        <f>G36</f>
        <v>188948</v>
      </c>
    </row>
    <row r="36" spans="1:7" s="16" customFormat="1" ht="15.75">
      <c r="A36" s="3" t="s">
        <v>295</v>
      </c>
      <c r="B36" s="4" t="s">
        <v>373</v>
      </c>
      <c r="C36" s="4" t="s">
        <v>240</v>
      </c>
      <c r="D36" s="4" t="s">
        <v>263</v>
      </c>
      <c r="E36" s="4" t="s">
        <v>265</v>
      </c>
      <c r="F36" s="29">
        <f>прил6!F543</f>
        <v>188948</v>
      </c>
      <c r="G36" s="29">
        <f>F36</f>
        <v>188948</v>
      </c>
    </row>
    <row r="37" spans="1:7" ht="63">
      <c r="A37" s="3" t="s">
        <v>330</v>
      </c>
      <c r="B37" s="4" t="s">
        <v>373</v>
      </c>
      <c r="C37" s="4" t="s">
        <v>23</v>
      </c>
      <c r="D37" s="4"/>
      <c r="E37" s="4"/>
      <c r="F37" s="29">
        <f>F38</f>
        <v>283452</v>
      </c>
      <c r="G37" s="29">
        <f>G38</f>
        <v>283452</v>
      </c>
    </row>
    <row r="38" spans="1:7" ht="15.75">
      <c r="A38" s="3" t="s">
        <v>269</v>
      </c>
      <c r="B38" s="4" t="s">
        <v>373</v>
      </c>
      <c r="C38" s="4" t="s">
        <v>23</v>
      </c>
      <c r="D38" s="4" t="s">
        <v>263</v>
      </c>
      <c r="E38" s="4"/>
      <c r="F38" s="29">
        <f>F39</f>
        <v>283452</v>
      </c>
      <c r="G38" s="29">
        <f>F38</f>
        <v>283452</v>
      </c>
    </row>
    <row r="39" spans="1:7" ht="15.75">
      <c r="A39" s="3" t="s">
        <v>295</v>
      </c>
      <c r="B39" s="4" t="s">
        <v>373</v>
      </c>
      <c r="C39" s="4" t="s">
        <v>23</v>
      </c>
      <c r="D39" s="4" t="s">
        <v>263</v>
      </c>
      <c r="E39" s="4" t="s">
        <v>265</v>
      </c>
      <c r="F39" s="29">
        <f>прил6!F544</f>
        <v>283452</v>
      </c>
      <c r="G39" s="29">
        <f>F39</f>
        <v>283452</v>
      </c>
    </row>
    <row r="40" spans="1:7" ht="110.25">
      <c r="A40" s="3" t="s">
        <v>33</v>
      </c>
      <c r="B40" s="4" t="s">
        <v>375</v>
      </c>
      <c r="C40" s="4"/>
      <c r="D40" s="4"/>
      <c r="E40" s="4"/>
      <c r="F40" s="29">
        <f aca="true" t="shared" si="4" ref="F40:G42">F41</f>
        <v>18894800</v>
      </c>
      <c r="G40" s="29">
        <f t="shared" si="4"/>
        <v>18894800</v>
      </c>
    </row>
    <row r="41" spans="1:7" ht="31.5">
      <c r="A41" s="3" t="s">
        <v>239</v>
      </c>
      <c r="B41" s="4" t="s">
        <v>375</v>
      </c>
      <c r="C41" s="4" t="s">
        <v>240</v>
      </c>
      <c r="D41" s="4"/>
      <c r="E41" s="4"/>
      <c r="F41" s="29">
        <f t="shared" si="4"/>
        <v>18894800</v>
      </c>
      <c r="G41" s="29">
        <f t="shared" si="4"/>
        <v>18894800</v>
      </c>
    </row>
    <row r="42" spans="1:7" ht="15.75">
      <c r="A42" s="3" t="s">
        <v>269</v>
      </c>
      <c r="B42" s="4" t="s">
        <v>375</v>
      </c>
      <c r="C42" s="4" t="s">
        <v>240</v>
      </c>
      <c r="D42" s="4" t="s">
        <v>263</v>
      </c>
      <c r="E42" s="4"/>
      <c r="F42" s="29">
        <f t="shared" si="4"/>
        <v>18894800</v>
      </c>
      <c r="G42" s="29">
        <f t="shared" si="4"/>
        <v>18894800</v>
      </c>
    </row>
    <row r="43" spans="1:7" ht="15.75">
      <c r="A43" s="3" t="s">
        <v>295</v>
      </c>
      <c r="B43" s="4" t="s">
        <v>375</v>
      </c>
      <c r="C43" s="4" t="s">
        <v>240</v>
      </c>
      <c r="D43" s="4" t="s">
        <v>263</v>
      </c>
      <c r="E43" s="4" t="s">
        <v>265</v>
      </c>
      <c r="F43" s="29">
        <f>прил6!F546</f>
        <v>18894800</v>
      </c>
      <c r="G43" s="29">
        <f>F43</f>
        <v>18894800</v>
      </c>
    </row>
    <row r="44" spans="1:7" ht="94.5">
      <c r="A44" s="3" t="s">
        <v>356</v>
      </c>
      <c r="B44" s="4" t="s">
        <v>357</v>
      </c>
      <c r="C44" s="4"/>
      <c r="D44" s="4"/>
      <c r="E44" s="4"/>
      <c r="F44" s="29">
        <f aca="true" t="shared" si="5" ref="F44:G46">F45</f>
        <v>277039900</v>
      </c>
      <c r="G44" s="29">
        <f t="shared" si="5"/>
        <v>277039900</v>
      </c>
    </row>
    <row r="45" spans="1:7" ht="63">
      <c r="A45" s="3" t="s">
        <v>330</v>
      </c>
      <c r="B45" s="4" t="s">
        <v>357</v>
      </c>
      <c r="C45" s="4" t="s">
        <v>23</v>
      </c>
      <c r="D45" s="4"/>
      <c r="E45" s="4"/>
      <c r="F45" s="29">
        <f t="shared" si="5"/>
        <v>277039900</v>
      </c>
      <c r="G45" s="29">
        <f t="shared" si="5"/>
        <v>277039900</v>
      </c>
    </row>
    <row r="46" spans="1:7" ht="15.75">
      <c r="A46" s="3" t="s">
        <v>266</v>
      </c>
      <c r="B46" s="4" t="s">
        <v>357</v>
      </c>
      <c r="C46" s="4" t="s">
        <v>23</v>
      </c>
      <c r="D46" s="4" t="s">
        <v>258</v>
      </c>
      <c r="E46" s="4"/>
      <c r="F46" s="29">
        <f t="shared" si="5"/>
        <v>277039900</v>
      </c>
      <c r="G46" s="29">
        <f t="shared" si="5"/>
        <v>277039900</v>
      </c>
    </row>
    <row r="47" spans="1:7" ht="15.75">
      <c r="A47" s="3" t="s">
        <v>267</v>
      </c>
      <c r="B47" s="4" t="s">
        <v>357</v>
      </c>
      <c r="C47" s="4" t="s">
        <v>23</v>
      </c>
      <c r="D47" s="4" t="s">
        <v>258</v>
      </c>
      <c r="E47" s="4" t="s">
        <v>255</v>
      </c>
      <c r="F47" s="29">
        <f>прил6!F340</f>
        <v>277039900</v>
      </c>
      <c r="G47" s="29">
        <f>F47</f>
        <v>277039900</v>
      </c>
    </row>
    <row r="48" spans="1:10" ht="63">
      <c r="A48" s="27" t="s">
        <v>351</v>
      </c>
      <c r="B48" s="4" t="s">
        <v>352</v>
      </c>
      <c r="C48" s="4"/>
      <c r="D48" s="4"/>
      <c r="E48" s="4"/>
      <c r="F48" s="29">
        <f>F49+F54+F58+F62+F66+F70</f>
        <v>592280156.97</v>
      </c>
      <c r="G48" s="29">
        <f>G49+G54+G58+G62+G66+G70</f>
        <v>306173920</v>
      </c>
      <c r="I48" s="26">
        <f>прил6!F357+прил6!F424+прил6!F513-F48</f>
        <v>0</v>
      </c>
      <c r="J48" s="26">
        <f>прил7!G495+прил7!G525+прил7!G562-F48</f>
        <v>0</v>
      </c>
    </row>
    <row r="49" spans="1:7" ht="110.25">
      <c r="A49" s="27" t="s">
        <v>209</v>
      </c>
      <c r="B49" s="4" t="s">
        <v>211</v>
      </c>
      <c r="C49" s="4"/>
      <c r="D49" s="4"/>
      <c r="E49" s="4"/>
      <c r="F49" s="29">
        <f>F50</f>
        <v>286106236.97</v>
      </c>
      <c r="G49" s="29"/>
    </row>
    <row r="50" spans="1:7" ht="63">
      <c r="A50" s="3" t="s">
        <v>330</v>
      </c>
      <c r="B50" s="4" t="s">
        <v>211</v>
      </c>
      <c r="C50" s="4" t="s">
        <v>23</v>
      </c>
      <c r="D50" s="4"/>
      <c r="E50" s="4"/>
      <c r="F50" s="29">
        <f>F51</f>
        <v>286106236.97</v>
      </c>
      <c r="G50" s="29"/>
    </row>
    <row r="51" spans="1:7" ht="15.75">
      <c r="A51" s="3" t="s">
        <v>266</v>
      </c>
      <c r="B51" s="4" t="s">
        <v>211</v>
      </c>
      <c r="C51" s="4" t="s">
        <v>23</v>
      </c>
      <c r="D51" s="4" t="s">
        <v>258</v>
      </c>
      <c r="E51" s="4"/>
      <c r="F51" s="29">
        <f>F52+F53</f>
        <v>286106236.97</v>
      </c>
      <c r="G51" s="29"/>
    </row>
    <row r="52" spans="1:7" ht="15.75">
      <c r="A52" s="3" t="s">
        <v>268</v>
      </c>
      <c r="B52" s="4" t="s">
        <v>211</v>
      </c>
      <c r="C52" s="4" t="s">
        <v>23</v>
      </c>
      <c r="D52" s="4" t="s">
        <v>258</v>
      </c>
      <c r="E52" s="4" t="s">
        <v>260</v>
      </c>
      <c r="F52" s="29">
        <f>прил6!F359</f>
        <v>278078990.97</v>
      </c>
      <c r="G52" s="29"/>
    </row>
    <row r="53" spans="1:7" ht="31.5">
      <c r="A53" s="3" t="s">
        <v>279</v>
      </c>
      <c r="B53" s="4" t="s">
        <v>241</v>
      </c>
      <c r="C53" s="4" t="s">
        <v>23</v>
      </c>
      <c r="D53" s="4" t="s">
        <v>258</v>
      </c>
      <c r="E53" s="4" t="s">
        <v>261</v>
      </c>
      <c r="F53" s="29">
        <f>прил6!F426</f>
        <v>8027246</v>
      </c>
      <c r="G53" s="29"/>
    </row>
    <row r="54" spans="1:7" ht="141.75">
      <c r="A54" s="27" t="s">
        <v>59</v>
      </c>
      <c r="B54" s="4" t="s">
        <v>182</v>
      </c>
      <c r="C54" s="4"/>
      <c r="D54" s="4"/>
      <c r="E54" s="4"/>
      <c r="F54" s="29">
        <f aca="true" t="shared" si="6" ref="F54:G56">F55</f>
        <v>223820</v>
      </c>
      <c r="G54" s="29">
        <f t="shared" si="6"/>
        <v>223820</v>
      </c>
    </row>
    <row r="55" spans="1:7" ht="63">
      <c r="A55" s="3" t="s">
        <v>330</v>
      </c>
      <c r="B55" s="4" t="s">
        <v>182</v>
      </c>
      <c r="C55" s="4" t="s">
        <v>23</v>
      </c>
      <c r="D55" s="4"/>
      <c r="E55" s="4"/>
      <c r="F55" s="29">
        <f t="shared" si="6"/>
        <v>223820</v>
      </c>
      <c r="G55" s="29">
        <f t="shared" si="6"/>
        <v>223820</v>
      </c>
    </row>
    <row r="56" spans="1:7" ht="15.75">
      <c r="A56" s="3" t="s">
        <v>266</v>
      </c>
      <c r="B56" s="4" t="s">
        <v>182</v>
      </c>
      <c r="C56" s="4" t="s">
        <v>23</v>
      </c>
      <c r="D56" s="4" t="s">
        <v>258</v>
      </c>
      <c r="E56" s="4"/>
      <c r="F56" s="29">
        <f t="shared" si="6"/>
        <v>223820</v>
      </c>
      <c r="G56" s="29">
        <f t="shared" si="6"/>
        <v>223820</v>
      </c>
    </row>
    <row r="57" spans="1:7" ht="15.75">
      <c r="A57" s="3" t="s">
        <v>268</v>
      </c>
      <c r="B57" s="4" t="s">
        <v>182</v>
      </c>
      <c r="C57" s="4" t="s">
        <v>23</v>
      </c>
      <c r="D57" s="4" t="s">
        <v>258</v>
      </c>
      <c r="E57" s="4" t="s">
        <v>260</v>
      </c>
      <c r="F57" s="29">
        <f>прил6!F361</f>
        <v>223820</v>
      </c>
      <c r="G57" s="29">
        <f>F57</f>
        <v>223820</v>
      </c>
    </row>
    <row r="58" spans="1:7" ht="126">
      <c r="A58" s="3" t="s">
        <v>202</v>
      </c>
      <c r="B58" s="4" t="s">
        <v>206</v>
      </c>
      <c r="C58" s="4"/>
      <c r="D58" s="4"/>
      <c r="E58" s="4"/>
      <c r="F58" s="29">
        <f aca="true" t="shared" si="7" ref="F58:G60">F59</f>
        <v>4140</v>
      </c>
      <c r="G58" s="29">
        <f t="shared" si="7"/>
        <v>4140</v>
      </c>
    </row>
    <row r="59" spans="1:7" s="16" customFormat="1" ht="63">
      <c r="A59" s="27" t="s">
        <v>330</v>
      </c>
      <c r="B59" s="4" t="s">
        <v>206</v>
      </c>
      <c r="C59" s="4" t="s">
        <v>23</v>
      </c>
      <c r="D59" s="4"/>
      <c r="E59" s="4"/>
      <c r="F59" s="29">
        <f t="shared" si="7"/>
        <v>4140</v>
      </c>
      <c r="G59" s="29">
        <f t="shared" si="7"/>
        <v>4140</v>
      </c>
    </row>
    <row r="60" spans="1:7" ht="15.75">
      <c r="A60" s="3" t="s">
        <v>269</v>
      </c>
      <c r="B60" s="4" t="s">
        <v>206</v>
      </c>
      <c r="C60" s="4" t="s">
        <v>23</v>
      </c>
      <c r="D60" s="4" t="s">
        <v>263</v>
      </c>
      <c r="E60" s="4"/>
      <c r="F60" s="29">
        <f t="shared" si="7"/>
        <v>4140</v>
      </c>
      <c r="G60" s="29">
        <f t="shared" si="7"/>
        <v>4140</v>
      </c>
    </row>
    <row r="61" spans="1:7" ht="31.5">
      <c r="A61" s="3" t="s">
        <v>281</v>
      </c>
      <c r="B61" s="4" t="s">
        <v>206</v>
      </c>
      <c r="C61" s="4" t="s">
        <v>23</v>
      </c>
      <c r="D61" s="4" t="s">
        <v>263</v>
      </c>
      <c r="E61" s="4" t="s">
        <v>262</v>
      </c>
      <c r="F61" s="29">
        <f>прил6!F515</f>
        <v>4140</v>
      </c>
      <c r="G61" s="29">
        <f>F61</f>
        <v>4140</v>
      </c>
    </row>
    <row r="62" spans="1:7" ht="126">
      <c r="A62" s="3" t="s">
        <v>190</v>
      </c>
      <c r="B62" s="4" t="s">
        <v>192</v>
      </c>
      <c r="C62" s="4"/>
      <c r="D62" s="4"/>
      <c r="E62" s="4"/>
      <c r="F62" s="29">
        <f aca="true" t="shared" si="8" ref="F62:G64">F63</f>
        <v>1502260</v>
      </c>
      <c r="G62" s="29">
        <f t="shared" si="8"/>
        <v>1502260</v>
      </c>
    </row>
    <row r="63" spans="1:7" ht="63">
      <c r="A63" s="27" t="s">
        <v>330</v>
      </c>
      <c r="B63" s="4" t="s">
        <v>192</v>
      </c>
      <c r="C63" s="4" t="s">
        <v>23</v>
      </c>
      <c r="D63" s="4"/>
      <c r="E63" s="2"/>
      <c r="F63" s="29">
        <f t="shared" si="8"/>
        <v>1502260</v>
      </c>
      <c r="G63" s="29">
        <f t="shared" si="8"/>
        <v>1502260</v>
      </c>
    </row>
    <row r="64" spans="1:7" ht="15.75">
      <c r="A64" s="3" t="s">
        <v>269</v>
      </c>
      <c r="B64" s="4" t="s">
        <v>192</v>
      </c>
      <c r="C64" s="4" t="s">
        <v>23</v>
      </c>
      <c r="D64" s="4" t="s">
        <v>263</v>
      </c>
      <c r="E64" s="4"/>
      <c r="F64" s="29">
        <f t="shared" si="8"/>
        <v>1502260</v>
      </c>
      <c r="G64" s="29">
        <f t="shared" si="8"/>
        <v>1502260</v>
      </c>
    </row>
    <row r="65" spans="1:7" ht="31.5">
      <c r="A65" s="3" t="s">
        <v>281</v>
      </c>
      <c r="B65" s="4" t="s">
        <v>192</v>
      </c>
      <c r="C65" s="4" t="s">
        <v>23</v>
      </c>
      <c r="D65" s="4" t="s">
        <v>263</v>
      </c>
      <c r="E65" s="4" t="s">
        <v>262</v>
      </c>
      <c r="F65" s="29">
        <f>прил6!F517</f>
        <v>1502260</v>
      </c>
      <c r="G65" s="29">
        <f>F65</f>
        <v>1502260</v>
      </c>
    </row>
    <row r="66" spans="1:7" ht="94.5">
      <c r="A66" s="3" t="s">
        <v>30</v>
      </c>
      <c r="B66" s="4" t="s">
        <v>353</v>
      </c>
      <c r="C66" s="4"/>
      <c r="D66" s="4"/>
      <c r="E66" s="2"/>
      <c r="F66" s="29">
        <f aca="true" t="shared" si="9" ref="F66:G68">F67</f>
        <v>294096900</v>
      </c>
      <c r="G66" s="29">
        <f t="shared" si="9"/>
        <v>294096900</v>
      </c>
    </row>
    <row r="67" spans="1:7" ht="63">
      <c r="A67" s="3" t="s">
        <v>330</v>
      </c>
      <c r="B67" s="4" t="s">
        <v>353</v>
      </c>
      <c r="C67" s="4" t="s">
        <v>23</v>
      </c>
      <c r="D67" s="4"/>
      <c r="E67" s="4"/>
      <c r="F67" s="29">
        <f t="shared" si="9"/>
        <v>294096900</v>
      </c>
      <c r="G67" s="29">
        <f t="shared" si="9"/>
        <v>294096900</v>
      </c>
    </row>
    <row r="68" spans="1:7" ht="15.75">
      <c r="A68" s="3" t="s">
        <v>266</v>
      </c>
      <c r="B68" s="4" t="s">
        <v>353</v>
      </c>
      <c r="C68" s="4" t="s">
        <v>23</v>
      </c>
      <c r="D68" s="4" t="s">
        <v>258</v>
      </c>
      <c r="E68" s="4"/>
      <c r="F68" s="29">
        <f t="shared" si="9"/>
        <v>294096900</v>
      </c>
      <c r="G68" s="29">
        <f t="shared" si="9"/>
        <v>294096900</v>
      </c>
    </row>
    <row r="69" spans="1:7" ht="15.75">
      <c r="A69" s="3" t="s">
        <v>268</v>
      </c>
      <c r="B69" s="4" t="s">
        <v>353</v>
      </c>
      <c r="C69" s="4" t="s">
        <v>23</v>
      </c>
      <c r="D69" s="4" t="s">
        <v>258</v>
      </c>
      <c r="E69" s="4" t="s">
        <v>260</v>
      </c>
      <c r="F69" s="29">
        <f>прил6!F363</f>
        <v>294096900</v>
      </c>
      <c r="G69" s="29">
        <f>F69</f>
        <v>294096900</v>
      </c>
    </row>
    <row r="70" spans="1:7" ht="126">
      <c r="A70" s="3" t="s">
        <v>301</v>
      </c>
      <c r="B70" s="4" t="s">
        <v>188</v>
      </c>
      <c r="C70" s="4"/>
      <c r="D70" s="4"/>
      <c r="E70" s="4"/>
      <c r="F70" s="29">
        <f aca="true" t="shared" si="10" ref="F70:G72">F71</f>
        <v>10346800</v>
      </c>
      <c r="G70" s="29">
        <f t="shared" si="10"/>
        <v>10346800</v>
      </c>
    </row>
    <row r="71" spans="1:7" ht="63">
      <c r="A71" s="27" t="s">
        <v>330</v>
      </c>
      <c r="B71" s="4" t="s">
        <v>188</v>
      </c>
      <c r="C71" s="4" t="s">
        <v>23</v>
      </c>
      <c r="D71" s="4"/>
      <c r="E71" s="4"/>
      <c r="F71" s="29">
        <f t="shared" si="10"/>
        <v>10346800</v>
      </c>
      <c r="G71" s="29">
        <f t="shared" si="10"/>
        <v>10346800</v>
      </c>
    </row>
    <row r="72" spans="1:7" ht="15.75">
      <c r="A72" s="3" t="s">
        <v>266</v>
      </c>
      <c r="B72" s="4" t="s">
        <v>188</v>
      </c>
      <c r="C72" s="4" t="s">
        <v>23</v>
      </c>
      <c r="D72" s="4" t="s">
        <v>258</v>
      </c>
      <c r="E72" s="4"/>
      <c r="F72" s="29">
        <f t="shared" si="10"/>
        <v>10346800</v>
      </c>
      <c r="G72" s="29">
        <f t="shared" si="10"/>
        <v>10346800</v>
      </c>
    </row>
    <row r="73" spans="1:7" ht="15.75">
      <c r="A73" s="3" t="s">
        <v>268</v>
      </c>
      <c r="B73" s="4" t="s">
        <v>188</v>
      </c>
      <c r="C73" s="4" t="s">
        <v>23</v>
      </c>
      <c r="D73" s="4" t="s">
        <v>258</v>
      </c>
      <c r="E73" s="4" t="s">
        <v>260</v>
      </c>
      <c r="F73" s="29">
        <f>прил6!F365</f>
        <v>10346800</v>
      </c>
      <c r="G73" s="29">
        <f>F73</f>
        <v>10346800</v>
      </c>
    </row>
    <row r="74" spans="1:10" ht="63">
      <c r="A74" s="3" t="s">
        <v>362</v>
      </c>
      <c r="B74" s="4" t="s">
        <v>363</v>
      </c>
      <c r="C74" s="4"/>
      <c r="D74" s="4"/>
      <c r="E74" s="4"/>
      <c r="F74" s="29">
        <f>F75+F92+F96+F100+F104+F108+F115+F119+F79+F86+F89</f>
        <v>41283112.99999999</v>
      </c>
      <c r="G74" s="29">
        <f>G75+G92+G96+G100+G104+G108+G115+G119+G79+G86+G89</f>
        <v>28759800</v>
      </c>
      <c r="I74" s="26">
        <f>прил6!F31+прил6!F518+прил6!F547-F74</f>
        <v>0</v>
      </c>
      <c r="J74" s="26">
        <f>прил7!G442+прил7!G567+прил7!G585-F74</f>
        <v>0</v>
      </c>
    </row>
    <row r="75" spans="1:7" ht="58.5" customHeight="1">
      <c r="A75" s="21" t="s">
        <v>413</v>
      </c>
      <c r="B75" s="4" t="s">
        <v>438</v>
      </c>
      <c r="C75" s="4"/>
      <c r="D75" s="4"/>
      <c r="E75" s="4"/>
      <c r="F75" s="29">
        <f>F76</f>
        <v>11753736.52</v>
      </c>
      <c r="G75" s="29"/>
    </row>
    <row r="76" spans="1:7" ht="126">
      <c r="A76" s="21" t="s">
        <v>417</v>
      </c>
      <c r="B76" s="4" t="s">
        <v>438</v>
      </c>
      <c r="C76" s="4" t="s">
        <v>18</v>
      </c>
      <c r="D76" s="4"/>
      <c r="E76" s="4"/>
      <c r="F76" s="29">
        <f>F77</f>
        <v>11753736.52</v>
      </c>
      <c r="G76" s="29"/>
    </row>
    <row r="77" spans="1:7" ht="27" customHeight="1">
      <c r="A77" s="3" t="s">
        <v>274</v>
      </c>
      <c r="B77" s="4" t="s">
        <v>438</v>
      </c>
      <c r="C77" s="4" t="s">
        <v>18</v>
      </c>
      <c r="D77" s="4" t="s">
        <v>255</v>
      </c>
      <c r="E77" s="4"/>
      <c r="F77" s="29">
        <f>F78</f>
        <v>11753736.52</v>
      </c>
      <c r="G77" s="29"/>
    </row>
    <row r="78" spans="1:7" ht="126">
      <c r="A78" s="3" t="s">
        <v>12</v>
      </c>
      <c r="B78" s="4" t="s">
        <v>438</v>
      </c>
      <c r="C78" s="4" t="s">
        <v>18</v>
      </c>
      <c r="D78" s="4" t="s">
        <v>255</v>
      </c>
      <c r="E78" s="4" t="s">
        <v>265</v>
      </c>
      <c r="F78" s="29">
        <f>прил6!F33</f>
        <v>11753736.52</v>
      </c>
      <c r="G78" s="29"/>
    </row>
    <row r="79" spans="1:7" ht="47.25">
      <c r="A79" s="21" t="s">
        <v>415</v>
      </c>
      <c r="B79" s="4" t="s">
        <v>439</v>
      </c>
      <c r="C79" s="4"/>
      <c r="D79" s="4"/>
      <c r="E79" s="4"/>
      <c r="F79" s="29">
        <f>F80+F83</f>
        <v>217797.87</v>
      </c>
      <c r="G79" s="29"/>
    </row>
    <row r="80" spans="1:7" ht="126">
      <c r="A80" s="21" t="s">
        <v>417</v>
      </c>
      <c r="B80" s="4" t="s">
        <v>439</v>
      </c>
      <c r="C80" s="4" t="s">
        <v>18</v>
      </c>
      <c r="D80" s="4"/>
      <c r="E80" s="4"/>
      <c r="F80" s="29">
        <f>F81</f>
        <v>55442.87</v>
      </c>
      <c r="G80" s="29"/>
    </row>
    <row r="81" spans="1:7" ht="27.75" customHeight="1">
      <c r="A81" s="3" t="s">
        <v>274</v>
      </c>
      <c r="B81" s="4" t="s">
        <v>439</v>
      </c>
      <c r="C81" s="4" t="s">
        <v>18</v>
      </c>
      <c r="D81" s="4" t="s">
        <v>255</v>
      </c>
      <c r="E81" s="4"/>
      <c r="F81" s="29">
        <f>F82</f>
        <v>55442.87</v>
      </c>
      <c r="G81" s="29"/>
    </row>
    <row r="82" spans="1:7" ht="126">
      <c r="A82" s="3" t="s">
        <v>12</v>
      </c>
      <c r="B82" s="4" t="s">
        <v>439</v>
      </c>
      <c r="C82" s="4" t="s">
        <v>18</v>
      </c>
      <c r="D82" s="4" t="s">
        <v>255</v>
      </c>
      <c r="E82" s="4" t="s">
        <v>265</v>
      </c>
      <c r="F82" s="29">
        <f>прил6!F35</f>
        <v>55442.87</v>
      </c>
      <c r="G82" s="29"/>
    </row>
    <row r="83" spans="1:7" ht="47.25">
      <c r="A83" s="21" t="s">
        <v>306</v>
      </c>
      <c r="B83" s="4" t="s">
        <v>439</v>
      </c>
      <c r="C83" s="4" t="s">
        <v>19</v>
      </c>
      <c r="D83" s="4"/>
      <c r="E83" s="4"/>
      <c r="F83" s="29">
        <f>F84</f>
        <v>162355</v>
      </c>
      <c r="G83" s="29"/>
    </row>
    <row r="84" spans="1:7" ht="27.75" customHeight="1">
      <c r="A84" s="3" t="s">
        <v>274</v>
      </c>
      <c r="B84" s="4" t="s">
        <v>439</v>
      </c>
      <c r="C84" s="4" t="s">
        <v>19</v>
      </c>
      <c r="D84" s="4" t="s">
        <v>255</v>
      </c>
      <c r="E84" s="4"/>
      <c r="F84" s="29">
        <f>F85</f>
        <v>162355</v>
      </c>
      <c r="G84" s="29"/>
    </row>
    <row r="85" spans="1:7" ht="126">
      <c r="A85" s="3" t="s">
        <v>12</v>
      </c>
      <c r="B85" s="4" t="s">
        <v>439</v>
      </c>
      <c r="C85" s="4" t="s">
        <v>19</v>
      </c>
      <c r="D85" s="4" t="s">
        <v>255</v>
      </c>
      <c r="E85" s="4" t="s">
        <v>265</v>
      </c>
      <c r="F85" s="29">
        <f>прил6!F36</f>
        <v>162355</v>
      </c>
      <c r="G85" s="29"/>
    </row>
    <row r="86" spans="1:7" ht="126">
      <c r="A86" s="21" t="s">
        <v>437</v>
      </c>
      <c r="B86" s="4" t="s">
        <v>440</v>
      </c>
      <c r="C86" s="4"/>
      <c r="D86" s="4"/>
      <c r="E86" s="4"/>
      <c r="F86" s="29">
        <f>F87</f>
        <v>437810.65</v>
      </c>
      <c r="G86" s="29"/>
    </row>
    <row r="87" spans="1:7" ht="15.75">
      <c r="A87" s="3" t="s">
        <v>274</v>
      </c>
      <c r="B87" s="4" t="s">
        <v>440</v>
      </c>
      <c r="C87" s="4" t="s">
        <v>18</v>
      </c>
      <c r="D87" s="4" t="s">
        <v>255</v>
      </c>
      <c r="E87" s="4"/>
      <c r="F87" s="29">
        <f>F88</f>
        <v>437810.65</v>
      </c>
      <c r="G87" s="29"/>
    </row>
    <row r="88" spans="1:7" ht="126">
      <c r="A88" s="3" t="s">
        <v>12</v>
      </c>
      <c r="B88" s="4" t="s">
        <v>440</v>
      </c>
      <c r="C88" s="4" t="s">
        <v>18</v>
      </c>
      <c r="D88" s="4" t="s">
        <v>255</v>
      </c>
      <c r="E88" s="4" t="s">
        <v>265</v>
      </c>
      <c r="F88" s="29">
        <f>прил6!F38</f>
        <v>437810.65</v>
      </c>
      <c r="G88" s="29"/>
    </row>
    <row r="89" spans="1:7" ht="110.25">
      <c r="A89" s="21" t="s">
        <v>409</v>
      </c>
      <c r="B89" s="4" t="s">
        <v>441</v>
      </c>
      <c r="C89" s="4"/>
      <c r="D89" s="4"/>
      <c r="E89" s="4"/>
      <c r="F89" s="29">
        <f>F90</f>
        <v>113967.95999999999</v>
      </c>
      <c r="G89" s="29"/>
    </row>
    <row r="90" spans="1:7" ht="15.75">
      <c r="A90" s="3" t="s">
        <v>274</v>
      </c>
      <c r="B90" s="4" t="s">
        <v>441</v>
      </c>
      <c r="C90" s="4" t="s">
        <v>18</v>
      </c>
      <c r="D90" s="4" t="s">
        <v>255</v>
      </c>
      <c r="E90" s="4"/>
      <c r="F90" s="29">
        <f>F91</f>
        <v>113967.95999999999</v>
      </c>
      <c r="G90" s="29"/>
    </row>
    <row r="91" spans="1:7" ht="126">
      <c r="A91" s="3" t="s">
        <v>12</v>
      </c>
      <c r="B91" s="4" t="s">
        <v>441</v>
      </c>
      <c r="C91" s="4" t="s">
        <v>18</v>
      </c>
      <c r="D91" s="4" t="s">
        <v>255</v>
      </c>
      <c r="E91" s="4" t="s">
        <v>265</v>
      </c>
      <c r="F91" s="29">
        <f>прил6!F40</f>
        <v>113967.95999999999</v>
      </c>
      <c r="G91" s="29"/>
    </row>
    <row r="92" spans="1:7" ht="126">
      <c r="A92" s="21" t="s">
        <v>364</v>
      </c>
      <c r="B92" s="4" t="s">
        <v>365</v>
      </c>
      <c r="C92" s="4"/>
      <c r="D92" s="4"/>
      <c r="E92" s="4"/>
      <c r="F92" s="29">
        <f aca="true" t="shared" si="11" ref="F92:G94">F93</f>
        <v>1853600</v>
      </c>
      <c r="G92" s="29">
        <f t="shared" si="11"/>
        <v>1853600</v>
      </c>
    </row>
    <row r="93" spans="1:7" ht="31.5">
      <c r="A93" s="3" t="s">
        <v>239</v>
      </c>
      <c r="B93" s="4" t="s">
        <v>365</v>
      </c>
      <c r="C93" s="4" t="s">
        <v>240</v>
      </c>
      <c r="D93" s="4"/>
      <c r="E93" s="4"/>
      <c r="F93" s="29">
        <f t="shared" si="11"/>
        <v>1853600</v>
      </c>
      <c r="G93" s="29">
        <f t="shared" si="11"/>
        <v>1853600</v>
      </c>
    </row>
    <row r="94" spans="1:7" ht="15.75">
      <c r="A94" s="3" t="s">
        <v>269</v>
      </c>
      <c r="B94" s="4" t="s">
        <v>365</v>
      </c>
      <c r="C94" s="4" t="s">
        <v>240</v>
      </c>
      <c r="D94" s="4" t="s">
        <v>263</v>
      </c>
      <c r="E94" s="4"/>
      <c r="F94" s="29">
        <f t="shared" si="11"/>
        <v>1853600</v>
      </c>
      <c r="G94" s="29">
        <f t="shared" si="11"/>
        <v>1853600</v>
      </c>
    </row>
    <row r="95" spans="1:7" ht="31.5">
      <c r="A95" s="3" t="s">
        <v>281</v>
      </c>
      <c r="B95" s="4" t="s">
        <v>365</v>
      </c>
      <c r="C95" s="4" t="s">
        <v>240</v>
      </c>
      <c r="D95" s="4" t="s">
        <v>263</v>
      </c>
      <c r="E95" s="4" t="s">
        <v>262</v>
      </c>
      <c r="F95" s="29">
        <f>прил6!F520</f>
        <v>1853600</v>
      </c>
      <c r="G95" s="29">
        <f>F95</f>
        <v>1853600</v>
      </c>
    </row>
    <row r="96" spans="1:7" ht="141.75">
      <c r="A96" s="3" t="s">
        <v>366</v>
      </c>
      <c r="B96" s="4" t="s">
        <v>367</v>
      </c>
      <c r="C96" s="4"/>
      <c r="D96" s="4"/>
      <c r="E96" s="4"/>
      <c r="F96" s="29">
        <f aca="true" t="shared" si="12" ref="F96:G98">F97</f>
        <v>22700</v>
      </c>
      <c r="G96" s="29">
        <f t="shared" si="12"/>
        <v>22700</v>
      </c>
    </row>
    <row r="97" spans="1:7" ht="126">
      <c r="A97" s="3" t="s">
        <v>305</v>
      </c>
      <c r="B97" s="4" t="s">
        <v>367</v>
      </c>
      <c r="C97" s="4" t="s">
        <v>18</v>
      </c>
      <c r="D97" s="4"/>
      <c r="E97" s="4"/>
      <c r="F97" s="29">
        <f t="shared" si="12"/>
        <v>22700</v>
      </c>
      <c r="G97" s="29">
        <f t="shared" si="12"/>
        <v>22700</v>
      </c>
    </row>
    <row r="98" spans="1:7" ht="15.75">
      <c r="A98" s="3" t="s">
        <v>269</v>
      </c>
      <c r="B98" s="4" t="s">
        <v>367</v>
      </c>
      <c r="C98" s="4" t="s">
        <v>18</v>
      </c>
      <c r="D98" s="4" t="s">
        <v>263</v>
      </c>
      <c r="E98" s="4"/>
      <c r="F98" s="29">
        <f t="shared" si="12"/>
        <v>22700</v>
      </c>
      <c r="G98" s="29">
        <f t="shared" si="12"/>
        <v>22700</v>
      </c>
    </row>
    <row r="99" spans="1:7" ht="31.5">
      <c r="A99" s="3" t="s">
        <v>281</v>
      </c>
      <c r="B99" s="4" t="s">
        <v>367</v>
      </c>
      <c r="C99" s="4" t="s">
        <v>18</v>
      </c>
      <c r="D99" s="4" t="s">
        <v>263</v>
      </c>
      <c r="E99" s="4" t="s">
        <v>262</v>
      </c>
      <c r="F99" s="29">
        <f>прил6!F522</f>
        <v>22700</v>
      </c>
      <c r="G99" s="29">
        <f>F99</f>
        <v>22700</v>
      </c>
    </row>
    <row r="100" spans="1:7" ht="252">
      <c r="A100" s="27" t="s">
        <v>40</v>
      </c>
      <c r="B100" s="4" t="s">
        <v>41</v>
      </c>
      <c r="C100" s="4"/>
      <c r="D100" s="4"/>
      <c r="E100" s="4"/>
      <c r="F100" s="29">
        <f aca="true" t="shared" si="13" ref="F100:G102">F101</f>
        <v>131600</v>
      </c>
      <c r="G100" s="29">
        <f t="shared" si="13"/>
        <v>131600</v>
      </c>
    </row>
    <row r="101" spans="1:7" ht="31.5">
      <c r="A101" s="3" t="s">
        <v>239</v>
      </c>
      <c r="B101" s="4" t="s">
        <v>41</v>
      </c>
      <c r="C101" s="4" t="s">
        <v>240</v>
      </c>
      <c r="D101" s="4"/>
      <c r="E101" s="4"/>
      <c r="F101" s="29">
        <f t="shared" si="13"/>
        <v>131600</v>
      </c>
      <c r="G101" s="29">
        <f t="shared" si="13"/>
        <v>131600</v>
      </c>
    </row>
    <row r="102" spans="1:7" ht="15.75">
      <c r="A102" s="3" t="s">
        <v>269</v>
      </c>
      <c r="B102" s="4" t="s">
        <v>41</v>
      </c>
      <c r="C102" s="4" t="s">
        <v>240</v>
      </c>
      <c r="D102" s="4" t="s">
        <v>263</v>
      </c>
      <c r="E102" s="4"/>
      <c r="F102" s="29">
        <f t="shared" si="13"/>
        <v>131600</v>
      </c>
      <c r="G102" s="29">
        <f t="shared" si="13"/>
        <v>131600</v>
      </c>
    </row>
    <row r="103" spans="1:7" ht="31.5">
      <c r="A103" s="3" t="s">
        <v>281</v>
      </c>
      <c r="B103" s="4" t="s">
        <v>41</v>
      </c>
      <c r="C103" s="4" t="s">
        <v>240</v>
      </c>
      <c r="D103" s="4" t="s">
        <v>263</v>
      </c>
      <c r="E103" s="4" t="s">
        <v>262</v>
      </c>
      <c r="F103" s="29">
        <f>прил6!F524</f>
        <v>131600</v>
      </c>
      <c r="G103" s="29">
        <f>F103</f>
        <v>131600</v>
      </c>
    </row>
    <row r="104" spans="1:7" ht="173.25">
      <c r="A104" s="3" t="s">
        <v>42</v>
      </c>
      <c r="B104" s="4" t="s">
        <v>43</v>
      </c>
      <c r="C104" s="4"/>
      <c r="D104" s="4"/>
      <c r="E104" s="4"/>
      <c r="F104" s="29">
        <f aca="true" t="shared" si="14" ref="F104:G106">F105</f>
        <v>418700</v>
      </c>
      <c r="G104" s="29">
        <f t="shared" si="14"/>
        <v>418700</v>
      </c>
    </row>
    <row r="105" spans="1:7" ht="31.5">
      <c r="A105" s="3" t="s">
        <v>239</v>
      </c>
      <c r="B105" s="4" t="s">
        <v>43</v>
      </c>
      <c r="C105" s="4" t="s">
        <v>240</v>
      </c>
      <c r="D105" s="4"/>
      <c r="E105" s="4"/>
      <c r="F105" s="29">
        <f t="shared" si="14"/>
        <v>418700</v>
      </c>
      <c r="G105" s="29">
        <f t="shared" si="14"/>
        <v>418700</v>
      </c>
    </row>
    <row r="106" spans="1:7" ht="15.75">
      <c r="A106" s="3" t="s">
        <v>269</v>
      </c>
      <c r="B106" s="4" t="s">
        <v>43</v>
      </c>
      <c r="C106" s="4" t="s">
        <v>240</v>
      </c>
      <c r="D106" s="4" t="s">
        <v>263</v>
      </c>
      <c r="E106" s="4"/>
      <c r="F106" s="29">
        <f t="shared" si="14"/>
        <v>418700</v>
      </c>
      <c r="G106" s="29">
        <f t="shared" si="14"/>
        <v>418700</v>
      </c>
    </row>
    <row r="107" spans="1:7" ht="31.5">
      <c r="A107" s="3" t="s">
        <v>281</v>
      </c>
      <c r="B107" s="4" t="s">
        <v>43</v>
      </c>
      <c r="C107" s="4" t="s">
        <v>240</v>
      </c>
      <c r="D107" s="4" t="s">
        <v>263</v>
      </c>
      <c r="E107" s="4" t="s">
        <v>262</v>
      </c>
      <c r="F107" s="29">
        <f>прил6!F526</f>
        <v>418700</v>
      </c>
      <c r="G107" s="29">
        <f>F107</f>
        <v>418700</v>
      </c>
    </row>
    <row r="108" spans="1:7" ht="94.5">
      <c r="A108" s="59" t="s">
        <v>368</v>
      </c>
      <c r="B108" s="4" t="s">
        <v>369</v>
      </c>
      <c r="C108" s="4"/>
      <c r="D108" s="4"/>
      <c r="E108" s="4"/>
      <c r="F108" s="29">
        <f>F109+F112</f>
        <v>21476900</v>
      </c>
      <c r="G108" s="29">
        <f>G109+G112</f>
        <v>21476900</v>
      </c>
    </row>
    <row r="109" spans="1:7" ht="47.25">
      <c r="A109" s="3" t="s">
        <v>306</v>
      </c>
      <c r="B109" s="4" t="s">
        <v>369</v>
      </c>
      <c r="C109" s="4" t="s">
        <v>19</v>
      </c>
      <c r="D109" s="4"/>
      <c r="E109" s="4"/>
      <c r="F109" s="29">
        <f>F110</f>
        <v>7602000</v>
      </c>
      <c r="G109" s="29">
        <f>G110</f>
        <v>7602000</v>
      </c>
    </row>
    <row r="110" spans="1:7" ht="15.75">
      <c r="A110" s="3" t="s">
        <v>269</v>
      </c>
      <c r="B110" s="4" t="s">
        <v>369</v>
      </c>
      <c r="C110" s="4" t="s">
        <v>19</v>
      </c>
      <c r="D110" s="4" t="s">
        <v>263</v>
      </c>
      <c r="E110" s="4"/>
      <c r="F110" s="29">
        <f>F111</f>
        <v>7602000</v>
      </c>
      <c r="G110" s="29">
        <f>G111</f>
        <v>7602000</v>
      </c>
    </row>
    <row r="111" spans="1:7" ht="15.75">
      <c r="A111" s="3" t="s">
        <v>295</v>
      </c>
      <c r="B111" s="4" t="s">
        <v>369</v>
      </c>
      <c r="C111" s="4" t="s">
        <v>19</v>
      </c>
      <c r="D111" s="4" t="s">
        <v>263</v>
      </c>
      <c r="E111" s="4" t="s">
        <v>265</v>
      </c>
      <c r="F111" s="29">
        <f>прил6!F549</f>
        <v>7602000</v>
      </c>
      <c r="G111" s="29">
        <f>F111</f>
        <v>7602000</v>
      </c>
    </row>
    <row r="112" spans="1:7" ht="31.5">
      <c r="A112" s="3" t="s">
        <v>239</v>
      </c>
      <c r="B112" s="4" t="s">
        <v>369</v>
      </c>
      <c r="C112" s="4" t="s">
        <v>240</v>
      </c>
      <c r="D112" s="4"/>
      <c r="E112" s="4"/>
      <c r="F112" s="29">
        <f>F113</f>
        <v>13874900</v>
      </c>
      <c r="G112" s="29">
        <f>G113</f>
        <v>13874900</v>
      </c>
    </row>
    <row r="113" spans="1:7" ht="15.75">
      <c r="A113" s="3" t="s">
        <v>269</v>
      </c>
      <c r="B113" s="4" t="s">
        <v>369</v>
      </c>
      <c r="C113" s="4" t="s">
        <v>240</v>
      </c>
      <c r="D113" s="4" t="s">
        <v>263</v>
      </c>
      <c r="E113" s="4"/>
      <c r="F113" s="29">
        <f>F114</f>
        <v>13874900</v>
      </c>
      <c r="G113" s="29">
        <f>G114</f>
        <v>13874900</v>
      </c>
    </row>
    <row r="114" spans="1:7" ht="15.75">
      <c r="A114" s="3" t="s">
        <v>295</v>
      </c>
      <c r="B114" s="4" t="s">
        <v>369</v>
      </c>
      <c r="C114" s="4" t="s">
        <v>240</v>
      </c>
      <c r="D114" s="4" t="s">
        <v>263</v>
      </c>
      <c r="E114" s="4" t="s">
        <v>265</v>
      </c>
      <c r="F114" s="29">
        <f>прил6!F550</f>
        <v>13874900</v>
      </c>
      <c r="G114" s="29">
        <f>F114</f>
        <v>13874900</v>
      </c>
    </row>
    <row r="115" spans="1:7" ht="141.75">
      <c r="A115" s="49" t="s">
        <v>167</v>
      </c>
      <c r="B115" s="4" t="s">
        <v>370</v>
      </c>
      <c r="C115" s="4"/>
      <c r="D115" s="4"/>
      <c r="E115" s="4"/>
      <c r="F115" s="29">
        <f aca="true" t="shared" si="15" ref="F115:G117">F116</f>
        <v>591300</v>
      </c>
      <c r="G115" s="29">
        <f t="shared" si="15"/>
        <v>591300</v>
      </c>
    </row>
    <row r="116" spans="1:7" ht="47.25">
      <c r="A116" s="3" t="s">
        <v>306</v>
      </c>
      <c r="B116" s="4" t="s">
        <v>370</v>
      </c>
      <c r="C116" s="4" t="s">
        <v>19</v>
      </c>
      <c r="D116" s="4"/>
      <c r="E116" s="4"/>
      <c r="F116" s="29">
        <f t="shared" si="15"/>
        <v>591300</v>
      </c>
      <c r="G116" s="29">
        <f t="shared" si="15"/>
        <v>591300</v>
      </c>
    </row>
    <row r="117" spans="1:7" ht="15.75">
      <c r="A117" s="3" t="s">
        <v>269</v>
      </c>
      <c r="B117" s="4" t="s">
        <v>370</v>
      </c>
      <c r="C117" s="4" t="s">
        <v>19</v>
      </c>
      <c r="D117" s="4" t="s">
        <v>263</v>
      </c>
      <c r="E117" s="4"/>
      <c r="F117" s="29">
        <f t="shared" si="15"/>
        <v>591300</v>
      </c>
      <c r="G117" s="29">
        <f t="shared" si="15"/>
        <v>591300</v>
      </c>
    </row>
    <row r="118" spans="1:7" ht="15.75">
      <c r="A118" s="3" t="s">
        <v>295</v>
      </c>
      <c r="B118" s="4" t="s">
        <v>370</v>
      </c>
      <c r="C118" s="4" t="s">
        <v>19</v>
      </c>
      <c r="D118" s="4" t="s">
        <v>263</v>
      </c>
      <c r="E118" s="4" t="s">
        <v>265</v>
      </c>
      <c r="F118" s="29">
        <f>прил6!F552</f>
        <v>591300</v>
      </c>
      <c r="G118" s="29">
        <f>F118</f>
        <v>591300</v>
      </c>
    </row>
    <row r="119" spans="1:7" ht="157.5">
      <c r="A119" s="27" t="s">
        <v>233</v>
      </c>
      <c r="B119" s="4" t="s">
        <v>189</v>
      </c>
      <c r="C119" s="4"/>
      <c r="D119" s="4"/>
      <c r="E119" s="4"/>
      <c r="F119" s="29">
        <f>F120+F123</f>
        <v>4265000</v>
      </c>
      <c r="G119" s="29">
        <f>G120+G123</f>
        <v>4265000</v>
      </c>
    </row>
    <row r="120" spans="1:7" ht="126">
      <c r="A120" s="3" t="s">
        <v>305</v>
      </c>
      <c r="B120" s="4" t="s">
        <v>189</v>
      </c>
      <c r="C120" s="4" t="s">
        <v>18</v>
      </c>
      <c r="D120" s="4"/>
      <c r="E120" s="4"/>
      <c r="F120" s="29">
        <f>F121</f>
        <v>3550873.5</v>
      </c>
      <c r="G120" s="29">
        <f>G121</f>
        <v>3550873.5</v>
      </c>
    </row>
    <row r="121" spans="1:7" ht="15.75">
      <c r="A121" s="3" t="s">
        <v>269</v>
      </c>
      <c r="B121" s="4" t="s">
        <v>189</v>
      </c>
      <c r="C121" s="4" t="s">
        <v>18</v>
      </c>
      <c r="D121" s="4" t="s">
        <v>263</v>
      </c>
      <c r="E121" s="4"/>
      <c r="F121" s="29">
        <f>F122</f>
        <v>3550873.5</v>
      </c>
      <c r="G121" s="29">
        <f>G122</f>
        <v>3550873.5</v>
      </c>
    </row>
    <row r="122" spans="1:7" ht="15.75">
      <c r="A122" s="3" t="s">
        <v>295</v>
      </c>
      <c r="B122" s="4" t="s">
        <v>189</v>
      </c>
      <c r="C122" s="4" t="s">
        <v>18</v>
      </c>
      <c r="D122" s="4" t="s">
        <v>263</v>
      </c>
      <c r="E122" s="4" t="s">
        <v>265</v>
      </c>
      <c r="F122" s="29">
        <f>прил6!F554</f>
        <v>3550873.5</v>
      </c>
      <c r="G122" s="29">
        <f>F122</f>
        <v>3550873.5</v>
      </c>
    </row>
    <row r="123" spans="1:7" ht="47.25">
      <c r="A123" s="3" t="s">
        <v>306</v>
      </c>
      <c r="B123" s="4" t="s">
        <v>189</v>
      </c>
      <c r="C123" s="4" t="s">
        <v>19</v>
      </c>
      <c r="D123" s="4"/>
      <c r="E123" s="4"/>
      <c r="F123" s="29">
        <f>F124</f>
        <v>714126.5</v>
      </c>
      <c r="G123" s="29">
        <f>G124</f>
        <v>714126.5</v>
      </c>
    </row>
    <row r="124" spans="1:7" ht="15.75">
      <c r="A124" s="3" t="s">
        <v>269</v>
      </c>
      <c r="B124" s="4" t="s">
        <v>189</v>
      </c>
      <c r="C124" s="4" t="s">
        <v>19</v>
      </c>
      <c r="D124" s="4" t="s">
        <v>263</v>
      </c>
      <c r="E124" s="4"/>
      <c r="F124" s="29">
        <f>F125</f>
        <v>714126.5</v>
      </c>
      <c r="G124" s="29">
        <f>G125</f>
        <v>714126.5</v>
      </c>
    </row>
    <row r="125" spans="1:7" ht="15.75">
      <c r="A125" s="3" t="s">
        <v>295</v>
      </c>
      <c r="B125" s="4" t="s">
        <v>189</v>
      </c>
      <c r="C125" s="4" t="s">
        <v>19</v>
      </c>
      <c r="D125" s="4" t="s">
        <v>263</v>
      </c>
      <c r="E125" s="4" t="s">
        <v>265</v>
      </c>
      <c r="F125" s="29">
        <f>прил6!F555</f>
        <v>714126.5</v>
      </c>
      <c r="G125" s="29">
        <f>F125</f>
        <v>714126.5</v>
      </c>
    </row>
    <row r="126" spans="1:10" ht="78.75">
      <c r="A126" s="3" t="s">
        <v>212</v>
      </c>
      <c r="B126" s="4" t="s">
        <v>213</v>
      </c>
      <c r="C126" s="4"/>
      <c r="D126" s="4"/>
      <c r="E126" s="4"/>
      <c r="F126" s="29">
        <f>F127</f>
        <v>23839977</v>
      </c>
      <c r="G126" s="29"/>
      <c r="I126" s="26">
        <f>прил6!F427-F126</f>
        <v>0</v>
      </c>
      <c r="J126" s="26">
        <f>прил7!G528-F126</f>
        <v>0</v>
      </c>
    </row>
    <row r="127" spans="1:7" ht="110.25">
      <c r="A127" s="3" t="s">
        <v>209</v>
      </c>
      <c r="B127" s="4" t="s">
        <v>214</v>
      </c>
      <c r="C127" s="4"/>
      <c r="D127" s="4"/>
      <c r="E127" s="4"/>
      <c r="F127" s="29">
        <f>F128</f>
        <v>23839977</v>
      </c>
      <c r="G127" s="29"/>
    </row>
    <row r="128" spans="1:7" ht="63">
      <c r="A128" s="3" t="s">
        <v>330</v>
      </c>
      <c r="B128" s="4" t="s">
        <v>214</v>
      </c>
      <c r="C128" s="4" t="s">
        <v>23</v>
      </c>
      <c r="D128" s="4"/>
      <c r="E128" s="4"/>
      <c r="F128" s="29">
        <f>F129</f>
        <v>23839977</v>
      </c>
      <c r="G128" s="29"/>
    </row>
    <row r="129" spans="1:7" ht="15.75">
      <c r="A129" s="3" t="s">
        <v>266</v>
      </c>
      <c r="B129" s="4" t="s">
        <v>214</v>
      </c>
      <c r="C129" s="4" t="s">
        <v>23</v>
      </c>
      <c r="D129" s="4" t="s">
        <v>258</v>
      </c>
      <c r="E129" s="4"/>
      <c r="F129" s="29">
        <f>F130</f>
        <v>23839977</v>
      </c>
      <c r="G129" s="29"/>
    </row>
    <row r="130" spans="1:7" ht="31.5">
      <c r="A130" s="3" t="s">
        <v>279</v>
      </c>
      <c r="B130" s="4" t="s">
        <v>214</v>
      </c>
      <c r="C130" s="4" t="s">
        <v>23</v>
      </c>
      <c r="D130" s="4" t="s">
        <v>258</v>
      </c>
      <c r="E130" s="4" t="s">
        <v>261</v>
      </c>
      <c r="F130" s="29">
        <f>прил6!F429</f>
        <v>23839977</v>
      </c>
      <c r="G130" s="29"/>
    </row>
    <row r="131" spans="1:10" ht="78.75">
      <c r="A131" s="3" t="s">
        <v>215</v>
      </c>
      <c r="B131" s="4" t="s">
        <v>216</v>
      </c>
      <c r="C131" s="4"/>
      <c r="D131" s="4"/>
      <c r="E131" s="4"/>
      <c r="F131" s="29">
        <f>F132</f>
        <v>28400869</v>
      </c>
      <c r="G131" s="33"/>
      <c r="J131" s="26">
        <f>прил7!G531-F131</f>
        <v>0</v>
      </c>
    </row>
    <row r="132" spans="1:7" ht="110.25">
      <c r="A132" s="3" t="s">
        <v>209</v>
      </c>
      <c r="B132" s="4" t="s">
        <v>217</v>
      </c>
      <c r="C132" s="4"/>
      <c r="D132" s="4"/>
      <c r="E132" s="4"/>
      <c r="F132" s="29">
        <f>F133</f>
        <v>28400869</v>
      </c>
      <c r="G132" s="29"/>
    </row>
    <row r="133" spans="1:7" ht="63">
      <c r="A133" s="3" t="s">
        <v>330</v>
      </c>
      <c r="B133" s="4" t="s">
        <v>217</v>
      </c>
      <c r="C133" s="4" t="s">
        <v>23</v>
      </c>
      <c r="D133" s="4"/>
      <c r="E133" s="4"/>
      <c r="F133" s="29">
        <f>F134</f>
        <v>28400869</v>
      </c>
      <c r="G133" s="29"/>
    </row>
    <row r="134" spans="1:7" ht="15.75">
      <c r="A134" s="3" t="s">
        <v>266</v>
      </c>
      <c r="B134" s="4" t="s">
        <v>217</v>
      </c>
      <c r="C134" s="4" t="s">
        <v>23</v>
      </c>
      <c r="D134" s="4" t="s">
        <v>258</v>
      </c>
      <c r="E134" s="4"/>
      <c r="F134" s="29">
        <f>F135</f>
        <v>28400869</v>
      </c>
      <c r="G134" s="29"/>
    </row>
    <row r="135" spans="1:7" ht="31.5">
      <c r="A135" s="3" t="s">
        <v>279</v>
      </c>
      <c r="B135" s="4" t="s">
        <v>217</v>
      </c>
      <c r="C135" s="4" t="s">
        <v>23</v>
      </c>
      <c r="D135" s="4" t="s">
        <v>258</v>
      </c>
      <c r="E135" s="4" t="s">
        <v>261</v>
      </c>
      <c r="F135" s="29">
        <f>прил6!F432</f>
        <v>28400869</v>
      </c>
      <c r="G135" s="29"/>
    </row>
    <row r="136" spans="1:10" ht="31.5">
      <c r="A136" s="3" t="s">
        <v>333</v>
      </c>
      <c r="B136" s="4" t="s">
        <v>335</v>
      </c>
      <c r="C136" s="4"/>
      <c r="D136" s="4"/>
      <c r="E136" s="4"/>
      <c r="F136" s="29">
        <f>F137+F141+F145</f>
        <v>22100994</v>
      </c>
      <c r="G136" s="29">
        <f>G137+G141+G145</f>
        <v>16180900</v>
      </c>
      <c r="J136" s="26">
        <f>прил7!G534+прил7!G518-F136</f>
        <v>12783339</v>
      </c>
    </row>
    <row r="137" spans="1:7" ht="110.25">
      <c r="A137" s="3" t="s">
        <v>209</v>
      </c>
      <c r="B137" s="4" t="s">
        <v>218</v>
      </c>
      <c r="C137" s="4"/>
      <c r="D137" s="4"/>
      <c r="E137" s="4"/>
      <c r="F137" s="29">
        <f>F138</f>
        <v>5920094</v>
      </c>
      <c r="G137" s="29"/>
    </row>
    <row r="138" spans="1:7" ht="63">
      <c r="A138" s="3" t="s">
        <v>330</v>
      </c>
      <c r="B138" s="4" t="s">
        <v>218</v>
      </c>
      <c r="C138" s="4" t="s">
        <v>23</v>
      </c>
      <c r="D138" s="4"/>
      <c r="E138" s="4"/>
      <c r="F138" s="29">
        <f>F139</f>
        <v>5920094</v>
      </c>
      <c r="G138" s="29"/>
    </row>
    <row r="139" spans="1:7" ht="15.75">
      <c r="A139" s="3" t="s">
        <v>266</v>
      </c>
      <c r="B139" s="4" t="s">
        <v>218</v>
      </c>
      <c r="C139" s="4" t="s">
        <v>23</v>
      </c>
      <c r="D139" s="4" t="s">
        <v>258</v>
      </c>
      <c r="E139" s="4"/>
      <c r="F139" s="29">
        <f>F140</f>
        <v>5920094</v>
      </c>
      <c r="G139" s="29"/>
    </row>
    <row r="140" spans="1:7" ht="31.5">
      <c r="A140" s="3" t="s">
        <v>279</v>
      </c>
      <c r="B140" s="4" t="s">
        <v>218</v>
      </c>
      <c r="C140" s="4" t="s">
        <v>23</v>
      </c>
      <c r="D140" s="4" t="s">
        <v>258</v>
      </c>
      <c r="E140" s="4" t="s">
        <v>261</v>
      </c>
      <c r="F140" s="29">
        <f>прил6!F435</f>
        <v>5920094</v>
      </c>
      <c r="G140" s="33"/>
    </row>
    <row r="141" spans="1:7" ht="126">
      <c r="A141" s="3" t="s">
        <v>170</v>
      </c>
      <c r="B141" s="4" t="s">
        <v>334</v>
      </c>
      <c r="C141" s="4"/>
      <c r="D141" s="4"/>
      <c r="E141" s="4"/>
      <c r="F141" s="29">
        <f aca="true" t="shared" si="16" ref="F141:G143">F142</f>
        <v>905200</v>
      </c>
      <c r="G141" s="29">
        <f t="shared" si="16"/>
        <v>905200</v>
      </c>
    </row>
    <row r="142" spans="1:7" ht="63">
      <c r="A142" s="3" t="s">
        <v>330</v>
      </c>
      <c r="B142" s="4" t="s">
        <v>334</v>
      </c>
      <c r="C142" s="4" t="s">
        <v>23</v>
      </c>
      <c r="D142" s="4"/>
      <c r="E142" s="4"/>
      <c r="F142" s="29">
        <f t="shared" si="16"/>
        <v>905200</v>
      </c>
      <c r="G142" s="29">
        <f t="shared" si="16"/>
        <v>905200</v>
      </c>
    </row>
    <row r="143" spans="1:7" ht="15.75">
      <c r="A143" s="3" t="s">
        <v>266</v>
      </c>
      <c r="B143" s="4" t="s">
        <v>334</v>
      </c>
      <c r="C143" s="4" t="s">
        <v>23</v>
      </c>
      <c r="D143" s="4" t="s">
        <v>258</v>
      </c>
      <c r="E143" s="4"/>
      <c r="F143" s="29">
        <f t="shared" si="16"/>
        <v>905200</v>
      </c>
      <c r="G143" s="29">
        <f t="shared" si="16"/>
        <v>905200</v>
      </c>
    </row>
    <row r="144" spans="1:7" ht="31.5">
      <c r="A144" s="3" t="s">
        <v>279</v>
      </c>
      <c r="B144" s="4" t="s">
        <v>334</v>
      </c>
      <c r="C144" s="4" t="s">
        <v>23</v>
      </c>
      <c r="D144" s="4" t="s">
        <v>258</v>
      </c>
      <c r="E144" s="4" t="s">
        <v>261</v>
      </c>
      <c r="F144" s="29">
        <f>прил6!F437</f>
        <v>905200</v>
      </c>
      <c r="G144" s="29">
        <f>F144</f>
        <v>905200</v>
      </c>
    </row>
    <row r="145" spans="1:7" ht="47.25">
      <c r="A145" s="3" t="s">
        <v>294</v>
      </c>
      <c r="B145" s="4" t="s">
        <v>361</v>
      </c>
      <c r="C145" s="4"/>
      <c r="D145" s="4"/>
      <c r="E145" s="4"/>
      <c r="F145" s="29">
        <f aca="true" t="shared" si="17" ref="F145:G147">F146</f>
        <v>15275700</v>
      </c>
      <c r="G145" s="29">
        <f t="shared" si="17"/>
        <v>15275700</v>
      </c>
    </row>
    <row r="146" spans="1:7" ht="63">
      <c r="A146" s="3" t="s">
        <v>330</v>
      </c>
      <c r="B146" s="4" t="s">
        <v>361</v>
      </c>
      <c r="C146" s="4" t="s">
        <v>23</v>
      </c>
      <c r="D146" s="4"/>
      <c r="E146" s="4"/>
      <c r="F146" s="29">
        <f t="shared" si="17"/>
        <v>15275700</v>
      </c>
      <c r="G146" s="29">
        <f t="shared" si="17"/>
        <v>15275700</v>
      </c>
    </row>
    <row r="147" spans="1:7" ht="15.75">
      <c r="A147" s="3" t="s">
        <v>266</v>
      </c>
      <c r="B147" s="4" t="s">
        <v>361</v>
      </c>
      <c r="C147" s="4" t="s">
        <v>23</v>
      </c>
      <c r="D147" s="4" t="s">
        <v>258</v>
      </c>
      <c r="E147" s="4"/>
      <c r="F147" s="29">
        <f t="shared" si="17"/>
        <v>15275700</v>
      </c>
      <c r="G147" s="29">
        <f t="shared" si="17"/>
        <v>15275700</v>
      </c>
    </row>
    <row r="148" spans="1:7" ht="31.5">
      <c r="A148" s="3" t="s">
        <v>279</v>
      </c>
      <c r="B148" s="4" t="s">
        <v>361</v>
      </c>
      <c r="C148" s="4" t="s">
        <v>23</v>
      </c>
      <c r="D148" s="4" t="s">
        <v>258</v>
      </c>
      <c r="E148" s="4" t="s">
        <v>261</v>
      </c>
      <c r="F148" s="29">
        <f>прил6!F439</f>
        <v>15275700</v>
      </c>
      <c r="G148" s="29">
        <f>F148</f>
        <v>15275700</v>
      </c>
    </row>
    <row r="149" spans="1:10" ht="63">
      <c r="A149" s="3" t="s">
        <v>219</v>
      </c>
      <c r="B149" s="4" t="s">
        <v>220</v>
      </c>
      <c r="C149" s="4"/>
      <c r="D149" s="4"/>
      <c r="E149" s="4"/>
      <c r="F149" s="29">
        <f>F154+F150</f>
        <v>12783339</v>
      </c>
      <c r="G149" s="29">
        <f>G154+G150</f>
        <v>3072400</v>
      </c>
      <c r="J149" s="26" t="e">
        <f>прил7!#REF!-F149</f>
        <v>#REF!</v>
      </c>
    </row>
    <row r="150" spans="1:10" ht="94.5">
      <c r="A150" s="3" t="s">
        <v>238</v>
      </c>
      <c r="B150" s="4" t="s">
        <v>345</v>
      </c>
      <c r="C150" s="4"/>
      <c r="D150" s="4"/>
      <c r="E150" s="4"/>
      <c r="F150" s="29">
        <f aca="true" t="shared" si="18" ref="F150:G152">F151</f>
        <v>3072400</v>
      </c>
      <c r="G150" s="29">
        <f t="shared" si="18"/>
        <v>3072400</v>
      </c>
      <c r="J150" s="26"/>
    </row>
    <row r="151" spans="1:10" ht="63">
      <c r="A151" s="3" t="s">
        <v>330</v>
      </c>
      <c r="B151" s="4" t="s">
        <v>345</v>
      </c>
      <c r="C151" s="4" t="s">
        <v>23</v>
      </c>
      <c r="D151" s="4"/>
      <c r="E151" s="4"/>
      <c r="F151" s="29">
        <f t="shared" si="18"/>
        <v>3072400</v>
      </c>
      <c r="G151" s="29">
        <f t="shared" si="18"/>
        <v>3072400</v>
      </c>
      <c r="J151" s="26"/>
    </row>
    <row r="152" spans="1:10" ht="15.75">
      <c r="A152" s="3" t="s">
        <v>266</v>
      </c>
      <c r="B152" s="4" t="s">
        <v>345</v>
      </c>
      <c r="C152" s="4" t="s">
        <v>23</v>
      </c>
      <c r="D152" s="4" t="s">
        <v>258</v>
      </c>
      <c r="E152" s="4"/>
      <c r="F152" s="29">
        <f t="shared" si="18"/>
        <v>3072400</v>
      </c>
      <c r="G152" s="29">
        <f t="shared" si="18"/>
        <v>3072400</v>
      </c>
      <c r="J152" s="26"/>
    </row>
    <row r="153" spans="1:10" ht="31.5">
      <c r="A153" s="3" t="s">
        <v>61</v>
      </c>
      <c r="B153" s="4" t="s">
        <v>345</v>
      </c>
      <c r="C153" s="4" t="s">
        <v>23</v>
      </c>
      <c r="D153" s="4" t="s">
        <v>258</v>
      </c>
      <c r="E153" s="4" t="s">
        <v>258</v>
      </c>
      <c r="F153" s="29">
        <f>прил6!F398</f>
        <v>3072400</v>
      </c>
      <c r="G153" s="29">
        <f>F153</f>
        <v>3072400</v>
      </c>
      <c r="J153" s="26"/>
    </row>
    <row r="154" spans="1:7" ht="31.5">
      <c r="A154" s="3" t="s">
        <v>326</v>
      </c>
      <c r="B154" s="4" t="s">
        <v>221</v>
      </c>
      <c r="C154" s="4"/>
      <c r="D154" s="4"/>
      <c r="E154" s="4"/>
      <c r="F154" s="29">
        <f>F155</f>
        <v>9710939</v>
      </c>
      <c r="G154" s="29"/>
    </row>
    <row r="155" spans="1:7" ht="63">
      <c r="A155" s="3" t="s">
        <v>330</v>
      </c>
      <c r="B155" s="4" t="s">
        <v>221</v>
      </c>
      <c r="C155" s="4" t="s">
        <v>23</v>
      </c>
      <c r="D155" s="4"/>
      <c r="E155" s="4"/>
      <c r="F155" s="29">
        <f>F156</f>
        <v>9710939</v>
      </c>
      <c r="G155" s="29"/>
    </row>
    <row r="156" spans="1:7" ht="15.75">
      <c r="A156" s="3" t="s">
        <v>266</v>
      </c>
      <c r="B156" s="4" t="s">
        <v>221</v>
      </c>
      <c r="C156" s="4" t="s">
        <v>23</v>
      </c>
      <c r="D156" s="4" t="s">
        <v>258</v>
      </c>
      <c r="E156" s="4"/>
      <c r="F156" s="29">
        <f>F157</f>
        <v>9710939</v>
      </c>
      <c r="G156" s="29"/>
    </row>
    <row r="157" spans="1:7" ht="31.5">
      <c r="A157" s="3" t="s">
        <v>61</v>
      </c>
      <c r="B157" s="4" t="s">
        <v>221</v>
      </c>
      <c r="C157" s="4" t="s">
        <v>23</v>
      </c>
      <c r="D157" s="4" t="s">
        <v>258</v>
      </c>
      <c r="E157" s="4" t="s">
        <v>258</v>
      </c>
      <c r="F157" s="29">
        <f>прил6!F400</f>
        <v>9710939</v>
      </c>
      <c r="G157" s="29"/>
    </row>
    <row r="158" spans="1:10" ht="63">
      <c r="A158" s="3" t="s">
        <v>57</v>
      </c>
      <c r="B158" s="4" t="s">
        <v>58</v>
      </c>
      <c r="C158" s="4"/>
      <c r="D158" s="4"/>
      <c r="E158" s="4"/>
      <c r="F158" s="29">
        <f>F169+F178+F159+F164+F174</f>
        <v>378697560.7</v>
      </c>
      <c r="G158" s="29">
        <f>G169+G178+G159+G164+G174</f>
        <v>153856484.18</v>
      </c>
      <c r="J158" s="26">
        <f>прил7!G483+прил7!G504+прил7!G380+прил7!G387-F158</f>
        <v>0</v>
      </c>
    </row>
    <row r="159" spans="1:7" ht="47.25">
      <c r="A159" s="3" t="s">
        <v>228</v>
      </c>
      <c r="B159" s="4" t="s">
        <v>171</v>
      </c>
      <c r="C159" s="4"/>
      <c r="D159" s="4"/>
      <c r="E159" s="4"/>
      <c r="F159" s="29">
        <f>F160</f>
        <v>27064951.4</v>
      </c>
      <c r="G159" s="29"/>
    </row>
    <row r="160" spans="1:7" ht="63">
      <c r="A160" s="3" t="s">
        <v>330</v>
      </c>
      <c r="B160" s="4" t="s">
        <v>171</v>
      </c>
      <c r="C160" s="4" t="s">
        <v>23</v>
      </c>
      <c r="D160" s="4"/>
      <c r="E160" s="4"/>
      <c r="F160" s="29">
        <f>F161</f>
        <v>27064951.4</v>
      </c>
      <c r="G160" s="29"/>
    </row>
    <row r="161" spans="1:7" ht="15.75">
      <c r="A161" s="3" t="s">
        <v>266</v>
      </c>
      <c r="B161" s="4" t="s">
        <v>171</v>
      </c>
      <c r="C161" s="4" t="s">
        <v>23</v>
      </c>
      <c r="D161" s="4" t="s">
        <v>258</v>
      </c>
      <c r="E161" s="4"/>
      <c r="F161" s="29">
        <f>F162+F163</f>
        <v>27064951.4</v>
      </c>
      <c r="G161" s="29"/>
    </row>
    <row r="162" spans="1:7" ht="15.75">
      <c r="A162" s="3" t="s">
        <v>267</v>
      </c>
      <c r="B162" s="4" t="s">
        <v>171</v>
      </c>
      <c r="C162" s="4" t="s">
        <v>23</v>
      </c>
      <c r="D162" s="4" t="s">
        <v>258</v>
      </c>
      <c r="E162" s="4" t="s">
        <v>255</v>
      </c>
      <c r="F162" s="29">
        <f>прил7!G485</f>
        <v>5374152.07</v>
      </c>
      <c r="G162" s="29"/>
    </row>
    <row r="163" spans="1:7" ht="15.75">
      <c r="A163" s="3" t="s">
        <v>268</v>
      </c>
      <c r="B163" s="4" t="s">
        <v>171</v>
      </c>
      <c r="C163" s="4" t="s">
        <v>23</v>
      </c>
      <c r="D163" s="4" t="s">
        <v>258</v>
      </c>
      <c r="E163" s="4" t="s">
        <v>260</v>
      </c>
      <c r="F163" s="29">
        <f>прил7!G506</f>
        <v>21690799.33</v>
      </c>
      <c r="G163" s="29"/>
    </row>
    <row r="164" spans="1:7" ht="31.5">
      <c r="A164" s="3" t="s">
        <v>326</v>
      </c>
      <c r="B164" s="4" t="s">
        <v>406</v>
      </c>
      <c r="C164" s="4"/>
      <c r="D164" s="4"/>
      <c r="E164" s="4"/>
      <c r="F164" s="29">
        <f>F165</f>
        <v>10825106.55</v>
      </c>
      <c r="G164" s="29"/>
    </row>
    <row r="165" spans="1:7" ht="63">
      <c r="A165" s="3" t="s">
        <v>330</v>
      </c>
      <c r="B165" s="4" t="s">
        <v>406</v>
      </c>
      <c r="C165" s="4" t="s">
        <v>23</v>
      </c>
      <c r="D165" s="4"/>
      <c r="E165" s="4"/>
      <c r="F165" s="29">
        <f>F166</f>
        <v>10825106.55</v>
      </c>
      <c r="G165" s="29"/>
    </row>
    <row r="166" spans="1:7" ht="15.75">
      <c r="A166" s="3" t="s">
        <v>266</v>
      </c>
      <c r="B166" s="4" t="s">
        <v>406</v>
      </c>
      <c r="C166" s="4" t="s">
        <v>23</v>
      </c>
      <c r="D166" s="4" t="s">
        <v>258</v>
      </c>
      <c r="E166" s="4"/>
      <c r="F166" s="29">
        <f>F167+F168</f>
        <v>10825106.55</v>
      </c>
      <c r="G166" s="29"/>
    </row>
    <row r="167" spans="1:7" ht="15.75">
      <c r="A167" s="3" t="s">
        <v>267</v>
      </c>
      <c r="B167" s="4" t="s">
        <v>406</v>
      </c>
      <c r="C167" s="4" t="s">
        <v>23</v>
      </c>
      <c r="D167" s="4" t="s">
        <v>258</v>
      </c>
      <c r="E167" s="4" t="s">
        <v>255</v>
      </c>
      <c r="F167" s="29">
        <f>прил6!F345</f>
        <v>2542463.88</v>
      </c>
      <c r="G167" s="29"/>
    </row>
    <row r="168" spans="1:7" ht="15.75">
      <c r="A168" s="3" t="s">
        <v>268</v>
      </c>
      <c r="B168" s="4" t="s">
        <v>406</v>
      </c>
      <c r="C168" s="4" t="s">
        <v>23</v>
      </c>
      <c r="D168" s="4" t="s">
        <v>258</v>
      </c>
      <c r="E168" s="4" t="s">
        <v>260</v>
      </c>
      <c r="F168" s="29">
        <f>прил7!G507</f>
        <v>8282642.67</v>
      </c>
      <c r="G168" s="29"/>
    </row>
    <row r="169" spans="1:7" ht="63">
      <c r="A169" s="3" t="s">
        <v>222</v>
      </c>
      <c r="B169" s="4" t="s">
        <v>223</v>
      </c>
      <c r="C169" s="4"/>
      <c r="D169" s="4"/>
      <c r="E169" s="4"/>
      <c r="F169" s="29">
        <f>F170</f>
        <v>186951018.57</v>
      </c>
      <c r="G169" s="29"/>
    </row>
    <row r="170" spans="1:7" ht="63">
      <c r="A170" s="3" t="s">
        <v>49</v>
      </c>
      <c r="B170" s="4" t="s">
        <v>223</v>
      </c>
      <c r="C170" s="4" t="s">
        <v>297</v>
      </c>
      <c r="D170" s="4"/>
      <c r="E170" s="4"/>
      <c r="F170" s="29">
        <f>F171</f>
        <v>186951018.57</v>
      </c>
      <c r="G170" s="29"/>
    </row>
    <row r="171" spans="1:7" ht="15.75">
      <c r="A171" s="3" t="s">
        <v>266</v>
      </c>
      <c r="B171" s="4" t="s">
        <v>223</v>
      </c>
      <c r="C171" s="4" t="s">
        <v>297</v>
      </c>
      <c r="D171" s="4" t="s">
        <v>258</v>
      </c>
      <c r="E171" s="4"/>
      <c r="F171" s="29">
        <f>F172+F173</f>
        <v>186951018.57</v>
      </c>
      <c r="G171" s="29"/>
    </row>
    <row r="172" spans="1:7" ht="15.75">
      <c r="A172" s="3" t="s">
        <v>267</v>
      </c>
      <c r="B172" s="4" t="s">
        <v>223</v>
      </c>
      <c r="C172" s="4" t="s">
        <v>297</v>
      </c>
      <c r="D172" s="4" t="s">
        <v>258</v>
      </c>
      <c r="E172" s="4" t="s">
        <v>255</v>
      </c>
      <c r="F172" s="29">
        <f>прил6!F347</f>
        <v>30717418.57</v>
      </c>
      <c r="G172" s="29"/>
    </row>
    <row r="173" spans="1:7" ht="15.75">
      <c r="A173" s="3" t="s">
        <v>268</v>
      </c>
      <c r="B173" s="4" t="s">
        <v>223</v>
      </c>
      <c r="C173" s="4" t="s">
        <v>297</v>
      </c>
      <c r="D173" s="4" t="s">
        <v>258</v>
      </c>
      <c r="E173" s="4" t="s">
        <v>260</v>
      </c>
      <c r="F173" s="29">
        <f>прил6!F372</f>
        <v>156233600</v>
      </c>
      <c r="G173" s="29"/>
    </row>
    <row r="174" spans="1:7" ht="78.75">
      <c r="A174" s="3" t="s">
        <v>449</v>
      </c>
      <c r="B174" s="4" t="s">
        <v>448</v>
      </c>
      <c r="C174" s="4"/>
      <c r="D174" s="4"/>
      <c r="E174" s="4"/>
      <c r="F174" s="29">
        <f aca="true" t="shared" si="19" ref="F174:G176">F175</f>
        <v>29106484.18</v>
      </c>
      <c r="G174" s="29">
        <f t="shared" si="19"/>
        <v>29106484.18</v>
      </c>
    </row>
    <row r="175" spans="1:7" ht="63">
      <c r="A175" s="3" t="s">
        <v>49</v>
      </c>
      <c r="B175" s="4" t="s">
        <v>448</v>
      </c>
      <c r="C175" s="4" t="s">
        <v>297</v>
      </c>
      <c r="D175" s="4"/>
      <c r="E175" s="4"/>
      <c r="F175" s="29">
        <f t="shared" si="19"/>
        <v>29106484.18</v>
      </c>
      <c r="G175" s="29">
        <f t="shared" si="19"/>
        <v>29106484.18</v>
      </c>
    </row>
    <row r="176" spans="1:7" ht="33" customHeight="1">
      <c r="A176" s="3" t="s">
        <v>266</v>
      </c>
      <c r="B176" s="4" t="s">
        <v>448</v>
      </c>
      <c r="C176" s="4" t="s">
        <v>297</v>
      </c>
      <c r="D176" s="4" t="s">
        <v>258</v>
      </c>
      <c r="E176" s="4"/>
      <c r="F176" s="29">
        <f t="shared" si="19"/>
        <v>29106484.18</v>
      </c>
      <c r="G176" s="29">
        <f t="shared" si="19"/>
        <v>29106484.18</v>
      </c>
    </row>
    <row r="177" spans="1:7" ht="32.25" customHeight="1">
      <c r="A177" s="3" t="s">
        <v>268</v>
      </c>
      <c r="B177" s="4" t="s">
        <v>448</v>
      </c>
      <c r="C177" s="4" t="s">
        <v>297</v>
      </c>
      <c r="D177" s="4" t="s">
        <v>258</v>
      </c>
      <c r="E177" s="4" t="s">
        <v>260</v>
      </c>
      <c r="F177" s="29">
        <f>прил6!F374</f>
        <v>29106484.18</v>
      </c>
      <c r="G177" s="29">
        <f>F177</f>
        <v>29106484.18</v>
      </c>
    </row>
    <row r="178" spans="1:7" ht="31.5">
      <c r="A178" s="3" t="s">
        <v>456</v>
      </c>
      <c r="B178" s="4" t="s">
        <v>457</v>
      </c>
      <c r="C178" s="4"/>
      <c r="D178" s="4"/>
      <c r="E178" s="4"/>
      <c r="F178" s="29">
        <f aca="true" t="shared" si="20" ref="F178:G180">F179</f>
        <v>124750000</v>
      </c>
      <c r="G178" s="29">
        <f t="shared" si="20"/>
        <v>124750000</v>
      </c>
    </row>
    <row r="179" spans="1:7" ht="63">
      <c r="A179" s="3" t="s">
        <v>49</v>
      </c>
      <c r="B179" s="4" t="s">
        <v>457</v>
      </c>
      <c r="C179" s="4" t="s">
        <v>297</v>
      </c>
      <c r="D179" s="4"/>
      <c r="E179" s="4"/>
      <c r="F179" s="29">
        <f t="shared" si="20"/>
        <v>124750000</v>
      </c>
      <c r="G179" s="29">
        <f t="shared" si="20"/>
        <v>124750000</v>
      </c>
    </row>
    <row r="180" spans="1:7" ht="15.75">
      <c r="A180" s="3" t="s">
        <v>266</v>
      </c>
      <c r="B180" s="4" t="s">
        <v>457</v>
      </c>
      <c r="C180" s="4" t="s">
        <v>297</v>
      </c>
      <c r="D180" s="4" t="s">
        <v>258</v>
      </c>
      <c r="E180" s="4"/>
      <c r="F180" s="29">
        <f t="shared" si="20"/>
        <v>124750000</v>
      </c>
      <c r="G180" s="29">
        <f t="shared" si="20"/>
        <v>124750000</v>
      </c>
    </row>
    <row r="181" spans="1:7" ht="15.75">
      <c r="A181" s="3" t="s">
        <v>267</v>
      </c>
      <c r="B181" s="4" t="s">
        <v>457</v>
      </c>
      <c r="C181" s="4" t="s">
        <v>297</v>
      </c>
      <c r="D181" s="4" t="s">
        <v>258</v>
      </c>
      <c r="E181" s="4" t="s">
        <v>255</v>
      </c>
      <c r="F181" s="29">
        <f>прил6!F349</f>
        <v>124750000</v>
      </c>
      <c r="G181" s="29">
        <f>F181</f>
        <v>124750000</v>
      </c>
    </row>
    <row r="182" spans="1:7" ht="78.75">
      <c r="A182" s="13" t="s">
        <v>324</v>
      </c>
      <c r="B182" s="5" t="s">
        <v>325</v>
      </c>
      <c r="C182" s="5"/>
      <c r="D182" s="5"/>
      <c r="E182" s="5"/>
      <c r="F182" s="28">
        <f>F183+F189+F201+F205</f>
        <v>5385973</v>
      </c>
      <c r="G182" s="28">
        <f>G183+G189+G201+G205</f>
        <v>990000</v>
      </c>
    </row>
    <row r="183" spans="1:7" ht="47.25">
      <c r="A183" s="3" t="s">
        <v>228</v>
      </c>
      <c r="B183" s="4" t="s">
        <v>108</v>
      </c>
      <c r="C183" s="2"/>
      <c r="D183" s="2"/>
      <c r="E183" s="2"/>
      <c r="F183" s="29">
        <f>F184</f>
        <v>2963000</v>
      </c>
      <c r="G183" s="33"/>
    </row>
    <row r="184" spans="1:7" ht="63">
      <c r="A184" s="3" t="s">
        <v>330</v>
      </c>
      <c r="B184" s="4" t="s">
        <v>108</v>
      </c>
      <c r="C184" s="4" t="s">
        <v>23</v>
      </c>
      <c r="D184" s="4"/>
      <c r="E184" s="4"/>
      <c r="F184" s="29">
        <f>F185+F187</f>
        <v>2963000</v>
      </c>
      <c r="G184" s="29"/>
    </row>
    <row r="185" spans="1:7" ht="15.75">
      <c r="A185" s="3" t="s">
        <v>266</v>
      </c>
      <c r="B185" s="4" t="s">
        <v>108</v>
      </c>
      <c r="C185" s="4" t="s">
        <v>23</v>
      </c>
      <c r="D185" s="4" t="s">
        <v>258</v>
      </c>
      <c r="E185" s="4"/>
      <c r="F185" s="29">
        <f>F186</f>
        <v>2120000</v>
      </c>
      <c r="G185" s="29"/>
    </row>
    <row r="186" spans="1:7" ht="15.75">
      <c r="A186" s="3" t="s">
        <v>268</v>
      </c>
      <c r="B186" s="4" t="s">
        <v>108</v>
      </c>
      <c r="C186" s="4" t="s">
        <v>23</v>
      </c>
      <c r="D186" s="4" t="s">
        <v>258</v>
      </c>
      <c r="E186" s="4" t="s">
        <v>260</v>
      </c>
      <c r="F186" s="29">
        <f>прил6!F377</f>
        <v>2120000</v>
      </c>
      <c r="G186" s="29"/>
    </row>
    <row r="187" spans="1:7" ht="15.75">
      <c r="A187" s="3" t="s">
        <v>20</v>
      </c>
      <c r="B187" s="4" t="s">
        <v>108</v>
      </c>
      <c r="C187" s="4" t="s">
        <v>23</v>
      </c>
      <c r="D187" s="4" t="s">
        <v>259</v>
      </c>
      <c r="E187" s="4"/>
      <c r="F187" s="29">
        <f>F188</f>
        <v>843000</v>
      </c>
      <c r="G187" s="29"/>
    </row>
    <row r="188" spans="1:7" ht="15.75">
      <c r="A188" s="3" t="s">
        <v>280</v>
      </c>
      <c r="B188" s="4" t="s">
        <v>108</v>
      </c>
      <c r="C188" s="4" t="s">
        <v>23</v>
      </c>
      <c r="D188" s="4" t="s">
        <v>259</v>
      </c>
      <c r="E188" s="4" t="s">
        <v>255</v>
      </c>
      <c r="F188" s="29">
        <f>прил6!F457</f>
        <v>843000</v>
      </c>
      <c r="G188" s="29"/>
    </row>
    <row r="189" spans="1:7" ht="31.5">
      <c r="A189" s="3" t="s">
        <v>326</v>
      </c>
      <c r="B189" s="4" t="s">
        <v>327</v>
      </c>
      <c r="C189" s="4"/>
      <c r="D189" s="4"/>
      <c r="E189" s="4"/>
      <c r="F189" s="29">
        <f>F193+F196+F190</f>
        <v>1263973</v>
      </c>
      <c r="G189" s="29"/>
    </row>
    <row r="190" spans="1:7" s="91" customFormat="1" ht="47.25">
      <c r="A190" s="92" t="s">
        <v>306</v>
      </c>
      <c r="B190" s="93" t="s">
        <v>327</v>
      </c>
      <c r="C190" s="93" t="s">
        <v>19</v>
      </c>
      <c r="D190" s="93"/>
      <c r="E190" s="93"/>
      <c r="F190" s="94">
        <f>F191</f>
        <v>60000</v>
      </c>
      <c r="G190" s="94"/>
    </row>
    <row r="191" spans="1:7" s="91" customFormat="1" ht="15.75">
      <c r="A191" s="92" t="s">
        <v>274</v>
      </c>
      <c r="B191" s="93" t="s">
        <v>327</v>
      </c>
      <c r="C191" s="93" t="s">
        <v>19</v>
      </c>
      <c r="D191" s="93" t="s">
        <v>255</v>
      </c>
      <c r="E191" s="93"/>
      <c r="F191" s="94">
        <f>F192</f>
        <v>60000</v>
      </c>
      <c r="G191" s="94"/>
    </row>
    <row r="192" spans="1:7" s="91" customFormat="1" ht="31.5">
      <c r="A192" s="92" t="s">
        <v>284</v>
      </c>
      <c r="B192" s="93" t="s">
        <v>327</v>
      </c>
      <c r="C192" s="93" t="s">
        <v>19</v>
      </c>
      <c r="D192" s="93" t="s">
        <v>255</v>
      </c>
      <c r="E192" s="93" t="s">
        <v>16</v>
      </c>
      <c r="F192" s="94">
        <f>прил6!F93</f>
        <v>60000</v>
      </c>
      <c r="G192" s="94"/>
    </row>
    <row r="193" spans="1:7" ht="31.5">
      <c r="A193" s="3" t="s">
        <v>239</v>
      </c>
      <c r="B193" s="4" t="s">
        <v>327</v>
      </c>
      <c r="C193" s="4" t="s">
        <v>240</v>
      </c>
      <c r="D193" s="4"/>
      <c r="E193" s="4"/>
      <c r="F193" s="29">
        <f>F194</f>
        <v>663800</v>
      </c>
      <c r="G193" s="29"/>
    </row>
    <row r="194" spans="1:7" ht="15.75">
      <c r="A194" s="3" t="s">
        <v>274</v>
      </c>
      <c r="B194" s="4" t="s">
        <v>327</v>
      </c>
      <c r="C194" s="4" t="s">
        <v>240</v>
      </c>
      <c r="D194" s="4" t="s">
        <v>255</v>
      </c>
      <c r="E194" s="4"/>
      <c r="F194" s="29">
        <f>F195</f>
        <v>663800</v>
      </c>
      <c r="G194" s="29"/>
    </row>
    <row r="195" spans="1:7" ht="31.5">
      <c r="A195" s="3" t="s">
        <v>284</v>
      </c>
      <c r="B195" s="4" t="s">
        <v>327</v>
      </c>
      <c r="C195" s="4" t="s">
        <v>240</v>
      </c>
      <c r="D195" s="4" t="s">
        <v>255</v>
      </c>
      <c r="E195" s="4" t="s">
        <v>16</v>
      </c>
      <c r="F195" s="29">
        <f>прил6!F94</f>
        <v>663800</v>
      </c>
      <c r="G195" s="29"/>
    </row>
    <row r="196" spans="1:7" ht="63">
      <c r="A196" s="3" t="s">
        <v>330</v>
      </c>
      <c r="B196" s="4" t="s">
        <v>327</v>
      </c>
      <c r="C196" s="4" t="s">
        <v>23</v>
      </c>
      <c r="D196" s="4"/>
      <c r="E196" s="4"/>
      <c r="F196" s="29">
        <f>F199+F197</f>
        <v>540173</v>
      </c>
      <c r="G196" s="29"/>
    </row>
    <row r="197" spans="1:7" ht="15.75">
      <c r="A197" s="3" t="s">
        <v>266</v>
      </c>
      <c r="B197" s="4" t="s">
        <v>327</v>
      </c>
      <c r="C197" s="4" t="s">
        <v>23</v>
      </c>
      <c r="D197" s="4" t="s">
        <v>258</v>
      </c>
      <c r="E197" s="4"/>
      <c r="F197" s="29">
        <f>F198</f>
        <v>100000</v>
      </c>
      <c r="G197" s="29"/>
    </row>
    <row r="198" spans="1:7" ht="15.75">
      <c r="A198" s="3" t="s">
        <v>267</v>
      </c>
      <c r="B198" s="4" t="s">
        <v>327</v>
      </c>
      <c r="C198" s="4" t="s">
        <v>23</v>
      </c>
      <c r="D198" s="4" t="s">
        <v>258</v>
      </c>
      <c r="E198" s="4" t="s">
        <v>255</v>
      </c>
      <c r="F198" s="29">
        <f>прил7!G490</f>
        <v>100000</v>
      </c>
      <c r="G198" s="29"/>
    </row>
    <row r="199" spans="1:7" ht="15.75">
      <c r="A199" s="3" t="s">
        <v>20</v>
      </c>
      <c r="B199" s="4" t="s">
        <v>327</v>
      </c>
      <c r="C199" s="4" t="s">
        <v>23</v>
      </c>
      <c r="D199" s="4" t="s">
        <v>259</v>
      </c>
      <c r="E199" s="4"/>
      <c r="F199" s="29">
        <f>F200</f>
        <v>440173</v>
      </c>
      <c r="G199" s="29"/>
    </row>
    <row r="200" spans="1:7" ht="15.75">
      <c r="A200" s="3" t="s">
        <v>280</v>
      </c>
      <c r="B200" s="4" t="s">
        <v>327</v>
      </c>
      <c r="C200" s="4" t="s">
        <v>23</v>
      </c>
      <c r="D200" s="4" t="s">
        <v>259</v>
      </c>
      <c r="E200" s="4" t="s">
        <v>255</v>
      </c>
      <c r="F200" s="29">
        <f>прил6!F459</f>
        <v>440173</v>
      </c>
      <c r="G200" s="29"/>
    </row>
    <row r="201" spans="1:7" ht="47.25">
      <c r="A201" s="3" t="s">
        <v>328</v>
      </c>
      <c r="B201" s="4" t="s">
        <v>329</v>
      </c>
      <c r="C201" s="4"/>
      <c r="D201" s="4"/>
      <c r="E201" s="4"/>
      <c r="F201" s="29">
        <f>F202</f>
        <v>169000</v>
      </c>
      <c r="G201" s="29"/>
    </row>
    <row r="202" spans="1:7" ht="63">
      <c r="A202" s="61" t="s">
        <v>330</v>
      </c>
      <c r="B202" s="4" t="s">
        <v>329</v>
      </c>
      <c r="C202" s="4" t="s">
        <v>23</v>
      </c>
      <c r="D202" s="4"/>
      <c r="E202" s="4"/>
      <c r="F202" s="29">
        <f>F203</f>
        <v>169000</v>
      </c>
      <c r="G202" s="29"/>
    </row>
    <row r="203" spans="1:7" ht="15.75">
      <c r="A203" s="3" t="s">
        <v>274</v>
      </c>
      <c r="B203" s="4" t="s">
        <v>329</v>
      </c>
      <c r="C203" s="4" t="s">
        <v>23</v>
      </c>
      <c r="D203" s="4" t="s">
        <v>255</v>
      </c>
      <c r="E203" s="4"/>
      <c r="F203" s="29">
        <f>F204</f>
        <v>169000</v>
      </c>
      <c r="G203" s="29"/>
    </row>
    <row r="204" spans="1:7" ht="31.5">
      <c r="A204" s="61" t="s">
        <v>284</v>
      </c>
      <c r="B204" s="4" t="s">
        <v>329</v>
      </c>
      <c r="C204" s="4" t="s">
        <v>23</v>
      </c>
      <c r="D204" s="4" t="s">
        <v>255</v>
      </c>
      <c r="E204" s="4" t="s">
        <v>16</v>
      </c>
      <c r="F204" s="29">
        <f>прил6!F96</f>
        <v>169000</v>
      </c>
      <c r="G204" s="29"/>
    </row>
    <row r="205" spans="1:7" ht="63">
      <c r="A205" s="3" t="s">
        <v>452</v>
      </c>
      <c r="B205" s="4" t="s">
        <v>453</v>
      </c>
      <c r="C205" s="4"/>
      <c r="D205" s="4"/>
      <c r="E205" s="4"/>
      <c r="F205" s="29">
        <f>F206</f>
        <v>990000</v>
      </c>
      <c r="G205" s="29">
        <f>G206</f>
        <v>990000</v>
      </c>
    </row>
    <row r="206" spans="1:7" ht="63">
      <c r="A206" s="3" t="s">
        <v>330</v>
      </c>
      <c r="B206" s="4" t="s">
        <v>453</v>
      </c>
      <c r="C206" s="4" t="s">
        <v>23</v>
      </c>
      <c r="D206" s="4"/>
      <c r="E206" s="4"/>
      <c r="F206" s="29">
        <f>F207+F210</f>
        <v>990000</v>
      </c>
      <c r="G206" s="29">
        <f>G207+G210</f>
        <v>990000</v>
      </c>
    </row>
    <row r="207" spans="1:7" ht="15.75">
      <c r="A207" s="3" t="s">
        <v>266</v>
      </c>
      <c r="B207" s="4" t="s">
        <v>453</v>
      </c>
      <c r="C207" s="4" t="s">
        <v>23</v>
      </c>
      <c r="D207" s="4" t="s">
        <v>258</v>
      </c>
      <c r="E207" s="4"/>
      <c r="F207" s="29">
        <f>F208+F209</f>
        <v>460000</v>
      </c>
      <c r="G207" s="29">
        <f>G208+G209</f>
        <v>460000</v>
      </c>
    </row>
    <row r="208" spans="1:7" ht="15.75">
      <c r="A208" s="3" t="s">
        <v>267</v>
      </c>
      <c r="B208" s="4" t="s">
        <v>453</v>
      </c>
      <c r="C208" s="4" t="s">
        <v>23</v>
      </c>
      <c r="D208" s="4" t="s">
        <v>258</v>
      </c>
      <c r="E208" s="4" t="s">
        <v>255</v>
      </c>
      <c r="F208" s="29">
        <f>прил6!F354</f>
        <v>100000</v>
      </c>
      <c r="G208" s="29">
        <f>F208</f>
        <v>100000</v>
      </c>
    </row>
    <row r="209" spans="1:7" ht="15.75">
      <c r="A209" s="3" t="s">
        <v>268</v>
      </c>
      <c r="B209" s="4" t="s">
        <v>453</v>
      </c>
      <c r="C209" s="4" t="s">
        <v>23</v>
      </c>
      <c r="D209" s="4" t="s">
        <v>258</v>
      </c>
      <c r="E209" s="4" t="s">
        <v>260</v>
      </c>
      <c r="F209" s="29">
        <f>прил6!F379</f>
        <v>360000</v>
      </c>
      <c r="G209" s="29">
        <f>F209</f>
        <v>360000</v>
      </c>
    </row>
    <row r="210" spans="1:7" ht="15.75">
      <c r="A210" s="3" t="s">
        <v>20</v>
      </c>
      <c r="B210" s="4" t="s">
        <v>453</v>
      </c>
      <c r="C210" s="4" t="s">
        <v>23</v>
      </c>
      <c r="D210" s="4" t="s">
        <v>259</v>
      </c>
      <c r="E210" s="4"/>
      <c r="F210" s="29">
        <f>F211</f>
        <v>530000</v>
      </c>
      <c r="G210" s="29">
        <f>G211</f>
        <v>530000</v>
      </c>
    </row>
    <row r="211" spans="1:7" ht="15.75">
      <c r="A211" s="6" t="s">
        <v>280</v>
      </c>
      <c r="B211" s="7" t="s">
        <v>453</v>
      </c>
      <c r="C211" s="7" t="s">
        <v>23</v>
      </c>
      <c r="D211" s="7" t="s">
        <v>259</v>
      </c>
      <c r="E211" s="7" t="s">
        <v>255</v>
      </c>
      <c r="F211" s="31">
        <f>прил6!F461</f>
        <v>530000</v>
      </c>
      <c r="G211" s="31">
        <f>F211</f>
        <v>530000</v>
      </c>
    </row>
    <row r="212" spans="1:7" ht="94.5">
      <c r="A212" s="50" t="s">
        <v>343</v>
      </c>
      <c r="B212" s="2" t="s">
        <v>344</v>
      </c>
      <c r="C212" s="2"/>
      <c r="D212" s="2"/>
      <c r="E212" s="2"/>
      <c r="F212" s="33">
        <f>F213+F226+F235+F240</f>
        <v>21700494</v>
      </c>
      <c r="G212" s="33">
        <f>G213+G226+G235+G240</f>
        <v>1322000</v>
      </c>
    </row>
    <row r="213" spans="1:7" ht="31.5">
      <c r="A213" s="27" t="s">
        <v>347</v>
      </c>
      <c r="B213" s="4" t="s">
        <v>348</v>
      </c>
      <c r="C213" s="4"/>
      <c r="D213" s="4"/>
      <c r="E213" s="4"/>
      <c r="F213" s="29">
        <f>F214+F222+F218</f>
        <v>4466800</v>
      </c>
      <c r="G213" s="29">
        <f>G214+G222+G218</f>
        <v>1322000</v>
      </c>
    </row>
    <row r="214" spans="1:7" ht="31.5">
      <c r="A214" s="27" t="s">
        <v>326</v>
      </c>
      <c r="B214" s="4" t="s">
        <v>150</v>
      </c>
      <c r="C214" s="4"/>
      <c r="D214" s="4"/>
      <c r="E214" s="4"/>
      <c r="F214" s="29">
        <f>F215</f>
        <v>3144800</v>
      </c>
      <c r="G214" s="29"/>
    </row>
    <row r="215" spans="1:7" ht="47.25">
      <c r="A215" s="3" t="s">
        <v>306</v>
      </c>
      <c r="B215" s="4" t="s">
        <v>150</v>
      </c>
      <c r="C215" s="4" t="s">
        <v>19</v>
      </c>
      <c r="D215" s="4"/>
      <c r="E215" s="4"/>
      <c r="F215" s="29">
        <f>F216</f>
        <v>3144800</v>
      </c>
      <c r="G215" s="29"/>
    </row>
    <row r="216" spans="1:7" ht="15.75">
      <c r="A216" s="27" t="s">
        <v>166</v>
      </c>
      <c r="B216" s="4" t="s">
        <v>150</v>
      </c>
      <c r="C216" s="4" t="s">
        <v>19</v>
      </c>
      <c r="D216" s="4" t="s">
        <v>169</v>
      </c>
      <c r="E216" s="4"/>
      <c r="F216" s="29">
        <f>F217</f>
        <v>3144800</v>
      </c>
      <c r="G216" s="29"/>
    </row>
    <row r="217" spans="1:7" ht="15.75">
      <c r="A217" s="27" t="s">
        <v>8</v>
      </c>
      <c r="B217" s="4" t="s">
        <v>150</v>
      </c>
      <c r="C217" s="4" t="s">
        <v>19</v>
      </c>
      <c r="D217" s="4" t="s">
        <v>169</v>
      </c>
      <c r="E217" s="4" t="s">
        <v>255</v>
      </c>
      <c r="F217" s="29">
        <f>прил6!F574</f>
        <v>3144800</v>
      </c>
      <c r="G217" s="29"/>
    </row>
    <row r="218" spans="1:7" ht="63">
      <c r="A218" s="3" t="s">
        <v>458</v>
      </c>
      <c r="B218" s="4" t="s">
        <v>459</v>
      </c>
      <c r="C218" s="4"/>
      <c r="D218" s="4"/>
      <c r="E218" s="4"/>
      <c r="F218" s="29">
        <f aca="true" t="shared" si="21" ref="F218:G220">F219</f>
        <v>1250000</v>
      </c>
      <c r="G218" s="29">
        <f t="shared" si="21"/>
        <v>1250000</v>
      </c>
    </row>
    <row r="219" spans="1:7" ht="47.25">
      <c r="A219" s="3" t="s">
        <v>306</v>
      </c>
      <c r="B219" s="4" t="s">
        <v>459</v>
      </c>
      <c r="C219" s="4" t="s">
        <v>19</v>
      </c>
      <c r="D219" s="4"/>
      <c r="E219" s="4"/>
      <c r="F219" s="29">
        <f t="shared" si="21"/>
        <v>1250000</v>
      </c>
      <c r="G219" s="29">
        <f t="shared" si="21"/>
        <v>1250000</v>
      </c>
    </row>
    <row r="220" spans="1:7" ht="20.25" customHeight="1">
      <c r="A220" s="27" t="s">
        <v>166</v>
      </c>
      <c r="B220" s="4" t="s">
        <v>459</v>
      </c>
      <c r="C220" s="4" t="s">
        <v>19</v>
      </c>
      <c r="D220" s="4" t="s">
        <v>169</v>
      </c>
      <c r="E220" s="4"/>
      <c r="F220" s="29">
        <f t="shared" si="21"/>
        <v>1250000</v>
      </c>
      <c r="G220" s="29">
        <f t="shared" si="21"/>
        <v>1250000</v>
      </c>
    </row>
    <row r="221" spans="1:7" ht="24.75" customHeight="1">
      <c r="A221" s="27" t="s">
        <v>8</v>
      </c>
      <c r="B221" s="4" t="s">
        <v>459</v>
      </c>
      <c r="C221" s="4" t="s">
        <v>19</v>
      </c>
      <c r="D221" s="4" t="s">
        <v>169</v>
      </c>
      <c r="E221" s="4" t="s">
        <v>255</v>
      </c>
      <c r="F221" s="29">
        <f>прил6!F576</f>
        <v>1250000</v>
      </c>
      <c r="G221" s="29">
        <f>F221</f>
        <v>1250000</v>
      </c>
    </row>
    <row r="222" spans="1:7" ht="157.5">
      <c r="A222" s="27" t="s">
        <v>349</v>
      </c>
      <c r="B222" s="4" t="s">
        <v>350</v>
      </c>
      <c r="C222" s="4"/>
      <c r="D222" s="4"/>
      <c r="E222" s="4"/>
      <c r="F222" s="29">
        <f aca="true" t="shared" si="22" ref="F222:G224">F223</f>
        <v>72000</v>
      </c>
      <c r="G222" s="29">
        <f t="shared" si="22"/>
        <v>72000</v>
      </c>
    </row>
    <row r="223" spans="1:7" ht="126">
      <c r="A223" s="3" t="s">
        <v>305</v>
      </c>
      <c r="B223" s="4" t="s">
        <v>350</v>
      </c>
      <c r="C223" s="4" t="s">
        <v>18</v>
      </c>
      <c r="D223" s="4"/>
      <c r="E223" s="4"/>
      <c r="F223" s="29">
        <f t="shared" si="22"/>
        <v>72000</v>
      </c>
      <c r="G223" s="29">
        <f t="shared" si="22"/>
        <v>72000</v>
      </c>
    </row>
    <row r="224" spans="1:7" ht="15.75">
      <c r="A224" s="27" t="s">
        <v>166</v>
      </c>
      <c r="B224" s="4" t="s">
        <v>350</v>
      </c>
      <c r="C224" s="4" t="s">
        <v>18</v>
      </c>
      <c r="D224" s="4" t="s">
        <v>169</v>
      </c>
      <c r="E224" s="4"/>
      <c r="F224" s="29">
        <f t="shared" si="22"/>
        <v>72000</v>
      </c>
      <c r="G224" s="29">
        <f t="shared" si="22"/>
        <v>72000</v>
      </c>
    </row>
    <row r="225" spans="1:7" ht="31.5">
      <c r="A225" s="3" t="s">
        <v>342</v>
      </c>
      <c r="B225" s="4" t="s">
        <v>350</v>
      </c>
      <c r="C225" s="4" t="s">
        <v>18</v>
      </c>
      <c r="D225" s="4" t="s">
        <v>169</v>
      </c>
      <c r="E225" s="4" t="s">
        <v>257</v>
      </c>
      <c r="F225" s="29">
        <f>прил6!F581</f>
        <v>72000</v>
      </c>
      <c r="G225" s="29">
        <f>F225</f>
        <v>72000</v>
      </c>
    </row>
    <row r="226" spans="1:7" ht="31.5">
      <c r="A226" s="3" t="s">
        <v>151</v>
      </c>
      <c r="B226" s="4" t="s">
        <v>152</v>
      </c>
      <c r="C226" s="4"/>
      <c r="D226" s="4"/>
      <c r="E226" s="4"/>
      <c r="F226" s="29">
        <f>F227+F231</f>
        <v>882000</v>
      </c>
      <c r="G226" s="29"/>
    </row>
    <row r="227" spans="1:7" ht="47.25">
      <c r="A227" s="3" t="s">
        <v>153</v>
      </c>
      <c r="B227" s="4" t="s">
        <v>154</v>
      </c>
      <c r="C227" s="4"/>
      <c r="D227" s="4"/>
      <c r="E227" s="4"/>
      <c r="F227" s="29">
        <f>F228</f>
        <v>300000</v>
      </c>
      <c r="G227" s="29"/>
    </row>
    <row r="228" spans="1:7" ht="47.25">
      <c r="A228" s="3" t="s">
        <v>306</v>
      </c>
      <c r="B228" s="4" t="s">
        <v>154</v>
      </c>
      <c r="C228" s="4" t="s">
        <v>19</v>
      </c>
      <c r="D228" s="4"/>
      <c r="E228" s="4"/>
      <c r="F228" s="29">
        <f>F229</f>
        <v>300000</v>
      </c>
      <c r="G228" s="29"/>
    </row>
    <row r="229" spans="1:7" ht="15.75">
      <c r="A229" s="3" t="s">
        <v>266</v>
      </c>
      <c r="B229" s="4" t="s">
        <v>154</v>
      </c>
      <c r="C229" s="4" t="s">
        <v>19</v>
      </c>
      <c r="D229" s="4" t="s">
        <v>258</v>
      </c>
      <c r="E229" s="4"/>
      <c r="F229" s="29">
        <f>F230</f>
        <v>300000</v>
      </c>
      <c r="G229" s="29"/>
    </row>
    <row r="230" spans="1:7" ht="31.5">
      <c r="A230" s="3" t="s">
        <v>61</v>
      </c>
      <c r="B230" s="4" t="s">
        <v>154</v>
      </c>
      <c r="C230" s="4" t="s">
        <v>19</v>
      </c>
      <c r="D230" s="4" t="s">
        <v>258</v>
      </c>
      <c r="E230" s="4" t="s">
        <v>258</v>
      </c>
      <c r="F230" s="29">
        <f>прил6!F404</f>
        <v>300000</v>
      </c>
      <c r="G230" s="29"/>
    </row>
    <row r="231" spans="1:7" ht="31.5">
      <c r="A231" s="3" t="s">
        <v>326</v>
      </c>
      <c r="B231" s="4" t="s">
        <v>155</v>
      </c>
      <c r="C231" s="4"/>
      <c r="D231" s="4"/>
      <c r="E231" s="4"/>
      <c r="F231" s="29">
        <f>F232</f>
        <v>582000</v>
      </c>
      <c r="G231" s="29"/>
    </row>
    <row r="232" spans="1:7" ht="47.25">
      <c r="A232" s="3" t="s">
        <v>306</v>
      </c>
      <c r="B232" s="4" t="s">
        <v>155</v>
      </c>
      <c r="C232" s="4" t="s">
        <v>19</v>
      </c>
      <c r="D232" s="4"/>
      <c r="E232" s="4"/>
      <c r="F232" s="29">
        <f>F233</f>
        <v>582000</v>
      </c>
      <c r="G232" s="29"/>
    </row>
    <row r="233" spans="1:7" ht="15.75">
      <c r="A233" s="3" t="s">
        <v>266</v>
      </c>
      <c r="B233" s="4" t="s">
        <v>155</v>
      </c>
      <c r="C233" s="4" t="s">
        <v>19</v>
      </c>
      <c r="D233" s="4" t="s">
        <v>258</v>
      </c>
      <c r="E233" s="4"/>
      <c r="F233" s="29">
        <f>F234</f>
        <v>582000</v>
      </c>
      <c r="G233" s="29"/>
    </row>
    <row r="234" spans="1:7" ht="31.5">
      <c r="A234" s="3" t="s">
        <v>61</v>
      </c>
      <c r="B234" s="4" t="s">
        <v>155</v>
      </c>
      <c r="C234" s="4" t="s">
        <v>19</v>
      </c>
      <c r="D234" s="4" t="s">
        <v>258</v>
      </c>
      <c r="E234" s="4" t="s">
        <v>258</v>
      </c>
      <c r="F234" s="29">
        <f>прил6!F406</f>
        <v>582000</v>
      </c>
      <c r="G234" s="29"/>
    </row>
    <row r="235" spans="1:7" ht="31.5">
      <c r="A235" s="3" t="s">
        <v>156</v>
      </c>
      <c r="B235" s="4" t="s">
        <v>157</v>
      </c>
      <c r="C235" s="4"/>
      <c r="D235" s="4"/>
      <c r="E235" s="4"/>
      <c r="F235" s="29">
        <f>F236</f>
        <v>16104944</v>
      </c>
      <c r="G235" s="29"/>
    </row>
    <row r="236" spans="1:7" ht="110.25">
      <c r="A236" s="3" t="s">
        <v>209</v>
      </c>
      <c r="B236" s="4" t="s">
        <v>158</v>
      </c>
      <c r="C236" s="4"/>
      <c r="D236" s="4"/>
      <c r="E236" s="4"/>
      <c r="F236" s="29">
        <f>F237</f>
        <v>16104944</v>
      </c>
      <c r="G236" s="29"/>
    </row>
    <row r="237" spans="1:7" ht="63">
      <c r="A237" s="3" t="s">
        <v>330</v>
      </c>
      <c r="B237" s="4" t="s">
        <v>158</v>
      </c>
      <c r="C237" s="4" t="s">
        <v>23</v>
      </c>
      <c r="D237" s="4"/>
      <c r="E237" s="4"/>
      <c r="F237" s="29">
        <f>F238</f>
        <v>16104944</v>
      </c>
      <c r="G237" s="29"/>
    </row>
    <row r="238" spans="1:7" ht="15.75">
      <c r="A238" s="3" t="s">
        <v>266</v>
      </c>
      <c r="B238" s="4" t="s">
        <v>158</v>
      </c>
      <c r="C238" s="4" t="s">
        <v>23</v>
      </c>
      <c r="D238" s="4" t="s">
        <v>258</v>
      </c>
      <c r="E238" s="4"/>
      <c r="F238" s="29">
        <f>F239</f>
        <v>16104944</v>
      </c>
      <c r="G238" s="29"/>
    </row>
    <row r="239" spans="1:7" ht="31.5">
      <c r="A239" s="3" t="s">
        <v>61</v>
      </c>
      <c r="B239" s="4" t="s">
        <v>158</v>
      </c>
      <c r="C239" s="4" t="s">
        <v>23</v>
      </c>
      <c r="D239" s="4" t="s">
        <v>258</v>
      </c>
      <c r="E239" s="4" t="s">
        <v>258</v>
      </c>
      <c r="F239" s="29">
        <f>прил6!F409</f>
        <v>16104944</v>
      </c>
      <c r="G239" s="29"/>
    </row>
    <row r="240" spans="1:7" ht="15.75">
      <c r="A240" s="61" t="s">
        <v>159</v>
      </c>
      <c r="B240" s="4" t="s">
        <v>160</v>
      </c>
      <c r="C240" s="4"/>
      <c r="D240" s="4"/>
      <c r="E240" s="4"/>
      <c r="F240" s="29">
        <f>F241</f>
        <v>246750</v>
      </c>
      <c r="G240" s="29"/>
    </row>
    <row r="241" spans="1:7" ht="31.5">
      <c r="A241" s="3" t="s">
        <v>326</v>
      </c>
      <c r="B241" s="4" t="s">
        <v>161</v>
      </c>
      <c r="C241" s="4"/>
      <c r="D241" s="4"/>
      <c r="E241" s="4"/>
      <c r="F241" s="29">
        <f>F242+F245</f>
        <v>246750</v>
      </c>
      <c r="G241" s="29"/>
    </row>
    <row r="242" spans="1:7" ht="47.25">
      <c r="A242" s="3" t="s">
        <v>306</v>
      </c>
      <c r="B242" s="4" t="s">
        <v>161</v>
      </c>
      <c r="C242" s="4" t="s">
        <v>19</v>
      </c>
      <c r="D242" s="4"/>
      <c r="E242" s="4"/>
      <c r="F242" s="29">
        <f>F243</f>
        <v>5000</v>
      </c>
      <c r="G242" s="29"/>
    </row>
    <row r="243" spans="1:7" ht="15.75">
      <c r="A243" s="3" t="s">
        <v>274</v>
      </c>
      <c r="B243" s="4" t="s">
        <v>161</v>
      </c>
      <c r="C243" s="4" t="s">
        <v>19</v>
      </c>
      <c r="D243" s="4" t="s">
        <v>255</v>
      </c>
      <c r="E243" s="4"/>
      <c r="F243" s="29">
        <f>F244</f>
        <v>5000</v>
      </c>
      <c r="G243" s="29"/>
    </row>
    <row r="244" spans="1:7" ht="31.5">
      <c r="A244" s="3" t="s">
        <v>284</v>
      </c>
      <c r="B244" s="4" t="s">
        <v>161</v>
      </c>
      <c r="C244" s="4" t="s">
        <v>19</v>
      </c>
      <c r="D244" s="4" t="s">
        <v>255</v>
      </c>
      <c r="E244" s="4" t="s">
        <v>16</v>
      </c>
      <c r="F244" s="29">
        <f>прил6!F100</f>
        <v>5000</v>
      </c>
      <c r="G244" s="29"/>
    </row>
    <row r="245" spans="1:7" ht="63">
      <c r="A245" s="3" t="s">
        <v>330</v>
      </c>
      <c r="B245" s="4" t="s">
        <v>161</v>
      </c>
      <c r="C245" s="4" t="s">
        <v>23</v>
      </c>
      <c r="D245" s="4"/>
      <c r="E245" s="4"/>
      <c r="F245" s="29">
        <f>F249+F246</f>
        <v>241750</v>
      </c>
      <c r="G245" s="29"/>
    </row>
    <row r="246" spans="1:7" ht="15.75">
      <c r="A246" s="3" t="s">
        <v>266</v>
      </c>
      <c r="B246" s="4" t="s">
        <v>161</v>
      </c>
      <c r="C246" s="4" t="s">
        <v>23</v>
      </c>
      <c r="D246" s="4" t="s">
        <v>258</v>
      </c>
      <c r="E246" s="4"/>
      <c r="F246" s="29">
        <f>F248+F247</f>
        <v>211750</v>
      </c>
      <c r="G246" s="29"/>
    </row>
    <row r="247" spans="1:7" ht="31.5">
      <c r="A247" s="3" t="s">
        <v>61</v>
      </c>
      <c r="B247" s="4" t="s">
        <v>161</v>
      </c>
      <c r="C247" s="4" t="s">
        <v>23</v>
      </c>
      <c r="D247" s="4" t="s">
        <v>258</v>
      </c>
      <c r="E247" s="4" t="s">
        <v>258</v>
      </c>
      <c r="F247" s="29">
        <f>прил6!F412</f>
        <v>150000</v>
      </c>
      <c r="G247" s="29"/>
    </row>
    <row r="248" spans="1:7" ht="31.5">
      <c r="A248" s="3" t="s">
        <v>279</v>
      </c>
      <c r="B248" s="4" t="s">
        <v>161</v>
      </c>
      <c r="C248" s="4" t="s">
        <v>23</v>
      </c>
      <c r="D248" s="4" t="s">
        <v>258</v>
      </c>
      <c r="E248" s="4" t="s">
        <v>261</v>
      </c>
      <c r="F248" s="29">
        <f>прил6!F443</f>
        <v>61750</v>
      </c>
      <c r="G248" s="29"/>
    </row>
    <row r="249" spans="1:7" ht="15.75">
      <c r="A249" s="3" t="s">
        <v>20</v>
      </c>
      <c r="B249" s="4" t="s">
        <v>161</v>
      </c>
      <c r="C249" s="4" t="s">
        <v>23</v>
      </c>
      <c r="D249" s="4" t="s">
        <v>259</v>
      </c>
      <c r="E249" s="4"/>
      <c r="F249" s="29">
        <f>F250</f>
        <v>30000</v>
      </c>
      <c r="G249" s="29"/>
    </row>
    <row r="250" spans="1:7" ht="15.75">
      <c r="A250" s="3" t="s">
        <v>280</v>
      </c>
      <c r="B250" s="4" t="s">
        <v>161</v>
      </c>
      <c r="C250" s="4" t="s">
        <v>23</v>
      </c>
      <c r="D250" s="4" t="s">
        <v>259</v>
      </c>
      <c r="E250" s="4" t="s">
        <v>255</v>
      </c>
      <c r="F250" s="29">
        <f>прил6!F465</f>
        <v>30000</v>
      </c>
      <c r="G250" s="29"/>
    </row>
    <row r="251" spans="1:7" ht="78.75">
      <c r="A251" s="13" t="s">
        <v>50</v>
      </c>
      <c r="B251" s="5" t="s">
        <v>51</v>
      </c>
      <c r="C251" s="5"/>
      <c r="D251" s="5"/>
      <c r="E251" s="5"/>
      <c r="F251" s="28">
        <f>F252+F280+F301+F310+F319</f>
        <v>232272045.43</v>
      </c>
      <c r="G251" s="28">
        <f>G252+G280+G301+G310+G319</f>
        <v>1409382</v>
      </c>
    </row>
    <row r="252" spans="1:7" ht="63">
      <c r="A252" s="3" t="s">
        <v>183</v>
      </c>
      <c r="B252" s="4" t="s">
        <v>184</v>
      </c>
      <c r="C252" s="4"/>
      <c r="D252" s="4"/>
      <c r="E252" s="4"/>
      <c r="F252" s="29">
        <f>F253+F259+F268+F272+F276</f>
        <v>161191393.55</v>
      </c>
      <c r="G252" s="29">
        <f>G253+G259+G268+G272+G276</f>
        <v>1073433.31</v>
      </c>
    </row>
    <row r="253" spans="1:7" ht="110.25">
      <c r="A253" s="3" t="s">
        <v>209</v>
      </c>
      <c r="B253" s="4" t="s">
        <v>137</v>
      </c>
      <c r="C253" s="4"/>
      <c r="D253" s="4"/>
      <c r="E253" s="4"/>
      <c r="F253" s="29">
        <f>F254</f>
        <v>158387980.24</v>
      </c>
      <c r="G253" s="29"/>
    </row>
    <row r="254" spans="1:7" ht="63">
      <c r="A254" s="3" t="s">
        <v>330</v>
      </c>
      <c r="B254" s="4" t="s">
        <v>137</v>
      </c>
      <c r="C254" s="4" t="s">
        <v>23</v>
      </c>
      <c r="D254" s="4"/>
      <c r="E254" s="4"/>
      <c r="F254" s="29">
        <f>F257+F255</f>
        <v>158387980.24</v>
      </c>
      <c r="G254" s="29"/>
    </row>
    <row r="255" spans="1:7" ht="15.75">
      <c r="A255" s="3" t="s">
        <v>266</v>
      </c>
      <c r="B255" s="4" t="s">
        <v>137</v>
      </c>
      <c r="C255" s="4" t="s">
        <v>23</v>
      </c>
      <c r="D255" s="4" t="s">
        <v>258</v>
      </c>
      <c r="E255" s="4"/>
      <c r="F255" s="29">
        <f>F256</f>
        <v>63986492.34</v>
      </c>
      <c r="G255" s="29"/>
    </row>
    <row r="256" spans="1:7" ht="15.75">
      <c r="A256" s="3" t="s">
        <v>268</v>
      </c>
      <c r="B256" s="4" t="s">
        <v>137</v>
      </c>
      <c r="C256" s="4" t="s">
        <v>23</v>
      </c>
      <c r="D256" s="4" t="s">
        <v>258</v>
      </c>
      <c r="E256" s="4" t="s">
        <v>260</v>
      </c>
      <c r="F256" s="29">
        <f>прил6!F383</f>
        <v>63986492.34</v>
      </c>
      <c r="G256" s="29"/>
    </row>
    <row r="257" spans="1:7" ht="15.75">
      <c r="A257" s="3" t="s">
        <v>20</v>
      </c>
      <c r="B257" s="4" t="s">
        <v>137</v>
      </c>
      <c r="C257" s="4" t="s">
        <v>23</v>
      </c>
      <c r="D257" s="4" t="s">
        <v>259</v>
      </c>
      <c r="E257" s="4"/>
      <c r="F257" s="29">
        <f>F258</f>
        <v>94401487.9</v>
      </c>
      <c r="G257" s="29"/>
    </row>
    <row r="258" spans="1:7" ht="15.75">
      <c r="A258" s="3" t="s">
        <v>280</v>
      </c>
      <c r="B258" s="4" t="s">
        <v>137</v>
      </c>
      <c r="C258" s="4" t="s">
        <v>23</v>
      </c>
      <c r="D258" s="4" t="s">
        <v>259</v>
      </c>
      <c r="E258" s="4" t="s">
        <v>255</v>
      </c>
      <c r="F258" s="29">
        <f>прил6!F469</f>
        <v>94401487.9</v>
      </c>
      <c r="G258" s="29"/>
    </row>
    <row r="259" spans="1:7" ht="31.5">
      <c r="A259" s="3" t="s">
        <v>326</v>
      </c>
      <c r="B259" s="4" t="s">
        <v>136</v>
      </c>
      <c r="C259" s="4"/>
      <c r="D259" s="4"/>
      <c r="E259" s="4"/>
      <c r="F259" s="29">
        <f>F260+F263</f>
        <v>1729980</v>
      </c>
      <c r="G259" s="29"/>
    </row>
    <row r="260" spans="1:7" ht="47.25">
      <c r="A260" s="3" t="s">
        <v>306</v>
      </c>
      <c r="B260" s="4" t="s">
        <v>136</v>
      </c>
      <c r="C260" s="4" t="s">
        <v>19</v>
      </c>
      <c r="D260" s="4"/>
      <c r="E260" s="4"/>
      <c r="F260" s="29">
        <f>F261</f>
        <v>1008980</v>
      </c>
      <c r="G260" s="29"/>
    </row>
    <row r="261" spans="1:7" ht="15.75">
      <c r="A261" s="3" t="s">
        <v>20</v>
      </c>
      <c r="B261" s="4" t="s">
        <v>136</v>
      </c>
      <c r="C261" s="4" t="s">
        <v>19</v>
      </c>
      <c r="D261" s="4" t="s">
        <v>259</v>
      </c>
      <c r="E261" s="4"/>
      <c r="F261" s="29">
        <f>F262</f>
        <v>1008980</v>
      </c>
      <c r="G261" s="29"/>
    </row>
    <row r="262" spans="1:7" ht="15.75">
      <c r="A262" s="3" t="s">
        <v>280</v>
      </c>
      <c r="B262" s="4" t="s">
        <v>136</v>
      </c>
      <c r="C262" s="4" t="s">
        <v>19</v>
      </c>
      <c r="D262" s="4" t="s">
        <v>259</v>
      </c>
      <c r="E262" s="4" t="s">
        <v>255</v>
      </c>
      <c r="F262" s="29">
        <f>прил6!F471</f>
        <v>1008980</v>
      </c>
      <c r="G262" s="29"/>
    </row>
    <row r="263" spans="1:7" s="74" customFormat="1" ht="63">
      <c r="A263" s="27" t="s">
        <v>330</v>
      </c>
      <c r="B263" s="4" t="s">
        <v>136</v>
      </c>
      <c r="C263" s="4" t="s">
        <v>23</v>
      </c>
      <c r="D263" s="4"/>
      <c r="E263" s="4"/>
      <c r="F263" s="29">
        <f>F266+F264</f>
        <v>721000</v>
      </c>
      <c r="G263" s="29"/>
    </row>
    <row r="264" spans="1:7" s="74" customFormat="1" ht="15.75">
      <c r="A264" s="3" t="s">
        <v>266</v>
      </c>
      <c r="B264" s="4" t="s">
        <v>136</v>
      </c>
      <c r="C264" s="4" t="s">
        <v>23</v>
      </c>
      <c r="D264" s="4" t="s">
        <v>258</v>
      </c>
      <c r="E264" s="4"/>
      <c r="F264" s="29">
        <f>F265</f>
        <v>189202</v>
      </c>
      <c r="G264" s="29"/>
    </row>
    <row r="265" spans="1:7" s="74" customFormat="1" ht="15.75">
      <c r="A265" s="3" t="s">
        <v>268</v>
      </c>
      <c r="B265" s="4" t="s">
        <v>136</v>
      </c>
      <c r="C265" s="4" t="s">
        <v>23</v>
      </c>
      <c r="D265" s="4" t="s">
        <v>258</v>
      </c>
      <c r="E265" s="4" t="s">
        <v>260</v>
      </c>
      <c r="F265" s="29">
        <f>прил7!G630</f>
        <v>189202</v>
      </c>
      <c r="G265" s="29"/>
    </row>
    <row r="266" spans="1:7" ht="15.75">
      <c r="A266" s="3" t="s">
        <v>20</v>
      </c>
      <c r="B266" s="4" t="s">
        <v>136</v>
      </c>
      <c r="C266" s="4" t="s">
        <v>23</v>
      </c>
      <c r="D266" s="4" t="s">
        <v>259</v>
      </c>
      <c r="E266" s="4"/>
      <c r="F266" s="29">
        <f>F267</f>
        <v>531798</v>
      </c>
      <c r="G266" s="29"/>
    </row>
    <row r="267" spans="1:7" ht="15.75">
      <c r="A267" s="3" t="s">
        <v>280</v>
      </c>
      <c r="B267" s="4" t="s">
        <v>136</v>
      </c>
      <c r="C267" s="4" t="s">
        <v>23</v>
      </c>
      <c r="D267" s="4" t="s">
        <v>259</v>
      </c>
      <c r="E267" s="4" t="s">
        <v>255</v>
      </c>
      <c r="F267" s="29">
        <f>прил7!G680</f>
        <v>531798</v>
      </c>
      <c r="G267" s="29"/>
    </row>
    <row r="268" spans="1:7" ht="141.75">
      <c r="A268" s="3" t="s">
        <v>59</v>
      </c>
      <c r="B268" s="4" t="s">
        <v>185</v>
      </c>
      <c r="C268" s="4"/>
      <c r="D268" s="4"/>
      <c r="E268" s="4"/>
      <c r="F268" s="29">
        <f aca="true" t="shared" si="23" ref="F268:G270">F269</f>
        <v>635139.31</v>
      </c>
      <c r="G268" s="29">
        <f t="shared" si="23"/>
        <v>635139.31</v>
      </c>
    </row>
    <row r="269" spans="1:7" ht="63">
      <c r="A269" s="3" t="s">
        <v>330</v>
      </c>
      <c r="B269" s="4" t="s">
        <v>185</v>
      </c>
      <c r="C269" s="4" t="s">
        <v>23</v>
      </c>
      <c r="D269" s="4"/>
      <c r="E269" s="4"/>
      <c r="F269" s="29">
        <f t="shared" si="23"/>
        <v>635139.31</v>
      </c>
      <c r="G269" s="29">
        <f t="shared" si="23"/>
        <v>635139.31</v>
      </c>
    </row>
    <row r="270" spans="1:7" ht="15.75">
      <c r="A270" s="3" t="s">
        <v>20</v>
      </c>
      <c r="B270" s="4" t="s">
        <v>185</v>
      </c>
      <c r="C270" s="4" t="s">
        <v>23</v>
      </c>
      <c r="D270" s="4" t="s">
        <v>259</v>
      </c>
      <c r="E270" s="4"/>
      <c r="F270" s="29">
        <f t="shared" si="23"/>
        <v>635139.31</v>
      </c>
      <c r="G270" s="29">
        <f t="shared" si="23"/>
        <v>635139.31</v>
      </c>
    </row>
    <row r="271" spans="1:7" ht="15.75">
      <c r="A271" s="3" t="s">
        <v>280</v>
      </c>
      <c r="B271" s="4" t="s">
        <v>185</v>
      </c>
      <c r="C271" s="4" t="s">
        <v>23</v>
      </c>
      <c r="D271" s="4" t="s">
        <v>259</v>
      </c>
      <c r="E271" s="4" t="s">
        <v>255</v>
      </c>
      <c r="F271" s="29">
        <f>прил6!F474</f>
        <v>635139.31</v>
      </c>
      <c r="G271" s="29">
        <f>F271</f>
        <v>635139.31</v>
      </c>
    </row>
    <row r="272" spans="1:7" ht="126">
      <c r="A272" s="3" t="s">
        <v>202</v>
      </c>
      <c r="B272" s="4" t="s">
        <v>203</v>
      </c>
      <c r="C272" s="4"/>
      <c r="D272" s="4"/>
      <c r="E272" s="4"/>
      <c r="F272" s="29">
        <f aca="true" t="shared" si="24" ref="F272:G274">F273</f>
        <v>2323</v>
      </c>
      <c r="G272" s="29">
        <f t="shared" si="24"/>
        <v>2323</v>
      </c>
    </row>
    <row r="273" spans="1:7" ht="63">
      <c r="A273" s="27" t="s">
        <v>330</v>
      </c>
      <c r="B273" s="4" t="s">
        <v>203</v>
      </c>
      <c r="C273" s="4" t="s">
        <v>23</v>
      </c>
      <c r="D273" s="4"/>
      <c r="E273" s="4"/>
      <c r="F273" s="29">
        <f t="shared" si="24"/>
        <v>2323</v>
      </c>
      <c r="G273" s="29">
        <f t="shared" si="24"/>
        <v>2323</v>
      </c>
    </row>
    <row r="274" spans="1:7" ht="15.75">
      <c r="A274" s="3" t="s">
        <v>269</v>
      </c>
      <c r="B274" s="4" t="s">
        <v>203</v>
      </c>
      <c r="C274" s="4" t="s">
        <v>23</v>
      </c>
      <c r="D274" s="4" t="s">
        <v>263</v>
      </c>
      <c r="E274" s="4"/>
      <c r="F274" s="29">
        <f t="shared" si="24"/>
        <v>2323</v>
      </c>
      <c r="G274" s="29">
        <f t="shared" si="24"/>
        <v>2323</v>
      </c>
    </row>
    <row r="275" spans="1:7" ht="31.5">
      <c r="A275" s="3" t="s">
        <v>281</v>
      </c>
      <c r="B275" s="4" t="s">
        <v>203</v>
      </c>
      <c r="C275" s="4" t="s">
        <v>23</v>
      </c>
      <c r="D275" s="4" t="s">
        <v>263</v>
      </c>
      <c r="E275" s="4" t="s">
        <v>262</v>
      </c>
      <c r="F275" s="29">
        <f>прил6!F530</f>
        <v>2323</v>
      </c>
      <c r="G275" s="29">
        <f>F275</f>
        <v>2323</v>
      </c>
    </row>
    <row r="276" spans="1:7" ht="126">
      <c r="A276" s="3" t="s">
        <v>190</v>
      </c>
      <c r="B276" s="4" t="s">
        <v>193</v>
      </c>
      <c r="C276" s="4"/>
      <c r="D276" s="4"/>
      <c r="E276" s="4"/>
      <c r="F276" s="29">
        <f aca="true" t="shared" si="25" ref="F276:G278">F277</f>
        <v>435971</v>
      </c>
      <c r="G276" s="29">
        <f t="shared" si="25"/>
        <v>435971</v>
      </c>
    </row>
    <row r="277" spans="1:7" ht="63">
      <c r="A277" s="27" t="s">
        <v>330</v>
      </c>
      <c r="B277" s="4" t="s">
        <v>193</v>
      </c>
      <c r="C277" s="4" t="s">
        <v>23</v>
      </c>
      <c r="D277" s="4"/>
      <c r="E277" s="4"/>
      <c r="F277" s="29">
        <f t="shared" si="25"/>
        <v>435971</v>
      </c>
      <c r="G277" s="29">
        <f t="shared" si="25"/>
        <v>435971</v>
      </c>
    </row>
    <row r="278" spans="1:7" ht="15.75">
      <c r="A278" s="3" t="s">
        <v>269</v>
      </c>
      <c r="B278" s="4" t="s">
        <v>193</v>
      </c>
      <c r="C278" s="4" t="s">
        <v>23</v>
      </c>
      <c r="D278" s="4" t="s">
        <v>263</v>
      </c>
      <c r="E278" s="4"/>
      <c r="F278" s="29">
        <f t="shared" si="25"/>
        <v>435971</v>
      </c>
      <c r="G278" s="29">
        <f t="shared" si="25"/>
        <v>435971</v>
      </c>
    </row>
    <row r="279" spans="1:7" ht="31.5">
      <c r="A279" s="3" t="s">
        <v>281</v>
      </c>
      <c r="B279" s="4" t="s">
        <v>193</v>
      </c>
      <c r="C279" s="4" t="s">
        <v>23</v>
      </c>
      <c r="D279" s="4" t="s">
        <v>263</v>
      </c>
      <c r="E279" s="4" t="s">
        <v>262</v>
      </c>
      <c r="F279" s="29">
        <f>прил6!F532</f>
        <v>435971</v>
      </c>
      <c r="G279" s="29">
        <f>F279</f>
        <v>435971</v>
      </c>
    </row>
    <row r="280" spans="1:7" ht="31.5">
      <c r="A280" s="3" t="s">
        <v>53</v>
      </c>
      <c r="B280" s="4" t="s">
        <v>54</v>
      </c>
      <c r="C280" s="4"/>
      <c r="D280" s="4"/>
      <c r="E280" s="4"/>
      <c r="F280" s="29">
        <f>F281+F285+F289+F293+F297</f>
        <v>50339578.69</v>
      </c>
      <c r="G280" s="29">
        <f>G281+G285+G289+G293+G297</f>
        <v>335948.69</v>
      </c>
    </row>
    <row r="281" spans="1:7" ht="110.25">
      <c r="A281" s="3" t="s">
        <v>209</v>
      </c>
      <c r="B281" s="4" t="s">
        <v>138</v>
      </c>
      <c r="C281" s="4"/>
      <c r="D281" s="4"/>
      <c r="E281" s="4"/>
      <c r="F281" s="29">
        <f>F282</f>
        <v>50003630</v>
      </c>
      <c r="G281" s="29"/>
    </row>
    <row r="282" spans="1:7" ht="63">
      <c r="A282" s="3" t="s">
        <v>330</v>
      </c>
      <c r="B282" s="4" t="s">
        <v>138</v>
      </c>
      <c r="C282" s="4" t="s">
        <v>23</v>
      </c>
      <c r="D282" s="4"/>
      <c r="E282" s="4"/>
      <c r="F282" s="29">
        <f>F283</f>
        <v>50003630</v>
      </c>
      <c r="G282" s="29"/>
    </row>
    <row r="283" spans="1:7" ht="15.75">
      <c r="A283" s="3" t="s">
        <v>20</v>
      </c>
      <c r="B283" s="4" t="s">
        <v>138</v>
      </c>
      <c r="C283" s="4" t="s">
        <v>23</v>
      </c>
      <c r="D283" s="4" t="s">
        <v>259</v>
      </c>
      <c r="E283" s="4"/>
      <c r="F283" s="29">
        <f>F284</f>
        <v>50003630</v>
      </c>
      <c r="G283" s="29"/>
    </row>
    <row r="284" spans="1:7" ht="15.75">
      <c r="A284" s="3" t="s">
        <v>280</v>
      </c>
      <c r="B284" s="4" t="s">
        <v>138</v>
      </c>
      <c r="C284" s="4" t="s">
        <v>23</v>
      </c>
      <c r="D284" s="4" t="s">
        <v>259</v>
      </c>
      <c r="E284" s="4" t="s">
        <v>255</v>
      </c>
      <c r="F284" s="29">
        <f>прил6!F477</f>
        <v>50003630</v>
      </c>
      <c r="G284" s="29"/>
    </row>
    <row r="285" spans="1:7" ht="110.25">
      <c r="A285" s="3" t="s">
        <v>55</v>
      </c>
      <c r="B285" s="4" t="s">
        <v>56</v>
      </c>
      <c r="C285" s="4"/>
      <c r="D285" s="4"/>
      <c r="E285" s="4"/>
      <c r="F285" s="29">
        <f aca="true" t="shared" si="26" ref="F285:G287">F286</f>
        <v>0</v>
      </c>
      <c r="G285" s="29">
        <f t="shared" si="26"/>
        <v>0</v>
      </c>
    </row>
    <row r="286" spans="1:7" ht="63">
      <c r="A286" s="3" t="s">
        <v>330</v>
      </c>
      <c r="B286" s="4" t="s">
        <v>56</v>
      </c>
      <c r="C286" s="4" t="s">
        <v>23</v>
      </c>
      <c r="D286" s="4"/>
      <c r="E286" s="4"/>
      <c r="F286" s="29">
        <f t="shared" si="26"/>
        <v>0</v>
      </c>
      <c r="G286" s="29">
        <f t="shared" si="26"/>
        <v>0</v>
      </c>
    </row>
    <row r="287" spans="1:7" ht="15.75">
      <c r="A287" s="3" t="s">
        <v>20</v>
      </c>
      <c r="B287" s="4" t="s">
        <v>56</v>
      </c>
      <c r="C287" s="4" t="s">
        <v>23</v>
      </c>
      <c r="D287" s="4" t="s">
        <v>259</v>
      </c>
      <c r="E287" s="4"/>
      <c r="F287" s="29">
        <f t="shared" si="26"/>
        <v>0</v>
      </c>
      <c r="G287" s="29">
        <f t="shared" si="26"/>
        <v>0</v>
      </c>
    </row>
    <row r="288" spans="1:7" ht="15.75">
      <c r="A288" s="3" t="s">
        <v>280</v>
      </c>
      <c r="B288" s="4" t="s">
        <v>56</v>
      </c>
      <c r="C288" s="4" t="s">
        <v>23</v>
      </c>
      <c r="D288" s="4" t="s">
        <v>259</v>
      </c>
      <c r="E288" s="4" t="s">
        <v>255</v>
      </c>
      <c r="F288" s="29">
        <f>прил6!F479</f>
        <v>0</v>
      </c>
      <c r="G288" s="29">
        <f>F288</f>
        <v>0</v>
      </c>
    </row>
    <row r="289" spans="1:7" ht="141.75">
      <c r="A289" s="3" t="s">
        <v>59</v>
      </c>
      <c r="B289" s="4" t="s">
        <v>186</v>
      </c>
      <c r="C289" s="4"/>
      <c r="D289" s="4"/>
      <c r="E289" s="4"/>
      <c r="F289" s="29">
        <f aca="true" t="shared" si="27" ref="F289:G291">F290</f>
        <v>194938.69</v>
      </c>
      <c r="G289" s="29">
        <f t="shared" si="27"/>
        <v>194938.69</v>
      </c>
    </row>
    <row r="290" spans="1:7" ht="63">
      <c r="A290" s="3" t="s">
        <v>330</v>
      </c>
      <c r="B290" s="4" t="s">
        <v>186</v>
      </c>
      <c r="C290" s="4" t="s">
        <v>23</v>
      </c>
      <c r="D290" s="4"/>
      <c r="E290" s="4"/>
      <c r="F290" s="29">
        <f t="shared" si="27"/>
        <v>194938.69</v>
      </c>
      <c r="G290" s="29">
        <f t="shared" si="27"/>
        <v>194938.69</v>
      </c>
    </row>
    <row r="291" spans="1:7" ht="15.75">
      <c r="A291" s="3" t="s">
        <v>20</v>
      </c>
      <c r="B291" s="4" t="s">
        <v>186</v>
      </c>
      <c r="C291" s="4" t="s">
        <v>23</v>
      </c>
      <c r="D291" s="4" t="s">
        <v>259</v>
      </c>
      <c r="E291" s="4"/>
      <c r="F291" s="29">
        <f t="shared" si="27"/>
        <v>194938.69</v>
      </c>
      <c r="G291" s="29">
        <f t="shared" si="27"/>
        <v>194938.69</v>
      </c>
    </row>
    <row r="292" spans="1:7" ht="15.75">
      <c r="A292" s="3" t="s">
        <v>280</v>
      </c>
      <c r="B292" s="4" t="s">
        <v>186</v>
      </c>
      <c r="C292" s="4" t="s">
        <v>23</v>
      </c>
      <c r="D292" s="4" t="s">
        <v>259</v>
      </c>
      <c r="E292" s="4" t="s">
        <v>255</v>
      </c>
      <c r="F292" s="29">
        <f>прил6!F481</f>
        <v>194938.69</v>
      </c>
      <c r="G292" s="29">
        <f>F292</f>
        <v>194938.69</v>
      </c>
    </row>
    <row r="293" spans="1:7" ht="126">
      <c r="A293" s="3" t="s">
        <v>202</v>
      </c>
      <c r="B293" s="4" t="s">
        <v>204</v>
      </c>
      <c r="C293" s="4"/>
      <c r="D293" s="4"/>
      <c r="E293" s="4"/>
      <c r="F293" s="29">
        <f aca="true" t="shared" si="28" ref="F293:G295">F294</f>
        <v>707</v>
      </c>
      <c r="G293" s="29">
        <f t="shared" si="28"/>
        <v>707</v>
      </c>
    </row>
    <row r="294" spans="1:7" ht="63">
      <c r="A294" s="27" t="s">
        <v>330</v>
      </c>
      <c r="B294" s="4" t="s">
        <v>204</v>
      </c>
      <c r="C294" s="4" t="s">
        <v>23</v>
      </c>
      <c r="D294" s="4"/>
      <c r="E294" s="4"/>
      <c r="F294" s="29">
        <f t="shared" si="28"/>
        <v>707</v>
      </c>
      <c r="G294" s="29">
        <f t="shared" si="28"/>
        <v>707</v>
      </c>
    </row>
    <row r="295" spans="1:7" ht="15.75">
      <c r="A295" s="3" t="s">
        <v>269</v>
      </c>
      <c r="B295" s="4" t="s">
        <v>204</v>
      </c>
      <c r="C295" s="4" t="s">
        <v>23</v>
      </c>
      <c r="D295" s="4" t="s">
        <v>263</v>
      </c>
      <c r="E295" s="4"/>
      <c r="F295" s="29">
        <f t="shared" si="28"/>
        <v>707</v>
      </c>
      <c r="G295" s="29">
        <f t="shared" si="28"/>
        <v>707</v>
      </c>
    </row>
    <row r="296" spans="1:7" ht="31.5">
      <c r="A296" s="3" t="s">
        <v>281</v>
      </c>
      <c r="B296" s="4" t="s">
        <v>204</v>
      </c>
      <c r="C296" s="4" t="s">
        <v>23</v>
      </c>
      <c r="D296" s="4" t="s">
        <v>263</v>
      </c>
      <c r="E296" s="4" t="s">
        <v>262</v>
      </c>
      <c r="F296" s="29">
        <f>прил6!F535</f>
        <v>707</v>
      </c>
      <c r="G296" s="29">
        <f>F296</f>
        <v>707</v>
      </c>
    </row>
    <row r="297" spans="1:7" ht="126">
      <c r="A297" s="3" t="s">
        <v>190</v>
      </c>
      <c r="B297" s="4" t="s">
        <v>194</v>
      </c>
      <c r="C297" s="4"/>
      <c r="D297" s="4"/>
      <c r="E297" s="4"/>
      <c r="F297" s="29">
        <f aca="true" t="shared" si="29" ref="F297:G299">F298</f>
        <v>140303</v>
      </c>
      <c r="G297" s="29">
        <f t="shared" si="29"/>
        <v>140303</v>
      </c>
    </row>
    <row r="298" spans="1:7" ht="63">
      <c r="A298" s="27" t="s">
        <v>330</v>
      </c>
      <c r="B298" s="4" t="s">
        <v>194</v>
      </c>
      <c r="C298" s="4" t="s">
        <v>23</v>
      </c>
      <c r="D298" s="4"/>
      <c r="E298" s="4"/>
      <c r="F298" s="29">
        <f t="shared" si="29"/>
        <v>140303</v>
      </c>
      <c r="G298" s="29">
        <f t="shared" si="29"/>
        <v>140303</v>
      </c>
    </row>
    <row r="299" spans="1:7" ht="15.75">
      <c r="A299" s="3" t="s">
        <v>269</v>
      </c>
      <c r="B299" s="4" t="s">
        <v>194</v>
      </c>
      <c r="C299" s="4" t="s">
        <v>23</v>
      </c>
      <c r="D299" s="4" t="s">
        <v>263</v>
      </c>
      <c r="E299" s="4"/>
      <c r="F299" s="29">
        <f t="shared" si="29"/>
        <v>140303</v>
      </c>
      <c r="G299" s="29">
        <f t="shared" si="29"/>
        <v>140303</v>
      </c>
    </row>
    <row r="300" spans="1:7" ht="31.5">
      <c r="A300" s="3" t="s">
        <v>281</v>
      </c>
      <c r="B300" s="4" t="s">
        <v>194</v>
      </c>
      <c r="C300" s="4" t="s">
        <v>23</v>
      </c>
      <c r="D300" s="4" t="s">
        <v>263</v>
      </c>
      <c r="E300" s="4" t="s">
        <v>262</v>
      </c>
      <c r="F300" s="29">
        <f>прил6!F537</f>
        <v>140303</v>
      </c>
      <c r="G300" s="29">
        <f>F300</f>
        <v>140303</v>
      </c>
    </row>
    <row r="301" spans="1:7" ht="31.5">
      <c r="A301" s="3" t="s">
        <v>139</v>
      </c>
      <c r="B301" s="4" t="s">
        <v>140</v>
      </c>
      <c r="C301" s="4"/>
      <c r="D301" s="4"/>
      <c r="E301" s="4"/>
      <c r="F301" s="29">
        <f>F302+F306</f>
        <v>12441660.3</v>
      </c>
      <c r="G301" s="29"/>
    </row>
    <row r="302" spans="1:7" ht="110.25">
      <c r="A302" s="3" t="s">
        <v>209</v>
      </c>
      <c r="B302" s="4" t="s">
        <v>141</v>
      </c>
      <c r="C302" s="4"/>
      <c r="D302" s="4"/>
      <c r="E302" s="4"/>
      <c r="F302" s="29">
        <f>F303</f>
        <v>12407640.3</v>
      </c>
      <c r="G302" s="29"/>
    </row>
    <row r="303" spans="1:7" ht="63">
      <c r="A303" s="3" t="s">
        <v>330</v>
      </c>
      <c r="B303" s="4" t="s">
        <v>141</v>
      </c>
      <c r="C303" s="4" t="s">
        <v>23</v>
      </c>
      <c r="D303" s="4"/>
      <c r="E303" s="4"/>
      <c r="F303" s="29">
        <f>F304</f>
        <v>12407640.3</v>
      </c>
      <c r="G303" s="29"/>
    </row>
    <row r="304" spans="1:7" ht="15.75">
      <c r="A304" s="3" t="s">
        <v>20</v>
      </c>
      <c r="B304" s="4" t="s">
        <v>141</v>
      </c>
      <c r="C304" s="4" t="s">
        <v>23</v>
      </c>
      <c r="D304" s="4" t="s">
        <v>259</v>
      </c>
      <c r="E304" s="4"/>
      <c r="F304" s="29">
        <f>F305</f>
        <v>12407640.3</v>
      </c>
      <c r="G304" s="29"/>
    </row>
    <row r="305" spans="1:7" ht="15.75">
      <c r="A305" s="3" t="s">
        <v>280</v>
      </c>
      <c r="B305" s="4" t="s">
        <v>141</v>
      </c>
      <c r="C305" s="4" t="s">
        <v>23</v>
      </c>
      <c r="D305" s="4" t="s">
        <v>259</v>
      </c>
      <c r="E305" s="4" t="s">
        <v>255</v>
      </c>
      <c r="F305" s="29">
        <f>прил6!F484</f>
        <v>12407640.3</v>
      </c>
      <c r="G305" s="29"/>
    </row>
    <row r="306" spans="1:7" ht="31.5">
      <c r="A306" s="3" t="s">
        <v>326</v>
      </c>
      <c r="B306" s="4" t="s">
        <v>346</v>
      </c>
      <c r="C306" s="4"/>
      <c r="D306" s="4"/>
      <c r="E306" s="4"/>
      <c r="F306" s="29">
        <f>F307</f>
        <v>34020</v>
      </c>
      <c r="G306" s="29"/>
    </row>
    <row r="307" spans="1:7" ht="63">
      <c r="A307" s="3" t="s">
        <v>330</v>
      </c>
      <c r="B307" s="4" t="s">
        <v>346</v>
      </c>
      <c r="C307" s="4" t="s">
        <v>23</v>
      </c>
      <c r="D307" s="4"/>
      <c r="E307" s="4"/>
      <c r="F307" s="29">
        <f>F308</f>
        <v>34020</v>
      </c>
      <c r="G307" s="29"/>
    </row>
    <row r="308" spans="1:7" ht="15.75">
      <c r="A308" s="3" t="s">
        <v>20</v>
      </c>
      <c r="B308" s="4" t="s">
        <v>346</v>
      </c>
      <c r="C308" s="4" t="s">
        <v>23</v>
      </c>
      <c r="D308" s="4" t="s">
        <v>259</v>
      </c>
      <c r="E308" s="4"/>
      <c r="F308" s="29">
        <f>F309</f>
        <v>34020</v>
      </c>
      <c r="G308" s="29"/>
    </row>
    <row r="309" spans="1:7" ht="15.75">
      <c r="A309" s="3" t="s">
        <v>280</v>
      </c>
      <c r="B309" s="4" t="s">
        <v>346</v>
      </c>
      <c r="C309" s="4" t="s">
        <v>23</v>
      </c>
      <c r="D309" s="4" t="s">
        <v>259</v>
      </c>
      <c r="E309" s="4" t="s">
        <v>255</v>
      </c>
      <c r="F309" s="29">
        <f>прил7!G694</f>
        <v>34020</v>
      </c>
      <c r="G309" s="29"/>
    </row>
    <row r="310" spans="1:7" ht="63">
      <c r="A310" s="3" t="s">
        <v>142</v>
      </c>
      <c r="B310" s="4" t="s">
        <v>143</v>
      </c>
      <c r="C310" s="4"/>
      <c r="D310" s="4"/>
      <c r="E310" s="4"/>
      <c r="F310" s="29">
        <f>F311+F315</f>
        <v>1870000</v>
      </c>
      <c r="G310" s="29"/>
    </row>
    <row r="311" spans="1:7" ht="47.25">
      <c r="A311" s="3" t="s">
        <v>228</v>
      </c>
      <c r="B311" s="4" t="s">
        <v>144</v>
      </c>
      <c r="C311" s="4"/>
      <c r="D311" s="4"/>
      <c r="E311" s="4"/>
      <c r="F311" s="29">
        <f>F312</f>
        <v>1820000</v>
      </c>
      <c r="G311" s="29"/>
    </row>
    <row r="312" spans="1:7" ht="47.25">
      <c r="A312" s="3" t="s">
        <v>306</v>
      </c>
      <c r="B312" s="4" t="s">
        <v>144</v>
      </c>
      <c r="C312" s="4" t="s">
        <v>19</v>
      </c>
      <c r="D312" s="4"/>
      <c r="E312" s="4"/>
      <c r="F312" s="29">
        <f>F313</f>
        <v>1820000</v>
      </c>
      <c r="G312" s="29"/>
    </row>
    <row r="313" spans="1:7" ht="15.75">
      <c r="A313" s="3" t="s">
        <v>274</v>
      </c>
      <c r="B313" s="4" t="s">
        <v>144</v>
      </c>
      <c r="C313" s="4" t="s">
        <v>19</v>
      </c>
      <c r="D313" s="4" t="s">
        <v>255</v>
      </c>
      <c r="E313" s="4"/>
      <c r="F313" s="29">
        <f>F314</f>
        <v>1820000</v>
      </c>
      <c r="G313" s="29"/>
    </row>
    <row r="314" spans="1:7" ht="31.5">
      <c r="A314" s="3" t="s">
        <v>284</v>
      </c>
      <c r="B314" s="4" t="s">
        <v>144</v>
      </c>
      <c r="C314" s="4" t="s">
        <v>19</v>
      </c>
      <c r="D314" s="4" t="s">
        <v>255</v>
      </c>
      <c r="E314" s="4" t="s">
        <v>16</v>
      </c>
      <c r="F314" s="29">
        <f>прил6!F104</f>
        <v>1820000</v>
      </c>
      <c r="G314" s="29"/>
    </row>
    <row r="315" spans="1:7" ht="31.5">
      <c r="A315" s="3" t="s">
        <v>326</v>
      </c>
      <c r="B315" s="4" t="s">
        <v>145</v>
      </c>
      <c r="C315" s="4"/>
      <c r="D315" s="4"/>
      <c r="E315" s="4"/>
      <c r="F315" s="29">
        <f>F316</f>
        <v>50000</v>
      </c>
      <c r="G315" s="29"/>
    </row>
    <row r="316" spans="1:7" ht="47.25">
      <c r="A316" s="3" t="s">
        <v>306</v>
      </c>
      <c r="B316" s="4" t="s">
        <v>145</v>
      </c>
      <c r="C316" s="4" t="s">
        <v>19</v>
      </c>
      <c r="D316" s="4"/>
      <c r="E316" s="4"/>
      <c r="F316" s="29">
        <f>F317</f>
        <v>50000</v>
      </c>
      <c r="G316" s="29"/>
    </row>
    <row r="317" spans="1:7" ht="15.75">
      <c r="A317" s="3" t="s">
        <v>274</v>
      </c>
      <c r="B317" s="4" t="s">
        <v>145</v>
      </c>
      <c r="C317" s="4" t="s">
        <v>19</v>
      </c>
      <c r="D317" s="4" t="s">
        <v>255</v>
      </c>
      <c r="E317" s="4"/>
      <c r="F317" s="29">
        <f>F318</f>
        <v>50000</v>
      </c>
      <c r="G317" s="29"/>
    </row>
    <row r="318" spans="1:7" ht="31.5">
      <c r="A318" s="3" t="s">
        <v>284</v>
      </c>
      <c r="B318" s="4" t="s">
        <v>145</v>
      </c>
      <c r="C318" s="4" t="s">
        <v>19</v>
      </c>
      <c r="D318" s="4" t="s">
        <v>255</v>
      </c>
      <c r="E318" s="4" t="s">
        <v>16</v>
      </c>
      <c r="F318" s="29">
        <f>прил6!F106</f>
        <v>50000</v>
      </c>
      <c r="G318" s="29"/>
    </row>
    <row r="319" spans="1:7" ht="78.75">
      <c r="A319" s="3" t="s">
        <v>146</v>
      </c>
      <c r="B319" s="4" t="s">
        <v>147</v>
      </c>
      <c r="C319" s="4"/>
      <c r="D319" s="4"/>
      <c r="E319" s="4"/>
      <c r="F319" s="29">
        <f>F320+F324</f>
        <v>6429412.89</v>
      </c>
      <c r="G319" s="29"/>
    </row>
    <row r="320" spans="1:7" ht="47.25">
      <c r="A320" s="3" t="s">
        <v>228</v>
      </c>
      <c r="B320" s="4" t="s">
        <v>148</v>
      </c>
      <c r="C320" s="4"/>
      <c r="D320" s="4"/>
      <c r="E320" s="4"/>
      <c r="F320" s="29">
        <f>F321</f>
        <v>867000</v>
      </c>
      <c r="G320" s="29"/>
    </row>
    <row r="321" spans="1:7" ht="63">
      <c r="A321" s="3" t="s">
        <v>330</v>
      </c>
      <c r="B321" s="4" t="s">
        <v>148</v>
      </c>
      <c r="C321" s="4" t="s">
        <v>23</v>
      </c>
      <c r="D321" s="4"/>
      <c r="E321" s="4"/>
      <c r="F321" s="29">
        <f>F322</f>
        <v>867000</v>
      </c>
      <c r="G321" s="29"/>
    </row>
    <row r="322" spans="1:7" ht="15.75">
      <c r="A322" s="3" t="s">
        <v>20</v>
      </c>
      <c r="B322" s="4" t="s">
        <v>148</v>
      </c>
      <c r="C322" s="4" t="s">
        <v>23</v>
      </c>
      <c r="D322" s="4" t="s">
        <v>259</v>
      </c>
      <c r="E322" s="4"/>
      <c r="F322" s="29">
        <f>F323</f>
        <v>867000</v>
      </c>
      <c r="G322" s="29"/>
    </row>
    <row r="323" spans="1:7" ht="15.75">
      <c r="A323" s="3" t="s">
        <v>280</v>
      </c>
      <c r="B323" s="4" t="s">
        <v>148</v>
      </c>
      <c r="C323" s="4" t="s">
        <v>23</v>
      </c>
      <c r="D323" s="4" t="s">
        <v>259</v>
      </c>
      <c r="E323" s="4" t="s">
        <v>255</v>
      </c>
      <c r="F323" s="29">
        <f>прил6!F489</f>
        <v>867000</v>
      </c>
      <c r="G323" s="29"/>
    </row>
    <row r="324" spans="1:7" ht="31.5">
      <c r="A324" s="3" t="s">
        <v>326</v>
      </c>
      <c r="B324" s="4" t="s">
        <v>149</v>
      </c>
      <c r="C324" s="4"/>
      <c r="D324" s="4"/>
      <c r="E324" s="4"/>
      <c r="F324" s="29">
        <f>F325</f>
        <v>5562412.89</v>
      </c>
      <c r="G324" s="29"/>
    </row>
    <row r="325" spans="1:7" ht="63">
      <c r="A325" s="3" t="s">
        <v>330</v>
      </c>
      <c r="B325" s="4" t="s">
        <v>149</v>
      </c>
      <c r="C325" s="4" t="s">
        <v>23</v>
      </c>
      <c r="D325" s="4"/>
      <c r="E325" s="4"/>
      <c r="F325" s="29">
        <f>F328+F326</f>
        <v>5562412.89</v>
      </c>
      <c r="G325" s="29"/>
    </row>
    <row r="326" spans="1:7" ht="15.75">
      <c r="A326" s="3" t="s">
        <v>266</v>
      </c>
      <c r="B326" s="4" t="s">
        <v>149</v>
      </c>
      <c r="C326" s="4" t="s">
        <v>23</v>
      </c>
      <c r="D326" s="4" t="s">
        <v>258</v>
      </c>
      <c r="E326" s="4"/>
      <c r="F326" s="29">
        <f>F327</f>
        <v>598001.8700000001</v>
      </c>
      <c r="G326" s="29"/>
    </row>
    <row r="327" spans="1:7" ht="15.75">
      <c r="A327" s="3" t="s">
        <v>268</v>
      </c>
      <c r="B327" s="4" t="s">
        <v>149</v>
      </c>
      <c r="C327" s="4" t="s">
        <v>23</v>
      </c>
      <c r="D327" s="4" t="s">
        <v>258</v>
      </c>
      <c r="E327" s="4" t="s">
        <v>260</v>
      </c>
      <c r="F327" s="29">
        <f>прил6!F388</f>
        <v>598001.8700000001</v>
      </c>
      <c r="G327" s="29"/>
    </row>
    <row r="328" spans="1:7" ht="15.75">
      <c r="A328" s="3" t="s">
        <v>20</v>
      </c>
      <c r="B328" s="4" t="s">
        <v>149</v>
      </c>
      <c r="C328" s="4" t="s">
        <v>23</v>
      </c>
      <c r="D328" s="4" t="s">
        <v>259</v>
      </c>
      <c r="E328" s="4"/>
      <c r="F328" s="29">
        <f>F329</f>
        <v>4964411.02</v>
      </c>
      <c r="G328" s="29"/>
    </row>
    <row r="329" spans="1:7" ht="15.75">
      <c r="A329" s="3" t="s">
        <v>280</v>
      </c>
      <c r="B329" s="4" t="s">
        <v>149</v>
      </c>
      <c r="C329" s="4" t="s">
        <v>23</v>
      </c>
      <c r="D329" s="4" t="s">
        <v>259</v>
      </c>
      <c r="E329" s="4" t="s">
        <v>255</v>
      </c>
      <c r="F329" s="29">
        <f>прил6!F491</f>
        <v>4964411.02</v>
      </c>
      <c r="G329" s="29"/>
    </row>
    <row r="330" spans="1:7" ht="94.5">
      <c r="A330" s="1" t="s">
        <v>34</v>
      </c>
      <c r="B330" s="2" t="s">
        <v>35</v>
      </c>
      <c r="C330" s="2"/>
      <c r="D330" s="2"/>
      <c r="E330" s="2"/>
      <c r="F330" s="33">
        <f>F331+F340+F349+F362+F395+F410</f>
        <v>151101392.26</v>
      </c>
      <c r="G330" s="33">
        <f>G331+G340+G349+G362+G395+G410</f>
        <v>687100</v>
      </c>
    </row>
    <row r="331" spans="1:7" ht="47.25">
      <c r="A331" s="3" t="s">
        <v>226</v>
      </c>
      <c r="B331" s="4" t="s">
        <v>227</v>
      </c>
      <c r="C331" s="4"/>
      <c r="D331" s="4"/>
      <c r="E331" s="4"/>
      <c r="F331" s="29">
        <f>F332+F336</f>
        <v>25301888.12</v>
      </c>
      <c r="G331" s="29"/>
    </row>
    <row r="332" spans="1:7" ht="47.25">
      <c r="A332" s="3" t="s">
        <v>228</v>
      </c>
      <c r="B332" s="4" t="s">
        <v>229</v>
      </c>
      <c r="C332" s="4"/>
      <c r="D332" s="4"/>
      <c r="E332" s="4"/>
      <c r="F332" s="29">
        <f>F333</f>
        <v>18210259.03</v>
      </c>
      <c r="G332" s="29"/>
    </row>
    <row r="333" spans="1:7" ht="47.25">
      <c r="A333" s="3" t="s">
        <v>306</v>
      </c>
      <c r="B333" s="4" t="s">
        <v>229</v>
      </c>
      <c r="C333" s="4" t="s">
        <v>19</v>
      </c>
      <c r="D333" s="4"/>
      <c r="E333" s="4"/>
      <c r="F333" s="29">
        <f>F334</f>
        <v>18210259.03</v>
      </c>
      <c r="G333" s="29"/>
    </row>
    <row r="334" spans="1:7" ht="31.5">
      <c r="A334" s="3" t="s">
        <v>264</v>
      </c>
      <c r="B334" s="4" t="s">
        <v>229</v>
      </c>
      <c r="C334" s="4" t="s">
        <v>19</v>
      </c>
      <c r="D334" s="4" t="s">
        <v>257</v>
      </c>
      <c r="E334" s="2"/>
      <c r="F334" s="29">
        <f>F335</f>
        <v>18210259.03</v>
      </c>
      <c r="G334" s="29"/>
    </row>
    <row r="335" spans="1:7" ht="15.75">
      <c r="A335" s="3" t="s">
        <v>270</v>
      </c>
      <c r="B335" s="4" t="s">
        <v>229</v>
      </c>
      <c r="C335" s="4" t="s">
        <v>19</v>
      </c>
      <c r="D335" s="4" t="s">
        <v>257</v>
      </c>
      <c r="E335" s="4" t="s">
        <v>255</v>
      </c>
      <c r="F335" s="29">
        <f>прил6!F261</f>
        <v>18210259.03</v>
      </c>
      <c r="G335" s="33"/>
    </row>
    <row r="336" spans="1:7" ht="47.25">
      <c r="A336" s="3" t="s">
        <v>467</v>
      </c>
      <c r="B336" s="4" t="s">
        <v>466</v>
      </c>
      <c r="C336" s="4"/>
      <c r="D336" s="4"/>
      <c r="E336" s="4"/>
      <c r="F336" s="29">
        <f>F337</f>
        <v>7091629.09</v>
      </c>
      <c r="G336" s="33"/>
    </row>
    <row r="337" spans="1:7" ht="63">
      <c r="A337" s="3" t="s">
        <v>330</v>
      </c>
      <c r="B337" s="4" t="s">
        <v>466</v>
      </c>
      <c r="C337" s="4" t="s">
        <v>23</v>
      </c>
      <c r="D337" s="4"/>
      <c r="E337" s="4"/>
      <c r="F337" s="29">
        <f>F338</f>
        <v>7091629.09</v>
      </c>
      <c r="G337" s="33"/>
    </row>
    <row r="338" spans="1:7" ht="31.5">
      <c r="A338" s="3" t="s">
        <v>264</v>
      </c>
      <c r="B338" s="4" t="s">
        <v>466</v>
      </c>
      <c r="C338" s="4" t="s">
        <v>23</v>
      </c>
      <c r="D338" s="4" t="s">
        <v>257</v>
      </c>
      <c r="E338" s="4"/>
      <c r="F338" s="29">
        <f>F339</f>
        <v>7091629.09</v>
      </c>
      <c r="G338" s="33"/>
    </row>
    <row r="339" spans="1:7" ht="26.25" customHeight="1">
      <c r="A339" s="3" t="s">
        <v>270</v>
      </c>
      <c r="B339" s="4" t="s">
        <v>466</v>
      </c>
      <c r="C339" s="4" t="s">
        <v>23</v>
      </c>
      <c r="D339" s="4" t="s">
        <v>257</v>
      </c>
      <c r="E339" s="4" t="s">
        <v>255</v>
      </c>
      <c r="F339" s="29">
        <f>прил6!F263</f>
        <v>7091629.09</v>
      </c>
      <c r="G339" s="33"/>
    </row>
    <row r="340" spans="1:7" ht="78.75">
      <c r="A340" s="3" t="s">
        <v>376</v>
      </c>
      <c r="B340" s="4" t="s">
        <v>377</v>
      </c>
      <c r="C340" s="4"/>
      <c r="D340" s="4"/>
      <c r="E340" s="4"/>
      <c r="F340" s="29">
        <f>F341+F345</f>
        <v>6987196.88</v>
      </c>
      <c r="G340" s="29"/>
    </row>
    <row r="341" spans="1:7" ht="47.25">
      <c r="A341" s="3" t="s">
        <v>230</v>
      </c>
      <c r="B341" s="4" t="s">
        <v>231</v>
      </c>
      <c r="C341" s="4"/>
      <c r="D341" s="4"/>
      <c r="E341" s="4"/>
      <c r="F341" s="29">
        <f>F342</f>
        <v>3870370.1100000003</v>
      </c>
      <c r="G341" s="29"/>
    </row>
    <row r="342" spans="1:7" ht="47.25">
      <c r="A342" s="3" t="s">
        <v>306</v>
      </c>
      <c r="B342" s="4" t="s">
        <v>231</v>
      </c>
      <c r="C342" s="4" t="s">
        <v>19</v>
      </c>
      <c r="D342" s="4"/>
      <c r="E342" s="4"/>
      <c r="F342" s="29">
        <f>F343</f>
        <v>3870370.1100000003</v>
      </c>
      <c r="G342" s="29"/>
    </row>
    <row r="343" spans="1:7" ht="31.5">
      <c r="A343" s="3" t="s">
        <v>264</v>
      </c>
      <c r="B343" s="4" t="s">
        <v>231</v>
      </c>
      <c r="C343" s="4" t="s">
        <v>19</v>
      </c>
      <c r="D343" s="4" t="s">
        <v>257</v>
      </c>
      <c r="E343" s="4"/>
      <c r="F343" s="29">
        <f>F344</f>
        <v>3870370.1100000003</v>
      </c>
      <c r="G343" s="29"/>
    </row>
    <row r="344" spans="1:7" ht="15.75">
      <c r="A344" s="3" t="s">
        <v>11</v>
      </c>
      <c r="B344" s="4" t="s">
        <v>231</v>
      </c>
      <c r="C344" s="4" t="s">
        <v>19</v>
      </c>
      <c r="D344" s="4" t="s">
        <v>257</v>
      </c>
      <c r="E344" s="4" t="s">
        <v>260</v>
      </c>
      <c r="F344" s="29">
        <f>прил6!F277</f>
        <v>3870370.1100000003</v>
      </c>
      <c r="G344" s="29"/>
    </row>
    <row r="345" spans="1:7" ht="31.5">
      <c r="A345" s="3" t="s">
        <v>326</v>
      </c>
      <c r="B345" s="4" t="s">
        <v>405</v>
      </c>
      <c r="C345" s="4"/>
      <c r="D345" s="4"/>
      <c r="E345" s="4"/>
      <c r="F345" s="29">
        <f>F346</f>
        <v>3116826.7699999996</v>
      </c>
      <c r="G345" s="29"/>
    </row>
    <row r="346" spans="1:7" ht="47.25">
      <c r="A346" s="3" t="s">
        <v>306</v>
      </c>
      <c r="B346" s="4" t="s">
        <v>405</v>
      </c>
      <c r="C346" s="4" t="s">
        <v>19</v>
      </c>
      <c r="D346" s="4"/>
      <c r="E346" s="4"/>
      <c r="F346" s="29">
        <f>F347</f>
        <v>3116826.7699999996</v>
      </c>
      <c r="G346" s="29"/>
    </row>
    <row r="347" spans="1:7" ht="31.5">
      <c r="A347" s="3" t="s">
        <v>264</v>
      </c>
      <c r="B347" s="4" t="s">
        <v>405</v>
      </c>
      <c r="C347" s="4" t="s">
        <v>19</v>
      </c>
      <c r="D347" s="4" t="s">
        <v>257</v>
      </c>
      <c r="E347" s="4"/>
      <c r="F347" s="29">
        <f>F348</f>
        <v>3116826.7699999996</v>
      </c>
      <c r="G347" s="29"/>
    </row>
    <row r="348" spans="1:7" ht="15.75">
      <c r="A348" s="3" t="s">
        <v>11</v>
      </c>
      <c r="B348" s="4" t="s">
        <v>405</v>
      </c>
      <c r="C348" s="4" t="s">
        <v>19</v>
      </c>
      <c r="D348" s="4" t="s">
        <v>257</v>
      </c>
      <c r="E348" s="4" t="s">
        <v>260</v>
      </c>
      <c r="F348" s="29">
        <f>прил6!F279</f>
        <v>3116826.7699999996</v>
      </c>
      <c r="G348" s="29"/>
    </row>
    <row r="349" spans="1:7" ht="78.75">
      <c r="A349" s="3" t="s">
        <v>378</v>
      </c>
      <c r="B349" s="4" t="s">
        <v>379</v>
      </c>
      <c r="C349" s="4"/>
      <c r="D349" s="4"/>
      <c r="E349" s="4"/>
      <c r="F349" s="29">
        <f>F350+F354+F358</f>
        <v>34658790.09</v>
      </c>
      <c r="G349" s="29"/>
    </row>
    <row r="350" spans="1:7" ht="110.25">
      <c r="A350" s="3" t="s">
        <v>383</v>
      </c>
      <c r="B350" s="4" t="s">
        <v>384</v>
      </c>
      <c r="C350" s="4"/>
      <c r="D350" s="4"/>
      <c r="E350" s="4"/>
      <c r="F350" s="29">
        <f>F351</f>
        <v>5743368.59</v>
      </c>
      <c r="G350" s="29"/>
    </row>
    <row r="351" spans="1:7" ht="63">
      <c r="A351" s="3" t="s">
        <v>330</v>
      </c>
      <c r="B351" s="4" t="s">
        <v>384</v>
      </c>
      <c r="C351" s="4" t="s">
        <v>23</v>
      </c>
      <c r="D351" s="4"/>
      <c r="E351" s="4"/>
      <c r="F351" s="29">
        <f>F352</f>
        <v>5743368.59</v>
      </c>
      <c r="G351" s="29"/>
    </row>
    <row r="352" spans="1:7" ht="31.5">
      <c r="A352" s="3" t="s">
        <v>264</v>
      </c>
      <c r="B352" s="4" t="s">
        <v>384</v>
      </c>
      <c r="C352" s="4" t="s">
        <v>23</v>
      </c>
      <c r="D352" s="4" t="s">
        <v>257</v>
      </c>
      <c r="E352" s="4"/>
      <c r="F352" s="29">
        <f>F353</f>
        <v>5743368.59</v>
      </c>
      <c r="G352" s="29"/>
    </row>
    <row r="353" spans="1:7" ht="47.25">
      <c r="A353" s="3" t="s">
        <v>282</v>
      </c>
      <c r="B353" s="4" t="s">
        <v>384</v>
      </c>
      <c r="C353" s="4" t="s">
        <v>23</v>
      </c>
      <c r="D353" s="4" t="s">
        <v>257</v>
      </c>
      <c r="E353" s="4" t="s">
        <v>257</v>
      </c>
      <c r="F353" s="29">
        <f>прил6!F308</f>
        <v>5743368.59</v>
      </c>
      <c r="G353" s="29"/>
    </row>
    <row r="354" spans="1:7" ht="31.5">
      <c r="A354" s="3" t="s">
        <v>326</v>
      </c>
      <c r="B354" s="4" t="s">
        <v>380</v>
      </c>
      <c r="C354" s="4"/>
      <c r="D354" s="4"/>
      <c r="E354" s="4"/>
      <c r="F354" s="29">
        <f>F355</f>
        <v>2052306.8299999998</v>
      </c>
      <c r="G354" s="29"/>
    </row>
    <row r="355" spans="1:7" ht="47.25">
      <c r="A355" s="3" t="s">
        <v>306</v>
      </c>
      <c r="B355" s="4" t="s">
        <v>380</v>
      </c>
      <c r="C355" s="4" t="s">
        <v>19</v>
      </c>
      <c r="D355" s="4"/>
      <c r="E355" s="4"/>
      <c r="F355" s="29">
        <f>F356</f>
        <v>2052306.8299999998</v>
      </c>
      <c r="G355" s="29"/>
    </row>
    <row r="356" spans="1:7" ht="31.5">
      <c r="A356" s="3" t="s">
        <v>264</v>
      </c>
      <c r="B356" s="4" t="s">
        <v>380</v>
      </c>
      <c r="C356" s="4" t="s">
        <v>19</v>
      </c>
      <c r="D356" s="4" t="s">
        <v>257</v>
      </c>
      <c r="E356" s="4"/>
      <c r="F356" s="29">
        <f>F357</f>
        <v>2052306.8299999998</v>
      </c>
      <c r="G356" s="29"/>
    </row>
    <row r="357" spans="1:7" ht="15.75">
      <c r="A357" s="3" t="s">
        <v>11</v>
      </c>
      <c r="B357" s="4" t="s">
        <v>380</v>
      </c>
      <c r="C357" s="4" t="s">
        <v>19</v>
      </c>
      <c r="D357" s="4" t="s">
        <v>257</v>
      </c>
      <c r="E357" s="4" t="s">
        <v>260</v>
      </c>
      <c r="F357" s="29">
        <f>прил6!F282</f>
        <v>2052306.8299999998</v>
      </c>
      <c r="G357" s="29"/>
    </row>
    <row r="358" spans="1:7" ht="47.25">
      <c r="A358" s="3" t="s">
        <v>381</v>
      </c>
      <c r="B358" s="4" t="s">
        <v>382</v>
      </c>
      <c r="C358" s="4"/>
      <c r="D358" s="4"/>
      <c r="E358" s="4"/>
      <c r="F358" s="29">
        <f>F359</f>
        <v>26863114.67</v>
      </c>
      <c r="G358" s="29"/>
    </row>
    <row r="359" spans="1:7" ht="15.75">
      <c r="A359" s="3" t="s">
        <v>235</v>
      </c>
      <c r="B359" s="4" t="s">
        <v>382</v>
      </c>
      <c r="C359" s="4" t="s">
        <v>22</v>
      </c>
      <c r="D359" s="4"/>
      <c r="E359" s="4"/>
      <c r="F359" s="29">
        <f>F360</f>
        <v>26863114.67</v>
      </c>
      <c r="G359" s="29"/>
    </row>
    <row r="360" spans="1:7" ht="31.5">
      <c r="A360" s="3" t="s">
        <v>264</v>
      </c>
      <c r="B360" s="4" t="s">
        <v>382</v>
      </c>
      <c r="C360" s="4" t="s">
        <v>22</v>
      </c>
      <c r="D360" s="4" t="s">
        <v>257</v>
      </c>
      <c r="E360" s="4"/>
      <c r="F360" s="29">
        <f>F361</f>
        <v>26863114.67</v>
      </c>
      <c r="G360" s="29"/>
    </row>
    <row r="361" spans="1:7" ht="15.75">
      <c r="A361" s="3" t="s">
        <v>11</v>
      </c>
      <c r="B361" s="4" t="s">
        <v>382</v>
      </c>
      <c r="C361" s="4" t="s">
        <v>22</v>
      </c>
      <c r="D361" s="4" t="s">
        <v>257</v>
      </c>
      <c r="E361" s="4" t="s">
        <v>260</v>
      </c>
      <c r="F361" s="29">
        <f>прил6!F284</f>
        <v>26863114.67</v>
      </c>
      <c r="G361" s="29"/>
    </row>
    <row r="362" spans="1:7" ht="63">
      <c r="A362" s="3" t="s">
        <v>385</v>
      </c>
      <c r="B362" s="4" t="s">
        <v>386</v>
      </c>
      <c r="C362" s="4"/>
      <c r="D362" s="4"/>
      <c r="E362" s="4"/>
      <c r="F362" s="29">
        <f>F363+F367+F371+F375+F379+F383+F387+F391</f>
        <v>36004647.910000004</v>
      </c>
      <c r="G362" s="29"/>
    </row>
    <row r="363" spans="1:7" ht="63">
      <c r="A363" s="3" t="s">
        <v>387</v>
      </c>
      <c r="B363" s="4" t="s">
        <v>388</v>
      </c>
      <c r="C363" s="4"/>
      <c r="D363" s="4"/>
      <c r="E363" s="4"/>
      <c r="F363" s="29">
        <f>F364</f>
        <v>12842407.98</v>
      </c>
      <c r="G363" s="29"/>
    </row>
    <row r="364" spans="1:7" ht="47.25">
      <c r="A364" s="3" t="s">
        <v>306</v>
      </c>
      <c r="B364" s="4" t="s">
        <v>388</v>
      </c>
      <c r="C364" s="4" t="s">
        <v>19</v>
      </c>
      <c r="D364" s="4"/>
      <c r="E364" s="4"/>
      <c r="F364" s="29">
        <f>F365</f>
        <v>12842407.98</v>
      </c>
      <c r="G364" s="29"/>
    </row>
    <row r="365" spans="1:7" ht="31.5">
      <c r="A365" s="3" t="s">
        <v>264</v>
      </c>
      <c r="B365" s="4" t="s">
        <v>388</v>
      </c>
      <c r="C365" s="4" t="s">
        <v>19</v>
      </c>
      <c r="D365" s="4" t="s">
        <v>257</v>
      </c>
      <c r="E365" s="4"/>
      <c r="F365" s="29">
        <f>F366</f>
        <v>12842407.98</v>
      </c>
      <c r="G365" s="29"/>
    </row>
    <row r="366" spans="1:7" ht="15.75">
      <c r="A366" s="3" t="s">
        <v>244</v>
      </c>
      <c r="B366" s="4" t="s">
        <v>388</v>
      </c>
      <c r="C366" s="4" t="s">
        <v>19</v>
      </c>
      <c r="D366" s="4" t="s">
        <v>257</v>
      </c>
      <c r="E366" s="4" t="s">
        <v>262</v>
      </c>
      <c r="F366" s="29">
        <f>прил6!F289</f>
        <v>12842407.98</v>
      </c>
      <c r="G366" s="29"/>
    </row>
    <row r="367" spans="1:7" ht="63">
      <c r="A367" s="3" t="s">
        <v>391</v>
      </c>
      <c r="B367" s="4" t="s">
        <v>392</v>
      </c>
      <c r="C367" s="4"/>
      <c r="D367" s="4"/>
      <c r="E367" s="4"/>
      <c r="F367" s="29">
        <f>F368</f>
        <v>14257972.870000001</v>
      </c>
      <c r="G367" s="29"/>
    </row>
    <row r="368" spans="1:7" ht="47.25">
      <c r="A368" s="3" t="s">
        <v>306</v>
      </c>
      <c r="B368" s="4" t="s">
        <v>392</v>
      </c>
      <c r="C368" s="4" t="s">
        <v>19</v>
      </c>
      <c r="D368" s="4"/>
      <c r="E368" s="4"/>
      <c r="F368" s="29">
        <f>F369</f>
        <v>14257972.870000001</v>
      </c>
      <c r="G368" s="29"/>
    </row>
    <row r="369" spans="1:7" ht="31.5">
      <c r="A369" s="3" t="s">
        <v>264</v>
      </c>
      <c r="B369" s="4" t="s">
        <v>392</v>
      </c>
      <c r="C369" s="4" t="s">
        <v>19</v>
      </c>
      <c r="D369" s="4" t="s">
        <v>257</v>
      </c>
      <c r="E369" s="4"/>
      <c r="F369" s="29">
        <f>F370</f>
        <v>14257972.870000001</v>
      </c>
      <c r="G369" s="29"/>
    </row>
    <row r="370" spans="1:7" ht="15.75">
      <c r="A370" s="3" t="s">
        <v>244</v>
      </c>
      <c r="B370" s="4" t="s">
        <v>392</v>
      </c>
      <c r="C370" s="4" t="s">
        <v>19</v>
      </c>
      <c r="D370" s="4" t="s">
        <v>257</v>
      </c>
      <c r="E370" s="4" t="s">
        <v>262</v>
      </c>
      <c r="F370" s="29">
        <f>прил6!F291</f>
        <v>14257972.870000001</v>
      </c>
      <c r="G370" s="29"/>
    </row>
    <row r="371" spans="1:7" ht="47.25">
      <c r="A371" s="3" t="s">
        <v>393</v>
      </c>
      <c r="B371" s="4" t="s">
        <v>394</v>
      </c>
      <c r="C371" s="4"/>
      <c r="D371" s="4"/>
      <c r="E371" s="4"/>
      <c r="F371" s="29">
        <f>F372</f>
        <v>832000</v>
      </c>
      <c r="G371" s="29"/>
    </row>
    <row r="372" spans="1:7" ht="47.25">
      <c r="A372" s="3" t="s">
        <v>306</v>
      </c>
      <c r="B372" s="4" t="s">
        <v>394</v>
      </c>
      <c r="C372" s="4" t="s">
        <v>19</v>
      </c>
      <c r="D372" s="4"/>
      <c r="E372" s="4"/>
      <c r="F372" s="29">
        <f>F373</f>
        <v>832000</v>
      </c>
      <c r="G372" s="29"/>
    </row>
    <row r="373" spans="1:7" ht="31.5">
      <c r="A373" s="3" t="s">
        <v>264</v>
      </c>
      <c r="B373" s="4" t="s">
        <v>394</v>
      </c>
      <c r="C373" s="4" t="s">
        <v>19</v>
      </c>
      <c r="D373" s="4" t="s">
        <v>257</v>
      </c>
      <c r="E373" s="4"/>
      <c r="F373" s="29">
        <f>F374</f>
        <v>832000</v>
      </c>
      <c r="G373" s="29"/>
    </row>
    <row r="374" spans="1:7" ht="15.75">
      <c r="A374" s="3" t="s">
        <v>244</v>
      </c>
      <c r="B374" s="4" t="s">
        <v>394</v>
      </c>
      <c r="C374" s="4" t="s">
        <v>19</v>
      </c>
      <c r="D374" s="4" t="s">
        <v>257</v>
      </c>
      <c r="E374" s="4" t="s">
        <v>262</v>
      </c>
      <c r="F374" s="29">
        <f>прил6!F293</f>
        <v>832000</v>
      </c>
      <c r="G374" s="29"/>
    </row>
    <row r="375" spans="1:7" ht="47.25">
      <c r="A375" s="3" t="s">
        <v>228</v>
      </c>
      <c r="B375" s="4" t="s">
        <v>395</v>
      </c>
      <c r="C375" s="4"/>
      <c r="D375" s="4"/>
      <c r="E375" s="4"/>
      <c r="F375" s="29">
        <f>F376</f>
        <v>0</v>
      </c>
      <c r="G375" s="29"/>
    </row>
    <row r="376" spans="1:7" ht="47.25">
      <c r="A376" s="3" t="s">
        <v>306</v>
      </c>
      <c r="B376" s="4" t="s">
        <v>395</v>
      </c>
      <c r="C376" s="4" t="s">
        <v>19</v>
      </c>
      <c r="D376" s="4"/>
      <c r="E376" s="4"/>
      <c r="F376" s="29">
        <f>F377</f>
        <v>0</v>
      </c>
      <c r="G376" s="29"/>
    </row>
    <row r="377" spans="1:7" ht="31.5">
      <c r="A377" s="3" t="s">
        <v>264</v>
      </c>
      <c r="B377" s="4" t="s">
        <v>395</v>
      </c>
      <c r="C377" s="4" t="s">
        <v>19</v>
      </c>
      <c r="D377" s="4" t="s">
        <v>257</v>
      </c>
      <c r="E377" s="4"/>
      <c r="F377" s="29">
        <f>F378</f>
        <v>0</v>
      </c>
      <c r="G377" s="29"/>
    </row>
    <row r="378" spans="1:7" ht="15.75">
      <c r="A378" s="3" t="s">
        <v>244</v>
      </c>
      <c r="B378" s="4" t="s">
        <v>395</v>
      </c>
      <c r="C378" s="4" t="s">
        <v>19</v>
      </c>
      <c r="D378" s="4" t="s">
        <v>257</v>
      </c>
      <c r="E378" s="4" t="s">
        <v>262</v>
      </c>
      <c r="F378" s="29">
        <f>прил6!F295</f>
        <v>0</v>
      </c>
      <c r="G378" s="29"/>
    </row>
    <row r="379" spans="1:7" ht="47.25">
      <c r="A379" s="3" t="s">
        <v>230</v>
      </c>
      <c r="B379" s="4" t="s">
        <v>396</v>
      </c>
      <c r="C379" s="4"/>
      <c r="D379" s="4"/>
      <c r="E379" s="4"/>
      <c r="F379" s="29">
        <f>F380</f>
        <v>0</v>
      </c>
      <c r="G379" s="29"/>
    </row>
    <row r="380" spans="1:7" ht="47.25">
      <c r="A380" s="3" t="s">
        <v>306</v>
      </c>
      <c r="B380" s="4" t="s">
        <v>396</v>
      </c>
      <c r="C380" s="4" t="s">
        <v>19</v>
      </c>
      <c r="D380" s="4"/>
      <c r="E380" s="4"/>
      <c r="F380" s="29">
        <f>F381</f>
        <v>0</v>
      </c>
      <c r="G380" s="29"/>
    </row>
    <row r="381" spans="1:7" ht="31.5">
      <c r="A381" s="3" t="s">
        <v>264</v>
      </c>
      <c r="B381" s="4" t="s">
        <v>396</v>
      </c>
      <c r="C381" s="4" t="s">
        <v>19</v>
      </c>
      <c r="D381" s="4" t="s">
        <v>257</v>
      </c>
      <c r="E381" s="4"/>
      <c r="F381" s="29">
        <f>F382</f>
        <v>0</v>
      </c>
      <c r="G381" s="29"/>
    </row>
    <row r="382" spans="1:7" ht="15.75">
      <c r="A382" s="3" t="s">
        <v>244</v>
      </c>
      <c r="B382" s="4" t="s">
        <v>396</v>
      </c>
      <c r="C382" s="4" t="s">
        <v>19</v>
      </c>
      <c r="D382" s="4" t="s">
        <v>257</v>
      </c>
      <c r="E382" s="4" t="s">
        <v>262</v>
      </c>
      <c r="F382" s="29">
        <f>прил6!F297</f>
        <v>0</v>
      </c>
      <c r="G382" s="29"/>
    </row>
    <row r="383" spans="1:7" ht="31.5">
      <c r="A383" s="3" t="s">
        <v>326</v>
      </c>
      <c r="B383" s="4" t="s">
        <v>397</v>
      </c>
      <c r="C383" s="4"/>
      <c r="D383" s="4"/>
      <c r="E383" s="4"/>
      <c r="F383" s="29">
        <f>F384</f>
        <v>8072267.06</v>
      </c>
      <c r="G383" s="29"/>
    </row>
    <row r="384" spans="1:7" ht="47.25">
      <c r="A384" s="3" t="s">
        <v>306</v>
      </c>
      <c r="B384" s="4" t="s">
        <v>397</v>
      </c>
      <c r="C384" s="4" t="s">
        <v>19</v>
      </c>
      <c r="D384" s="4"/>
      <c r="E384" s="4"/>
      <c r="F384" s="29">
        <f>F385</f>
        <v>8072267.06</v>
      </c>
      <c r="G384" s="29"/>
    </row>
    <row r="385" spans="1:7" ht="31.5">
      <c r="A385" s="3" t="s">
        <v>264</v>
      </c>
      <c r="B385" s="4" t="s">
        <v>397</v>
      </c>
      <c r="C385" s="4" t="s">
        <v>19</v>
      </c>
      <c r="D385" s="4" t="s">
        <v>257</v>
      </c>
      <c r="E385" s="4"/>
      <c r="F385" s="29">
        <f>F386</f>
        <v>8072267.06</v>
      </c>
      <c r="G385" s="29"/>
    </row>
    <row r="386" spans="1:7" ht="15.75">
      <c r="A386" s="3" t="s">
        <v>244</v>
      </c>
      <c r="B386" s="4" t="s">
        <v>397</v>
      </c>
      <c r="C386" s="4" t="s">
        <v>19</v>
      </c>
      <c r="D386" s="4" t="s">
        <v>257</v>
      </c>
      <c r="E386" s="4" t="s">
        <v>262</v>
      </c>
      <c r="F386" s="29">
        <f>прил6!F299</f>
        <v>8072267.06</v>
      </c>
      <c r="G386" s="29"/>
    </row>
    <row r="387" spans="1:7" ht="110.25" hidden="1">
      <c r="A387" s="3" t="s">
        <v>398</v>
      </c>
      <c r="B387" s="4" t="s">
        <v>399</v>
      </c>
      <c r="C387" s="4"/>
      <c r="D387" s="4"/>
      <c r="E387" s="4"/>
      <c r="F387" s="29">
        <f>F388</f>
        <v>0</v>
      </c>
      <c r="G387" s="29"/>
    </row>
    <row r="388" spans="1:7" ht="15.75" hidden="1">
      <c r="A388" s="3" t="s">
        <v>235</v>
      </c>
      <c r="B388" s="4" t="s">
        <v>399</v>
      </c>
      <c r="C388" s="4" t="s">
        <v>22</v>
      </c>
      <c r="D388" s="4"/>
      <c r="E388" s="4"/>
      <c r="F388" s="29">
        <f>F389</f>
        <v>0</v>
      </c>
      <c r="G388" s="29"/>
    </row>
    <row r="389" spans="1:7" ht="31.5" hidden="1">
      <c r="A389" s="3" t="s">
        <v>264</v>
      </c>
      <c r="B389" s="4" t="s">
        <v>399</v>
      </c>
      <c r="C389" s="4" t="s">
        <v>22</v>
      </c>
      <c r="D389" s="4" t="s">
        <v>257</v>
      </c>
      <c r="E389" s="4"/>
      <c r="F389" s="29">
        <f>F390</f>
        <v>0</v>
      </c>
      <c r="G389" s="29"/>
    </row>
    <row r="390" spans="1:7" ht="15.75" hidden="1">
      <c r="A390" s="3" t="s">
        <v>244</v>
      </c>
      <c r="B390" s="4" t="s">
        <v>399</v>
      </c>
      <c r="C390" s="4" t="s">
        <v>22</v>
      </c>
      <c r="D390" s="4" t="s">
        <v>257</v>
      </c>
      <c r="E390" s="4" t="s">
        <v>262</v>
      </c>
      <c r="F390" s="29">
        <f>прил6!F301</f>
        <v>0</v>
      </c>
      <c r="G390" s="29"/>
    </row>
    <row r="391" spans="1:7" ht="110.25" hidden="1">
      <c r="A391" s="3" t="s">
        <v>400</v>
      </c>
      <c r="B391" s="4" t="s">
        <v>401</v>
      </c>
      <c r="C391" s="4"/>
      <c r="D391" s="4"/>
      <c r="E391" s="4"/>
      <c r="F391" s="29">
        <f>F392</f>
        <v>0</v>
      </c>
      <c r="G391" s="29"/>
    </row>
    <row r="392" spans="1:7" ht="15.75" hidden="1">
      <c r="A392" s="3" t="s">
        <v>235</v>
      </c>
      <c r="B392" s="4" t="s">
        <v>401</v>
      </c>
      <c r="C392" s="4" t="s">
        <v>22</v>
      </c>
      <c r="D392" s="4"/>
      <c r="E392" s="4"/>
      <c r="F392" s="29">
        <f>F393</f>
        <v>0</v>
      </c>
      <c r="G392" s="29"/>
    </row>
    <row r="393" spans="1:7" ht="31.5" hidden="1">
      <c r="A393" s="3" t="s">
        <v>264</v>
      </c>
      <c r="B393" s="4" t="s">
        <v>401</v>
      </c>
      <c r="C393" s="4" t="s">
        <v>22</v>
      </c>
      <c r="D393" s="4" t="s">
        <v>257</v>
      </c>
      <c r="E393" s="4"/>
      <c r="F393" s="29">
        <f>F394</f>
        <v>0</v>
      </c>
      <c r="G393" s="29"/>
    </row>
    <row r="394" spans="1:7" ht="15.75" hidden="1">
      <c r="A394" s="3" t="s">
        <v>244</v>
      </c>
      <c r="B394" s="4" t="s">
        <v>401</v>
      </c>
      <c r="C394" s="4" t="s">
        <v>22</v>
      </c>
      <c r="D394" s="4" t="s">
        <v>257</v>
      </c>
      <c r="E394" s="4" t="s">
        <v>262</v>
      </c>
      <c r="F394" s="29">
        <f>прил6!F303</f>
        <v>0</v>
      </c>
      <c r="G394" s="29"/>
    </row>
    <row r="395" spans="1:7" ht="63">
      <c r="A395" s="3" t="s">
        <v>402</v>
      </c>
      <c r="B395" s="4" t="s">
        <v>403</v>
      </c>
      <c r="C395" s="4"/>
      <c r="D395" s="4"/>
      <c r="E395" s="4"/>
      <c r="F395" s="29">
        <f>F396+F406</f>
        <v>14724369.26</v>
      </c>
      <c r="G395" s="29"/>
    </row>
    <row r="396" spans="1:7" ht="110.25">
      <c r="A396" s="3" t="s">
        <v>383</v>
      </c>
      <c r="B396" s="4" t="s">
        <v>404</v>
      </c>
      <c r="C396" s="4"/>
      <c r="D396" s="4"/>
      <c r="E396" s="4"/>
      <c r="F396" s="29">
        <f>F397+F400+F403</f>
        <v>14484369.26</v>
      </c>
      <c r="G396" s="29"/>
    </row>
    <row r="397" spans="1:7" ht="126">
      <c r="A397" s="3" t="s">
        <v>305</v>
      </c>
      <c r="B397" s="4" t="s">
        <v>404</v>
      </c>
      <c r="C397" s="4" t="s">
        <v>18</v>
      </c>
      <c r="D397" s="4"/>
      <c r="E397" s="4"/>
      <c r="F397" s="29">
        <f>F398</f>
        <v>12617103.26</v>
      </c>
      <c r="G397" s="29"/>
    </row>
    <row r="398" spans="1:7" ht="31.5">
      <c r="A398" s="3" t="s">
        <v>264</v>
      </c>
      <c r="B398" s="4" t="s">
        <v>404</v>
      </c>
      <c r="C398" s="4" t="s">
        <v>18</v>
      </c>
      <c r="D398" s="4" t="s">
        <v>257</v>
      </c>
      <c r="E398" s="4"/>
      <c r="F398" s="29">
        <f>F399</f>
        <v>12617103.26</v>
      </c>
      <c r="G398" s="29"/>
    </row>
    <row r="399" spans="1:7" ht="47.25">
      <c r="A399" s="3" t="s">
        <v>282</v>
      </c>
      <c r="B399" s="4" t="s">
        <v>404</v>
      </c>
      <c r="C399" s="4" t="s">
        <v>18</v>
      </c>
      <c r="D399" s="4" t="s">
        <v>257</v>
      </c>
      <c r="E399" s="4" t="s">
        <v>257</v>
      </c>
      <c r="F399" s="29">
        <f>прил6!F311</f>
        <v>12617103.26</v>
      </c>
      <c r="G399" s="29"/>
    </row>
    <row r="400" spans="1:7" ht="47.25">
      <c r="A400" s="3" t="s">
        <v>306</v>
      </c>
      <c r="B400" s="4" t="s">
        <v>404</v>
      </c>
      <c r="C400" s="4" t="s">
        <v>19</v>
      </c>
      <c r="D400" s="4"/>
      <c r="E400" s="4"/>
      <c r="F400" s="29">
        <f>F401</f>
        <v>860959.07</v>
      </c>
      <c r="G400" s="29"/>
    </row>
    <row r="401" spans="1:7" ht="31.5">
      <c r="A401" s="3" t="s">
        <v>264</v>
      </c>
      <c r="B401" s="4" t="s">
        <v>404</v>
      </c>
      <c r="C401" s="4" t="s">
        <v>19</v>
      </c>
      <c r="D401" s="4" t="s">
        <v>257</v>
      </c>
      <c r="E401" s="4"/>
      <c r="F401" s="29">
        <f>F402</f>
        <v>860959.07</v>
      </c>
      <c r="G401" s="29"/>
    </row>
    <row r="402" spans="1:7" ht="47.25">
      <c r="A402" s="3" t="s">
        <v>282</v>
      </c>
      <c r="B402" s="4" t="s">
        <v>404</v>
      </c>
      <c r="C402" s="4" t="s">
        <v>19</v>
      </c>
      <c r="D402" s="4" t="s">
        <v>257</v>
      </c>
      <c r="E402" s="4" t="s">
        <v>257</v>
      </c>
      <c r="F402" s="29">
        <f>прил6!F312</f>
        <v>860959.07</v>
      </c>
      <c r="G402" s="29"/>
    </row>
    <row r="403" spans="1:7" ht="15.75">
      <c r="A403" s="3" t="s">
        <v>235</v>
      </c>
      <c r="B403" s="4" t="s">
        <v>404</v>
      </c>
      <c r="C403" s="4" t="s">
        <v>22</v>
      </c>
      <c r="D403" s="4"/>
      <c r="E403" s="4"/>
      <c r="F403" s="29">
        <f>F404</f>
        <v>1006306.9299999999</v>
      </c>
      <c r="G403" s="29"/>
    </row>
    <row r="404" spans="1:7" ht="31.5">
      <c r="A404" s="3" t="s">
        <v>264</v>
      </c>
      <c r="B404" s="4" t="s">
        <v>404</v>
      </c>
      <c r="C404" s="4" t="s">
        <v>22</v>
      </c>
      <c r="D404" s="4" t="s">
        <v>257</v>
      </c>
      <c r="E404" s="4"/>
      <c r="F404" s="29">
        <f>F405</f>
        <v>1006306.9299999999</v>
      </c>
      <c r="G404" s="29"/>
    </row>
    <row r="405" spans="1:7" ht="47.25">
      <c r="A405" s="3" t="s">
        <v>282</v>
      </c>
      <c r="B405" s="4" t="s">
        <v>404</v>
      </c>
      <c r="C405" s="4" t="s">
        <v>22</v>
      </c>
      <c r="D405" s="4" t="s">
        <v>257</v>
      </c>
      <c r="E405" s="4" t="s">
        <v>257</v>
      </c>
      <c r="F405" s="29">
        <f>прил6!F313</f>
        <v>1006306.9299999999</v>
      </c>
      <c r="G405" s="29"/>
    </row>
    <row r="406" spans="1:7" ht="110.25">
      <c r="A406" s="3" t="s">
        <v>409</v>
      </c>
      <c r="B406" s="4" t="s">
        <v>432</v>
      </c>
      <c r="C406" s="4"/>
      <c r="D406" s="4"/>
      <c r="E406" s="4"/>
      <c r="F406" s="29">
        <f>F407</f>
        <v>240000</v>
      </c>
      <c r="G406" s="29"/>
    </row>
    <row r="407" spans="1:7" ht="47.25">
      <c r="A407" s="3" t="s">
        <v>306</v>
      </c>
      <c r="B407" s="4" t="s">
        <v>432</v>
      </c>
      <c r="C407" s="4" t="s">
        <v>19</v>
      </c>
      <c r="D407" s="4"/>
      <c r="E407" s="4"/>
      <c r="F407" s="29">
        <f>F408</f>
        <v>240000</v>
      </c>
      <c r="G407" s="29"/>
    </row>
    <row r="408" spans="1:7" ht="31.5">
      <c r="A408" s="3" t="s">
        <v>264</v>
      </c>
      <c r="B408" s="4" t="s">
        <v>432</v>
      </c>
      <c r="C408" s="4" t="s">
        <v>19</v>
      </c>
      <c r="D408" s="4" t="s">
        <v>257</v>
      </c>
      <c r="E408" s="4"/>
      <c r="F408" s="29">
        <f>F409</f>
        <v>240000</v>
      </c>
      <c r="G408" s="29"/>
    </row>
    <row r="409" spans="1:7" ht="47.25">
      <c r="A409" s="3" t="s">
        <v>282</v>
      </c>
      <c r="B409" s="4" t="s">
        <v>432</v>
      </c>
      <c r="C409" s="4" t="s">
        <v>19</v>
      </c>
      <c r="D409" s="4" t="s">
        <v>257</v>
      </c>
      <c r="E409" s="4" t="s">
        <v>257</v>
      </c>
      <c r="F409" s="29">
        <f>прил6!F315</f>
        <v>240000</v>
      </c>
      <c r="G409" s="29"/>
    </row>
    <row r="410" spans="1:7" ht="47.25">
      <c r="A410" s="3" t="s">
        <v>36</v>
      </c>
      <c r="B410" s="4" t="s">
        <v>37</v>
      </c>
      <c r="C410" s="4"/>
      <c r="D410" s="4"/>
      <c r="E410" s="4"/>
      <c r="F410" s="29">
        <f>F411+F415</f>
        <v>33424500</v>
      </c>
      <c r="G410" s="29">
        <f>G411+G415</f>
        <v>687100</v>
      </c>
    </row>
    <row r="411" spans="1:7" ht="63">
      <c r="A411" s="3" t="s">
        <v>224</v>
      </c>
      <c r="B411" s="4" t="s">
        <v>225</v>
      </c>
      <c r="C411" s="4"/>
      <c r="D411" s="4"/>
      <c r="E411" s="4"/>
      <c r="F411" s="29">
        <f>F412</f>
        <v>32737400</v>
      </c>
      <c r="G411" s="29"/>
    </row>
    <row r="412" spans="1:7" ht="15.75">
      <c r="A412" s="3" t="s">
        <v>235</v>
      </c>
      <c r="B412" s="4" t="s">
        <v>225</v>
      </c>
      <c r="C412" s="4" t="s">
        <v>22</v>
      </c>
      <c r="D412" s="4"/>
      <c r="E412" s="4"/>
      <c r="F412" s="29">
        <f>F413</f>
        <v>32737400</v>
      </c>
      <c r="G412" s="29"/>
    </row>
    <row r="413" spans="1:7" ht="15.75">
      <c r="A413" s="3" t="s">
        <v>276</v>
      </c>
      <c r="B413" s="4" t="s">
        <v>225</v>
      </c>
      <c r="C413" s="4" t="s">
        <v>22</v>
      </c>
      <c r="D413" s="4" t="s">
        <v>265</v>
      </c>
      <c r="E413" s="4"/>
      <c r="F413" s="29">
        <f>F414</f>
        <v>32737400</v>
      </c>
      <c r="G413" s="29"/>
    </row>
    <row r="414" spans="1:7" ht="15.75">
      <c r="A414" s="21" t="s">
        <v>277</v>
      </c>
      <c r="B414" s="4" t="s">
        <v>225</v>
      </c>
      <c r="C414" s="4" t="s">
        <v>22</v>
      </c>
      <c r="D414" s="4" t="s">
        <v>265</v>
      </c>
      <c r="E414" s="4" t="s">
        <v>259</v>
      </c>
      <c r="F414" s="29">
        <f>прил6!F211</f>
        <v>32737400</v>
      </c>
      <c r="G414" s="29"/>
    </row>
    <row r="415" spans="1:7" ht="157.5">
      <c r="A415" s="3" t="s">
        <v>38</v>
      </c>
      <c r="B415" s="4" t="s">
        <v>39</v>
      </c>
      <c r="C415" s="4"/>
      <c r="D415" s="4"/>
      <c r="E415" s="4"/>
      <c r="F415" s="29">
        <f aca="true" t="shared" si="30" ref="F415:G417">F416</f>
        <v>687100</v>
      </c>
      <c r="G415" s="29">
        <f t="shared" si="30"/>
        <v>687100</v>
      </c>
    </row>
    <row r="416" spans="1:7" ht="31.5">
      <c r="A416" s="3" t="s">
        <v>239</v>
      </c>
      <c r="B416" s="4" t="s">
        <v>39</v>
      </c>
      <c r="C416" s="4" t="s">
        <v>240</v>
      </c>
      <c r="D416" s="4"/>
      <c r="E416" s="4"/>
      <c r="F416" s="29">
        <f t="shared" si="30"/>
        <v>687100</v>
      </c>
      <c r="G416" s="29">
        <f t="shared" si="30"/>
        <v>687100</v>
      </c>
    </row>
    <row r="417" spans="1:7" ht="15.75">
      <c r="A417" s="3" t="s">
        <v>276</v>
      </c>
      <c r="B417" s="4" t="s">
        <v>39</v>
      </c>
      <c r="C417" s="4" t="s">
        <v>22</v>
      </c>
      <c r="D417" s="4" t="s">
        <v>265</v>
      </c>
      <c r="E417" s="4"/>
      <c r="F417" s="29">
        <f t="shared" si="30"/>
        <v>687100</v>
      </c>
      <c r="G417" s="29">
        <f t="shared" si="30"/>
        <v>687100</v>
      </c>
    </row>
    <row r="418" spans="1:7" ht="15.75">
      <c r="A418" s="21" t="s">
        <v>277</v>
      </c>
      <c r="B418" s="4" t="s">
        <v>39</v>
      </c>
      <c r="C418" s="4" t="s">
        <v>22</v>
      </c>
      <c r="D418" s="4" t="s">
        <v>265</v>
      </c>
      <c r="E418" s="4" t="s">
        <v>259</v>
      </c>
      <c r="F418" s="29">
        <f>прил6!F213</f>
        <v>687100</v>
      </c>
      <c r="G418" s="29">
        <f>F418</f>
        <v>687100</v>
      </c>
    </row>
    <row r="419" spans="1:7" ht="78.75">
      <c r="A419" s="1" t="s">
        <v>115</v>
      </c>
      <c r="B419" s="2" t="s">
        <v>116</v>
      </c>
      <c r="C419" s="2"/>
      <c r="D419" s="2"/>
      <c r="E419" s="2"/>
      <c r="F419" s="33">
        <f>F420+F436+F444</f>
        <v>51514237.41</v>
      </c>
      <c r="G419" s="33"/>
    </row>
    <row r="420" spans="1:7" ht="63">
      <c r="A420" s="3" t="s">
        <v>117</v>
      </c>
      <c r="B420" s="4" t="s">
        <v>118</v>
      </c>
      <c r="C420" s="2"/>
      <c r="D420" s="2"/>
      <c r="E420" s="2"/>
      <c r="F420" s="29">
        <f>F421+F425</f>
        <v>1296119.41</v>
      </c>
      <c r="G420" s="29"/>
    </row>
    <row r="421" spans="1:7" ht="47.25">
      <c r="A421" s="3" t="s">
        <v>119</v>
      </c>
      <c r="B421" s="4" t="s">
        <v>120</v>
      </c>
      <c r="C421" s="2"/>
      <c r="D421" s="2"/>
      <c r="E421" s="2"/>
      <c r="F421" s="29">
        <f>F422</f>
        <v>850648</v>
      </c>
      <c r="G421" s="29"/>
    </row>
    <row r="422" spans="1:7" ht="63">
      <c r="A422" s="3" t="s">
        <v>330</v>
      </c>
      <c r="B422" s="4" t="s">
        <v>120</v>
      </c>
      <c r="C422" s="4" t="s">
        <v>23</v>
      </c>
      <c r="D422" s="4"/>
      <c r="E422" s="4"/>
      <c r="F422" s="29">
        <f>F423</f>
        <v>850648</v>
      </c>
      <c r="G422" s="29"/>
    </row>
    <row r="423" spans="1:7" ht="47.25">
      <c r="A423" s="3" t="s">
        <v>275</v>
      </c>
      <c r="B423" s="4" t="s">
        <v>120</v>
      </c>
      <c r="C423" s="4" t="s">
        <v>23</v>
      </c>
      <c r="D423" s="4" t="s">
        <v>262</v>
      </c>
      <c r="E423" s="4"/>
      <c r="F423" s="29">
        <f>F424</f>
        <v>850648</v>
      </c>
      <c r="G423" s="29"/>
    </row>
    <row r="424" spans="1:7" ht="63">
      <c r="A424" s="3" t="s">
        <v>289</v>
      </c>
      <c r="B424" s="4" t="s">
        <v>120</v>
      </c>
      <c r="C424" s="4" t="s">
        <v>23</v>
      </c>
      <c r="D424" s="4" t="s">
        <v>262</v>
      </c>
      <c r="E424" s="4" t="s">
        <v>243</v>
      </c>
      <c r="F424" s="29">
        <f>прил6!F205</f>
        <v>850648</v>
      </c>
      <c r="G424" s="29"/>
    </row>
    <row r="425" spans="1:7" ht="63">
      <c r="A425" s="3" t="s">
        <v>222</v>
      </c>
      <c r="B425" s="4" t="s">
        <v>128</v>
      </c>
      <c r="C425" s="4"/>
      <c r="D425" s="4"/>
      <c r="E425" s="4"/>
      <c r="F425" s="29">
        <f>F426</f>
        <v>445471.41</v>
      </c>
      <c r="G425" s="29"/>
    </row>
    <row r="426" spans="1:7" ht="63">
      <c r="A426" s="3" t="s">
        <v>49</v>
      </c>
      <c r="B426" s="4" t="s">
        <v>128</v>
      </c>
      <c r="C426" s="4" t="s">
        <v>297</v>
      </c>
      <c r="D426" s="4"/>
      <c r="E426" s="4"/>
      <c r="F426" s="29">
        <f>F427</f>
        <v>445471.41</v>
      </c>
      <c r="G426" s="29"/>
    </row>
    <row r="427" spans="1:7" ht="15.75">
      <c r="A427" s="3" t="s">
        <v>274</v>
      </c>
      <c r="B427" s="4" t="s">
        <v>128</v>
      </c>
      <c r="C427" s="4" t="s">
        <v>297</v>
      </c>
      <c r="D427" s="4" t="s">
        <v>255</v>
      </c>
      <c r="E427" s="4"/>
      <c r="F427" s="29">
        <f>F428</f>
        <v>445471.41</v>
      </c>
      <c r="G427" s="29"/>
    </row>
    <row r="428" spans="1:7" ht="31.5">
      <c r="A428" s="3" t="s">
        <v>284</v>
      </c>
      <c r="B428" s="4" t="s">
        <v>128</v>
      </c>
      <c r="C428" s="4" t="s">
        <v>297</v>
      </c>
      <c r="D428" s="4" t="s">
        <v>255</v>
      </c>
      <c r="E428" s="4" t="s">
        <v>16</v>
      </c>
      <c r="F428" s="29">
        <f>прил7!G223</f>
        <v>445471.41</v>
      </c>
      <c r="G428" s="29"/>
    </row>
    <row r="429" spans="1:7" ht="15.75" hidden="1">
      <c r="A429" s="3"/>
      <c r="B429" s="4"/>
      <c r="C429" s="4"/>
      <c r="D429" s="4"/>
      <c r="E429" s="4"/>
      <c r="F429" s="29"/>
      <c r="G429" s="29"/>
    </row>
    <row r="430" spans="1:7" ht="15.75" hidden="1">
      <c r="A430" s="3"/>
      <c r="B430" s="4"/>
      <c r="C430" s="4"/>
      <c r="D430" s="4"/>
      <c r="E430" s="4"/>
      <c r="F430" s="29"/>
      <c r="G430" s="29"/>
    </row>
    <row r="431" spans="1:7" ht="15.75" hidden="1">
      <c r="A431" s="3"/>
      <c r="B431" s="4"/>
      <c r="C431" s="4"/>
      <c r="D431" s="4"/>
      <c r="E431" s="4"/>
      <c r="F431" s="29"/>
      <c r="G431" s="29"/>
    </row>
    <row r="432" spans="1:7" ht="15.75" hidden="1">
      <c r="A432" s="3"/>
      <c r="B432" s="4"/>
      <c r="C432" s="4"/>
      <c r="D432" s="4"/>
      <c r="E432" s="4"/>
      <c r="F432" s="29"/>
      <c r="G432" s="29"/>
    </row>
    <row r="433" spans="1:7" ht="15.75" hidden="1">
      <c r="A433" s="3"/>
      <c r="B433" s="4"/>
      <c r="C433" s="4"/>
      <c r="D433" s="4"/>
      <c r="E433" s="4"/>
      <c r="F433" s="29"/>
      <c r="G433" s="29"/>
    </row>
    <row r="434" spans="1:7" ht="15.75" hidden="1">
      <c r="A434" s="3"/>
      <c r="B434" s="4"/>
      <c r="C434" s="4"/>
      <c r="D434" s="4"/>
      <c r="E434" s="4"/>
      <c r="F434" s="29"/>
      <c r="G434" s="29"/>
    </row>
    <row r="435" spans="1:7" ht="15.75" hidden="1">
      <c r="A435" s="3"/>
      <c r="B435" s="4"/>
      <c r="C435" s="4"/>
      <c r="D435" s="4"/>
      <c r="E435" s="4"/>
      <c r="F435" s="29"/>
      <c r="G435" s="29"/>
    </row>
    <row r="436" spans="1:7" ht="78.75">
      <c r="A436" s="3" t="s">
        <v>121</v>
      </c>
      <c r="B436" s="4" t="s">
        <v>122</v>
      </c>
      <c r="C436" s="4"/>
      <c r="D436" s="4"/>
      <c r="E436" s="4"/>
      <c r="F436" s="29">
        <f>F437</f>
        <v>395432</v>
      </c>
      <c r="G436" s="29"/>
    </row>
    <row r="437" spans="1:7" ht="31.5">
      <c r="A437" s="3" t="s">
        <v>326</v>
      </c>
      <c r="B437" s="4" t="s">
        <v>123</v>
      </c>
      <c r="C437" s="4"/>
      <c r="D437" s="4"/>
      <c r="E437" s="4"/>
      <c r="F437" s="29">
        <f>F438</f>
        <v>395432</v>
      </c>
      <c r="G437" s="29"/>
    </row>
    <row r="438" spans="1:7" ht="63">
      <c r="A438" s="3" t="s">
        <v>330</v>
      </c>
      <c r="B438" s="4" t="s">
        <v>123</v>
      </c>
      <c r="C438" s="4" t="s">
        <v>23</v>
      </c>
      <c r="D438" s="4"/>
      <c r="E438" s="4"/>
      <c r="F438" s="29">
        <f>F439+F442</f>
        <v>395432</v>
      </c>
      <c r="G438" s="29"/>
    </row>
    <row r="439" spans="1:7" ht="15.75">
      <c r="A439" s="3" t="s">
        <v>266</v>
      </c>
      <c r="B439" s="4" t="s">
        <v>123</v>
      </c>
      <c r="C439" s="4" t="s">
        <v>23</v>
      </c>
      <c r="D439" s="4" t="s">
        <v>258</v>
      </c>
      <c r="E439" s="4"/>
      <c r="F439" s="29">
        <f>F441+F440</f>
        <v>211402</v>
      </c>
      <c r="G439" s="29"/>
    </row>
    <row r="440" spans="1:7" ht="31.5">
      <c r="A440" s="3" t="s">
        <v>61</v>
      </c>
      <c r="B440" s="4" t="s">
        <v>123</v>
      </c>
      <c r="C440" s="4" t="s">
        <v>23</v>
      </c>
      <c r="D440" s="4" t="s">
        <v>258</v>
      </c>
      <c r="E440" s="4" t="s">
        <v>258</v>
      </c>
      <c r="F440" s="29">
        <f>прил6!F416</f>
        <v>57602</v>
      </c>
      <c r="G440" s="29"/>
    </row>
    <row r="441" spans="1:7" ht="31.5">
      <c r="A441" s="3" t="s">
        <v>279</v>
      </c>
      <c r="B441" s="4" t="s">
        <v>123</v>
      </c>
      <c r="C441" s="4" t="s">
        <v>23</v>
      </c>
      <c r="D441" s="4" t="s">
        <v>258</v>
      </c>
      <c r="E441" s="4" t="s">
        <v>261</v>
      </c>
      <c r="F441" s="29">
        <f>прил6!F447</f>
        <v>153800</v>
      </c>
      <c r="G441" s="29"/>
    </row>
    <row r="442" spans="1:7" ht="15.75">
      <c r="A442" s="3" t="s">
        <v>20</v>
      </c>
      <c r="B442" s="4" t="s">
        <v>123</v>
      </c>
      <c r="C442" s="4" t="s">
        <v>23</v>
      </c>
      <c r="D442" s="4" t="s">
        <v>259</v>
      </c>
      <c r="E442" s="4"/>
      <c r="F442" s="29">
        <f>F443</f>
        <v>184030</v>
      </c>
      <c r="G442" s="29"/>
    </row>
    <row r="443" spans="1:7" ht="15.75">
      <c r="A443" s="3" t="s">
        <v>280</v>
      </c>
      <c r="B443" s="4" t="s">
        <v>123</v>
      </c>
      <c r="C443" s="4" t="s">
        <v>23</v>
      </c>
      <c r="D443" s="4" t="s">
        <v>259</v>
      </c>
      <c r="E443" s="4" t="s">
        <v>255</v>
      </c>
      <c r="F443" s="29">
        <f>прил6!F495</f>
        <v>184030</v>
      </c>
      <c r="G443" s="29"/>
    </row>
    <row r="444" spans="1:7" ht="78.75">
      <c r="A444" s="3" t="s">
        <v>124</v>
      </c>
      <c r="B444" s="4" t="s">
        <v>125</v>
      </c>
      <c r="C444" s="4"/>
      <c r="D444" s="4"/>
      <c r="E444" s="4"/>
      <c r="F444" s="29">
        <f>F445+F463+F467+F455+F459</f>
        <v>49822686</v>
      </c>
      <c r="G444" s="29"/>
    </row>
    <row r="445" spans="1:7" ht="110.25">
      <c r="A445" s="3" t="s">
        <v>209</v>
      </c>
      <c r="B445" s="4" t="s">
        <v>126</v>
      </c>
      <c r="C445" s="4"/>
      <c r="D445" s="4"/>
      <c r="E445" s="4"/>
      <c r="F445" s="29">
        <f>F446+F449+F452</f>
        <v>33003526.42</v>
      </c>
      <c r="G445" s="29"/>
    </row>
    <row r="446" spans="1:7" ht="126">
      <c r="A446" s="3" t="s">
        <v>305</v>
      </c>
      <c r="B446" s="4" t="s">
        <v>126</v>
      </c>
      <c r="C446" s="4" t="s">
        <v>18</v>
      </c>
      <c r="D446" s="4"/>
      <c r="E446" s="4"/>
      <c r="F446" s="29">
        <f>F447</f>
        <v>29228025.57</v>
      </c>
      <c r="G446" s="29"/>
    </row>
    <row r="447" spans="1:7" ht="47.25">
      <c r="A447" s="3" t="s">
        <v>275</v>
      </c>
      <c r="B447" s="4" t="s">
        <v>126</v>
      </c>
      <c r="C447" s="4" t="s">
        <v>18</v>
      </c>
      <c r="D447" s="4" t="s">
        <v>262</v>
      </c>
      <c r="E447" s="4"/>
      <c r="F447" s="29">
        <f>F448</f>
        <v>29228025.57</v>
      </c>
      <c r="G447" s="29"/>
    </row>
    <row r="448" spans="1:7" ht="63">
      <c r="A448" s="3" t="s">
        <v>60</v>
      </c>
      <c r="B448" s="4" t="s">
        <v>126</v>
      </c>
      <c r="C448" s="4" t="s">
        <v>18</v>
      </c>
      <c r="D448" s="4" t="s">
        <v>262</v>
      </c>
      <c r="E448" s="4" t="s">
        <v>261</v>
      </c>
      <c r="F448" s="29">
        <f>прил6!F184</f>
        <v>29228025.57</v>
      </c>
      <c r="G448" s="29"/>
    </row>
    <row r="449" spans="1:7" ht="47.25">
      <c r="A449" s="3" t="s">
        <v>306</v>
      </c>
      <c r="B449" s="4" t="s">
        <v>126</v>
      </c>
      <c r="C449" s="4" t="s">
        <v>19</v>
      </c>
      <c r="D449" s="4"/>
      <c r="E449" s="4"/>
      <c r="F449" s="29">
        <f>F450</f>
        <v>3752628.85</v>
      </c>
      <c r="G449" s="29"/>
    </row>
    <row r="450" spans="1:7" ht="47.25">
      <c r="A450" s="3" t="s">
        <v>275</v>
      </c>
      <c r="B450" s="4" t="s">
        <v>126</v>
      </c>
      <c r="C450" s="4" t="s">
        <v>19</v>
      </c>
      <c r="D450" s="4" t="s">
        <v>262</v>
      </c>
      <c r="E450" s="4"/>
      <c r="F450" s="29">
        <f>F451</f>
        <v>3752628.85</v>
      </c>
      <c r="G450" s="29"/>
    </row>
    <row r="451" spans="1:7" ht="63">
      <c r="A451" s="3" t="s">
        <v>60</v>
      </c>
      <c r="B451" s="4" t="s">
        <v>126</v>
      </c>
      <c r="C451" s="4" t="s">
        <v>19</v>
      </c>
      <c r="D451" s="4" t="s">
        <v>262</v>
      </c>
      <c r="E451" s="4" t="s">
        <v>261</v>
      </c>
      <c r="F451" s="29">
        <f>прил6!F185</f>
        <v>3752628.85</v>
      </c>
      <c r="G451" s="29"/>
    </row>
    <row r="452" spans="1:7" ht="15.75">
      <c r="A452" s="3" t="s">
        <v>235</v>
      </c>
      <c r="B452" s="4" t="s">
        <v>126</v>
      </c>
      <c r="C452" s="4" t="s">
        <v>22</v>
      </c>
      <c r="D452" s="4"/>
      <c r="E452" s="4"/>
      <c r="F452" s="29">
        <f>F453</f>
        <v>22872</v>
      </c>
      <c r="G452" s="29"/>
    </row>
    <row r="453" spans="1:7" ht="47.25">
      <c r="A453" s="3" t="s">
        <v>275</v>
      </c>
      <c r="B453" s="4" t="s">
        <v>126</v>
      </c>
      <c r="C453" s="4" t="s">
        <v>22</v>
      </c>
      <c r="D453" s="4" t="s">
        <v>262</v>
      </c>
      <c r="E453" s="4"/>
      <c r="F453" s="29">
        <f>F454</f>
        <v>22872</v>
      </c>
      <c r="G453" s="29"/>
    </row>
    <row r="454" spans="1:7" ht="63">
      <c r="A454" s="3" t="s">
        <v>60</v>
      </c>
      <c r="B454" s="4" t="s">
        <v>126</v>
      </c>
      <c r="C454" s="4" t="s">
        <v>22</v>
      </c>
      <c r="D454" s="4" t="s">
        <v>262</v>
      </c>
      <c r="E454" s="4" t="s">
        <v>261</v>
      </c>
      <c r="F454" s="29">
        <f>прил6!F186</f>
        <v>22872</v>
      </c>
      <c r="G454" s="29"/>
    </row>
    <row r="455" spans="1:7" ht="110.25">
      <c r="A455" s="3" t="s">
        <v>409</v>
      </c>
      <c r="B455" s="4" t="s">
        <v>425</v>
      </c>
      <c r="C455" s="4"/>
      <c r="D455" s="4"/>
      <c r="E455" s="4"/>
      <c r="F455" s="29">
        <f>F456</f>
        <v>540917</v>
      </c>
      <c r="G455" s="29"/>
    </row>
    <row r="456" spans="1:7" ht="126">
      <c r="A456" s="3" t="s">
        <v>305</v>
      </c>
      <c r="B456" s="4" t="s">
        <v>425</v>
      </c>
      <c r="C456" s="4" t="s">
        <v>18</v>
      </c>
      <c r="D456" s="4"/>
      <c r="E456" s="4"/>
      <c r="F456" s="29">
        <f>F457</f>
        <v>540917</v>
      </c>
      <c r="G456" s="29"/>
    </row>
    <row r="457" spans="1:7" ht="47.25">
      <c r="A457" s="3" t="s">
        <v>275</v>
      </c>
      <c r="B457" s="4" t="s">
        <v>425</v>
      </c>
      <c r="C457" s="4" t="s">
        <v>18</v>
      </c>
      <c r="D457" s="4" t="s">
        <v>262</v>
      </c>
      <c r="E457" s="4"/>
      <c r="F457" s="29">
        <f>F458</f>
        <v>540917</v>
      </c>
      <c r="G457" s="29"/>
    </row>
    <row r="458" spans="1:7" ht="63">
      <c r="A458" s="3" t="s">
        <v>60</v>
      </c>
      <c r="B458" s="4" t="s">
        <v>425</v>
      </c>
      <c r="C458" s="4" t="s">
        <v>18</v>
      </c>
      <c r="D458" s="4" t="s">
        <v>262</v>
      </c>
      <c r="E458" s="4" t="s">
        <v>261</v>
      </c>
      <c r="F458" s="29">
        <f>прил6!F188</f>
        <v>540917</v>
      </c>
      <c r="G458" s="29"/>
    </row>
    <row r="459" spans="1:7" ht="47.25" hidden="1">
      <c r="A459" s="3" t="s">
        <v>228</v>
      </c>
      <c r="B459" s="4" t="s">
        <v>451</v>
      </c>
      <c r="C459" s="4"/>
      <c r="D459" s="4"/>
      <c r="E459" s="4"/>
      <c r="F459" s="29">
        <f>F460</f>
        <v>0</v>
      </c>
      <c r="G459" s="29"/>
    </row>
    <row r="460" spans="1:7" ht="47.25" hidden="1">
      <c r="A460" s="3" t="s">
        <v>306</v>
      </c>
      <c r="B460" s="4" t="s">
        <v>451</v>
      </c>
      <c r="C460" s="4" t="s">
        <v>19</v>
      </c>
      <c r="D460" s="4"/>
      <c r="E460" s="4"/>
      <c r="F460" s="29">
        <f>F461</f>
        <v>0</v>
      </c>
      <c r="G460" s="29"/>
    </row>
    <row r="461" spans="1:7" ht="47.25" hidden="1">
      <c r="A461" s="3" t="s">
        <v>275</v>
      </c>
      <c r="B461" s="4" t="s">
        <v>451</v>
      </c>
      <c r="C461" s="4" t="s">
        <v>19</v>
      </c>
      <c r="D461" s="4" t="s">
        <v>262</v>
      </c>
      <c r="E461" s="4"/>
      <c r="F461" s="29">
        <f>F462</f>
        <v>0</v>
      </c>
      <c r="G461" s="29"/>
    </row>
    <row r="462" spans="1:7" ht="63" hidden="1">
      <c r="A462" s="3" t="s">
        <v>60</v>
      </c>
      <c r="B462" s="4" t="s">
        <v>451</v>
      </c>
      <c r="C462" s="4" t="s">
        <v>19</v>
      </c>
      <c r="D462" s="4" t="s">
        <v>262</v>
      </c>
      <c r="E462" s="4" t="s">
        <v>261</v>
      </c>
      <c r="F462" s="29">
        <f>прил6!F190</f>
        <v>0</v>
      </c>
      <c r="G462" s="29"/>
    </row>
    <row r="463" spans="1:7" ht="31.5">
      <c r="A463" s="3" t="s">
        <v>326</v>
      </c>
      <c r="B463" s="4" t="s">
        <v>127</v>
      </c>
      <c r="C463" s="4"/>
      <c r="D463" s="4"/>
      <c r="E463" s="4"/>
      <c r="F463" s="29">
        <f>F464</f>
        <v>5142510.58</v>
      </c>
      <c r="G463" s="29"/>
    </row>
    <row r="464" spans="1:7" ht="47.25">
      <c r="A464" s="3" t="s">
        <v>306</v>
      </c>
      <c r="B464" s="4" t="s">
        <v>127</v>
      </c>
      <c r="C464" s="4" t="s">
        <v>19</v>
      </c>
      <c r="D464" s="4"/>
      <c r="E464" s="4"/>
      <c r="F464" s="29">
        <f>F465</f>
        <v>5142510.58</v>
      </c>
      <c r="G464" s="29"/>
    </row>
    <row r="465" spans="1:7" ht="47.25">
      <c r="A465" s="3" t="s">
        <v>275</v>
      </c>
      <c r="B465" s="4" t="s">
        <v>127</v>
      </c>
      <c r="C465" s="4" t="s">
        <v>19</v>
      </c>
      <c r="D465" s="4" t="s">
        <v>262</v>
      </c>
      <c r="E465" s="4"/>
      <c r="F465" s="29">
        <f>F466</f>
        <v>5142510.58</v>
      </c>
      <c r="G465" s="29"/>
    </row>
    <row r="466" spans="1:7" ht="63">
      <c r="A466" s="3" t="s">
        <v>60</v>
      </c>
      <c r="B466" s="4" t="s">
        <v>127</v>
      </c>
      <c r="C466" s="4" t="s">
        <v>19</v>
      </c>
      <c r="D466" s="4" t="s">
        <v>262</v>
      </c>
      <c r="E466" s="4" t="s">
        <v>261</v>
      </c>
      <c r="F466" s="29">
        <f>прил6!F192</f>
        <v>5142510.58</v>
      </c>
      <c r="G466" s="29"/>
    </row>
    <row r="467" spans="1:7" ht="63">
      <c r="A467" s="3" t="s">
        <v>222</v>
      </c>
      <c r="B467" s="4" t="s">
        <v>133</v>
      </c>
      <c r="C467" s="4"/>
      <c r="D467" s="4"/>
      <c r="E467" s="4"/>
      <c r="F467" s="29">
        <f>F468</f>
        <v>11135732</v>
      </c>
      <c r="G467" s="29"/>
    </row>
    <row r="468" spans="1:7" ht="63">
      <c r="A468" s="3" t="s">
        <v>49</v>
      </c>
      <c r="B468" s="4" t="s">
        <v>133</v>
      </c>
      <c r="C468" s="4" t="s">
        <v>297</v>
      </c>
      <c r="D468" s="4"/>
      <c r="E468" s="4"/>
      <c r="F468" s="29">
        <f>F469</f>
        <v>11135732</v>
      </c>
      <c r="G468" s="29"/>
    </row>
    <row r="469" spans="1:7" ht="47.25">
      <c r="A469" s="3" t="s">
        <v>275</v>
      </c>
      <c r="B469" s="4" t="s">
        <v>133</v>
      </c>
      <c r="C469" s="4" t="s">
        <v>297</v>
      </c>
      <c r="D469" s="4" t="s">
        <v>262</v>
      </c>
      <c r="E469" s="4"/>
      <c r="F469" s="29">
        <f>F470</f>
        <v>11135732</v>
      </c>
      <c r="G469" s="29"/>
    </row>
    <row r="470" spans="1:7" ht="63">
      <c r="A470" s="3" t="s">
        <v>60</v>
      </c>
      <c r="B470" s="4" t="s">
        <v>133</v>
      </c>
      <c r="C470" s="4" t="s">
        <v>297</v>
      </c>
      <c r="D470" s="4" t="s">
        <v>262</v>
      </c>
      <c r="E470" s="4" t="s">
        <v>261</v>
      </c>
      <c r="F470" s="29">
        <f>прил6!F194</f>
        <v>11135732</v>
      </c>
      <c r="G470" s="29"/>
    </row>
    <row r="471" spans="1:7" ht="63">
      <c r="A471" s="1" t="s">
        <v>0</v>
      </c>
      <c r="B471" s="2" t="s">
        <v>1</v>
      </c>
      <c r="C471" s="2"/>
      <c r="D471" s="2"/>
      <c r="E471" s="2"/>
      <c r="F471" s="33">
        <f>F472+F476</f>
        <v>859086.3700000001</v>
      </c>
      <c r="G471" s="33">
        <f>G472+G476</f>
        <v>310168.31</v>
      </c>
    </row>
    <row r="472" spans="1:7" ht="31.5">
      <c r="A472" s="3" t="s">
        <v>326</v>
      </c>
      <c r="B472" s="4" t="s">
        <v>2</v>
      </c>
      <c r="C472" s="4"/>
      <c r="D472" s="4"/>
      <c r="E472" s="4"/>
      <c r="F472" s="29">
        <f>F473</f>
        <v>548918.06</v>
      </c>
      <c r="G472" s="29"/>
    </row>
    <row r="473" spans="1:7" ht="47.25">
      <c r="A473" s="3" t="s">
        <v>306</v>
      </c>
      <c r="B473" s="4" t="s">
        <v>2</v>
      </c>
      <c r="C473" s="4" t="s">
        <v>19</v>
      </c>
      <c r="D473" s="4"/>
      <c r="E473" s="4"/>
      <c r="F473" s="29">
        <f>F474</f>
        <v>548918.06</v>
      </c>
      <c r="G473" s="29"/>
    </row>
    <row r="474" spans="1:7" ht="15.75">
      <c r="A474" s="3" t="s">
        <v>25</v>
      </c>
      <c r="B474" s="4" t="s">
        <v>2</v>
      </c>
      <c r="C474" s="4" t="s">
        <v>19</v>
      </c>
      <c r="D474" s="4" t="s">
        <v>256</v>
      </c>
      <c r="E474" s="4"/>
      <c r="F474" s="29">
        <f>F475</f>
        <v>548918.06</v>
      </c>
      <c r="G474" s="29"/>
    </row>
    <row r="475" spans="1:7" ht="31.5">
      <c r="A475" s="3" t="s">
        <v>26</v>
      </c>
      <c r="B475" s="4" t="s">
        <v>2</v>
      </c>
      <c r="C475" s="4" t="s">
        <v>19</v>
      </c>
      <c r="D475" s="4" t="s">
        <v>256</v>
      </c>
      <c r="E475" s="4" t="s">
        <v>257</v>
      </c>
      <c r="F475" s="29">
        <f>прил6!F328</f>
        <v>548918.06</v>
      </c>
      <c r="G475" s="29"/>
    </row>
    <row r="476" spans="1:7" ht="141.75">
      <c r="A476" s="3" t="s">
        <v>198</v>
      </c>
      <c r="B476" s="4" t="s">
        <v>199</v>
      </c>
      <c r="C476" s="4"/>
      <c r="D476" s="4"/>
      <c r="E476" s="4"/>
      <c r="F476" s="29">
        <f aca="true" t="shared" si="31" ref="F476:G478">F477</f>
        <v>310168.31</v>
      </c>
      <c r="G476" s="29">
        <f t="shared" si="31"/>
        <v>310168.31</v>
      </c>
    </row>
    <row r="477" spans="1:7" ht="47.25">
      <c r="A477" s="3" t="s">
        <v>306</v>
      </c>
      <c r="B477" s="4" t="s">
        <v>199</v>
      </c>
      <c r="C477" s="4" t="s">
        <v>19</v>
      </c>
      <c r="D477" s="4"/>
      <c r="E477" s="4"/>
      <c r="F477" s="29">
        <f t="shared" si="31"/>
        <v>310168.31</v>
      </c>
      <c r="G477" s="29">
        <f t="shared" si="31"/>
        <v>310168.31</v>
      </c>
    </row>
    <row r="478" spans="1:7" ht="15.75">
      <c r="A478" s="3" t="s">
        <v>25</v>
      </c>
      <c r="B478" s="4" t="s">
        <v>199</v>
      </c>
      <c r="C478" s="4" t="s">
        <v>19</v>
      </c>
      <c r="D478" s="4" t="s">
        <v>256</v>
      </c>
      <c r="E478" s="4"/>
      <c r="F478" s="29">
        <f t="shared" si="31"/>
        <v>310168.31</v>
      </c>
      <c r="G478" s="29">
        <f t="shared" si="31"/>
        <v>310168.31</v>
      </c>
    </row>
    <row r="479" spans="1:7" ht="47.25">
      <c r="A479" s="3" t="s">
        <v>197</v>
      </c>
      <c r="B479" s="4" t="s">
        <v>199</v>
      </c>
      <c r="C479" s="4" t="s">
        <v>19</v>
      </c>
      <c r="D479" s="4" t="s">
        <v>256</v>
      </c>
      <c r="E479" s="4" t="s">
        <v>262</v>
      </c>
      <c r="F479" s="29">
        <f>прил6!F324</f>
        <v>310168.31</v>
      </c>
      <c r="G479" s="29">
        <f>F479</f>
        <v>310168.31</v>
      </c>
    </row>
    <row r="480" spans="1:7" ht="63">
      <c r="A480" s="1" t="s">
        <v>242</v>
      </c>
      <c r="B480" s="2" t="s">
        <v>109</v>
      </c>
      <c r="C480" s="2"/>
      <c r="D480" s="2"/>
      <c r="E480" s="2"/>
      <c r="F480" s="33">
        <f>F481+F485+F489+F493</f>
        <v>110897135.6</v>
      </c>
      <c r="G480" s="33">
        <f>G481+G485+G489+G493</f>
        <v>8873027.17</v>
      </c>
    </row>
    <row r="481" spans="1:7" ht="47.25">
      <c r="A481" s="3" t="s">
        <v>110</v>
      </c>
      <c r="B481" s="4" t="s">
        <v>111</v>
      </c>
      <c r="C481" s="4"/>
      <c r="D481" s="4"/>
      <c r="E481" s="4"/>
      <c r="F481" s="29">
        <f>F482</f>
        <v>2534200</v>
      </c>
      <c r="G481" s="29"/>
    </row>
    <row r="482" spans="1:7" ht="47.25">
      <c r="A482" s="3" t="s">
        <v>306</v>
      </c>
      <c r="B482" s="4" t="s">
        <v>111</v>
      </c>
      <c r="C482" s="4" t="s">
        <v>19</v>
      </c>
      <c r="D482" s="4"/>
      <c r="E482" s="4"/>
      <c r="F482" s="29">
        <f>F483</f>
        <v>2534200</v>
      </c>
      <c r="G482" s="29"/>
    </row>
    <row r="483" spans="1:7" ht="15.75">
      <c r="A483" s="3" t="s">
        <v>276</v>
      </c>
      <c r="B483" s="4" t="s">
        <v>111</v>
      </c>
      <c r="C483" s="4" t="s">
        <v>19</v>
      </c>
      <c r="D483" s="4" t="s">
        <v>265</v>
      </c>
      <c r="E483" s="4"/>
      <c r="F483" s="29">
        <f>F484</f>
        <v>2534200</v>
      </c>
      <c r="G483" s="29"/>
    </row>
    <row r="484" spans="1:7" ht="31.5">
      <c r="A484" s="3" t="s">
        <v>234</v>
      </c>
      <c r="B484" s="4" t="s">
        <v>111</v>
      </c>
      <c r="C484" s="4" t="s">
        <v>19</v>
      </c>
      <c r="D484" s="4" t="s">
        <v>265</v>
      </c>
      <c r="E484" s="4" t="s">
        <v>261</v>
      </c>
      <c r="F484" s="29">
        <f>прил6!F217</f>
        <v>2534200</v>
      </c>
      <c r="G484" s="29"/>
    </row>
    <row r="485" spans="1:7" ht="78.75">
      <c r="A485" s="3" t="s">
        <v>112</v>
      </c>
      <c r="B485" s="4" t="s">
        <v>113</v>
      </c>
      <c r="C485" s="4"/>
      <c r="D485" s="4"/>
      <c r="E485" s="4"/>
      <c r="F485" s="29">
        <f>F486</f>
        <v>94746666.44999999</v>
      </c>
      <c r="G485" s="29"/>
    </row>
    <row r="486" spans="1:7" ht="47.25">
      <c r="A486" s="3" t="s">
        <v>306</v>
      </c>
      <c r="B486" s="4" t="s">
        <v>113</v>
      </c>
      <c r="C486" s="4" t="s">
        <v>19</v>
      </c>
      <c r="D486" s="4"/>
      <c r="E486" s="4"/>
      <c r="F486" s="29">
        <f>F487</f>
        <v>94746666.44999999</v>
      </c>
      <c r="G486" s="29"/>
    </row>
    <row r="487" spans="1:7" ht="15.75">
      <c r="A487" s="3" t="s">
        <v>276</v>
      </c>
      <c r="B487" s="4" t="s">
        <v>113</v>
      </c>
      <c r="C487" s="4" t="s">
        <v>19</v>
      </c>
      <c r="D487" s="4" t="s">
        <v>265</v>
      </c>
      <c r="E487" s="4"/>
      <c r="F487" s="29">
        <f>F488</f>
        <v>94746666.44999999</v>
      </c>
      <c r="G487" s="29"/>
    </row>
    <row r="488" spans="1:7" ht="31.5">
      <c r="A488" s="3" t="s">
        <v>234</v>
      </c>
      <c r="B488" s="4" t="s">
        <v>113</v>
      </c>
      <c r="C488" s="4" t="s">
        <v>19</v>
      </c>
      <c r="D488" s="4" t="s">
        <v>265</v>
      </c>
      <c r="E488" s="4" t="s">
        <v>261</v>
      </c>
      <c r="F488" s="29">
        <f>прил6!F219</f>
        <v>94746666.44999999</v>
      </c>
      <c r="G488" s="29"/>
    </row>
    <row r="489" spans="1:7" ht="31.5">
      <c r="A489" s="3" t="s">
        <v>326</v>
      </c>
      <c r="B489" s="4" t="s">
        <v>114</v>
      </c>
      <c r="C489" s="4"/>
      <c r="D489" s="4"/>
      <c r="E489" s="4"/>
      <c r="F489" s="29">
        <f>F490</f>
        <v>4743241.98</v>
      </c>
      <c r="G489" s="29"/>
    </row>
    <row r="490" spans="1:7" ht="47.25">
      <c r="A490" s="3" t="s">
        <v>306</v>
      </c>
      <c r="B490" s="4" t="s">
        <v>114</v>
      </c>
      <c r="C490" s="4" t="s">
        <v>19</v>
      </c>
      <c r="D490" s="4"/>
      <c r="E490" s="4"/>
      <c r="F490" s="29">
        <f>F491</f>
        <v>4743241.98</v>
      </c>
      <c r="G490" s="29"/>
    </row>
    <row r="491" spans="1:7" ht="15.75">
      <c r="A491" s="3" t="s">
        <v>276</v>
      </c>
      <c r="B491" s="4" t="s">
        <v>114</v>
      </c>
      <c r="C491" s="4" t="s">
        <v>19</v>
      </c>
      <c r="D491" s="4" t="s">
        <v>265</v>
      </c>
      <c r="E491" s="4"/>
      <c r="F491" s="29">
        <f>F492</f>
        <v>4743241.98</v>
      </c>
      <c r="G491" s="29"/>
    </row>
    <row r="492" spans="1:7" ht="31.5">
      <c r="A492" s="3" t="s">
        <v>234</v>
      </c>
      <c r="B492" s="4" t="s">
        <v>114</v>
      </c>
      <c r="C492" s="4" t="s">
        <v>19</v>
      </c>
      <c r="D492" s="4" t="s">
        <v>265</v>
      </c>
      <c r="E492" s="4" t="s">
        <v>261</v>
      </c>
      <c r="F492" s="29">
        <f>прил6!F221</f>
        <v>4743241.98</v>
      </c>
      <c r="G492" s="29"/>
    </row>
    <row r="493" spans="1:7" ht="78.75">
      <c r="A493" s="3" t="s">
        <v>454</v>
      </c>
      <c r="B493" s="4" t="s">
        <v>455</v>
      </c>
      <c r="C493" s="4"/>
      <c r="D493" s="4"/>
      <c r="E493" s="4"/>
      <c r="F493" s="29">
        <f aca="true" t="shared" si="32" ref="F493:G495">F494</f>
        <v>8873027.17</v>
      </c>
      <c r="G493" s="29">
        <f t="shared" si="32"/>
        <v>8873027.17</v>
      </c>
    </row>
    <row r="494" spans="1:7" ht="47.25">
      <c r="A494" s="3" t="s">
        <v>306</v>
      </c>
      <c r="B494" s="4" t="s">
        <v>455</v>
      </c>
      <c r="C494" s="4" t="s">
        <v>19</v>
      </c>
      <c r="D494" s="4"/>
      <c r="E494" s="4"/>
      <c r="F494" s="29">
        <f t="shared" si="32"/>
        <v>8873027.17</v>
      </c>
      <c r="G494" s="29">
        <f t="shared" si="32"/>
        <v>8873027.17</v>
      </c>
    </row>
    <row r="495" spans="1:7" ht="15.75">
      <c r="A495" s="3" t="s">
        <v>276</v>
      </c>
      <c r="B495" s="4" t="s">
        <v>455</v>
      </c>
      <c r="C495" s="4" t="s">
        <v>19</v>
      </c>
      <c r="D495" s="4" t="s">
        <v>265</v>
      </c>
      <c r="E495" s="4"/>
      <c r="F495" s="29">
        <f t="shared" si="32"/>
        <v>8873027.17</v>
      </c>
      <c r="G495" s="29">
        <f t="shared" si="32"/>
        <v>8873027.17</v>
      </c>
    </row>
    <row r="496" spans="1:7" ht="31.5">
      <c r="A496" s="3" t="s">
        <v>234</v>
      </c>
      <c r="B496" s="4" t="s">
        <v>455</v>
      </c>
      <c r="C496" s="4" t="s">
        <v>19</v>
      </c>
      <c r="D496" s="4" t="s">
        <v>265</v>
      </c>
      <c r="E496" s="4" t="s">
        <v>261</v>
      </c>
      <c r="F496" s="29">
        <f>прил6!F223</f>
        <v>8873027.17</v>
      </c>
      <c r="G496" s="29">
        <f>F496</f>
        <v>8873027.17</v>
      </c>
    </row>
    <row r="497" spans="1:7" ht="78.75">
      <c r="A497" s="1" t="s">
        <v>71</v>
      </c>
      <c r="B497" s="2" t="s">
        <v>72</v>
      </c>
      <c r="C497" s="2"/>
      <c r="D497" s="2"/>
      <c r="E497" s="2"/>
      <c r="F497" s="33">
        <f>F498+F511+F522+F526+F530</f>
        <v>21413052.75</v>
      </c>
      <c r="G497" s="33">
        <f>G498+G511+G522+G526+G530</f>
        <v>5662499.68</v>
      </c>
    </row>
    <row r="498" spans="1:7" ht="47.25">
      <c r="A498" s="3" t="s">
        <v>228</v>
      </c>
      <c r="B498" s="4" t="s">
        <v>73</v>
      </c>
      <c r="C498" s="4"/>
      <c r="D498" s="4"/>
      <c r="E498" s="4"/>
      <c r="F498" s="29">
        <f>F499+F504</f>
        <v>7454284.25</v>
      </c>
      <c r="G498" s="29"/>
    </row>
    <row r="499" spans="1:7" ht="47.25">
      <c r="A499" s="3" t="s">
        <v>306</v>
      </c>
      <c r="B499" s="4" t="s">
        <v>73</v>
      </c>
      <c r="C499" s="4" t="s">
        <v>19</v>
      </c>
      <c r="D499" s="4"/>
      <c r="E499" s="4"/>
      <c r="F499" s="29">
        <f>F502+F500</f>
        <v>2550000</v>
      </c>
      <c r="G499" s="29"/>
    </row>
    <row r="500" spans="1:7" ht="15.75">
      <c r="A500" s="3" t="s">
        <v>274</v>
      </c>
      <c r="B500" s="4" t="s">
        <v>73</v>
      </c>
      <c r="C500" s="4" t="s">
        <v>19</v>
      </c>
      <c r="D500" s="4" t="s">
        <v>255</v>
      </c>
      <c r="E500" s="4"/>
      <c r="F500" s="29">
        <f>F501</f>
        <v>2200000</v>
      </c>
      <c r="G500" s="29"/>
    </row>
    <row r="501" spans="1:7" ht="31.5">
      <c r="A501" s="3" t="s">
        <v>284</v>
      </c>
      <c r="B501" s="4" t="s">
        <v>73</v>
      </c>
      <c r="C501" s="4" t="s">
        <v>19</v>
      </c>
      <c r="D501" s="4" t="s">
        <v>255</v>
      </c>
      <c r="E501" s="4" t="s">
        <v>16</v>
      </c>
      <c r="F501" s="29">
        <f>прил6!F113</f>
        <v>2200000</v>
      </c>
      <c r="G501" s="29"/>
    </row>
    <row r="502" spans="1:7" ht="15.75">
      <c r="A502" s="3" t="s">
        <v>276</v>
      </c>
      <c r="B502" s="4" t="s">
        <v>73</v>
      </c>
      <c r="C502" s="4" t="s">
        <v>19</v>
      </c>
      <c r="D502" s="4" t="s">
        <v>265</v>
      </c>
      <c r="E502" s="4"/>
      <c r="F502" s="29">
        <f>F503</f>
        <v>350000</v>
      </c>
      <c r="G502" s="29"/>
    </row>
    <row r="503" spans="1:7" ht="31.5">
      <c r="A503" s="3" t="s">
        <v>278</v>
      </c>
      <c r="B503" s="4" t="s">
        <v>73</v>
      </c>
      <c r="C503" s="4" t="s">
        <v>19</v>
      </c>
      <c r="D503" s="4" t="s">
        <v>265</v>
      </c>
      <c r="E503" s="4" t="s">
        <v>13</v>
      </c>
      <c r="F503" s="29">
        <f>прил6!F241</f>
        <v>350000</v>
      </c>
      <c r="G503" s="29"/>
    </row>
    <row r="504" spans="1:7" ht="63">
      <c r="A504" s="3" t="s">
        <v>330</v>
      </c>
      <c r="B504" s="4" t="s">
        <v>73</v>
      </c>
      <c r="C504" s="4" t="s">
        <v>23</v>
      </c>
      <c r="D504" s="4"/>
      <c r="E504" s="4"/>
      <c r="F504" s="29">
        <f>F505+F509</f>
        <v>4904284.25</v>
      </c>
      <c r="G504" s="29"/>
    </row>
    <row r="505" spans="1:7" ht="15.75">
      <c r="A505" s="3" t="s">
        <v>266</v>
      </c>
      <c r="B505" s="4" t="s">
        <v>73</v>
      </c>
      <c r="C505" s="4" t="s">
        <v>23</v>
      </c>
      <c r="D505" s="4" t="s">
        <v>258</v>
      </c>
      <c r="E505" s="4"/>
      <c r="F505" s="29">
        <f>F506+F507+F508</f>
        <v>3744393.21</v>
      </c>
      <c r="G505" s="29"/>
    </row>
    <row r="506" spans="1:7" ht="15.75">
      <c r="A506" s="3" t="s">
        <v>268</v>
      </c>
      <c r="B506" s="4" t="s">
        <v>73</v>
      </c>
      <c r="C506" s="4" t="s">
        <v>23</v>
      </c>
      <c r="D506" s="4" t="s">
        <v>258</v>
      </c>
      <c r="E506" s="4" t="s">
        <v>260</v>
      </c>
      <c r="F506" s="29">
        <f>прил6!F391</f>
        <v>177163.82</v>
      </c>
      <c r="G506" s="29"/>
    </row>
    <row r="507" spans="1:7" ht="31.5">
      <c r="A507" s="3" t="s">
        <v>61</v>
      </c>
      <c r="B507" s="4" t="s">
        <v>73</v>
      </c>
      <c r="C507" s="4" t="s">
        <v>23</v>
      </c>
      <c r="D507" s="4" t="s">
        <v>258</v>
      </c>
      <c r="E507" s="4" t="s">
        <v>258</v>
      </c>
      <c r="F507" s="29">
        <f>прил6!F419</f>
        <v>62143</v>
      </c>
      <c r="G507" s="29"/>
    </row>
    <row r="508" spans="1:7" ht="31.5">
      <c r="A508" s="3" t="s">
        <v>279</v>
      </c>
      <c r="B508" s="4" t="s">
        <v>73</v>
      </c>
      <c r="C508" s="4" t="s">
        <v>23</v>
      </c>
      <c r="D508" s="4" t="s">
        <v>258</v>
      </c>
      <c r="E508" s="4" t="s">
        <v>261</v>
      </c>
      <c r="F508" s="29">
        <f>прил6!F450</f>
        <v>3505086.39</v>
      </c>
      <c r="G508" s="29"/>
    </row>
    <row r="509" spans="1:7" ht="15.75">
      <c r="A509" s="3" t="s">
        <v>20</v>
      </c>
      <c r="B509" s="4" t="s">
        <v>73</v>
      </c>
      <c r="C509" s="4" t="s">
        <v>23</v>
      </c>
      <c r="D509" s="4" t="s">
        <v>259</v>
      </c>
      <c r="E509" s="4"/>
      <c r="F509" s="29">
        <f>F510</f>
        <v>1159891.04</v>
      </c>
      <c r="G509" s="29"/>
    </row>
    <row r="510" spans="1:7" ht="15.75">
      <c r="A510" s="3" t="s">
        <v>280</v>
      </c>
      <c r="B510" s="4" t="s">
        <v>73</v>
      </c>
      <c r="C510" s="4" t="s">
        <v>23</v>
      </c>
      <c r="D510" s="4" t="s">
        <v>259</v>
      </c>
      <c r="E510" s="4" t="s">
        <v>255</v>
      </c>
      <c r="F510" s="29">
        <f>прил6!F498</f>
        <v>1159891.04</v>
      </c>
      <c r="G510" s="29"/>
    </row>
    <row r="511" spans="1:7" ht="31.5">
      <c r="A511" s="3" t="s">
        <v>326</v>
      </c>
      <c r="B511" s="4" t="s">
        <v>74</v>
      </c>
      <c r="C511" s="4"/>
      <c r="D511" s="4"/>
      <c r="E511" s="4"/>
      <c r="F511" s="29">
        <f>F512+F515</f>
        <v>8246268.819999998</v>
      </c>
      <c r="G511" s="29"/>
    </row>
    <row r="512" spans="1:7" ht="47.25">
      <c r="A512" s="3" t="s">
        <v>306</v>
      </c>
      <c r="B512" s="4" t="s">
        <v>74</v>
      </c>
      <c r="C512" s="4" t="s">
        <v>19</v>
      </c>
      <c r="D512" s="4"/>
      <c r="E512" s="4"/>
      <c r="F512" s="29">
        <f>F513</f>
        <v>1380762.77</v>
      </c>
      <c r="G512" s="29"/>
    </row>
    <row r="513" spans="1:7" ht="31.5">
      <c r="A513" s="3" t="s">
        <v>264</v>
      </c>
      <c r="B513" s="4" t="s">
        <v>74</v>
      </c>
      <c r="C513" s="4" t="s">
        <v>19</v>
      </c>
      <c r="D513" s="4" t="s">
        <v>257</v>
      </c>
      <c r="E513" s="4"/>
      <c r="F513" s="29">
        <f>F514</f>
        <v>1380762.77</v>
      </c>
      <c r="G513" s="29"/>
    </row>
    <row r="514" spans="1:7" ht="15.75">
      <c r="A514" s="3" t="s">
        <v>270</v>
      </c>
      <c r="B514" s="4" t="s">
        <v>74</v>
      </c>
      <c r="C514" s="4" t="s">
        <v>19</v>
      </c>
      <c r="D514" s="4" t="s">
        <v>257</v>
      </c>
      <c r="E514" s="4" t="s">
        <v>255</v>
      </c>
      <c r="F514" s="29">
        <f>прил6!F266</f>
        <v>1380762.77</v>
      </c>
      <c r="G514" s="29"/>
    </row>
    <row r="515" spans="1:7" ht="63">
      <c r="A515" s="3" t="s">
        <v>330</v>
      </c>
      <c r="B515" s="4" t="s">
        <v>74</v>
      </c>
      <c r="C515" s="4" t="s">
        <v>23</v>
      </c>
      <c r="D515" s="4"/>
      <c r="E515" s="4"/>
      <c r="F515" s="29">
        <f>F516+F520</f>
        <v>6865506.049999999</v>
      </c>
      <c r="G515" s="29"/>
    </row>
    <row r="516" spans="1:7" ht="15.75">
      <c r="A516" s="3" t="s">
        <v>266</v>
      </c>
      <c r="B516" s="4" t="s">
        <v>74</v>
      </c>
      <c r="C516" s="4" t="s">
        <v>23</v>
      </c>
      <c r="D516" s="4" t="s">
        <v>258</v>
      </c>
      <c r="E516" s="4"/>
      <c r="F516" s="29">
        <f>F517+F518+F519</f>
        <v>3584041.3499999996</v>
      </c>
      <c r="G516" s="29"/>
    </row>
    <row r="517" spans="1:7" ht="15.75">
      <c r="A517" s="3" t="s">
        <v>268</v>
      </c>
      <c r="B517" s="4" t="s">
        <v>74</v>
      </c>
      <c r="C517" s="4" t="s">
        <v>23</v>
      </c>
      <c r="D517" s="4" t="s">
        <v>258</v>
      </c>
      <c r="E517" s="4" t="s">
        <v>260</v>
      </c>
      <c r="F517" s="29">
        <f>прил6!F393</f>
        <v>348969.97</v>
      </c>
      <c r="G517" s="29"/>
    </row>
    <row r="518" spans="1:7" ht="31.5">
      <c r="A518" s="3" t="s">
        <v>61</v>
      </c>
      <c r="B518" s="4" t="s">
        <v>74</v>
      </c>
      <c r="C518" s="4" t="s">
        <v>23</v>
      </c>
      <c r="D518" s="4" t="s">
        <v>258</v>
      </c>
      <c r="E518" s="4" t="s">
        <v>258</v>
      </c>
      <c r="F518" s="29">
        <f>прил6!F421</f>
        <v>126568</v>
      </c>
      <c r="G518" s="29"/>
    </row>
    <row r="519" spans="1:7" ht="31.5">
      <c r="A519" s="3" t="s">
        <v>279</v>
      </c>
      <c r="B519" s="4" t="s">
        <v>74</v>
      </c>
      <c r="C519" s="4" t="s">
        <v>23</v>
      </c>
      <c r="D519" s="4" t="s">
        <v>258</v>
      </c>
      <c r="E519" s="4" t="s">
        <v>261</v>
      </c>
      <c r="F519" s="29">
        <f>прил6!F452</f>
        <v>3108503.38</v>
      </c>
      <c r="G519" s="29"/>
    </row>
    <row r="520" spans="1:7" ht="15.75">
      <c r="A520" s="3" t="s">
        <v>20</v>
      </c>
      <c r="B520" s="4" t="s">
        <v>74</v>
      </c>
      <c r="C520" s="4" t="s">
        <v>23</v>
      </c>
      <c r="D520" s="4" t="s">
        <v>259</v>
      </c>
      <c r="E520" s="4"/>
      <c r="F520" s="29">
        <f>F521</f>
        <v>3281464.6999999997</v>
      </c>
      <c r="G520" s="29"/>
    </row>
    <row r="521" spans="1:7" ht="15.75">
      <c r="A521" s="3" t="s">
        <v>280</v>
      </c>
      <c r="B521" s="4" t="s">
        <v>74</v>
      </c>
      <c r="C521" s="4" t="s">
        <v>23</v>
      </c>
      <c r="D521" s="4" t="s">
        <v>259</v>
      </c>
      <c r="E521" s="4" t="s">
        <v>255</v>
      </c>
      <c r="F521" s="29">
        <f>прил6!F500</f>
        <v>3281464.6999999997</v>
      </c>
      <c r="G521" s="29"/>
    </row>
    <row r="522" spans="1:7" ht="63">
      <c r="A522" s="3" t="s">
        <v>75</v>
      </c>
      <c r="B522" s="4" t="s">
        <v>76</v>
      </c>
      <c r="C522" s="4"/>
      <c r="D522" s="4"/>
      <c r="E522" s="4"/>
      <c r="F522" s="77">
        <f>F523</f>
        <v>50000</v>
      </c>
      <c r="G522" s="29"/>
    </row>
    <row r="523" spans="1:7" ht="31.5">
      <c r="A523" s="3" t="s">
        <v>239</v>
      </c>
      <c r="B523" s="4" t="s">
        <v>76</v>
      </c>
      <c r="C523" s="4" t="s">
        <v>240</v>
      </c>
      <c r="D523" s="4"/>
      <c r="E523" s="4"/>
      <c r="F523" s="77">
        <f>F524</f>
        <v>50000</v>
      </c>
      <c r="G523" s="29"/>
    </row>
    <row r="524" spans="1:7" ht="31.5">
      <c r="A524" s="49" t="s">
        <v>264</v>
      </c>
      <c r="B524" s="4" t="s">
        <v>76</v>
      </c>
      <c r="C524" s="4" t="s">
        <v>240</v>
      </c>
      <c r="D524" s="4" t="s">
        <v>257</v>
      </c>
      <c r="E524" s="4"/>
      <c r="F524" s="77">
        <f>F525</f>
        <v>50000</v>
      </c>
      <c r="G524" s="29"/>
    </row>
    <row r="525" spans="1:7" ht="15.75">
      <c r="A525" s="76" t="s">
        <v>270</v>
      </c>
      <c r="B525" s="4" t="s">
        <v>76</v>
      </c>
      <c r="C525" s="4" t="s">
        <v>240</v>
      </c>
      <c r="D525" s="4" t="s">
        <v>257</v>
      </c>
      <c r="E525" s="4" t="s">
        <v>255</v>
      </c>
      <c r="F525" s="29">
        <f>прил6!F268</f>
        <v>50000</v>
      </c>
      <c r="G525" s="29"/>
    </row>
    <row r="526" spans="1:7" ht="110.25">
      <c r="A526" s="3" t="s">
        <v>195</v>
      </c>
      <c r="B526" s="4" t="s">
        <v>196</v>
      </c>
      <c r="C526" s="4"/>
      <c r="D526" s="4"/>
      <c r="E526" s="4"/>
      <c r="F526" s="29">
        <f aca="true" t="shared" si="33" ref="F526:G528">F527</f>
        <v>309629.96</v>
      </c>
      <c r="G526" s="29">
        <f t="shared" si="33"/>
        <v>309629.96</v>
      </c>
    </row>
    <row r="527" spans="1:7" ht="31.5">
      <c r="A527" s="3" t="s">
        <v>239</v>
      </c>
      <c r="B527" s="4" t="s">
        <v>196</v>
      </c>
      <c r="C527" s="4" t="s">
        <v>240</v>
      </c>
      <c r="D527" s="4"/>
      <c r="E527" s="4"/>
      <c r="F527" s="29">
        <f t="shared" si="33"/>
        <v>309629.96</v>
      </c>
      <c r="G527" s="29">
        <f t="shared" si="33"/>
        <v>309629.96</v>
      </c>
    </row>
    <row r="528" spans="1:7" ht="31.5">
      <c r="A528" s="49" t="s">
        <v>264</v>
      </c>
      <c r="B528" s="4" t="s">
        <v>196</v>
      </c>
      <c r="C528" s="4" t="s">
        <v>240</v>
      </c>
      <c r="D528" s="4" t="s">
        <v>257</v>
      </c>
      <c r="E528" s="4"/>
      <c r="F528" s="77">
        <f t="shared" si="33"/>
        <v>309629.96</v>
      </c>
      <c r="G528" s="29">
        <f t="shared" si="33"/>
        <v>309629.96</v>
      </c>
    </row>
    <row r="529" spans="1:7" ht="15.75">
      <c r="A529" s="76" t="s">
        <v>270</v>
      </c>
      <c r="B529" s="4" t="s">
        <v>196</v>
      </c>
      <c r="C529" s="4" t="s">
        <v>240</v>
      </c>
      <c r="D529" s="4" t="s">
        <v>257</v>
      </c>
      <c r="E529" s="4" t="s">
        <v>255</v>
      </c>
      <c r="F529" s="77">
        <f>прил6!F270</f>
        <v>309629.96</v>
      </c>
      <c r="G529" s="29">
        <f>F529</f>
        <v>309629.96</v>
      </c>
    </row>
    <row r="530" spans="1:10" ht="110.25">
      <c r="A530" s="3" t="s">
        <v>200</v>
      </c>
      <c r="B530" s="4" t="s">
        <v>201</v>
      </c>
      <c r="C530" s="4"/>
      <c r="D530" s="4"/>
      <c r="E530" s="4"/>
      <c r="F530" s="77">
        <f aca="true" t="shared" si="34" ref="F530:G532">F531</f>
        <v>5352869.72</v>
      </c>
      <c r="G530" s="29">
        <f t="shared" si="34"/>
        <v>5352869.72</v>
      </c>
      <c r="J530" s="26"/>
    </row>
    <row r="531" spans="1:7" ht="47.25">
      <c r="A531" s="3" t="s">
        <v>306</v>
      </c>
      <c r="B531" s="4" t="s">
        <v>201</v>
      </c>
      <c r="C531" s="4" t="s">
        <v>19</v>
      </c>
      <c r="D531" s="4"/>
      <c r="E531" s="4"/>
      <c r="F531" s="77">
        <f t="shared" si="34"/>
        <v>5352869.72</v>
      </c>
      <c r="G531" s="29">
        <f t="shared" si="34"/>
        <v>5352869.72</v>
      </c>
    </row>
    <row r="532" spans="1:7" ht="31.5">
      <c r="A532" s="49" t="s">
        <v>264</v>
      </c>
      <c r="B532" s="4" t="s">
        <v>201</v>
      </c>
      <c r="C532" s="4" t="s">
        <v>19</v>
      </c>
      <c r="D532" s="4" t="s">
        <v>257</v>
      </c>
      <c r="E532" s="4"/>
      <c r="F532" s="77">
        <f t="shared" si="34"/>
        <v>5352869.72</v>
      </c>
      <c r="G532" s="29">
        <f t="shared" si="34"/>
        <v>5352869.72</v>
      </c>
    </row>
    <row r="533" spans="1:7" ht="15.75">
      <c r="A533" s="76" t="s">
        <v>270</v>
      </c>
      <c r="B533" s="4" t="s">
        <v>201</v>
      </c>
      <c r="C533" s="4" t="s">
        <v>19</v>
      </c>
      <c r="D533" s="4" t="s">
        <v>257</v>
      </c>
      <c r="E533" s="4" t="s">
        <v>255</v>
      </c>
      <c r="F533" s="77">
        <f>прил6!F272</f>
        <v>5352869.72</v>
      </c>
      <c r="G533" s="29">
        <f>F533</f>
        <v>5352869.72</v>
      </c>
    </row>
    <row r="534" spans="1:7" s="16" customFormat="1" ht="94.5">
      <c r="A534" s="1" t="s">
        <v>3</v>
      </c>
      <c r="B534" s="84" t="s">
        <v>4</v>
      </c>
      <c r="C534" s="2"/>
      <c r="D534" s="2"/>
      <c r="E534" s="2"/>
      <c r="F534" s="83">
        <f>F535</f>
        <v>200000</v>
      </c>
      <c r="G534" s="33"/>
    </row>
    <row r="535" spans="1:7" ht="31.5">
      <c r="A535" s="3" t="s">
        <v>326</v>
      </c>
      <c r="B535" s="4" t="s">
        <v>5</v>
      </c>
      <c r="C535" s="4"/>
      <c r="D535" s="4"/>
      <c r="E535" s="4"/>
      <c r="F535" s="29">
        <f>F536</f>
        <v>200000</v>
      </c>
      <c r="G535" s="29"/>
    </row>
    <row r="536" spans="1:7" ht="47.25">
      <c r="A536" s="3" t="s">
        <v>306</v>
      </c>
      <c r="B536" s="4" t="s">
        <v>5</v>
      </c>
      <c r="C536" s="4" t="s">
        <v>19</v>
      </c>
      <c r="D536" s="4"/>
      <c r="E536" s="4"/>
      <c r="F536" s="29">
        <f>F537</f>
        <v>200000</v>
      </c>
      <c r="G536" s="29"/>
    </row>
    <row r="537" spans="1:7" ht="15.75">
      <c r="A537" s="3" t="s">
        <v>274</v>
      </c>
      <c r="B537" s="4" t="s">
        <v>5</v>
      </c>
      <c r="C537" s="4" t="s">
        <v>19</v>
      </c>
      <c r="D537" s="4" t="s">
        <v>255</v>
      </c>
      <c r="E537" s="4"/>
      <c r="F537" s="29">
        <f>F538</f>
        <v>200000</v>
      </c>
      <c r="G537" s="29"/>
    </row>
    <row r="538" spans="1:7" ht="31.5">
      <c r="A538" s="6" t="s">
        <v>284</v>
      </c>
      <c r="B538" s="7" t="s">
        <v>5</v>
      </c>
      <c r="C538" s="7" t="s">
        <v>19</v>
      </c>
      <c r="D538" s="7" t="s">
        <v>255</v>
      </c>
      <c r="E538" s="7" t="s">
        <v>16</v>
      </c>
      <c r="F538" s="31">
        <f>прил6!F116</f>
        <v>200000</v>
      </c>
      <c r="G538" s="31"/>
    </row>
    <row r="539" spans="1:7" ht="63">
      <c r="A539" s="1" t="s">
        <v>307</v>
      </c>
      <c r="B539" s="2" t="s">
        <v>308</v>
      </c>
      <c r="C539" s="2"/>
      <c r="D539" s="2"/>
      <c r="E539" s="2"/>
      <c r="F539" s="33">
        <f>F540+F552+F564+F569</f>
        <v>54238121.8</v>
      </c>
      <c r="G539" s="33">
        <f>G540+G552+G564+G569</f>
        <v>1158400</v>
      </c>
    </row>
    <row r="540" spans="1:7" ht="63">
      <c r="A540" s="3" t="s">
        <v>77</v>
      </c>
      <c r="B540" s="4" t="s">
        <v>78</v>
      </c>
      <c r="C540" s="2"/>
      <c r="D540" s="2"/>
      <c r="E540" s="2"/>
      <c r="F540" s="29">
        <f>F541+F548</f>
        <v>9357890.76</v>
      </c>
      <c r="G540" s="33"/>
    </row>
    <row r="541" spans="1:7" ht="110.25">
      <c r="A541" s="3" t="s">
        <v>209</v>
      </c>
      <c r="B541" s="4" t="s">
        <v>79</v>
      </c>
      <c r="C541" s="2"/>
      <c r="D541" s="2"/>
      <c r="E541" s="2"/>
      <c r="F541" s="29">
        <f>F542+F545</f>
        <v>9177050.76</v>
      </c>
      <c r="G541" s="33"/>
    </row>
    <row r="542" spans="1:7" ht="126">
      <c r="A542" s="3" t="s">
        <v>305</v>
      </c>
      <c r="B542" s="4" t="s">
        <v>79</v>
      </c>
      <c r="C542" s="4" t="s">
        <v>18</v>
      </c>
      <c r="D542" s="4"/>
      <c r="E542" s="4"/>
      <c r="F542" s="29">
        <f>F543</f>
        <v>8890578.76</v>
      </c>
      <c r="G542" s="29"/>
    </row>
    <row r="543" spans="1:7" ht="15.75">
      <c r="A543" s="3" t="s">
        <v>276</v>
      </c>
      <c r="B543" s="4" t="s">
        <v>79</v>
      </c>
      <c r="C543" s="4" t="s">
        <v>18</v>
      </c>
      <c r="D543" s="4" t="s">
        <v>265</v>
      </c>
      <c r="E543" s="4"/>
      <c r="F543" s="29">
        <f>F544</f>
        <v>8890578.76</v>
      </c>
      <c r="G543" s="29"/>
    </row>
    <row r="544" spans="1:7" ht="15.75">
      <c r="A544" s="3" t="s">
        <v>10</v>
      </c>
      <c r="B544" s="4" t="s">
        <v>79</v>
      </c>
      <c r="C544" s="4" t="s">
        <v>18</v>
      </c>
      <c r="D544" s="4" t="s">
        <v>265</v>
      </c>
      <c r="E544" s="4" t="s">
        <v>263</v>
      </c>
      <c r="F544" s="29">
        <f>прил6!F228</f>
        <v>8890578.76</v>
      </c>
      <c r="G544" s="29"/>
    </row>
    <row r="545" spans="1:7" ht="47.25">
      <c r="A545" s="3" t="s">
        <v>306</v>
      </c>
      <c r="B545" s="4" t="s">
        <v>79</v>
      </c>
      <c r="C545" s="4" t="s">
        <v>19</v>
      </c>
      <c r="D545" s="4"/>
      <c r="E545" s="4"/>
      <c r="F545" s="29">
        <f>F546</f>
        <v>286472</v>
      </c>
      <c r="G545" s="29"/>
    </row>
    <row r="546" spans="1:7" ht="15.75">
      <c r="A546" s="3" t="s">
        <v>276</v>
      </c>
      <c r="B546" s="4" t="s">
        <v>79</v>
      </c>
      <c r="C546" s="4" t="s">
        <v>19</v>
      </c>
      <c r="D546" s="4" t="s">
        <v>265</v>
      </c>
      <c r="E546" s="4"/>
      <c r="F546" s="29">
        <f>F547</f>
        <v>286472</v>
      </c>
      <c r="G546" s="29"/>
    </row>
    <row r="547" spans="1:7" ht="15.75">
      <c r="A547" s="3" t="s">
        <v>10</v>
      </c>
      <c r="B547" s="4" t="s">
        <v>79</v>
      </c>
      <c r="C547" s="4" t="s">
        <v>19</v>
      </c>
      <c r="D547" s="4" t="s">
        <v>265</v>
      </c>
      <c r="E547" s="4" t="s">
        <v>263</v>
      </c>
      <c r="F547" s="29">
        <f>прил6!F229</f>
        <v>286472</v>
      </c>
      <c r="G547" s="29"/>
    </row>
    <row r="548" spans="1:7" ht="110.25">
      <c r="A548" s="3" t="s">
        <v>409</v>
      </c>
      <c r="B548" s="4" t="s">
        <v>426</v>
      </c>
      <c r="C548" s="4"/>
      <c r="D548" s="4"/>
      <c r="E548" s="4"/>
      <c r="F548" s="29">
        <f>F549</f>
        <v>180840</v>
      </c>
      <c r="G548" s="29"/>
    </row>
    <row r="549" spans="1:7" ht="126">
      <c r="A549" s="3" t="s">
        <v>305</v>
      </c>
      <c r="B549" s="4" t="s">
        <v>426</v>
      </c>
      <c r="C549" s="4" t="s">
        <v>18</v>
      </c>
      <c r="D549" s="4"/>
      <c r="E549" s="4"/>
      <c r="F549" s="29">
        <f>F550</f>
        <v>180840</v>
      </c>
      <c r="G549" s="29"/>
    </row>
    <row r="550" spans="1:7" ht="15.75">
      <c r="A550" s="3" t="s">
        <v>276</v>
      </c>
      <c r="B550" s="4" t="s">
        <v>426</v>
      </c>
      <c r="C550" s="4" t="s">
        <v>18</v>
      </c>
      <c r="D550" s="4" t="s">
        <v>265</v>
      </c>
      <c r="E550" s="4"/>
      <c r="F550" s="29">
        <f>F551</f>
        <v>180840</v>
      </c>
      <c r="G550" s="29"/>
    </row>
    <row r="551" spans="1:7" ht="15.75">
      <c r="A551" s="3" t="s">
        <v>10</v>
      </c>
      <c r="B551" s="4" t="s">
        <v>426</v>
      </c>
      <c r="C551" s="4" t="s">
        <v>18</v>
      </c>
      <c r="D551" s="4" t="s">
        <v>265</v>
      </c>
      <c r="E551" s="4" t="s">
        <v>263</v>
      </c>
      <c r="F551" s="29">
        <f>прил6!F231</f>
        <v>180840</v>
      </c>
      <c r="G551" s="29"/>
    </row>
    <row r="552" spans="1:7" ht="63">
      <c r="A552" s="3" t="s">
        <v>309</v>
      </c>
      <c r="B552" s="4" t="s">
        <v>310</v>
      </c>
      <c r="C552" s="4"/>
      <c r="D552" s="4"/>
      <c r="E552" s="4"/>
      <c r="F552" s="29">
        <f>F553+F560</f>
        <v>14905042.040000001</v>
      </c>
      <c r="G552" s="29">
        <f>G553+G560</f>
        <v>11400</v>
      </c>
    </row>
    <row r="553" spans="1:7" ht="47.25">
      <c r="A553" s="3" t="s">
        <v>311</v>
      </c>
      <c r="B553" s="4" t="s">
        <v>312</v>
      </c>
      <c r="C553" s="4"/>
      <c r="D553" s="4"/>
      <c r="E553" s="4"/>
      <c r="F553" s="29">
        <f>F554+F557</f>
        <v>14893642.040000001</v>
      </c>
      <c r="G553" s="29"/>
    </row>
    <row r="554" spans="1:7" ht="47.25">
      <c r="A554" s="3" t="s">
        <v>306</v>
      </c>
      <c r="B554" s="4" t="s">
        <v>312</v>
      </c>
      <c r="C554" s="4" t="s">
        <v>19</v>
      </c>
      <c r="D554" s="4"/>
      <c r="E554" s="4"/>
      <c r="F554" s="29">
        <f>F555</f>
        <v>6568527.000000001</v>
      </c>
      <c r="G554" s="29"/>
    </row>
    <row r="555" spans="1:7" ht="15.75">
      <c r="A555" s="3" t="s">
        <v>276</v>
      </c>
      <c r="B555" s="4" t="s">
        <v>312</v>
      </c>
      <c r="C555" s="4" t="s">
        <v>19</v>
      </c>
      <c r="D555" s="4" t="s">
        <v>265</v>
      </c>
      <c r="E555" s="4"/>
      <c r="F555" s="29">
        <f>F556</f>
        <v>6568527.000000001</v>
      </c>
      <c r="G555" s="29"/>
    </row>
    <row r="556" spans="1:7" ht="15.75">
      <c r="A556" s="3" t="s">
        <v>10</v>
      </c>
      <c r="B556" s="4" t="s">
        <v>312</v>
      </c>
      <c r="C556" s="4" t="s">
        <v>19</v>
      </c>
      <c r="D556" s="4" t="s">
        <v>265</v>
      </c>
      <c r="E556" s="4" t="s">
        <v>263</v>
      </c>
      <c r="F556" s="29">
        <f>прил6!F234</f>
        <v>6568527.000000001</v>
      </c>
      <c r="G556" s="33"/>
    </row>
    <row r="557" spans="1:7" ht="63">
      <c r="A557" s="3" t="s">
        <v>330</v>
      </c>
      <c r="B557" s="4" t="s">
        <v>312</v>
      </c>
      <c r="C557" s="4" t="s">
        <v>23</v>
      </c>
      <c r="D557" s="4"/>
      <c r="E557" s="4"/>
      <c r="F557" s="29">
        <f>F558</f>
        <v>8325115.04</v>
      </c>
      <c r="G557" s="29"/>
    </row>
    <row r="558" spans="1:7" ht="15.75">
      <c r="A558" s="3" t="s">
        <v>276</v>
      </c>
      <c r="B558" s="4" t="s">
        <v>312</v>
      </c>
      <c r="C558" s="4" t="s">
        <v>23</v>
      </c>
      <c r="D558" s="4" t="s">
        <v>265</v>
      </c>
      <c r="E558" s="4"/>
      <c r="F558" s="29">
        <f>F559</f>
        <v>8325115.04</v>
      </c>
      <c r="G558" s="29"/>
    </row>
    <row r="559" spans="1:7" ht="15.75">
      <c r="A559" s="3" t="s">
        <v>10</v>
      </c>
      <c r="B559" s="4" t="s">
        <v>312</v>
      </c>
      <c r="C559" s="4" t="s">
        <v>23</v>
      </c>
      <c r="D559" s="4" t="s">
        <v>265</v>
      </c>
      <c r="E559" s="4" t="s">
        <v>263</v>
      </c>
      <c r="F559" s="29">
        <f>прил6!F235</f>
        <v>8325115.04</v>
      </c>
      <c r="G559" s="29"/>
    </row>
    <row r="560" spans="1:7" ht="126">
      <c r="A560" s="3" t="s">
        <v>336</v>
      </c>
      <c r="B560" s="4" t="s">
        <v>337</v>
      </c>
      <c r="C560" s="4"/>
      <c r="D560" s="4"/>
      <c r="E560" s="4"/>
      <c r="F560" s="29">
        <f aca="true" t="shared" si="35" ref="F560:G562">F561</f>
        <v>11400</v>
      </c>
      <c r="G560" s="29">
        <f t="shared" si="35"/>
        <v>11400</v>
      </c>
    </row>
    <row r="561" spans="1:7" ht="47.25">
      <c r="A561" s="3" t="s">
        <v>306</v>
      </c>
      <c r="B561" s="4" t="s">
        <v>337</v>
      </c>
      <c r="C561" s="4" t="s">
        <v>19</v>
      </c>
      <c r="D561" s="4"/>
      <c r="E561" s="4"/>
      <c r="F561" s="29">
        <f t="shared" si="35"/>
        <v>11400</v>
      </c>
      <c r="G561" s="29">
        <f t="shared" si="35"/>
        <v>11400</v>
      </c>
    </row>
    <row r="562" spans="1:7" ht="15.75">
      <c r="A562" s="3" t="s">
        <v>276</v>
      </c>
      <c r="B562" s="4" t="s">
        <v>337</v>
      </c>
      <c r="C562" s="4" t="s">
        <v>19</v>
      </c>
      <c r="D562" s="4" t="s">
        <v>265</v>
      </c>
      <c r="E562" s="4"/>
      <c r="F562" s="29">
        <f t="shared" si="35"/>
        <v>11400</v>
      </c>
      <c r="G562" s="29">
        <f t="shared" si="35"/>
        <v>11400</v>
      </c>
    </row>
    <row r="563" spans="1:7" ht="15.75">
      <c r="A563" s="3" t="s">
        <v>10</v>
      </c>
      <c r="B563" s="4" t="s">
        <v>337</v>
      </c>
      <c r="C563" s="4" t="s">
        <v>19</v>
      </c>
      <c r="D563" s="4" t="s">
        <v>265</v>
      </c>
      <c r="E563" s="4" t="s">
        <v>263</v>
      </c>
      <c r="F563" s="29">
        <f>прил6!F237</f>
        <v>11400</v>
      </c>
      <c r="G563" s="29">
        <f>F563</f>
        <v>11400</v>
      </c>
    </row>
    <row r="564" spans="1:7" ht="110.25">
      <c r="A564" s="3" t="s">
        <v>80</v>
      </c>
      <c r="B564" s="4" t="s">
        <v>81</v>
      </c>
      <c r="C564" s="4"/>
      <c r="D564" s="4"/>
      <c r="E564" s="4"/>
      <c r="F564" s="29">
        <f>F565</f>
        <v>3000000</v>
      </c>
      <c r="G564" s="29"/>
    </row>
    <row r="565" spans="1:7" ht="47.25">
      <c r="A565" s="3" t="s">
        <v>82</v>
      </c>
      <c r="B565" s="4" t="s">
        <v>83</v>
      </c>
      <c r="C565" s="4"/>
      <c r="D565" s="4"/>
      <c r="E565" s="4"/>
      <c r="F565" s="29">
        <f>F566</f>
        <v>3000000</v>
      </c>
      <c r="G565" s="29"/>
    </row>
    <row r="566" spans="1:7" ht="15.75">
      <c r="A566" s="3" t="s">
        <v>235</v>
      </c>
      <c r="B566" s="4" t="s">
        <v>83</v>
      </c>
      <c r="C566" s="4" t="s">
        <v>22</v>
      </c>
      <c r="D566" s="4"/>
      <c r="E566" s="4"/>
      <c r="F566" s="29">
        <f>F567</f>
        <v>3000000</v>
      </c>
      <c r="G566" s="29"/>
    </row>
    <row r="567" spans="1:7" ht="15.75">
      <c r="A567" s="3" t="s">
        <v>9</v>
      </c>
      <c r="B567" s="4" t="s">
        <v>83</v>
      </c>
      <c r="C567" s="4" t="s">
        <v>22</v>
      </c>
      <c r="D567" s="4" t="s">
        <v>13</v>
      </c>
      <c r="E567" s="4"/>
      <c r="F567" s="29">
        <f>F568</f>
        <v>3000000</v>
      </c>
      <c r="G567" s="29"/>
    </row>
    <row r="568" spans="1:7" ht="31.5">
      <c r="A568" s="3" t="s">
        <v>165</v>
      </c>
      <c r="B568" s="4" t="s">
        <v>83</v>
      </c>
      <c r="C568" s="4" t="s">
        <v>22</v>
      </c>
      <c r="D568" s="4" t="s">
        <v>13</v>
      </c>
      <c r="E568" s="4" t="s">
        <v>260</v>
      </c>
      <c r="F568" s="29">
        <f>прил6!F587</f>
        <v>3000000</v>
      </c>
      <c r="G568" s="29"/>
    </row>
    <row r="569" spans="1:7" ht="94.5">
      <c r="A569" s="61" t="s">
        <v>338</v>
      </c>
      <c r="B569" s="4" t="s">
        <v>339</v>
      </c>
      <c r="C569" s="4"/>
      <c r="D569" s="4"/>
      <c r="E569" s="4"/>
      <c r="F569" s="29">
        <f>F570+F584+F588+F580</f>
        <v>26975189</v>
      </c>
      <c r="G569" s="29">
        <f>G570+G584+G588+G580</f>
        <v>1147000</v>
      </c>
    </row>
    <row r="570" spans="1:7" ht="110.25">
      <c r="A570" s="3" t="s">
        <v>209</v>
      </c>
      <c r="B570" s="4" t="s">
        <v>84</v>
      </c>
      <c r="C570" s="4"/>
      <c r="D570" s="4"/>
      <c r="E570" s="4"/>
      <c r="F570" s="29">
        <f>F571+F574+F577</f>
        <v>8485829.8</v>
      </c>
      <c r="G570" s="29"/>
    </row>
    <row r="571" spans="1:7" ht="126">
      <c r="A571" s="3" t="s">
        <v>305</v>
      </c>
      <c r="B571" s="4" t="s">
        <v>84</v>
      </c>
      <c r="C571" s="4" t="s">
        <v>18</v>
      </c>
      <c r="D571" s="4"/>
      <c r="E571" s="4"/>
      <c r="F571" s="29">
        <f>F572</f>
        <v>0</v>
      </c>
      <c r="G571" s="29"/>
    </row>
    <row r="572" spans="1:7" ht="15.75">
      <c r="A572" s="3" t="s">
        <v>274</v>
      </c>
      <c r="B572" s="4" t="s">
        <v>84</v>
      </c>
      <c r="C572" s="4" t="s">
        <v>18</v>
      </c>
      <c r="D572" s="4" t="s">
        <v>255</v>
      </c>
      <c r="E572" s="4"/>
      <c r="F572" s="29">
        <f>F573</f>
        <v>0</v>
      </c>
      <c r="G572" s="29"/>
    </row>
    <row r="573" spans="1:7" ht="31.5">
      <c r="A573" s="3" t="s">
        <v>284</v>
      </c>
      <c r="B573" s="4" t="s">
        <v>84</v>
      </c>
      <c r="C573" s="4" t="s">
        <v>18</v>
      </c>
      <c r="D573" s="4" t="s">
        <v>255</v>
      </c>
      <c r="E573" s="4" t="s">
        <v>16</v>
      </c>
      <c r="F573" s="29">
        <f>прил6!F120</f>
        <v>0</v>
      </c>
      <c r="G573" s="29"/>
    </row>
    <row r="574" spans="1:7" ht="47.25">
      <c r="A574" s="3" t="s">
        <v>306</v>
      </c>
      <c r="B574" s="4" t="s">
        <v>84</v>
      </c>
      <c r="C574" s="4" t="s">
        <v>19</v>
      </c>
      <c r="D574" s="4"/>
      <c r="E574" s="4"/>
      <c r="F574" s="29">
        <f>F575</f>
        <v>3318199.8</v>
      </c>
      <c r="G574" s="29"/>
    </row>
    <row r="575" spans="1:7" ht="15.75">
      <c r="A575" s="3" t="s">
        <v>274</v>
      </c>
      <c r="B575" s="4" t="s">
        <v>84</v>
      </c>
      <c r="C575" s="4" t="s">
        <v>19</v>
      </c>
      <c r="D575" s="4" t="s">
        <v>255</v>
      </c>
      <c r="E575" s="4"/>
      <c r="F575" s="29">
        <f>F576</f>
        <v>3318199.8</v>
      </c>
      <c r="G575" s="29"/>
    </row>
    <row r="576" spans="1:7" ht="31.5">
      <c r="A576" s="3" t="s">
        <v>284</v>
      </c>
      <c r="B576" s="4" t="s">
        <v>84</v>
      </c>
      <c r="C576" s="4" t="s">
        <v>19</v>
      </c>
      <c r="D576" s="4" t="s">
        <v>255</v>
      </c>
      <c r="E576" s="4" t="s">
        <v>16</v>
      </c>
      <c r="F576" s="29">
        <f>прил6!F121</f>
        <v>3318199.8</v>
      </c>
      <c r="G576" s="29"/>
    </row>
    <row r="577" spans="1:7" ht="63">
      <c r="A577" s="3" t="s">
        <v>330</v>
      </c>
      <c r="B577" s="4" t="s">
        <v>84</v>
      </c>
      <c r="C577" s="4" t="s">
        <v>23</v>
      </c>
      <c r="D577" s="4"/>
      <c r="E577" s="4"/>
      <c r="F577" s="29">
        <f>F578</f>
        <v>5167630</v>
      </c>
      <c r="G577" s="29"/>
    </row>
    <row r="578" spans="1:7" ht="15.75">
      <c r="A578" s="3" t="s">
        <v>274</v>
      </c>
      <c r="B578" s="4" t="s">
        <v>84</v>
      </c>
      <c r="C578" s="4" t="s">
        <v>23</v>
      </c>
      <c r="D578" s="4" t="s">
        <v>255</v>
      </c>
      <c r="E578" s="4"/>
      <c r="F578" s="29">
        <f>F579</f>
        <v>5167630</v>
      </c>
      <c r="G578" s="29"/>
    </row>
    <row r="579" spans="1:7" ht="31.5">
      <c r="A579" s="3" t="s">
        <v>284</v>
      </c>
      <c r="B579" s="4" t="s">
        <v>84</v>
      </c>
      <c r="C579" s="4" t="s">
        <v>23</v>
      </c>
      <c r="D579" s="4" t="s">
        <v>255</v>
      </c>
      <c r="E579" s="4" t="s">
        <v>16</v>
      </c>
      <c r="F579" s="29">
        <f>прил7!G97</f>
        <v>5167630</v>
      </c>
      <c r="G579" s="29"/>
    </row>
    <row r="580" spans="1:7" ht="31.5">
      <c r="A580" s="3" t="s">
        <v>326</v>
      </c>
      <c r="B580" s="4" t="s">
        <v>129</v>
      </c>
      <c r="C580" s="4"/>
      <c r="D580" s="4"/>
      <c r="E580" s="4"/>
      <c r="F580" s="29">
        <f>F581</f>
        <v>1958395.72</v>
      </c>
      <c r="G580" s="29"/>
    </row>
    <row r="581" spans="1:7" ht="47.25">
      <c r="A581" s="3" t="s">
        <v>306</v>
      </c>
      <c r="B581" s="4" t="s">
        <v>129</v>
      </c>
      <c r="C581" s="4" t="s">
        <v>19</v>
      </c>
      <c r="D581" s="4"/>
      <c r="E581" s="4"/>
      <c r="F581" s="29">
        <f>F582</f>
        <v>1958395.72</v>
      </c>
      <c r="G581" s="29"/>
    </row>
    <row r="582" spans="1:7" ht="15.75">
      <c r="A582" s="3" t="s">
        <v>274</v>
      </c>
      <c r="B582" s="4" t="s">
        <v>129</v>
      </c>
      <c r="C582" s="4" t="s">
        <v>19</v>
      </c>
      <c r="D582" s="4" t="s">
        <v>255</v>
      </c>
      <c r="E582" s="4"/>
      <c r="F582" s="29">
        <f>F583</f>
        <v>1958395.72</v>
      </c>
      <c r="G582" s="29"/>
    </row>
    <row r="583" spans="1:7" ht="31.5">
      <c r="A583" s="3" t="s">
        <v>284</v>
      </c>
      <c r="B583" s="4" t="s">
        <v>129</v>
      </c>
      <c r="C583" s="4" t="s">
        <v>19</v>
      </c>
      <c r="D583" s="4" t="s">
        <v>255</v>
      </c>
      <c r="E583" s="4" t="s">
        <v>16</v>
      </c>
      <c r="F583" s="29">
        <f>прил7!G235</f>
        <v>1958395.72</v>
      </c>
      <c r="G583" s="29"/>
    </row>
    <row r="584" spans="1:7" ht="63">
      <c r="A584" s="3" t="s">
        <v>222</v>
      </c>
      <c r="B584" s="4" t="s">
        <v>85</v>
      </c>
      <c r="C584" s="4"/>
      <c r="D584" s="4"/>
      <c r="E584" s="4"/>
      <c r="F584" s="29">
        <f>F585</f>
        <v>15383963.479999999</v>
      </c>
      <c r="G584" s="29"/>
    </row>
    <row r="585" spans="1:7" ht="63">
      <c r="A585" s="3" t="s">
        <v>49</v>
      </c>
      <c r="B585" s="4" t="s">
        <v>85</v>
      </c>
      <c r="C585" s="4" t="s">
        <v>297</v>
      </c>
      <c r="D585" s="4"/>
      <c r="E585" s="4"/>
      <c r="F585" s="29">
        <f>F586</f>
        <v>15383963.479999999</v>
      </c>
      <c r="G585" s="29"/>
    </row>
    <row r="586" spans="1:7" ht="15.75">
      <c r="A586" s="3" t="s">
        <v>274</v>
      </c>
      <c r="B586" s="4" t="s">
        <v>85</v>
      </c>
      <c r="C586" s="4" t="s">
        <v>297</v>
      </c>
      <c r="D586" s="4" t="s">
        <v>255</v>
      </c>
      <c r="E586" s="4"/>
      <c r="F586" s="29">
        <f>F587</f>
        <v>15383963.479999999</v>
      </c>
      <c r="G586" s="29"/>
    </row>
    <row r="587" spans="1:7" ht="31.5">
      <c r="A587" s="3" t="s">
        <v>284</v>
      </c>
      <c r="B587" s="4" t="s">
        <v>85</v>
      </c>
      <c r="C587" s="4" t="s">
        <v>297</v>
      </c>
      <c r="D587" s="4" t="s">
        <v>255</v>
      </c>
      <c r="E587" s="4" t="s">
        <v>16</v>
      </c>
      <c r="F587" s="29">
        <f>прил6!F126</f>
        <v>15383963.479999999</v>
      </c>
      <c r="G587" s="29"/>
    </row>
    <row r="588" spans="1:7" ht="47.25">
      <c r="A588" s="61" t="s">
        <v>340</v>
      </c>
      <c r="B588" s="4" t="s">
        <v>341</v>
      </c>
      <c r="C588" s="4"/>
      <c r="D588" s="4"/>
      <c r="E588" s="4"/>
      <c r="F588" s="29">
        <f aca="true" t="shared" si="36" ref="F588:G590">F589</f>
        <v>1147000</v>
      </c>
      <c r="G588" s="29">
        <f t="shared" si="36"/>
        <v>1147000</v>
      </c>
    </row>
    <row r="589" spans="1:7" ht="47.25">
      <c r="A589" s="3" t="s">
        <v>306</v>
      </c>
      <c r="B589" s="4" t="s">
        <v>341</v>
      </c>
      <c r="C589" s="4" t="s">
        <v>19</v>
      </c>
      <c r="D589" s="4"/>
      <c r="E589" s="4"/>
      <c r="F589" s="29">
        <f t="shared" si="36"/>
        <v>1147000</v>
      </c>
      <c r="G589" s="29">
        <f t="shared" si="36"/>
        <v>1147000</v>
      </c>
    </row>
    <row r="590" spans="1:7" ht="15.75">
      <c r="A590" s="3" t="s">
        <v>274</v>
      </c>
      <c r="B590" s="4" t="s">
        <v>341</v>
      </c>
      <c r="C590" s="4" t="s">
        <v>19</v>
      </c>
      <c r="D590" s="4" t="s">
        <v>255</v>
      </c>
      <c r="E590" s="4"/>
      <c r="F590" s="29">
        <f t="shared" si="36"/>
        <v>1147000</v>
      </c>
      <c r="G590" s="29">
        <f t="shared" si="36"/>
        <v>1147000</v>
      </c>
    </row>
    <row r="591" spans="1:7" ht="31.5">
      <c r="A591" s="3" t="s">
        <v>284</v>
      </c>
      <c r="B591" s="4" t="s">
        <v>341</v>
      </c>
      <c r="C591" s="4" t="s">
        <v>19</v>
      </c>
      <c r="D591" s="4" t="s">
        <v>255</v>
      </c>
      <c r="E591" s="4" t="s">
        <v>16</v>
      </c>
      <c r="F591" s="29">
        <f>прил6!F128</f>
        <v>1147000</v>
      </c>
      <c r="G591" s="29">
        <f>F591</f>
        <v>1147000</v>
      </c>
    </row>
    <row r="592" spans="1:7" ht="110.25">
      <c r="A592" s="80" t="s">
        <v>6</v>
      </c>
      <c r="B592" s="5" t="s">
        <v>7</v>
      </c>
      <c r="C592" s="5"/>
      <c r="D592" s="5"/>
      <c r="E592" s="5"/>
      <c r="F592" s="28">
        <f>F593+F609</f>
        <v>13695921.26</v>
      </c>
      <c r="G592" s="28"/>
    </row>
    <row r="593" spans="1:7" ht="47.25">
      <c r="A593" s="61" t="s">
        <v>101</v>
      </c>
      <c r="B593" s="4" t="s">
        <v>102</v>
      </c>
      <c r="C593" s="4"/>
      <c r="D593" s="4"/>
      <c r="E593" s="4"/>
      <c r="F593" s="29">
        <f>F594+F598+F605</f>
        <v>10151679</v>
      </c>
      <c r="G593" s="29"/>
    </row>
    <row r="594" spans="1:7" ht="58.5" customHeight="1">
      <c r="A594" s="61" t="s">
        <v>413</v>
      </c>
      <c r="B594" s="4" t="s">
        <v>433</v>
      </c>
      <c r="C594" s="4"/>
      <c r="D594" s="4"/>
      <c r="E594" s="4"/>
      <c r="F594" s="29">
        <f>F595</f>
        <v>9730617.03</v>
      </c>
      <c r="G594" s="29"/>
    </row>
    <row r="595" spans="1:7" ht="126">
      <c r="A595" s="3" t="s">
        <v>305</v>
      </c>
      <c r="B595" s="4" t="s">
        <v>433</v>
      </c>
      <c r="C595" s="4" t="s">
        <v>18</v>
      </c>
      <c r="D595" s="4"/>
      <c r="E595" s="4"/>
      <c r="F595" s="29">
        <f>F596</f>
        <v>9730617.03</v>
      </c>
      <c r="G595" s="29"/>
    </row>
    <row r="596" spans="1:7" ht="15.75">
      <c r="A596" s="3" t="s">
        <v>274</v>
      </c>
      <c r="B596" s="4" t="s">
        <v>433</v>
      </c>
      <c r="C596" s="4" t="s">
        <v>18</v>
      </c>
      <c r="D596" s="4" t="s">
        <v>255</v>
      </c>
      <c r="E596" s="4"/>
      <c r="F596" s="29">
        <f>F597</f>
        <v>9730617.03</v>
      </c>
      <c r="G596" s="29"/>
    </row>
    <row r="597" spans="1:7" ht="126">
      <c r="A597" s="3" t="s">
        <v>12</v>
      </c>
      <c r="B597" s="4" t="s">
        <v>433</v>
      </c>
      <c r="C597" s="4" t="s">
        <v>18</v>
      </c>
      <c r="D597" s="4" t="s">
        <v>255</v>
      </c>
      <c r="E597" s="4" t="s">
        <v>265</v>
      </c>
      <c r="F597" s="29">
        <f>прил6!F44</f>
        <v>9730617.03</v>
      </c>
      <c r="G597" s="29"/>
    </row>
    <row r="598" spans="1:7" ht="47.25">
      <c r="A598" s="61" t="s">
        <v>415</v>
      </c>
      <c r="B598" s="4" t="s">
        <v>435</v>
      </c>
      <c r="C598" s="4"/>
      <c r="D598" s="4"/>
      <c r="E598" s="4"/>
      <c r="F598" s="29">
        <f>F599+F602</f>
        <v>154910.62999999998</v>
      </c>
      <c r="G598" s="29"/>
    </row>
    <row r="599" spans="1:7" s="16" customFormat="1" ht="126">
      <c r="A599" s="61" t="s">
        <v>417</v>
      </c>
      <c r="B599" s="4" t="s">
        <v>435</v>
      </c>
      <c r="C599" s="4" t="s">
        <v>18</v>
      </c>
      <c r="D599" s="4"/>
      <c r="E599" s="4"/>
      <c r="F599" s="29">
        <f>F600</f>
        <v>10210.33</v>
      </c>
      <c r="G599" s="29"/>
    </row>
    <row r="600" spans="1:7" ht="15.75">
      <c r="A600" s="3" t="s">
        <v>274</v>
      </c>
      <c r="B600" s="4" t="s">
        <v>435</v>
      </c>
      <c r="C600" s="4" t="s">
        <v>18</v>
      </c>
      <c r="D600" s="4" t="s">
        <v>255</v>
      </c>
      <c r="E600" s="4"/>
      <c r="F600" s="29">
        <f>F601</f>
        <v>10210.33</v>
      </c>
      <c r="G600" s="29"/>
    </row>
    <row r="601" spans="1:7" ht="126">
      <c r="A601" s="3" t="s">
        <v>12</v>
      </c>
      <c r="B601" s="4" t="s">
        <v>435</v>
      </c>
      <c r="C601" s="4" t="s">
        <v>18</v>
      </c>
      <c r="D601" s="4" t="s">
        <v>255</v>
      </c>
      <c r="E601" s="4" t="s">
        <v>265</v>
      </c>
      <c r="F601" s="29">
        <f>прил6!F46</f>
        <v>10210.33</v>
      </c>
      <c r="G601" s="29"/>
    </row>
    <row r="602" spans="1:7" ht="47.25">
      <c r="A602" s="61" t="s">
        <v>306</v>
      </c>
      <c r="B602" s="4" t="s">
        <v>435</v>
      </c>
      <c r="C602" s="4" t="s">
        <v>19</v>
      </c>
      <c r="D602" s="4"/>
      <c r="E602" s="4"/>
      <c r="F602" s="29">
        <f>F603</f>
        <v>144700.3</v>
      </c>
      <c r="G602" s="29"/>
    </row>
    <row r="603" spans="1:7" ht="15.75">
      <c r="A603" s="3" t="s">
        <v>274</v>
      </c>
      <c r="B603" s="4" t="s">
        <v>435</v>
      </c>
      <c r="C603" s="4" t="s">
        <v>19</v>
      </c>
      <c r="D603" s="4" t="s">
        <v>255</v>
      </c>
      <c r="E603" s="4"/>
      <c r="F603" s="29">
        <f>F604</f>
        <v>144700.3</v>
      </c>
      <c r="G603" s="29"/>
    </row>
    <row r="604" spans="1:7" ht="126">
      <c r="A604" s="3" t="s">
        <v>12</v>
      </c>
      <c r="B604" s="4" t="s">
        <v>435</v>
      </c>
      <c r="C604" s="4" t="s">
        <v>19</v>
      </c>
      <c r="D604" s="4" t="s">
        <v>255</v>
      </c>
      <c r="E604" s="4" t="s">
        <v>265</v>
      </c>
      <c r="F604" s="29">
        <f>прил6!F47</f>
        <v>144700.3</v>
      </c>
      <c r="G604" s="29"/>
    </row>
    <row r="605" spans="1:7" ht="110.25">
      <c r="A605" s="3" t="s">
        <v>409</v>
      </c>
      <c r="B605" s="4" t="s">
        <v>436</v>
      </c>
      <c r="C605" s="4"/>
      <c r="D605" s="4"/>
      <c r="E605" s="4"/>
      <c r="F605" s="29">
        <f>F606</f>
        <v>266151.33999999997</v>
      </c>
      <c r="G605" s="29"/>
    </row>
    <row r="606" spans="1:7" ht="126">
      <c r="A606" s="61" t="s">
        <v>417</v>
      </c>
      <c r="B606" s="4" t="s">
        <v>436</v>
      </c>
      <c r="C606" s="4" t="s">
        <v>18</v>
      </c>
      <c r="D606" s="4"/>
      <c r="E606" s="4"/>
      <c r="F606" s="29">
        <f>F607</f>
        <v>266151.33999999997</v>
      </c>
      <c r="G606" s="29"/>
    </row>
    <row r="607" spans="1:7" ht="15.75">
      <c r="A607" s="3" t="s">
        <v>274</v>
      </c>
      <c r="B607" s="4" t="s">
        <v>436</v>
      </c>
      <c r="C607" s="4" t="s">
        <v>18</v>
      </c>
      <c r="D607" s="4" t="s">
        <v>255</v>
      </c>
      <c r="E607" s="4"/>
      <c r="F607" s="29">
        <f>F608</f>
        <v>266151.33999999997</v>
      </c>
      <c r="G607" s="29"/>
    </row>
    <row r="608" spans="1:7" ht="126">
      <c r="A608" s="3" t="s">
        <v>12</v>
      </c>
      <c r="B608" s="4" t="s">
        <v>436</v>
      </c>
      <c r="C608" s="4" t="s">
        <v>18</v>
      </c>
      <c r="D608" s="4" t="s">
        <v>255</v>
      </c>
      <c r="E608" s="4" t="s">
        <v>265</v>
      </c>
      <c r="F608" s="29">
        <f>прил6!F49</f>
        <v>266151.33999999997</v>
      </c>
      <c r="G608" s="29"/>
    </row>
    <row r="609" spans="1:7" ht="47.25">
      <c r="A609" s="61" t="s">
        <v>104</v>
      </c>
      <c r="B609" s="4" t="s">
        <v>105</v>
      </c>
      <c r="C609" s="4"/>
      <c r="D609" s="4"/>
      <c r="E609" s="4"/>
      <c r="F609" s="29">
        <f>F610</f>
        <v>3544242.26</v>
      </c>
      <c r="G609" s="29"/>
    </row>
    <row r="610" spans="1:7" ht="31.5">
      <c r="A610" s="61" t="s">
        <v>106</v>
      </c>
      <c r="B610" s="4" t="s">
        <v>107</v>
      </c>
      <c r="C610" s="4"/>
      <c r="D610" s="4"/>
      <c r="E610" s="4"/>
      <c r="F610" s="29">
        <f>F611</f>
        <v>3544242.26</v>
      </c>
      <c r="G610" s="29"/>
    </row>
    <row r="611" spans="1:7" ht="31.5">
      <c r="A611" s="61" t="s">
        <v>298</v>
      </c>
      <c r="B611" s="4" t="s">
        <v>107</v>
      </c>
      <c r="C611" s="4" t="s">
        <v>21</v>
      </c>
      <c r="D611" s="4"/>
      <c r="E611" s="4"/>
      <c r="F611" s="29">
        <f>F612</f>
        <v>3544242.26</v>
      </c>
      <c r="G611" s="29"/>
    </row>
    <row r="612" spans="1:7" ht="31.5">
      <c r="A612" s="59" t="s">
        <v>168</v>
      </c>
      <c r="B612" s="4" t="s">
        <v>107</v>
      </c>
      <c r="C612" s="4" t="s">
        <v>21</v>
      </c>
      <c r="D612" s="4" t="s">
        <v>16</v>
      </c>
      <c r="E612" s="4"/>
      <c r="F612" s="29">
        <f>F613</f>
        <v>3544242.26</v>
      </c>
      <c r="G612" s="29"/>
    </row>
    <row r="613" spans="1:7" ht="47.25">
      <c r="A613" s="81" t="s">
        <v>103</v>
      </c>
      <c r="B613" s="7" t="s">
        <v>107</v>
      </c>
      <c r="C613" s="7" t="s">
        <v>21</v>
      </c>
      <c r="D613" s="7" t="s">
        <v>16</v>
      </c>
      <c r="E613" s="7" t="s">
        <v>255</v>
      </c>
      <c r="F613" s="31">
        <f>прил6!F593</f>
        <v>3544242.26</v>
      </c>
      <c r="G613" s="31"/>
    </row>
    <row r="614" spans="1:10" ht="78.75">
      <c r="A614" s="50" t="s">
        <v>313</v>
      </c>
      <c r="B614" s="2" t="s">
        <v>314</v>
      </c>
      <c r="C614" s="2"/>
      <c r="D614" s="2"/>
      <c r="E614" s="2"/>
      <c r="F614" s="33">
        <f>F615+F671+F695+F711+F723+F742+F765+F780</f>
        <v>207061198.05</v>
      </c>
      <c r="G614" s="33">
        <f>G615+G671+G695+G711+G723+G742+G765</f>
        <v>87671900</v>
      </c>
      <c r="J614" s="26"/>
    </row>
    <row r="615" spans="1:7" ht="47.25">
      <c r="A615" s="27" t="s">
        <v>315</v>
      </c>
      <c r="B615" s="4" t="s">
        <v>316</v>
      </c>
      <c r="C615" s="4"/>
      <c r="D615" s="4"/>
      <c r="E615" s="4"/>
      <c r="F615" s="29">
        <f>F616+F620+F624+F631+F635+F642+F646+F653+F657+F664</f>
        <v>34470852</v>
      </c>
      <c r="G615" s="29">
        <f>G616+G620+G624+G631+G635+G642+G646+G653+G657+G664</f>
        <v>4973900</v>
      </c>
    </row>
    <row r="616" spans="1:7" ht="63" customHeight="1">
      <c r="A616" s="27" t="s">
        <v>418</v>
      </c>
      <c r="B616" s="4" t="s">
        <v>419</v>
      </c>
      <c r="C616" s="4"/>
      <c r="D616" s="4"/>
      <c r="E616" s="4"/>
      <c r="F616" s="29">
        <f>F617</f>
        <v>2165093.24</v>
      </c>
      <c r="G616" s="29"/>
    </row>
    <row r="617" spans="1:7" ht="126">
      <c r="A617" s="3" t="s">
        <v>305</v>
      </c>
      <c r="B617" s="4" t="s">
        <v>419</v>
      </c>
      <c r="C617" s="4" t="s">
        <v>18</v>
      </c>
      <c r="D617" s="4"/>
      <c r="E617" s="4"/>
      <c r="F617" s="29">
        <f>F618</f>
        <v>2165093.24</v>
      </c>
      <c r="G617" s="29"/>
    </row>
    <row r="618" spans="1:7" ht="25.5" customHeight="1">
      <c r="A618" s="3" t="s">
        <v>274</v>
      </c>
      <c r="B618" s="4" t="s">
        <v>419</v>
      </c>
      <c r="C618" s="4" t="s">
        <v>18</v>
      </c>
      <c r="D618" s="4" t="s">
        <v>255</v>
      </c>
      <c r="E618" s="4"/>
      <c r="F618" s="29">
        <f>F619</f>
        <v>2165093.24</v>
      </c>
      <c r="G618" s="29"/>
    </row>
    <row r="619" spans="1:7" ht="126">
      <c r="A619" s="3" t="s">
        <v>12</v>
      </c>
      <c r="B619" s="4" t="s">
        <v>419</v>
      </c>
      <c r="C619" s="4" t="s">
        <v>18</v>
      </c>
      <c r="D619" s="4" t="s">
        <v>255</v>
      </c>
      <c r="E619" s="4" t="s">
        <v>265</v>
      </c>
      <c r="F619" s="29">
        <f>прил6!F53</f>
        <v>2165093.24</v>
      </c>
      <c r="G619" s="29"/>
    </row>
    <row r="620" spans="1:7" ht="64.5" customHeight="1">
      <c r="A620" s="27" t="s">
        <v>413</v>
      </c>
      <c r="B620" s="4" t="s">
        <v>420</v>
      </c>
      <c r="C620" s="4"/>
      <c r="D620" s="4"/>
      <c r="E620" s="4"/>
      <c r="F620" s="29">
        <f>F621</f>
        <v>26243443.830000002</v>
      </c>
      <c r="G620" s="29"/>
    </row>
    <row r="621" spans="1:7" ht="126">
      <c r="A621" s="3" t="s">
        <v>305</v>
      </c>
      <c r="B621" s="4" t="s">
        <v>420</v>
      </c>
      <c r="C621" s="4" t="s">
        <v>18</v>
      </c>
      <c r="D621" s="4"/>
      <c r="E621" s="4"/>
      <c r="F621" s="29">
        <f>F622</f>
        <v>26243443.830000002</v>
      </c>
      <c r="G621" s="29"/>
    </row>
    <row r="622" spans="1:7" ht="30.75" customHeight="1">
      <c r="A622" s="3" t="s">
        <v>274</v>
      </c>
      <c r="B622" s="4" t="s">
        <v>420</v>
      </c>
      <c r="C622" s="4" t="s">
        <v>18</v>
      </c>
      <c r="D622" s="4" t="s">
        <v>255</v>
      </c>
      <c r="E622" s="4"/>
      <c r="F622" s="29">
        <f>F623</f>
        <v>26243443.830000002</v>
      </c>
      <c r="G622" s="29"/>
    </row>
    <row r="623" spans="1:7" ht="126">
      <c r="A623" s="3" t="s">
        <v>12</v>
      </c>
      <c r="B623" s="4" t="s">
        <v>420</v>
      </c>
      <c r="C623" s="4" t="s">
        <v>18</v>
      </c>
      <c r="D623" s="4" t="s">
        <v>255</v>
      </c>
      <c r="E623" s="4" t="s">
        <v>265</v>
      </c>
      <c r="F623" s="29">
        <f>прил6!F55</f>
        <v>26243443.830000002</v>
      </c>
      <c r="G623" s="29"/>
    </row>
    <row r="624" spans="1:7" ht="47.25">
      <c r="A624" s="27" t="s">
        <v>415</v>
      </c>
      <c r="B624" s="4" t="s">
        <v>421</v>
      </c>
      <c r="C624" s="4"/>
      <c r="D624" s="4"/>
      <c r="E624" s="4"/>
      <c r="F624" s="29">
        <f>F625+F628</f>
        <v>730494.1699999999</v>
      </c>
      <c r="G624" s="29"/>
    </row>
    <row r="625" spans="1:7" ht="126">
      <c r="A625" s="3" t="s">
        <v>305</v>
      </c>
      <c r="B625" s="4" t="s">
        <v>421</v>
      </c>
      <c r="C625" s="4" t="s">
        <v>18</v>
      </c>
      <c r="D625" s="4"/>
      <c r="E625" s="4"/>
      <c r="F625" s="29">
        <f>F626</f>
        <v>122237.54999999999</v>
      </c>
      <c r="G625" s="29"/>
    </row>
    <row r="626" spans="1:7" ht="23.25" customHeight="1">
      <c r="A626" s="3" t="s">
        <v>274</v>
      </c>
      <c r="B626" s="4" t="s">
        <v>421</v>
      </c>
      <c r="C626" s="4" t="s">
        <v>18</v>
      </c>
      <c r="D626" s="4" t="s">
        <v>255</v>
      </c>
      <c r="E626" s="4"/>
      <c r="F626" s="29">
        <f>F627</f>
        <v>122237.54999999999</v>
      </c>
      <c r="G626" s="29"/>
    </row>
    <row r="627" spans="1:7" ht="126">
      <c r="A627" s="3" t="s">
        <v>12</v>
      </c>
      <c r="B627" s="4" t="s">
        <v>421</v>
      </c>
      <c r="C627" s="4" t="s">
        <v>18</v>
      </c>
      <c r="D627" s="4" t="s">
        <v>255</v>
      </c>
      <c r="E627" s="4" t="s">
        <v>265</v>
      </c>
      <c r="F627" s="29">
        <f>прил6!F57</f>
        <v>122237.54999999999</v>
      </c>
      <c r="G627" s="29"/>
    </row>
    <row r="628" spans="1:7" ht="47.25">
      <c r="A628" s="27" t="s">
        <v>306</v>
      </c>
      <c r="B628" s="4" t="s">
        <v>421</v>
      </c>
      <c r="C628" s="4" t="s">
        <v>19</v>
      </c>
      <c r="D628" s="4"/>
      <c r="E628" s="4"/>
      <c r="F628" s="29">
        <f>F629</f>
        <v>608256.62</v>
      </c>
      <c r="G628" s="29"/>
    </row>
    <row r="629" spans="1:7" ht="15.75">
      <c r="A629" s="3" t="s">
        <v>274</v>
      </c>
      <c r="B629" s="4" t="s">
        <v>421</v>
      </c>
      <c r="C629" s="4" t="s">
        <v>19</v>
      </c>
      <c r="D629" s="4" t="s">
        <v>255</v>
      </c>
      <c r="E629" s="4"/>
      <c r="F629" s="29">
        <f>F630</f>
        <v>608256.62</v>
      </c>
      <c r="G629" s="29"/>
    </row>
    <row r="630" spans="1:7" ht="126">
      <c r="A630" s="3" t="s">
        <v>12</v>
      </c>
      <c r="B630" s="4" t="s">
        <v>421</v>
      </c>
      <c r="C630" s="4" t="s">
        <v>19</v>
      </c>
      <c r="D630" s="4" t="s">
        <v>255</v>
      </c>
      <c r="E630" s="4" t="s">
        <v>265</v>
      </c>
      <c r="F630" s="29">
        <f>прил6!F58</f>
        <v>608256.62</v>
      </c>
      <c r="G630" s="29"/>
    </row>
    <row r="631" spans="1:7" ht="110.25">
      <c r="A631" s="27" t="s">
        <v>409</v>
      </c>
      <c r="B631" s="4" t="s">
        <v>422</v>
      </c>
      <c r="C631" s="4"/>
      <c r="D631" s="4"/>
      <c r="E631" s="4"/>
      <c r="F631" s="29">
        <f>F632</f>
        <v>357920.76</v>
      </c>
      <c r="G631" s="29"/>
    </row>
    <row r="632" spans="1:7" ht="126">
      <c r="A632" s="3" t="s">
        <v>305</v>
      </c>
      <c r="B632" s="4" t="s">
        <v>422</v>
      </c>
      <c r="C632" s="4" t="s">
        <v>18</v>
      </c>
      <c r="D632" s="4"/>
      <c r="E632" s="4"/>
      <c r="F632" s="29">
        <f>F633</f>
        <v>357920.76</v>
      </c>
      <c r="G632" s="29"/>
    </row>
    <row r="633" spans="1:7" ht="15.75">
      <c r="A633" s="3" t="s">
        <v>274</v>
      </c>
      <c r="B633" s="4" t="s">
        <v>422</v>
      </c>
      <c r="C633" s="4" t="s">
        <v>18</v>
      </c>
      <c r="D633" s="4" t="s">
        <v>255</v>
      </c>
      <c r="E633" s="4"/>
      <c r="F633" s="29">
        <f>F634</f>
        <v>357920.76</v>
      </c>
      <c r="G633" s="29"/>
    </row>
    <row r="634" spans="1:7" ht="126">
      <c r="A634" s="3" t="s">
        <v>12</v>
      </c>
      <c r="B634" s="4" t="s">
        <v>422</v>
      </c>
      <c r="C634" s="4" t="s">
        <v>18</v>
      </c>
      <c r="D634" s="4" t="s">
        <v>255</v>
      </c>
      <c r="E634" s="4" t="s">
        <v>265</v>
      </c>
      <c r="F634" s="37">
        <f>прил6!F60</f>
        <v>357920.76</v>
      </c>
      <c r="G634" s="37"/>
    </row>
    <row r="635" spans="1:7" ht="47.25">
      <c r="A635" s="3" t="s">
        <v>208</v>
      </c>
      <c r="B635" s="4" t="s">
        <v>100</v>
      </c>
      <c r="C635" s="4"/>
      <c r="D635" s="4"/>
      <c r="E635" s="4"/>
      <c r="F635" s="37">
        <f>F636+F639</f>
        <v>2235400.0000000005</v>
      </c>
      <c r="G635" s="37">
        <f>G636+G639</f>
        <v>2235400.0000000005</v>
      </c>
    </row>
    <row r="636" spans="1:7" ht="126">
      <c r="A636" s="3" t="s">
        <v>305</v>
      </c>
      <c r="B636" s="4" t="s">
        <v>100</v>
      </c>
      <c r="C636" s="4" t="s">
        <v>18</v>
      </c>
      <c r="D636" s="4"/>
      <c r="E636" s="4"/>
      <c r="F636" s="37">
        <f>F637</f>
        <v>2183775.8000000003</v>
      </c>
      <c r="G636" s="37">
        <f>G637</f>
        <v>2183775.8000000003</v>
      </c>
    </row>
    <row r="637" spans="1:7" ht="47.25">
      <c r="A637" s="3" t="s">
        <v>275</v>
      </c>
      <c r="B637" s="4" t="s">
        <v>100</v>
      </c>
      <c r="C637" s="4" t="s">
        <v>18</v>
      </c>
      <c r="D637" s="4" t="s">
        <v>262</v>
      </c>
      <c r="E637" s="4"/>
      <c r="F637" s="37">
        <f>F638</f>
        <v>2183775.8000000003</v>
      </c>
      <c r="G637" s="37">
        <f>G638</f>
        <v>2183775.8000000003</v>
      </c>
    </row>
    <row r="638" spans="1:7" ht="15.75">
      <c r="A638" s="3" t="s">
        <v>17</v>
      </c>
      <c r="B638" s="4" t="s">
        <v>100</v>
      </c>
      <c r="C638" s="4" t="s">
        <v>18</v>
      </c>
      <c r="D638" s="4" t="s">
        <v>262</v>
      </c>
      <c r="E638" s="4" t="s">
        <v>265</v>
      </c>
      <c r="F638" s="37">
        <f>прил6!F178</f>
        <v>2183775.8000000003</v>
      </c>
      <c r="G638" s="37">
        <f>F638</f>
        <v>2183775.8000000003</v>
      </c>
    </row>
    <row r="639" spans="1:7" ht="47.25">
      <c r="A639" s="3" t="s">
        <v>306</v>
      </c>
      <c r="B639" s="4" t="s">
        <v>100</v>
      </c>
      <c r="C639" s="4" t="s">
        <v>19</v>
      </c>
      <c r="D639" s="4"/>
      <c r="E639" s="4"/>
      <c r="F639" s="37">
        <f>F640</f>
        <v>51624.200000000004</v>
      </c>
      <c r="G639" s="37">
        <f>G640</f>
        <v>51624.200000000004</v>
      </c>
    </row>
    <row r="640" spans="1:7" ht="47.25">
      <c r="A640" s="3" t="s">
        <v>275</v>
      </c>
      <c r="B640" s="4" t="s">
        <v>100</v>
      </c>
      <c r="C640" s="4" t="s">
        <v>19</v>
      </c>
      <c r="D640" s="4" t="s">
        <v>262</v>
      </c>
      <c r="E640" s="4"/>
      <c r="F640" s="37">
        <f>F641</f>
        <v>51624.200000000004</v>
      </c>
      <c r="G640" s="37">
        <f>G641</f>
        <v>51624.200000000004</v>
      </c>
    </row>
    <row r="641" spans="1:7" ht="15.75">
      <c r="A641" s="3" t="s">
        <v>17</v>
      </c>
      <c r="B641" s="4" t="s">
        <v>100</v>
      </c>
      <c r="C641" s="4" t="s">
        <v>19</v>
      </c>
      <c r="D641" s="4" t="s">
        <v>262</v>
      </c>
      <c r="E641" s="4" t="s">
        <v>265</v>
      </c>
      <c r="F641" s="37">
        <f>прил6!F179</f>
        <v>51624.200000000004</v>
      </c>
      <c r="G641" s="37">
        <f>F641</f>
        <v>51624.200000000004</v>
      </c>
    </row>
    <row r="642" spans="1:7" ht="157.5">
      <c r="A642" s="3" t="s">
        <v>232</v>
      </c>
      <c r="B642" s="4" t="s">
        <v>44</v>
      </c>
      <c r="C642" s="4"/>
      <c r="D642" s="4"/>
      <c r="E642" s="4"/>
      <c r="F642" s="37">
        <f aca="true" t="shared" si="37" ref="F642:G644">F643</f>
        <v>55500</v>
      </c>
      <c r="G642" s="37">
        <f t="shared" si="37"/>
        <v>55500</v>
      </c>
    </row>
    <row r="643" spans="1:7" ht="126">
      <c r="A643" s="3" t="s">
        <v>305</v>
      </c>
      <c r="B643" s="4" t="s">
        <v>44</v>
      </c>
      <c r="C643" s="4" t="s">
        <v>18</v>
      </c>
      <c r="D643" s="4"/>
      <c r="E643" s="4"/>
      <c r="F643" s="37">
        <f t="shared" si="37"/>
        <v>55500</v>
      </c>
      <c r="G643" s="37">
        <f t="shared" si="37"/>
        <v>55500</v>
      </c>
    </row>
    <row r="644" spans="1:7" ht="15.75">
      <c r="A644" s="3" t="s">
        <v>276</v>
      </c>
      <c r="B644" s="4" t="s">
        <v>44</v>
      </c>
      <c r="C644" s="4" t="s">
        <v>18</v>
      </c>
      <c r="D644" s="4" t="s">
        <v>265</v>
      </c>
      <c r="E644" s="4"/>
      <c r="F644" s="37">
        <f t="shared" si="37"/>
        <v>55500</v>
      </c>
      <c r="G644" s="37">
        <f t="shared" si="37"/>
        <v>55500</v>
      </c>
    </row>
    <row r="645" spans="1:7" ht="31.5">
      <c r="A645" s="3" t="s">
        <v>278</v>
      </c>
      <c r="B645" s="4" t="s">
        <v>44</v>
      </c>
      <c r="C645" s="4" t="s">
        <v>18</v>
      </c>
      <c r="D645" s="4" t="s">
        <v>265</v>
      </c>
      <c r="E645" s="4" t="s">
        <v>13</v>
      </c>
      <c r="F645" s="37">
        <f>прил6!F245</f>
        <v>55500</v>
      </c>
      <c r="G645" s="37">
        <f>F645</f>
        <v>55500</v>
      </c>
    </row>
    <row r="646" spans="1:7" ht="157.5">
      <c r="A646" s="3" t="s">
        <v>359</v>
      </c>
      <c r="B646" s="4" t="s">
        <v>360</v>
      </c>
      <c r="C646" s="4"/>
      <c r="D646" s="4"/>
      <c r="E646" s="4"/>
      <c r="F646" s="37">
        <f>F647+F650</f>
        <v>118000</v>
      </c>
      <c r="G646" s="37">
        <f>G647+G650</f>
        <v>118000</v>
      </c>
    </row>
    <row r="647" spans="1:7" ht="126">
      <c r="A647" s="3" t="s">
        <v>305</v>
      </c>
      <c r="B647" s="4" t="s">
        <v>360</v>
      </c>
      <c r="C647" s="4" t="s">
        <v>18</v>
      </c>
      <c r="D647" s="4"/>
      <c r="E647" s="4"/>
      <c r="F647" s="37">
        <f>F648</f>
        <v>116350</v>
      </c>
      <c r="G647" s="37">
        <f>G648</f>
        <v>116350</v>
      </c>
    </row>
    <row r="648" spans="1:7" ht="15.75">
      <c r="A648" s="3" t="s">
        <v>269</v>
      </c>
      <c r="B648" s="4" t="s">
        <v>360</v>
      </c>
      <c r="C648" s="4" t="s">
        <v>18</v>
      </c>
      <c r="D648" s="4" t="s">
        <v>263</v>
      </c>
      <c r="E648" s="4"/>
      <c r="F648" s="37">
        <f>F649</f>
        <v>116350</v>
      </c>
      <c r="G648" s="37">
        <f>G649</f>
        <v>116350</v>
      </c>
    </row>
    <row r="649" spans="1:7" ht="15.75">
      <c r="A649" s="3" t="s">
        <v>295</v>
      </c>
      <c r="B649" s="4" t="s">
        <v>360</v>
      </c>
      <c r="C649" s="4" t="s">
        <v>18</v>
      </c>
      <c r="D649" s="4" t="s">
        <v>263</v>
      </c>
      <c r="E649" s="4" t="s">
        <v>265</v>
      </c>
      <c r="F649" s="37">
        <f>прил6!F559</f>
        <v>116350</v>
      </c>
      <c r="G649" s="37">
        <f>F649</f>
        <v>116350</v>
      </c>
    </row>
    <row r="650" spans="1:7" ht="47.25">
      <c r="A650" s="3" t="s">
        <v>306</v>
      </c>
      <c r="B650" s="4" t="s">
        <v>360</v>
      </c>
      <c r="C650" s="4" t="s">
        <v>19</v>
      </c>
      <c r="D650" s="4"/>
      <c r="E650" s="4"/>
      <c r="F650" s="37">
        <f>F651</f>
        <v>1650</v>
      </c>
      <c r="G650" s="37">
        <f>G651</f>
        <v>1650</v>
      </c>
    </row>
    <row r="651" spans="1:7" ht="15.75">
      <c r="A651" s="3" t="s">
        <v>269</v>
      </c>
      <c r="B651" s="4" t="s">
        <v>360</v>
      </c>
      <c r="C651" s="4" t="s">
        <v>19</v>
      </c>
      <c r="D651" s="4" t="s">
        <v>263</v>
      </c>
      <c r="E651" s="4"/>
      <c r="F651" s="37">
        <f>F652</f>
        <v>1650</v>
      </c>
      <c r="G651" s="37">
        <f>G652</f>
        <v>1650</v>
      </c>
    </row>
    <row r="652" spans="1:7" ht="15.75">
      <c r="A652" s="3" t="s">
        <v>295</v>
      </c>
      <c r="B652" s="4" t="s">
        <v>360</v>
      </c>
      <c r="C652" s="4" t="s">
        <v>19</v>
      </c>
      <c r="D652" s="4" t="s">
        <v>263</v>
      </c>
      <c r="E652" s="4" t="s">
        <v>265</v>
      </c>
      <c r="F652" s="37">
        <f>прил6!F560</f>
        <v>1650</v>
      </c>
      <c r="G652" s="37">
        <f>F652</f>
        <v>1650</v>
      </c>
    </row>
    <row r="653" spans="1:7" ht="220.5">
      <c r="A653" s="3" t="s">
        <v>32</v>
      </c>
      <c r="B653" s="4" t="s">
        <v>320</v>
      </c>
      <c r="C653" s="4"/>
      <c r="D653" s="4"/>
      <c r="E653" s="4"/>
      <c r="F653" s="37">
        <f aca="true" t="shared" si="38" ref="F653:G655">F654</f>
        <v>6000</v>
      </c>
      <c r="G653" s="37">
        <f t="shared" si="38"/>
        <v>6000</v>
      </c>
    </row>
    <row r="654" spans="1:7" ht="47.25">
      <c r="A654" s="3" t="s">
        <v>306</v>
      </c>
      <c r="B654" s="4" t="s">
        <v>320</v>
      </c>
      <c r="C654" s="4" t="s">
        <v>19</v>
      </c>
      <c r="D654" s="4"/>
      <c r="E654" s="4"/>
      <c r="F654" s="37">
        <f t="shared" si="38"/>
        <v>6000</v>
      </c>
      <c r="G654" s="37">
        <f t="shared" si="38"/>
        <v>6000</v>
      </c>
    </row>
    <row r="655" spans="1:7" ht="15.75">
      <c r="A655" s="3" t="s">
        <v>274</v>
      </c>
      <c r="B655" s="4" t="s">
        <v>320</v>
      </c>
      <c r="C655" s="4" t="s">
        <v>19</v>
      </c>
      <c r="D655" s="4" t="s">
        <v>255</v>
      </c>
      <c r="E655" s="4"/>
      <c r="F655" s="37">
        <f t="shared" si="38"/>
        <v>6000</v>
      </c>
      <c r="G655" s="37">
        <f t="shared" si="38"/>
        <v>6000</v>
      </c>
    </row>
    <row r="656" spans="1:7" ht="31.5">
      <c r="A656" s="3" t="s">
        <v>284</v>
      </c>
      <c r="B656" s="4" t="s">
        <v>320</v>
      </c>
      <c r="C656" s="4" t="s">
        <v>19</v>
      </c>
      <c r="D656" s="4" t="s">
        <v>255</v>
      </c>
      <c r="E656" s="4" t="s">
        <v>16</v>
      </c>
      <c r="F656" s="37">
        <f>прил6!F132</f>
        <v>6000</v>
      </c>
      <c r="G656" s="37">
        <f>F656</f>
        <v>6000</v>
      </c>
    </row>
    <row r="657" spans="1:7" ht="47.25">
      <c r="A657" s="3" t="s">
        <v>321</v>
      </c>
      <c r="B657" s="4" t="s">
        <v>322</v>
      </c>
      <c r="C657" s="4"/>
      <c r="D657" s="4"/>
      <c r="E657" s="4"/>
      <c r="F657" s="37">
        <f>F658+F661</f>
        <v>1364800</v>
      </c>
      <c r="G657" s="37">
        <f>G658+G661</f>
        <v>1364800</v>
      </c>
    </row>
    <row r="658" spans="1:7" ht="126">
      <c r="A658" s="3" t="s">
        <v>305</v>
      </c>
      <c r="B658" s="4" t="s">
        <v>322</v>
      </c>
      <c r="C658" s="4" t="s">
        <v>18</v>
      </c>
      <c r="D658" s="4"/>
      <c r="E658" s="4"/>
      <c r="F658" s="37">
        <f>F659</f>
        <v>1119753</v>
      </c>
      <c r="G658" s="37">
        <f>G659</f>
        <v>1119753</v>
      </c>
    </row>
    <row r="659" spans="1:7" ht="15.75">
      <c r="A659" s="3" t="s">
        <v>274</v>
      </c>
      <c r="B659" s="4" t="s">
        <v>322</v>
      </c>
      <c r="C659" s="4" t="s">
        <v>18</v>
      </c>
      <c r="D659" s="4" t="s">
        <v>255</v>
      </c>
      <c r="E659" s="4"/>
      <c r="F659" s="37">
        <f>F660</f>
        <v>1119753</v>
      </c>
      <c r="G659" s="37">
        <f>G660</f>
        <v>1119753</v>
      </c>
    </row>
    <row r="660" spans="1:7" ht="31.5">
      <c r="A660" s="3" t="s">
        <v>284</v>
      </c>
      <c r="B660" s="4" t="s">
        <v>322</v>
      </c>
      <c r="C660" s="4" t="s">
        <v>18</v>
      </c>
      <c r="D660" s="4" t="s">
        <v>255</v>
      </c>
      <c r="E660" s="4" t="s">
        <v>16</v>
      </c>
      <c r="F660" s="37">
        <f>прил6!F134</f>
        <v>1119753</v>
      </c>
      <c r="G660" s="37">
        <f>F660</f>
        <v>1119753</v>
      </c>
    </row>
    <row r="661" spans="1:7" ht="47.25">
      <c r="A661" s="3" t="s">
        <v>306</v>
      </c>
      <c r="B661" s="4" t="s">
        <v>322</v>
      </c>
      <c r="C661" s="4" t="s">
        <v>19</v>
      </c>
      <c r="D661" s="4"/>
      <c r="E661" s="4"/>
      <c r="F661" s="37">
        <f>F662</f>
        <v>245047</v>
      </c>
      <c r="G661" s="37">
        <f>G662</f>
        <v>245047</v>
      </c>
    </row>
    <row r="662" spans="1:7" ht="15.75">
      <c r="A662" s="3" t="s">
        <v>274</v>
      </c>
      <c r="B662" s="4" t="s">
        <v>322</v>
      </c>
      <c r="C662" s="4" t="s">
        <v>19</v>
      </c>
      <c r="D662" s="4" t="s">
        <v>255</v>
      </c>
      <c r="E662" s="4"/>
      <c r="F662" s="37">
        <f>F663</f>
        <v>245047</v>
      </c>
      <c r="G662" s="37">
        <f>G663</f>
        <v>245047</v>
      </c>
    </row>
    <row r="663" spans="1:7" ht="31.5">
      <c r="A663" s="3" t="s">
        <v>284</v>
      </c>
      <c r="B663" s="4" t="s">
        <v>322</v>
      </c>
      <c r="C663" s="4" t="s">
        <v>19</v>
      </c>
      <c r="D663" s="4" t="s">
        <v>255</v>
      </c>
      <c r="E663" s="4" t="s">
        <v>16</v>
      </c>
      <c r="F663" s="37">
        <f>прил6!F135</f>
        <v>245047</v>
      </c>
      <c r="G663" s="37">
        <f>F663</f>
        <v>245047</v>
      </c>
    </row>
    <row r="664" spans="1:7" ht="63">
      <c r="A664" s="61" t="s">
        <v>293</v>
      </c>
      <c r="B664" s="4" t="s">
        <v>207</v>
      </c>
      <c r="C664" s="4"/>
      <c r="D664" s="4"/>
      <c r="E664" s="4"/>
      <c r="F664" s="37">
        <f>F665+F668</f>
        <v>1194200</v>
      </c>
      <c r="G664" s="37">
        <f>G665+G668</f>
        <v>1194200</v>
      </c>
    </row>
    <row r="665" spans="1:7" ht="126">
      <c r="A665" s="3" t="s">
        <v>305</v>
      </c>
      <c r="B665" s="4" t="s">
        <v>207</v>
      </c>
      <c r="C665" s="4" t="s">
        <v>18</v>
      </c>
      <c r="D665" s="4"/>
      <c r="E665" s="4"/>
      <c r="F665" s="37">
        <f>F666</f>
        <v>1102116.51</v>
      </c>
      <c r="G665" s="37">
        <f>G666</f>
        <v>1102116.51</v>
      </c>
    </row>
    <row r="666" spans="1:7" ht="15.75">
      <c r="A666" s="3" t="s">
        <v>269</v>
      </c>
      <c r="B666" s="4" t="s">
        <v>207</v>
      </c>
      <c r="C666" s="4" t="s">
        <v>18</v>
      </c>
      <c r="D666" s="4" t="s">
        <v>263</v>
      </c>
      <c r="E666" s="4"/>
      <c r="F666" s="37">
        <f>F667</f>
        <v>1102116.51</v>
      </c>
      <c r="G666" s="37">
        <f>G667</f>
        <v>1102116.51</v>
      </c>
    </row>
    <row r="667" spans="1:7" ht="15.75">
      <c r="A667" s="3" t="s">
        <v>295</v>
      </c>
      <c r="B667" s="4" t="s">
        <v>207</v>
      </c>
      <c r="C667" s="4" t="s">
        <v>18</v>
      </c>
      <c r="D667" s="4" t="s">
        <v>263</v>
      </c>
      <c r="E667" s="4" t="s">
        <v>265</v>
      </c>
      <c r="F667" s="37">
        <f>прил6!F562</f>
        <v>1102116.51</v>
      </c>
      <c r="G667" s="37">
        <f>F667</f>
        <v>1102116.51</v>
      </c>
    </row>
    <row r="668" spans="1:7" ht="47.25">
      <c r="A668" s="3" t="s">
        <v>306</v>
      </c>
      <c r="B668" s="4" t="s">
        <v>207</v>
      </c>
      <c r="C668" s="4" t="s">
        <v>19</v>
      </c>
      <c r="D668" s="4"/>
      <c r="E668" s="4"/>
      <c r="F668" s="37">
        <f>F669</f>
        <v>92083.49</v>
      </c>
      <c r="G668" s="37">
        <f>G669</f>
        <v>92083.49</v>
      </c>
    </row>
    <row r="669" spans="1:7" ht="15.75">
      <c r="A669" s="3" t="s">
        <v>269</v>
      </c>
      <c r="B669" s="4" t="s">
        <v>207</v>
      </c>
      <c r="C669" s="4" t="s">
        <v>19</v>
      </c>
      <c r="D669" s="4" t="s">
        <v>263</v>
      </c>
      <c r="E669" s="4"/>
      <c r="F669" s="37">
        <f>F670</f>
        <v>92083.49</v>
      </c>
      <c r="G669" s="37">
        <f>G670</f>
        <v>92083.49</v>
      </c>
    </row>
    <row r="670" spans="1:7" ht="15.75">
      <c r="A670" s="3" t="s">
        <v>295</v>
      </c>
      <c r="B670" s="4" t="s">
        <v>207</v>
      </c>
      <c r="C670" s="4" t="s">
        <v>19</v>
      </c>
      <c r="D670" s="4" t="s">
        <v>263</v>
      </c>
      <c r="E670" s="4" t="s">
        <v>265</v>
      </c>
      <c r="F670" s="37">
        <f>прил6!F563</f>
        <v>92083.49</v>
      </c>
      <c r="G670" s="37">
        <f>F670</f>
        <v>92083.49</v>
      </c>
    </row>
    <row r="671" spans="1:7" ht="78.75">
      <c r="A671" s="27" t="s">
        <v>86</v>
      </c>
      <c r="B671" s="4" t="s">
        <v>98</v>
      </c>
      <c r="C671" s="4"/>
      <c r="D671" s="4"/>
      <c r="E671" s="4"/>
      <c r="F671" s="37">
        <f>F672+F676+F683+F687+F691</f>
        <v>13176295.6</v>
      </c>
      <c r="G671" s="37"/>
    </row>
    <row r="672" spans="1:7" ht="47.25">
      <c r="A672" s="27" t="s">
        <v>413</v>
      </c>
      <c r="B672" s="4" t="s">
        <v>427</v>
      </c>
      <c r="C672" s="4"/>
      <c r="D672" s="4"/>
      <c r="E672" s="4"/>
      <c r="F672" s="37">
        <f>F673</f>
        <v>10642447</v>
      </c>
      <c r="G672" s="37"/>
    </row>
    <row r="673" spans="1:7" ht="126">
      <c r="A673" s="3" t="s">
        <v>305</v>
      </c>
      <c r="B673" s="4" t="s">
        <v>427</v>
      </c>
      <c r="C673" s="4" t="s">
        <v>18</v>
      </c>
      <c r="D673" s="4"/>
      <c r="E673" s="4"/>
      <c r="F673" s="37">
        <f>F674</f>
        <v>10642447</v>
      </c>
      <c r="G673" s="37"/>
    </row>
    <row r="674" spans="1:7" ht="15.75">
      <c r="A674" s="3" t="s">
        <v>274</v>
      </c>
      <c r="B674" s="4" t="s">
        <v>427</v>
      </c>
      <c r="C674" s="4" t="s">
        <v>18</v>
      </c>
      <c r="D674" s="4" t="s">
        <v>255</v>
      </c>
      <c r="E674" s="4"/>
      <c r="F674" s="37">
        <f>F675</f>
        <v>10642447</v>
      </c>
      <c r="G674" s="37"/>
    </row>
    <row r="675" spans="1:7" ht="101.25" customHeight="1">
      <c r="A675" s="3" t="s">
        <v>12</v>
      </c>
      <c r="B675" s="4" t="s">
        <v>427</v>
      </c>
      <c r="C675" s="4" t="s">
        <v>18</v>
      </c>
      <c r="D675" s="4" t="s">
        <v>255</v>
      </c>
      <c r="E675" s="4" t="s">
        <v>265</v>
      </c>
      <c r="F675" s="37">
        <f>прил6!F62</f>
        <v>10642447</v>
      </c>
      <c r="G675" s="37"/>
    </row>
    <row r="676" spans="1:7" ht="47.25">
      <c r="A676" s="27" t="s">
        <v>415</v>
      </c>
      <c r="B676" s="4" t="s">
        <v>428</v>
      </c>
      <c r="C676" s="4"/>
      <c r="D676" s="4"/>
      <c r="E676" s="4"/>
      <c r="F676" s="37">
        <f>F677+F680</f>
        <v>241880</v>
      </c>
      <c r="G676" s="37"/>
    </row>
    <row r="677" spans="1:7" ht="126">
      <c r="A677" s="3" t="s">
        <v>305</v>
      </c>
      <c r="B677" s="4" t="s">
        <v>428</v>
      </c>
      <c r="C677" s="4" t="s">
        <v>18</v>
      </c>
      <c r="D677" s="4"/>
      <c r="E677" s="4"/>
      <c r="F677" s="37">
        <f>F678</f>
        <v>3750</v>
      </c>
      <c r="G677" s="37"/>
    </row>
    <row r="678" spans="1:7" ht="15.75">
      <c r="A678" s="3" t="s">
        <v>274</v>
      </c>
      <c r="B678" s="4" t="s">
        <v>428</v>
      </c>
      <c r="C678" s="4" t="s">
        <v>18</v>
      </c>
      <c r="D678" s="4" t="s">
        <v>255</v>
      </c>
      <c r="E678" s="4"/>
      <c r="F678" s="37">
        <f>F679</f>
        <v>3750</v>
      </c>
      <c r="G678" s="37"/>
    </row>
    <row r="679" spans="1:7" ht="126">
      <c r="A679" s="3" t="s">
        <v>12</v>
      </c>
      <c r="B679" s="4" t="s">
        <v>428</v>
      </c>
      <c r="C679" s="4" t="s">
        <v>18</v>
      </c>
      <c r="D679" s="4" t="s">
        <v>255</v>
      </c>
      <c r="E679" s="4" t="s">
        <v>265</v>
      </c>
      <c r="F679" s="37">
        <f>прил6!F65</f>
        <v>3750</v>
      </c>
      <c r="G679" s="37"/>
    </row>
    <row r="680" spans="1:7" ht="47.25">
      <c r="A680" s="27" t="s">
        <v>306</v>
      </c>
      <c r="B680" s="4" t="s">
        <v>428</v>
      </c>
      <c r="C680" s="4" t="s">
        <v>19</v>
      </c>
      <c r="D680" s="4"/>
      <c r="E680" s="4"/>
      <c r="F680" s="37">
        <f>F681</f>
        <v>238130</v>
      </c>
      <c r="G680" s="37"/>
    </row>
    <row r="681" spans="1:7" ht="15.75">
      <c r="A681" s="3" t="s">
        <v>274</v>
      </c>
      <c r="B681" s="4" t="s">
        <v>428</v>
      </c>
      <c r="C681" s="4" t="s">
        <v>19</v>
      </c>
      <c r="D681" s="4" t="s">
        <v>255</v>
      </c>
      <c r="E681" s="4"/>
      <c r="F681" s="37">
        <f>F682</f>
        <v>238130</v>
      </c>
      <c r="G681" s="37"/>
    </row>
    <row r="682" spans="1:7" ht="126">
      <c r="A682" s="3" t="s">
        <v>12</v>
      </c>
      <c r="B682" s="4" t="s">
        <v>428</v>
      </c>
      <c r="C682" s="4" t="s">
        <v>19</v>
      </c>
      <c r="D682" s="4" t="s">
        <v>255</v>
      </c>
      <c r="E682" s="4" t="s">
        <v>265</v>
      </c>
      <c r="F682" s="37">
        <f>прил6!F66</f>
        <v>238130</v>
      </c>
      <c r="G682" s="37"/>
    </row>
    <row r="683" spans="1:7" ht="110.25">
      <c r="A683" s="27" t="s">
        <v>409</v>
      </c>
      <c r="B683" s="4" t="s">
        <v>429</v>
      </c>
      <c r="C683" s="4"/>
      <c r="D683" s="4"/>
      <c r="E683" s="4"/>
      <c r="F683" s="37">
        <f>F684</f>
        <v>179441</v>
      </c>
      <c r="G683" s="37"/>
    </row>
    <row r="684" spans="1:7" ht="126">
      <c r="A684" s="3" t="s">
        <v>305</v>
      </c>
      <c r="B684" s="4" t="s">
        <v>429</v>
      </c>
      <c r="C684" s="4" t="s">
        <v>18</v>
      </c>
      <c r="D684" s="4"/>
      <c r="E684" s="4"/>
      <c r="F684" s="29">
        <f>F685</f>
        <v>179441</v>
      </c>
      <c r="G684" s="29"/>
    </row>
    <row r="685" spans="1:7" ht="15.75">
      <c r="A685" s="3" t="s">
        <v>274</v>
      </c>
      <c r="B685" s="4" t="s">
        <v>429</v>
      </c>
      <c r="C685" s="4" t="s">
        <v>18</v>
      </c>
      <c r="D685" s="4" t="s">
        <v>255</v>
      </c>
      <c r="E685" s="4"/>
      <c r="F685" s="29">
        <f>F686</f>
        <v>179441</v>
      </c>
      <c r="G685" s="29"/>
    </row>
    <row r="686" spans="1:7" ht="126">
      <c r="A686" s="3" t="s">
        <v>12</v>
      </c>
      <c r="B686" s="4" t="s">
        <v>429</v>
      </c>
      <c r="C686" s="4" t="s">
        <v>18</v>
      </c>
      <c r="D686" s="4" t="s">
        <v>255</v>
      </c>
      <c r="E686" s="4" t="s">
        <v>265</v>
      </c>
      <c r="F686" s="29">
        <f>прил6!F68</f>
        <v>179441</v>
      </c>
      <c r="G686" s="29"/>
    </row>
    <row r="687" spans="1:7" ht="63">
      <c r="A687" s="27" t="s">
        <v>252</v>
      </c>
      <c r="B687" s="4" t="s">
        <v>97</v>
      </c>
      <c r="C687" s="4"/>
      <c r="D687" s="4"/>
      <c r="E687" s="4"/>
      <c r="F687" s="29">
        <f>F688</f>
        <v>411245.24</v>
      </c>
      <c r="G687" s="29"/>
    </row>
    <row r="688" spans="1:7" ht="47.25">
      <c r="A688" s="3" t="s">
        <v>306</v>
      </c>
      <c r="B688" s="4" t="s">
        <v>97</v>
      </c>
      <c r="C688" s="4" t="s">
        <v>19</v>
      </c>
      <c r="D688" s="4"/>
      <c r="E688" s="4"/>
      <c r="F688" s="29">
        <f>F689</f>
        <v>411245.24</v>
      </c>
      <c r="G688" s="29"/>
    </row>
    <row r="689" spans="1:7" ht="15.75">
      <c r="A689" s="3" t="s">
        <v>274</v>
      </c>
      <c r="B689" s="4" t="s">
        <v>97</v>
      </c>
      <c r="C689" s="4" t="s">
        <v>19</v>
      </c>
      <c r="D689" s="4" t="s">
        <v>255</v>
      </c>
      <c r="E689" s="4"/>
      <c r="F689" s="29">
        <f>F690</f>
        <v>411245.24</v>
      </c>
      <c r="G689" s="29"/>
    </row>
    <row r="690" spans="1:7" ht="31.5">
      <c r="A690" s="3" t="s">
        <v>284</v>
      </c>
      <c r="B690" s="4" t="s">
        <v>97</v>
      </c>
      <c r="C690" s="4" t="s">
        <v>19</v>
      </c>
      <c r="D690" s="4" t="s">
        <v>255</v>
      </c>
      <c r="E690" s="4" t="s">
        <v>16</v>
      </c>
      <c r="F690" s="29">
        <f>прил6!F138</f>
        <v>411245.24</v>
      </c>
      <c r="G690" s="29"/>
    </row>
    <row r="691" spans="1:7" ht="31.5">
      <c r="A691" s="27" t="s">
        <v>164</v>
      </c>
      <c r="B691" s="4" t="s">
        <v>99</v>
      </c>
      <c r="C691" s="4"/>
      <c r="D691" s="4"/>
      <c r="E691" s="4"/>
      <c r="F691" s="29">
        <f>F692</f>
        <v>1701282.36</v>
      </c>
      <c r="G691" s="29"/>
    </row>
    <row r="692" spans="1:7" ht="47.25">
      <c r="A692" s="3" t="s">
        <v>306</v>
      </c>
      <c r="B692" s="4" t="s">
        <v>99</v>
      </c>
      <c r="C692" s="4" t="s">
        <v>19</v>
      </c>
      <c r="D692" s="4"/>
      <c r="E692" s="4"/>
      <c r="F692" s="29">
        <f>F693</f>
        <v>1701282.36</v>
      </c>
      <c r="G692" s="29"/>
    </row>
    <row r="693" spans="1:7" ht="15.75">
      <c r="A693" s="3" t="s">
        <v>276</v>
      </c>
      <c r="B693" s="4" t="s">
        <v>99</v>
      </c>
      <c r="C693" s="4" t="s">
        <v>19</v>
      </c>
      <c r="D693" s="4" t="s">
        <v>265</v>
      </c>
      <c r="E693" s="4"/>
      <c r="F693" s="29">
        <f>F694</f>
        <v>1701282.36</v>
      </c>
      <c r="G693" s="29"/>
    </row>
    <row r="694" spans="1:7" ht="31.5">
      <c r="A694" s="3" t="s">
        <v>278</v>
      </c>
      <c r="B694" s="4" t="s">
        <v>99</v>
      </c>
      <c r="C694" s="4" t="s">
        <v>19</v>
      </c>
      <c r="D694" s="4" t="s">
        <v>265</v>
      </c>
      <c r="E694" s="4" t="s">
        <v>13</v>
      </c>
      <c r="F694" s="29">
        <f>прил6!F248</f>
        <v>1701282.36</v>
      </c>
      <c r="G694" s="29"/>
    </row>
    <row r="695" spans="1:7" ht="78.75">
      <c r="A695" s="21" t="s">
        <v>162</v>
      </c>
      <c r="B695" s="4" t="s">
        <v>163</v>
      </c>
      <c r="C695" s="4"/>
      <c r="D695" s="4"/>
      <c r="E695" s="4"/>
      <c r="F695" s="29">
        <f>F696+F700+F707</f>
        <v>7211129</v>
      </c>
      <c r="G695" s="29"/>
    </row>
    <row r="696" spans="1:7" ht="47.25">
      <c r="A696" s="21" t="s">
        <v>413</v>
      </c>
      <c r="B696" s="4" t="s">
        <v>442</v>
      </c>
      <c r="C696" s="4"/>
      <c r="D696" s="4"/>
      <c r="E696" s="4"/>
      <c r="F696" s="29">
        <f>F697</f>
        <v>6937697.01</v>
      </c>
      <c r="G696" s="29"/>
    </row>
    <row r="697" spans="1:7" ht="126">
      <c r="A697" s="3" t="s">
        <v>305</v>
      </c>
      <c r="B697" s="4" t="s">
        <v>442</v>
      </c>
      <c r="C697" s="4" t="s">
        <v>18</v>
      </c>
      <c r="D697" s="4"/>
      <c r="E697" s="4"/>
      <c r="F697" s="29">
        <f>F698</f>
        <v>6937697.01</v>
      </c>
      <c r="G697" s="29"/>
    </row>
    <row r="698" spans="1:7" ht="15.75">
      <c r="A698" s="3" t="s">
        <v>274</v>
      </c>
      <c r="B698" s="4" t="s">
        <v>442</v>
      </c>
      <c r="C698" s="4" t="s">
        <v>18</v>
      </c>
      <c r="D698" s="4" t="s">
        <v>255</v>
      </c>
      <c r="E698" s="4"/>
      <c r="F698" s="29">
        <f>F699</f>
        <v>6937697.01</v>
      </c>
      <c r="G698" s="29"/>
    </row>
    <row r="699" spans="1:7" ht="126">
      <c r="A699" s="3" t="s">
        <v>12</v>
      </c>
      <c r="B699" s="4" t="s">
        <v>442</v>
      </c>
      <c r="C699" s="4" t="s">
        <v>18</v>
      </c>
      <c r="D699" s="4" t="s">
        <v>255</v>
      </c>
      <c r="E699" s="4" t="s">
        <v>265</v>
      </c>
      <c r="F699" s="29">
        <f>прил6!F71</f>
        <v>6937697.01</v>
      </c>
      <c r="G699" s="29"/>
    </row>
    <row r="700" spans="1:7" ht="47.25">
      <c r="A700" s="21" t="s">
        <v>415</v>
      </c>
      <c r="B700" s="4" t="s">
        <v>443</v>
      </c>
      <c r="C700" s="4"/>
      <c r="D700" s="4"/>
      <c r="E700" s="4"/>
      <c r="F700" s="29">
        <f>F701+F704</f>
        <v>166191.2</v>
      </c>
      <c r="G700" s="29"/>
    </row>
    <row r="701" spans="1:7" ht="126">
      <c r="A701" s="3" t="s">
        <v>305</v>
      </c>
      <c r="B701" s="4" t="s">
        <v>443</v>
      </c>
      <c r="C701" s="4" t="s">
        <v>18</v>
      </c>
      <c r="D701" s="4"/>
      <c r="E701" s="4"/>
      <c r="F701" s="29">
        <f>F702</f>
        <v>37144.2</v>
      </c>
      <c r="G701" s="29"/>
    </row>
    <row r="702" spans="1:7" ht="15.75">
      <c r="A702" s="3" t="s">
        <v>274</v>
      </c>
      <c r="B702" s="4" t="s">
        <v>443</v>
      </c>
      <c r="C702" s="4" t="s">
        <v>18</v>
      </c>
      <c r="D702" s="4" t="s">
        <v>255</v>
      </c>
      <c r="E702" s="4"/>
      <c r="F702" s="29">
        <f>F703</f>
        <v>37144.2</v>
      </c>
      <c r="G702" s="29"/>
    </row>
    <row r="703" spans="1:7" ht="126">
      <c r="A703" s="3" t="s">
        <v>12</v>
      </c>
      <c r="B703" s="4" t="s">
        <v>443</v>
      </c>
      <c r="C703" s="4" t="s">
        <v>18</v>
      </c>
      <c r="D703" s="4" t="s">
        <v>255</v>
      </c>
      <c r="E703" s="4" t="s">
        <v>265</v>
      </c>
      <c r="F703" s="29">
        <f>прил6!F73</f>
        <v>37144.2</v>
      </c>
      <c r="G703" s="29"/>
    </row>
    <row r="704" spans="1:7" ht="47.25">
      <c r="A704" s="3" t="s">
        <v>306</v>
      </c>
      <c r="B704" s="4" t="s">
        <v>443</v>
      </c>
      <c r="C704" s="4" t="s">
        <v>19</v>
      </c>
      <c r="D704" s="4"/>
      <c r="E704" s="4"/>
      <c r="F704" s="29">
        <f>F705</f>
        <v>129047</v>
      </c>
      <c r="G704" s="29"/>
    </row>
    <row r="705" spans="1:7" ht="15.75">
      <c r="A705" s="3" t="s">
        <v>274</v>
      </c>
      <c r="B705" s="4" t="s">
        <v>443</v>
      </c>
      <c r="C705" s="4" t="s">
        <v>19</v>
      </c>
      <c r="D705" s="4" t="s">
        <v>255</v>
      </c>
      <c r="E705" s="4"/>
      <c r="F705" s="29">
        <f>F706</f>
        <v>129047</v>
      </c>
      <c r="G705" s="29"/>
    </row>
    <row r="706" spans="1:7" ht="126">
      <c r="A706" s="3" t="s">
        <v>12</v>
      </c>
      <c r="B706" s="4" t="s">
        <v>443</v>
      </c>
      <c r="C706" s="4" t="s">
        <v>19</v>
      </c>
      <c r="D706" s="4" t="s">
        <v>255</v>
      </c>
      <c r="E706" s="4" t="s">
        <v>265</v>
      </c>
      <c r="F706" s="29">
        <f>прил6!F74</f>
        <v>129047</v>
      </c>
      <c r="G706" s="33"/>
    </row>
    <row r="707" spans="1:7" ht="110.25">
      <c r="A707" s="21" t="s">
        <v>409</v>
      </c>
      <c r="B707" s="4" t="s">
        <v>444</v>
      </c>
      <c r="C707" s="4"/>
      <c r="D707" s="4"/>
      <c r="E707" s="4"/>
      <c r="F707" s="29">
        <f>F708</f>
        <v>107240.79000000001</v>
      </c>
      <c r="G707" s="33"/>
    </row>
    <row r="708" spans="1:7" ht="126">
      <c r="A708" s="3" t="s">
        <v>305</v>
      </c>
      <c r="B708" s="4" t="s">
        <v>444</v>
      </c>
      <c r="C708" s="4" t="s">
        <v>18</v>
      </c>
      <c r="D708" s="4"/>
      <c r="E708" s="4"/>
      <c r="F708" s="29">
        <f>F709</f>
        <v>107240.79000000001</v>
      </c>
      <c r="G708" s="33"/>
    </row>
    <row r="709" spans="1:7" ht="15.75">
      <c r="A709" s="3" t="s">
        <v>274</v>
      </c>
      <c r="B709" s="4" t="s">
        <v>444</v>
      </c>
      <c r="C709" s="4" t="s">
        <v>18</v>
      </c>
      <c r="D709" s="4" t="s">
        <v>255</v>
      </c>
      <c r="E709" s="4"/>
      <c r="F709" s="29">
        <f>F710</f>
        <v>107240.79000000001</v>
      </c>
      <c r="G709" s="33"/>
    </row>
    <row r="710" spans="1:7" ht="93.75" customHeight="1">
      <c r="A710" s="3" t="s">
        <v>12</v>
      </c>
      <c r="B710" s="4" t="s">
        <v>444</v>
      </c>
      <c r="C710" s="4" t="s">
        <v>18</v>
      </c>
      <c r="D710" s="4" t="s">
        <v>255</v>
      </c>
      <c r="E710" s="4" t="s">
        <v>265</v>
      </c>
      <c r="F710" s="37">
        <f>прил6!F76</f>
        <v>107240.79000000001</v>
      </c>
      <c r="G710" s="37"/>
    </row>
    <row r="711" spans="1:7" ht="31.5">
      <c r="A711" s="3" t="s">
        <v>87</v>
      </c>
      <c r="B711" s="4" t="s">
        <v>88</v>
      </c>
      <c r="C711" s="4"/>
      <c r="D711" s="4"/>
      <c r="E711" s="4"/>
      <c r="F711" s="37">
        <f>F712+F719</f>
        <v>6702782</v>
      </c>
      <c r="G711" s="37"/>
    </row>
    <row r="712" spans="1:7" ht="110.25">
      <c r="A712" s="3" t="s">
        <v>209</v>
      </c>
      <c r="B712" s="4" t="s">
        <v>89</v>
      </c>
      <c r="C712" s="4"/>
      <c r="D712" s="4"/>
      <c r="E712" s="4"/>
      <c r="F712" s="37">
        <f>F713+F716</f>
        <v>6634505.54</v>
      </c>
      <c r="G712" s="37"/>
    </row>
    <row r="713" spans="1:7" ht="126">
      <c r="A713" s="3" t="s">
        <v>305</v>
      </c>
      <c r="B713" s="4" t="s">
        <v>89</v>
      </c>
      <c r="C713" s="4" t="s">
        <v>18</v>
      </c>
      <c r="D713" s="4"/>
      <c r="E713" s="4"/>
      <c r="F713" s="37">
        <f>F714</f>
        <v>5211486.84</v>
      </c>
      <c r="G713" s="37"/>
    </row>
    <row r="714" spans="1:7" ht="15.75">
      <c r="A714" s="3" t="s">
        <v>274</v>
      </c>
      <c r="B714" s="4" t="s">
        <v>89</v>
      </c>
      <c r="C714" s="4" t="s">
        <v>18</v>
      </c>
      <c r="D714" s="4" t="s">
        <v>255</v>
      </c>
      <c r="E714" s="4"/>
      <c r="F714" s="37">
        <f>F715</f>
        <v>5211486.84</v>
      </c>
      <c r="G714" s="37"/>
    </row>
    <row r="715" spans="1:7" ht="31.5">
      <c r="A715" s="3" t="s">
        <v>284</v>
      </c>
      <c r="B715" s="4" t="s">
        <v>89</v>
      </c>
      <c r="C715" s="4" t="s">
        <v>18</v>
      </c>
      <c r="D715" s="4" t="s">
        <v>255</v>
      </c>
      <c r="E715" s="4" t="s">
        <v>16</v>
      </c>
      <c r="F715" s="37">
        <f>прил6!F141</f>
        <v>5211486.84</v>
      </c>
      <c r="G715" s="37"/>
    </row>
    <row r="716" spans="1:7" ht="47.25">
      <c r="A716" s="3" t="s">
        <v>306</v>
      </c>
      <c r="B716" s="4" t="s">
        <v>89</v>
      </c>
      <c r="C716" s="4" t="s">
        <v>19</v>
      </c>
      <c r="D716" s="4"/>
      <c r="E716" s="4"/>
      <c r="F716" s="37">
        <f>F717</f>
        <v>1423018.7</v>
      </c>
      <c r="G716" s="37"/>
    </row>
    <row r="717" spans="1:7" ht="15.75">
      <c r="A717" s="3" t="s">
        <v>274</v>
      </c>
      <c r="B717" s="4" t="s">
        <v>89</v>
      </c>
      <c r="C717" s="4" t="s">
        <v>19</v>
      </c>
      <c r="D717" s="4" t="s">
        <v>255</v>
      </c>
      <c r="E717" s="4"/>
      <c r="F717" s="37">
        <f>F718</f>
        <v>1423018.7</v>
      </c>
      <c r="G717" s="37"/>
    </row>
    <row r="718" spans="1:7" ht="31.5">
      <c r="A718" s="3" t="s">
        <v>284</v>
      </c>
      <c r="B718" s="4" t="s">
        <v>89</v>
      </c>
      <c r="C718" s="4" t="s">
        <v>19</v>
      </c>
      <c r="D718" s="4" t="s">
        <v>255</v>
      </c>
      <c r="E718" s="4" t="s">
        <v>16</v>
      </c>
      <c r="F718" s="37">
        <f>прил6!F142</f>
        <v>1423018.7</v>
      </c>
      <c r="G718" s="37"/>
    </row>
    <row r="719" spans="1:7" ht="110.25">
      <c r="A719" s="3" t="s">
        <v>409</v>
      </c>
      <c r="B719" s="4" t="s">
        <v>423</v>
      </c>
      <c r="C719" s="4"/>
      <c r="D719" s="4"/>
      <c r="E719" s="4"/>
      <c r="F719" s="37">
        <f>F720</f>
        <v>68276.46</v>
      </c>
      <c r="G719" s="37"/>
    </row>
    <row r="720" spans="1:7" ht="126">
      <c r="A720" s="3" t="s">
        <v>305</v>
      </c>
      <c r="B720" s="4" t="s">
        <v>423</v>
      </c>
      <c r="C720" s="4" t="s">
        <v>18</v>
      </c>
      <c r="D720" s="4"/>
      <c r="E720" s="4"/>
      <c r="F720" s="37">
        <f>F721</f>
        <v>68276.46</v>
      </c>
      <c r="G720" s="37"/>
    </row>
    <row r="721" spans="1:7" ht="15.75">
      <c r="A721" s="3" t="s">
        <v>274</v>
      </c>
      <c r="B721" s="4" t="s">
        <v>423</v>
      </c>
      <c r="C721" s="4" t="s">
        <v>18</v>
      </c>
      <c r="D721" s="4" t="s">
        <v>255</v>
      </c>
      <c r="E721" s="4"/>
      <c r="F721" s="37">
        <f>F722</f>
        <v>68276.46</v>
      </c>
      <c r="G721" s="37"/>
    </row>
    <row r="722" spans="1:7" ht="31.5">
      <c r="A722" s="3" t="s">
        <v>284</v>
      </c>
      <c r="B722" s="4" t="s">
        <v>423</v>
      </c>
      <c r="C722" s="4" t="s">
        <v>18</v>
      </c>
      <c r="D722" s="4" t="s">
        <v>255</v>
      </c>
      <c r="E722" s="4" t="s">
        <v>16</v>
      </c>
      <c r="F722" s="37">
        <f>прил6!F144</f>
        <v>68276.46</v>
      </c>
      <c r="G722" s="37"/>
    </row>
    <row r="723" spans="1:7" ht="78.75">
      <c r="A723" s="3" t="s">
        <v>45</v>
      </c>
      <c r="B723" s="4" t="s">
        <v>46</v>
      </c>
      <c r="C723" s="4"/>
      <c r="D723" s="4"/>
      <c r="E723" s="4"/>
      <c r="F723" s="37">
        <f>F724+F735+F731</f>
        <v>103337481.86</v>
      </c>
      <c r="G723" s="37">
        <f>G724+G735</f>
        <v>82698000</v>
      </c>
    </row>
    <row r="724" spans="1:7" ht="110.25">
      <c r="A724" s="3" t="s">
        <v>209</v>
      </c>
      <c r="B724" s="4" t="s">
        <v>90</v>
      </c>
      <c r="C724" s="4"/>
      <c r="D724" s="4"/>
      <c r="E724" s="4"/>
      <c r="F724" s="37">
        <f>F725+F728</f>
        <v>20245020.33</v>
      </c>
      <c r="G724" s="37"/>
    </row>
    <row r="725" spans="1:7" ht="126">
      <c r="A725" s="3" t="s">
        <v>305</v>
      </c>
      <c r="B725" s="4" t="s">
        <v>90</v>
      </c>
      <c r="C725" s="4" t="s">
        <v>18</v>
      </c>
      <c r="D725" s="4"/>
      <c r="E725" s="4"/>
      <c r="F725" s="37">
        <f>F726</f>
        <v>19148718.909999996</v>
      </c>
      <c r="G725" s="37"/>
    </row>
    <row r="726" spans="1:7" ht="15.75">
      <c r="A726" s="3" t="s">
        <v>274</v>
      </c>
      <c r="B726" s="4" t="s">
        <v>90</v>
      </c>
      <c r="C726" s="4" t="s">
        <v>18</v>
      </c>
      <c r="D726" s="4" t="s">
        <v>255</v>
      </c>
      <c r="E726" s="4"/>
      <c r="F726" s="37">
        <f>F727</f>
        <v>19148718.909999996</v>
      </c>
      <c r="G726" s="37"/>
    </row>
    <row r="727" spans="1:7" ht="31.5">
      <c r="A727" s="3" t="s">
        <v>284</v>
      </c>
      <c r="B727" s="4" t="s">
        <v>90</v>
      </c>
      <c r="C727" s="4" t="s">
        <v>18</v>
      </c>
      <c r="D727" s="4" t="s">
        <v>255</v>
      </c>
      <c r="E727" s="4" t="s">
        <v>16</v>
      </c>
      <c r="F727" s="37">
        <f>прил6!F147</f>
        <v>19148718.909999996</v>
      </c>
      <c r="G727" s="37"/>
    </row>
    <row r="728" spans="1:7" ht="47.25">
      <c r="A728" s="3" t="s">
        <v>306</v>
      </c>
      <c r="B728" s="4" t="s">
        <v>90</v>
      </c>
      <c r="C728" s="4" t="s">
        <v>19</v>
      </c>
      <c r="D728" s="4"/>
      <c r="E728" s="4"/>
      <c r="F728" s="37">
        <f>F729</f>
        <v>1096301.42</v>
      </c>
      <c r="G728" s="37"/>
    </row>
    <row r="729" spans="1:7" ht="15.75">
      <c r="A729" s="3" t="s">
        <v>274</v>
      </c>
      <c r="B729" s="4" t="s">
        <v>90</v>
      </c>
      <c r="C729" s="4" t="s">
        <v>19</v>
      </c>
      <c r="D729" s="4" t="s">
        <v>255</v>
      </c>
      <c r="E729" s="4"/>
      <c r="F729" s="29">
        <f>F730</f>
        <v>1096301.42</v>
      </c>
      <c r="G729" s="29"/>
    </row>
    <row r="730" spans="1:7" ht="31.5">
      <c r="A730" s="3" t="s">
        <v>284</v>
      </c>
      <c r="B730" s="4" t="s">
        <v>90</v>
      </c>
      <c r="C730" s="4" t="s">
        <v>19</v>
      </c>
      <c r="D730" s="4" t="s">
        <v>255</v>
      </c>
      <c r="E730" s="4" t="s">
        <v>16</v>
      </c>
      <c r="F730" s="29">
        <f>прил6!F148</f>
        <v>1096301.42</v>
      </c>
      <c r="G730" s="29"/>
    </row>
    <row r="731" spans="1:7" ht="110.25">
      <c r="A731" s="3" t="s">
        <v>409</v>
      </c>
      <c r="B731" s="4" t="s">
        <v>430</v>
      </c>
      <c r="C731" s="4"/>
      <c r="D731" s="4"/>
      <c r="E731" s="4"/>
      <c r="F731" s="29">
        <f>F732</f>
        <v>394461.53</v>
      </c>
      <c r="G731" s="29"/>
    </row>
    <row r="732" spans="1:7" ht="126">
      <c r="A732" s="3" t="s">
        <v>305</v>
      </c>
      <c r="B732" s="4" t="s">
        <v>430</v>
      </c>
      <c r="C732" s="4" t="s">
        <v>18</v>
      </c>
      <c r="D732" s="4"/>
      <c r="E732" s="4"/>
      <c r="F732" s="29">
        <f>F733</f>
        <v>394461.53</v>
      </c>
      <c r="G732" s="29"/>
    </row>
    <row r="733" spans="1:7" ht="15.75">
      <c r="A733" s="3" t="s">
        <v>274</v>
      </c>
      <c r="B733" s="4" t="s">
        <v>430</v>
      </c>
      <c r="C733" s="4" t="s">
        <v>18</v>
      </c>
      <c r="D733" s="4" t="s">
        <v>255</v>
      </c>
      <c r="E733" s="4"/>
      <c r="F733" s="29">
        <f>F734</f>
        <v>394461.53</v>
      </c>
      <c r="G733" s="29"/>
    </row>
    <row r="734" spans="1:7" ht="31.5">
      <c r="A734" s="3" t="s">
        <v>284</v>
      </c>
      <c r="B734" s="4" t="s">
        <v>430</v>
      </c>
      <c r="C734" s="4" t="s">
        <v>18</v>
      </c>
      <c r="D734" s="4" t="s">
        <v>255</v>
      </c>
      <c r="E734" s="4" t="s">
        <v>16</v>
      </c>
      <c r="F734" s="29">
        <f>прил6!F150</f>
        <v>394461.53</v>
      </c>
      <c r="G734" s="29"/>
    </row>
    <row r="735" spans="1:7" ht="68.25" customHeight="1">
      <c r="A735" s="3" t="s">
        <v>47</v>
      </c>
      <c r="B735" s="4" t="s">
        <v>48</v>
      </c>
      <c r="C735" s="4"/>
      <c r="D735" s="4"/>
      <c r="E735" s="4"/>
      <c r="F735" s="29">
        <f>F736+F739</f>
        <v>82698000</v>
      </c>
      <c r="G735" s="29">
        <f>G736+G739</f>
        <v>82698000</v>
      </c>
    </row>
    <row r="736" spans="1:7" ht="31.5">
      <c r="A736" s="61" t="s">
        <v>239</v>
      </c>
      <c r="B736" s="4" t="s">
        <v>48</v>
      </c>
      <c r="C736" s="4" t="s">
        <v>240</v>
      </c>
      <c r="D736" s="4"/>
      <c r="E736" s="4"/>
      <c r="F736" s="29">
        <f>F737</f>
        <v>16245570</v>
      </c>
      <c r="G736" s="29">
        <f>G737</f>
        <v>16245570</v>
      </c>
    </row>
    <row r="737" spans="1:7" ht="15.75">
      <c r="A737" s="3" t="s">
        <v>269</v>
      </c>
      <c r="B737" s="4" t="s">
        <v>48</v>
      </c>
      <c r="C737" s="4" t="s">
        <v>240</v>
      </c>
      <c r="D737" s="4" t="s">
        <v>263</v>
      </c>
      <c r="E737" s="4"/>
      <c r="F737" s="29">
        <f>F738</f>
        <v>16245570</v>
      </c>
      <c r="G737" s="29">
        <f>G738</f>
        <v>16245570</v>
      </c>
    </row>
    <row r="738" spans="1:7" ht="31.5">
      <c r="A738" s="3" t="s">
        <v>290</v>
      </c>
      <c r="B738" s="4" t="s">
        <v>48</v>
      </c>
      <c r="C738" s="4" t="s">
        <v>240</v>
      </c>
      <c r="D738" s="4" t="s">
        <v>263</v>
      </c>
      <c r="E738" s="4" t="s">
        <v>256</v>
      </c>
      <c r="F738" s="29">
        <f>прил6!F568</f>
        <v>16245570</v>
      </c>
      <c r="G738" s="29">
        <f>F738</f>
        <v>16245570</v>
      </c>
    </row>
    <row r="739" spans="1:7" ht="63">
      <c r="A739" s="3" t="s">
        <v>49</v>
      </c>
      <c r="B739" s="4" t="s">
        <v>48</v>
      </c>
      <c r="C739" s="4" t="s">
        <v>297</v>
      </c>
      <c r="D739" s="4"/>
      <c r="E739" s="4"/>
      <c r="F739" s="29">
        <f>F740</f>
        <v>66452430</v>
      </c>
      <c r="G739" s="29">
        <f>G740</f>
        <v>66452430</v>
      </c>
    </row>
    <row r="740" spans="1:7" ht="31.5">
      <c r="A740" s="3" t="s">
        <v>264</v>
      </c>
      <c r="B740" s="4" t="s">
        <v>48</v>
      </c>
      <c r="C740" s="4" t="s">
        <v>297</v>
      </c>
      <c r="D740" s="4" t="s">
        <v>257</v>
      </c>
      <c r="E740" s="4"/>
      <c r="F740" s="29">
        <f>F741</f>
        <v>66452430</v>
      </c>
      <c r="G740" s="29">
        <f>G741</f>
        <v>66452430</v>
      </c>
    </row>
    <row r="741" spans="1:7" ht="47.25">
      <c r="A741" s="3" t="s">
        <v>282</v>
      </c>
      <c r="B741" s="4" t="s">
        <v>48</v>
      </c>
      <c r="C741" s="4" t="s">
        <v>297</v>
      </c>
      <c r="D741" s="4" t="s">
        <v>257</v>
      </c>
      <c r="E741" s="4" t="s">
        <v>257</v>
      </c>
      <c r="F741" s="29">
        <f>прил6!F319</f>
        <v>66452430</v>
      </c>
      <c r="G741" s="29">
        <f>F741</f>
        <v>66452430</v>
      </c>
    </row>
    <row r="742" spans="1:7" ht="47.25">
      <c r="A742" s="3" t="s">
        <v>91</v>
      </c>
      <c r="B742" s="4" t="s">
        <v>92</v>
      </c>
      <c r="C742" s="4"/>
      <c r="D742" s="4"/>
      <c r="E742" s="4"/>
      <c r="F742" s="29">
        <f>F743+F761+F753+F757</f>
        <v>32641910.59</v>
      </c>
      <c r="G742" s="29"/>
    </row>
    <row r="743" spans="1:7" ht="110.25">
      <c r="A743" s="3" t="s">
        <v>209</v>
      </c>
      <c r="B743" s="4" t="s">
        <v>93</v>
      </c>
      <c r="C743" s="4"/>
      <c r="D743" s="4"/>
      <c r="E743" s="4"/>
      <c r="F743" s="29">
        <f>F744+F747+F750</f>
        <v>32177641.24</v>
      </c>
      <c r="G743" s="29"/>
    </row>
    <row r="744" spans="1:7" ht="126">
      <c r="A744" s="3" t="s">
        <v>305</v>
      </c>
      <c r="B744" s="4" t="s">
        <v>93</v>
      </c>
      <c r="C744" s="4" t="s">
        <v>18</v>
      </c>
      <c r="D744" s="4"/>
      <c r="E744" s="4"/>
      <c r="F744" s="29">
        <f>F745</f>
        <v>17521421</v>
      </c>
      <c r="G744" s="29"/>
    </row>
    <row r="745" spans="1:7" ht="15.75">
      <c r="A745" s="3" t="s">
        <v>274</v>
      </c>
      <c r="B745" s="4" t="s">
        <v>93</v>
      </c>
      <c r="C745" s="4" t="s">
        <v>18</v>
      </c>
      <c r="D745" s="4" t="s">
        <v>255</v>
      </c>
      <c r="E745" s="4"/>
      <c r="F745" s="29">
        <f>F746</f>
        <v>17521421</v>
      </c>
      <c r="G745" s="29"/>
    </row>
    <row r="746" spans="1:7" ht="31.5">
      <c r="A746" s="3" t="s">
        <v>284</v>
      </c>
      <c r="B746" s="4" t="s">
        <v>93</v>
      </c>
      <c r="C746" s="4" t="s">
        <v>18</v>
      </c>
      <c r="D746" s="4" t="s">
        <v>255</v>
      </c>
      <c r="E746" s="4" t="s">
        <v>16</v>
      </c>
      <c r="F746" s="29">
        <f>прил6!F153</f>
        <v>17521421</v>
      </c>
      <c r="G746" s="29"/>
    </row>
    <row r="747" spans="1:7" ht="47.25">
      <c r="A747" s="3" t="s">
        <v>306</v>
      </c>
      <c r="B747" s="4" t="s">
        <v>93</v>
      </c>
      <c r="C747" s="4" t="s">
        <v>19</v>
      </c>
      <c r="D747" s="4"/>
      <c r="E747" s="4"/>
      <c r="F747" s="29">
        <f>F748</f>
        <v>14601187.479999999</v>
      </c>
      <c r="G747" s="33"/>
    </row>
    <row r="748" spans="1:7" ht="15.75">
      <c r="A748" s="3" t="s">
        <v>274</v>
      </c>
      <c r="B748" s="4" t="s">
        <v>93</v>
      </c>
      <c r="C748" s="4" t="s">
        <v>19</v>
      </c>
      <c r="D748" s="4" t="s">
        <v>255</v>
      </c>
      <c r="E748" s="4"/>
      <c r="F748" s="29">
        <f>F749</f>
        <v>14601187.479999999</v>
      </c>
      <c r="G748" s="29"/>
    </row>
    <row r="749" spans="1:7" ht="31.5">
      <c r="A749" s="3" t="s">
        <v>284</v>
      </c>
      <c r="B749" s="4" t="s">
        <v>93</v>
      </c>
      <c r="C749" s="4" t="s">
        <v>19</v>
      </c>
      <c r="D749" s="4" t="s">
        <v>255</v>
      </c>
      <c r="E749" s="4" t="s">
        <v>16</v>
      </c>
      <c r="F749" s="29">
        <f>прил6!F154</f>
        <v>14601187.479999999</v>
      </c>
      <c r="G749" s="29"/>
    </row>
    <row r="750" spans="1:7" ht="15.75">
      <c r="A750" s="3" t="s">
        <v>235</v>
      </c>
      <c r="B750" s="4" t="s">
        <v>93</v>
      </c>
      <c r="C750" s="4" t="s">
        <v>22</v>
      </c>
      <c r="D750" s="4"/>
      <c r="E750" s="4"/>
      <c r="F750" s="29">
        <f>F751</f>
        <v>55032.759999999995</v>
      </c>
      <c r="G750" s="29"/>
    </row>
    <row r="751" spans="1:7" ht="15.75">
      <c r="A751" s="3" t="s">
        <v>274</v>
      </c>
      <c r="B751" s="4" t="s">
        <v>93</v>
      </c>
      <c r="C751" s="4" t="s">
        <v>22</v>
      </c>
      <c r="D751" s="4" t="s">
        <v>255</v>
      </c>
      <c r="E751" s="4"/>
      <c r="F751" s="29">
        <f>F752</f>
        <v>55032.759999999995</v>
      </c>
      <c r="G751" s="29"/>
    </row>
    <row r="752" spans="1:7" ht="31.5">
      <c r="A752" s="3" t="s">
        <v>284</v>
      </c>
      <c r="B752" s="4" t="s">
        <v>93</v>
      </c>
      <c r="C752" s="4" t="s">
        <v>22</v>
      </c>
      <c r="D752" s="4" t="s">
        <v>255</v>
      </c>
      <c r="E752" s="4" t="s">
        <v>16</v>
      </c>
      <c r="F752" s="29">
        <f>прил6!F155</f>
        <v>55032.759999999995</v>
      </c>
      <c r="G752" s="33"/>
    </row>
    <row r="753" spans="1:7" ht="47.25">
      <c r="A753" s="3" t="s">
        <v>228</v>
      </c>
      <c r="B753" s="4" t="s">
        <v>52</v>
      </c>
      <c r="C753" s="4"/>
      <c r="D753" s="4"/>
      <c r="E753" s="4"/>
      <c r="F753" s="29">
        <f>F754</f>
        <v>165732.64</v>
      </c>
      <c r="G753" s="33"/>
    </row>
    <row r="754" spans="1:7" ht="47.25">
      <c r="A754" s="3" t="s">
        <v>306</v>
      </c>
      <c r="B754" s="4" t="s">
        <v>52</v>
      </c>
      <c r="C754" s="4" t="s">
        <v>19</v>
      </c>
      <c r="D754" s="4"/>
      <c r="E754" s="4"/>
      <c r="F754" s="29">
        <f>F755</f>
        <v>165732.64</v>
      </c>
      <c r="G754" s="33"/>
    </row>
    <row r="755" spans="1:7" ht="15.75">
      <c r="A755" s="3" t="s">
        <v>274</v>
      </c>
      <c r="B755" s="4" t="s">
        <v>52</v>
      </c>
      <c r="C755" s="4" t="s">
        <v>19</v>
      </c>
      <c r="D755" s="4" t="s">
        <v>255</v>
      </c>
      <c r="E755" s="4"/>
      <c r="F755" s="29">
        <f>F756</f>
        <v>165732.64</v>
      </c>
      <c r="G755" s="33"/>
    </row>
    <row r="756" spans="1:7" ht="31.5">
      <c r="A756" s="3" t="s">
        <v>284</v>
      </c>
      <c r="B756" s="4" t="s">
        <v>52</v>
      </c>
      <c r="C756" s="4" t="s">
        <v>19</v>
      </c>
      <c r="D756" s="4" t="s">
        <v>255</v>
      </c>
      <c r="E756" s="4" t="s">
        <v>16</v>
      </c>
      <c r="F756" s="29">
        <f>прил6!F157</f>
        <v>165732.64</v>
      </c>
      <c r="G756" s="33"/>
    </row>
    <row r="757" spans="1:7" ht="31.5">
      <c r="A757" s="3" t="s">
        <v>326</v>
      </c>
      <c r="B757" s="4" t="s">
        <v>450</v>
      </c>
      <c r="C757" s="4"/>
      <c r="D757" s="4"/>
      <c r="E757" s="4"/>
      <c r="F757" s="29">
        <f>F758</f>
        <v>93680</v>
      </c>
      <c r="G757" s="33"/>
    </row>
    <row r="758" spans="1:7" ht="47.25">
      <c r="A758" s="3" t="s">
        <v>306</v>
      </c>
      <c r="B758" s="4" t="s">
        <v>450</v>
      </c>
      <c r="C758" s="4" t="s">
        <v>19</v>
      </c>
      <c r="D758" s="4"/>
      <c r="E758" s="4"/>
      <c r="F758" s="29">
        <f>F759</f>
        <v>93680</v>
      </c>
      <c r="G758" s="33"/>
    </row>
    <row r="759" spans="1:7" ht="15.75">
      <c r="A759" s="3" t="s">
        <v>274</v>
      </c>
      <c r="B759" s="4" t="s">
        <v>450</v>
      </c>
      <c r="C759" s="4" t="s">
        <v>19</v>
      </c>
      <c r="D759" s="4" t="s">
        <v>255</v>
      </c>
      <c r="E759" s="4"/>
      <c r="F759" s="29">
        <f>F760</f>
        <v>93680</v>
      </c>
      <c r="G759" s="33"/>
    </row>
    <row r="760" spans="1:7" ht="31.5">
      <c r="A760" s="3" t="s">
        <v>284</v>
      </c>
      <c r="B760" s="4" t="s">
        <v>450</v>
      </c>
      <c r="C760" s="4" t="s">
        <v>19</v>
      </c>
      <c r="D760" s="4" t="s">
        <v>255</v>
      </c>
      <c r="E760" s="4" t="s">
        <v>16</v>
      </c>
      <c r="F760" s="29">
        <f>прил6!F159</f>
        <v>93680</v>
      </c>
      <c r="G760" s="33"/>
    </row>
    <row r="761" spans="1:7" ht="110.25">
      <c r="A761" s="3" t="s">
        <v>409</v>
      </c>
      <c r="B761" s="4" t="s">
        <v>424</v>
      </c>
      <c r="C761" s="4"/>
      <c r="D761" s="4"/>
      <c r="E761" s="4"/>
      <c r="F761" s="29">
        <f>F762</f>
        <v>204856.71</v>
      </c>
      <c r="G761" s="33"/>
    </row>
    <row r="762" spans="1:7" ht="126">
      <c r="A762" s="3" t="s">
        <v>417</v>
      </c>
      <c r="B762" s="4" t="s">
        <v>424</v>
      </c>
      <c r="C762" s="4" t="s">
        <v>18</v>
      </c>
      <c r="D762" s="4"/>
      <c r="E762" s="4"/>
      <c r="F762" s="29">
        <f>F763</f>
        <v>204856.71</v>
      </c>
      <c r="G762" s="33"/>
    </row>
    <row r="763" spans="1:7" ht="15.75">
      <c r="A763" s="3" t="s">
        <v>274</v>
      </c>
      <c r="B763" s="4" t="s">
        <v>424</v>
      </c>
      <c r="C763" s="4" t="s">
        <v>18</v>
      </c>
      <c r="D763" s="4" t="s">
        <v>255</v>
      </c>
      <c r="E763" s="4"/>
      <c r="F763" s="29">
        <f>F764</f>
        <v>204856.71</v>
      </c>
      <c r="G763" s="33"/>
    </row>
    <row r="764" spans="1:7" ht="31.5">
      <c r="A764" s="3" t="s">
        <v>284</v>
      </c>
      <c r="B764" s="4" t="s">
        <v>424</v>
      </c>
      <c r="C764" s="4" t="s">
        <v>18</v>
      </c>
      <c r="D764" s="4" t="s">
        <v>255</v>
      </c>
      <c r="E764" s="4" t="s">
        <v>16</v>
      </c>
      <c r="F764" s="29">
        <f>прил6!F161</f>
        <v>204856.71</v>
      </c>
      <c r="G764" s="33"/>
    </row>
    <row r="765" spans="1:7" ht="94.5">
      <c r="A765" s="3" t="s">
        <v>94</v>
      </c>
      <c r="B765" s="4" t="s">
        <v>95</v>
      </c>
      <c r="C765" s="2"/>
      <c r="D765" s="4"/>
      <c r="E765" s="4"/>
      <c r="F765" s="29">
        <f>F766+F776</f>
        <v>7649855</v>
      </c>
      <c r="G765" s="29"/>
    </row>
    <row r="766" spans="1:7" ht="110.25">
      <c r="A766" s="3" t="s">
        <v>209</v>
      </c>
      <c r="B766" s="4" t="s">
        <v>96</v>
      </c>
      <c r="C766" s="4"/>
      <c r="D766" s="4"/>
      <c r="E766" s="4"/>
      <c r="F766" s="29">
        <f>F767+F770+F773</f>
        <v>7463360</v>
      </c>
      <c r="G766" s="29"/>
    </row>
    <row r="767" spans="1:7" ht="126">
      <c r="A767" s="3" t="s">
        <v>305</v>
      </c>
      <c r="B767" s="4" t="s">
        <v>96</v>
      </c>
      <c r="C767" s="4" t="s">
        <v>18</v>
      </c>
      <c r="D767" s="4"/>
      <c r="E767" s="4"/>
      <c r="F767" s="29">
        <f>F768</f>
        <v>6822015</v>
      </c>
      <c r="G767" s="29"/>
    </row>
    <row r="768" spans="1:7" ht="15.75">
      <c r="A768" s="3" t="s">
        <v>276</v>
      </c>
      <c r="B768" s="4" t="s">
        <v>96</v>
      </c>
      <c r="C768" s="4" t="s">
        <v>18</v>
      </c>
      <c r="D768" s="4" t="s">
        <v>265</v>
      </c>
      <c r="E768" s="4"/>
      <c r="F768" s="29">
        <f>F769</f>
        <v>6822015</v>
      </c>
      <c r="G768" s="29"/>
    </row>
    <row r="769" spans="1:7" ht="31.5">
      <c r="A769" s="3" t="s">
        <v>278</v>
      </c>
      <c r="B769" s="4" t="s">
        <v>96</v>
      </c>
      <c r="C769" s="4" t="s">
        <v>18</v>
      </c>
      <c r="D769" s="4" t="s">
        <v>265</v>
      </c>
      <c r="E769" s="4" t="s">
        <v>13</v>
      </c>
      <c r="F769" s="29">
        <f>прил6!F251</f>
        <v>6822015</v>
      </c>
      <c r="G769" s="29"/>
    </row>
    <row r="770" spans="1:7" ht="47.25">
      <c r="A770" s="3" t="s">
        <v>306</v>
      </c>
      <c r="B770" s="4" t="s">
        <v>96</v>
      </c>
      <c r="C770" s="4" t="s">
        <v>19</v>
      </c>
      <c r="D770" s="4"/>
      <c r="E770" s="4"/>
      <c r="F770" s="29">
        <f>F771</f>
        <v>482082</v>
      </c>
      <c r="G770" s="29"/>
    </row>
    <row r="771" spans="1:7" ht="15.75">
      <c r="A771" s="3" t="s">
        <v>276</v>
      </c>
      <c r="B771" s="4" t="s">
        <v>96</v>
      </c>
      <c r="C771" s="4" t="s">
        <v>19</v>
      </c>
      <c r="D771" s="4" t="s">
        <v>265</v>
      </c>
      <c r="E771" s="4"/>
      <c r="F771" s="29">
        <f>F772</f>
        <v>482082</v>
      </c>
      <c r="G771" s="29"/>
    </row>
    <row r="772" spans="1:7" ht="31.5">
      <c r="A772" s="3" t="s">
        <v>278</v>
      </c>
      <c r="B772" s="4" t="s">
        <v>96</v>
      </c>
      <c r="C772" s="4" t="s">
        <v>19</v>
      </c>
      <c r="D772" s="4" t="s">
        <v>265</v>
      </c>
      <c r="E772" s="4" t="s">
        <v>13</v>
      </c>
      <c r="F772" s="29">
        <f>прил6!F252</f>
        <v>482082</v>
      </c>
      <c r="G772" s="29"/>
    </row>
    <row r="773" spans="1:7" ht="15.75">
      <c r="A773" s="3" t="s">
        <v>235</v>
      </c>
      <c r="B773" s="4" t="s">
        <v>96</v>
      </c>
      <c r="C773" s="4" t="s">
        <v>22</v>
      </c>
      <c r="D773" s="4"/>
      <c r="E773" s="4"/>
      <c r="F773" s="29">
        <f>F774</f>
        <v>159263</v>
      </c>
      <c r="G773" s="29"/>
    </row>
    <row r="774" spans="1:7" ht="15.75">
      <c r="A774" s="3" t="s">
        <v>276</v>
      </c>
      <c r="B774" s="4" t="s">
        <v>96</v>
      </c>
      <c r="C774" s="4" t="s">
        <v>22</v>
      </c>
      <c r="D774" s="4" t="s">
        <v>265</v>
      </c>
      <c r="E774" s="4"/>
      <c r="F774" s="29">
        <f>F775</f>
        <v>159263</v>
      </c>
      <c r="G774" s="29"/>
    </row>
    <row r="775" spans="1:7" ht="31.5">
      <c r="A775" s="3" t="s">
        <v>278</v>
      </c>
      <c r="B775" s="4" t="s">
        <v>96</v>
      </c>
      <c r="C775" s="4" t="s">
        <v>22</v>
      </c>
      <c r="D775" s="4" t="s">
        <v>265</v>
      </c>
      <c r="E775" s="4" t="s">
        <v>13</v>
      </c>
      <c r="F775" s="29">
        <f>прил6!F253</f>
        <v>159263</v>
      </c>
      <c r="G775" s="29"/>
    </row>
    <row r="776" spans="1:7" ht="110.25">
      <c r="A776" s="3" t="s">
        <v>409</v>
      </c>
      <c r="B776" s="4" t="s">
        <v>431</v>
      </c>
      <c r="C776" s="4"/>
      <c r="D776" s="4"/>
      <c r="E776" s="4"/>
      <c r="F776" s="29">
        <f>F777</f>
        <v>186495</v>
      </c>
      <c r="G776" s="29"/>
    </row>
    <row r="777" spans="1:7" ht="126">
      <c r="A777" s="3" t="s">
        <v>417</v>
      </c>
      <c r="B777" s="4" t="s">
        <v>431</v>
      </c>
      <c r="C777" s="4" t="s">
        <v>18</v>
      </c>
      <c r="D777" s="4"/>
      <c r="E777" s="4"/>
      <c r="F777" s="29">
        <f>F778</f>
        <v>186495</v>
      </c>
      <c r="G777" s="29"/>
    </row>
    <row r="778" spans="1:7" ht="15.75">
      <c r="A778" s="3" t="s">
        <v>276</v>
      </c>
      <c r="B778" s="4" t="s">
        <v>431</v>
      </c>
      <c r="C778" s="4" t="s">
        <v>18</v>
      </c>
      <c r="D778" s="4" t="s">
        <v>265</v>
      </c>
      <c r="E778" s="4"/>
      <c r="F778" s="29">
        <f>F779</f>
        <v>186495</v>
      </c>
      <c r="G778" s="29"/>
    </row>
    <row r="779" spans="1:7" ht="31.5">
      <c r="A779" s="3" t="s">
        <v>278</v>
      </c>
      <c r="B779" s="4" t="s">
        <v>431</v>
      </c>
      <c r="C779" s="4" t="s">
        <v>18</v>
      </c>
      <c r="D779" s="4" t="s">
        <v>265</v>
      </c>
      <c r="E779" s="4" t="s">
        <v>13</v>
      </c>
      <c r="F779" s="29">
        <f>прил6!F255</f>
        <v>186495</v>
      </c>
      <c r="G779" s="29"/>
    </row>
    <row r="780" spans="1:7" ht="47.25">
      <c r="A780" s="3" t="s">
        <v>130</v>
      </c>
      <c r="B780" s="4" t="s">
        <v>131</v>
      </c>
      <c r="C780" s="4"/>
      <c r="D780" s="4"/>
      <c r="E780" s="4"/>
      <c r="F780" s="29">
        <f>F781</f>
        <v>1870892</v>
      </c>
      <c r="G780" s="29"/>
    </row>
    <row r="781" spans="1:7" ht="31.5">
      <c r="A781" s="3" t="s">
        <v>326</v>
      </c>
      <c r="B781" s="4" t="s">
        <v>132</v>
      </c>
      <c r="C781" s="4"/>
      <c r="D781" s="4"/>
      <c r="E781" s="4"/>
      <c r="F781" s="29">
        <f>F782+F785</f>
        <v>1870892</v>
      </c>
      <c r="G781" s="29"/>
    </row>
    <row r="782" spans="1:7" ht="126">
      <c r="A782" s="3" t="s">
        <v>417</v>
      </c>
      <c r="B782" s="4" t="s">
        <v>132</v>
      </c>
      <c r="C782" s="4" t="s">
        <v>18</v>
      </c>
      <c r="D782" s="4"/>
      <c r="E782" s="4"/>
      <c r="F782" s="29">
        <f>F783</f>
        <v>488180</v>
      </c>
      <c r="G782" s="29"/>
    </row>
    <row r="783" spans="1:7" ht="15.75">
      <c r="A783" s="3" t="s">
        <v>274</v>
      </c>
      <c r="B783" s="4" t="s">
        <v>132</v>
      </c>
      <c r="C783" s="4" t="s">
        <v>18</v>
      </c>
      <c r="D783" s="4" t="s">
        <v>255</v>
      </c>
      <c r="E783" s="4"/>
      <c r="F783" s="29">
        <f>F784</f>
        <v>488180</v>
      </c>
      <c r="G783" s="29"/>
    </row>
    <row r="784" spans="1:7" ht="31.5">
      <c r="A784" s="3" t="s">
        <v>284</v>
      </c>
      <c r="B784" s="4" t="s">
        <v>132</v>
      </c>
      <c r="C784" s="4" t="s">
        <v>18</v>
      </c>
      <c r="D784" s="4" t="s">
        <v>255</v>
      </c>
      <c r="E784" s="4" t="s">
        <v>16</v>
      </c>
      <c r="F784" s="29">
        <f>прил6!F164</f>
        <v>488180</v>
      </c>
      <c r="G784" s="29"/>
    </row>
    <row r="785" spans="1:7" ht="47.25">
      <c r="A785" s="3" t="s">
        <v>306</v>
      </c>
      <c r="B785" s="4" t="s">
        <v>132</v>
      </c>
      <c r="C785" s="4" t="s">
        <v>19</v>
      </c>
      <c r="D785" s="4"/>
      <c r="E785" s="4"/>
      <c r="F785" s="29">
        <f>F786</f>
        <v>1382712</v>
      </c>
      <c r="G785" s="29"/>
    </row>
    <row r="786" spans="1:7" ht="15.75">
      <c r="A786" s="3" t="s">
        <v>274</v>
      </c>
      <c r="B786" s="4" t="s">
        <v>132</v>
      </c>
      <c r="C786" s="4" t="s">
        <v>19</v>
      </c>
      <c r="D786" s="4" t="s">
        <v>255</v>
      </c>
      <c r="E786" s="4"/>
      <c r="F786" s="29">
        <f>F787</f>
        <v>1382712</v>
      </c>
      <c r="G786" s="29"/>
    </row>
    <row r="787" spans="1:7" ht="31.5">
      <c r="A787" s="3" t="s">
        <v>284</v>
      </c>
      <c r="B787" s="4" t="s">
        <v>132</v>
      </c>
      <c r="C787" s="4" t="s">
        <v>19</v>
      </c>
      <c r="D787" s="4" t="s">
        <v>255</v>
      </c>
      <c r="E787" s="4" t="s">
        <v>16</v>
      </c>
      <c r="F787" s="29">
        <f>прил6!F165</f>
        <v>1382712</v>
      </c>
      <c r="G787" s="29"/>
    </row>
    <row r="788" spans="1:7" ht="27" customHeight="1">
      <c r="A788" s="82" t="s">
        <v>303</v>
      </c>
      <c r="B788" s="5" t="s">
        <v>304</v>
      </c>
      <c r="C788" s="5"/>
      <c r="D788" s="5"/>
      <c r="E788" s="5"/>
      <c r="F788" s="28">
        <f>F789+F793+F797+F801+F806+F815+F820+F827+F841+F834+F845</f>
        <v>15332377.55</v>
      </c>
      <c r="G788" s="28">
        <f>G789+G793+G797+G801+G806+G815+G820+G827+G841+G834+G845</f>
        <v>650000</v>
      </c>
    </row>
    <row r="789" spans="1:7" ht="47.25">
      <c r="A789" s="3" t="s">
        <v>407</v>
      </c>
      <c r="B789" s="4" t="s">
        <v>408</v>
      </c>
      <c r="C789" s="2"/>
      <c r="D789" s="2"/>
      <c r="E789" s="2"/>
      <c r="F789" s="29">
        <f>F790</f>
        <v>1975139</v>
      </c>
      <c r="G789" s="33"/>
    </row>
    <row r="790" spans="1:7" ht="126">
      <c r="A790" s="3" t="s">
        <v>305</v>
      </c>
      <c r="B790" s="4" t="s">
        <v>408</v>
      </c>
      <c r="C790" s="4" t="s">
        <v>18</v>
      </c>
      <c r="D790" s="4"/>
      <c r="E790" s="4"/>
      <c r="F790" s="29">
        <f>F791</f>
        <v>1975139</v>
      </c>
      <c r="G790" s="29"/>
    </row>
    <row r="791" spans="1:7" ht="15.75">
      <c r="A791" s="3" t="s">
        <v>274</v>
      </c>
      <c r="B791" s="4" t="s">
        <v>408</v>
      </c>
      <c r="C791" s="4" t="s">
        <v>18</v>
      </c>
      <c r="D791" s="4" t="s">
        <v>255</v>
      </c>
      <c r="E791" s="4"/>
      <c r="F791" s="29">
        <f>F792</f>
        <v>1975139</v>
      </c>
      <c r="G791" s="29"/>
    </row>
    <row r="792" spans="1:7" ht="63">
      <c r="A792" s="3" t="s">
        <v>70</v>
      </c>
      <c r="B792" s="4" t="s">
        <v>408</v>
      </c>
      <c r="C792" s="4" t="s">
        <v>18</v>
      </c>
      <c r="D792" s="4" t="s">
        <v>255</v>
      </c>
      <c r="E792" s="4" t="s">
        <v>260</v>
      </c>
      <c r="F792" s="29">
        <f>прил6!F15</f>
        <v>1975139</v>
      </c>
      <c r="G792" s="29"/>
    </row>
    <row r="793" spans="1:7" ht="90" customHeight="1">
      <c r="A793" s="3" t="s">
        <v>411</v>
      </c>
      <c r="B793" s="4" t="s">
        <v>412</v>
      </c>
      <c r="C793" s="4"/>
      <c r="D793" s="4"/>
      <c r="E793" s="4"/>
      <c r="F793" s="29">
        <f>F794</f>
        <v>1610000</v>
      </c>
      <c r="G793" s="29"/>
    </row>
    <row r="794" spans="1:7" ht="126">
      <c r="A794" s="3" t="s">
        <v>305</v>
      </c>
      <c r="B794" s="4" t="s">
        <v>412</v>
      </c>
      <c r="C794" s="4" t="s">
        <v>18</v>
      </c>
      <c r="D794" s="4"/>
      <c r="E794" s="4"/>
      <c r="F794" s="29">
        <f>F795</f>
        <v>1610000</v>
      </c>
      <c r="G794" s="29"/>
    </row>
    <row r="795" spans="1:7" ht="15.75">
      <c r="A795" s="3" t="s">
        <v>274</v>
      </c>
      <c r="B795" s="4" t="s">
        <v>412</v>
      </c>
      <c r="C795" s="4" t="s">
        <v>18</v>
      </c>
      <c r="D795" s="4" t="s">
        <v>255</v>
      </c>
      <c r="E795" s="4"/>
      <c r="F795" s="29">
        <f>F796</f>
        <v>1610000</v>
      </c>
      <c r="G795" s="29"/>
    </row>
    <row r="796" spans="1:7" ht="94.5">
      <c r="A796" s="3" t="s">
        <v>24</v>
      </c>
      <c r="B796" s="4" t="s">
        <v>412</v>
      </c>
      <c r="C796" s="4" t="s">
        <v>18</v>
      </c>
      <c r="D796" s="4" t="s">
        <v>255</v>
      </c>
      <c r="E796" s="4" t="s">
        <v>262</v>
      </c>
      <c r="F796" s="29">
        <f>прил6!F21</f>
        <v>1610000</v>
      </c>
      <c r="G796" s="29"/>
    </row>
    <row r="797" spans="1:7" ht="75.75" customHeight="1">
      <c r="A797" s="27" t="s">
        <v>445</v>
      </c>
      <c r="B797" s="4" t="s">
        <v>446</v>
      </c>
      <c r="C797" s="4"/>
      <c r="D797" s="4"/>
      <c r="E797" s="4"/>
      <c r="F797" s="29">
        <f>F798</f>
        <v>1310000</v>
      </c>
      <c r="G797" s="29"/>
    </row>
    <row r="798" spans="1:7" ht="60" customHeight="1">
      <c r="A798" s="27" t="s">
        <v>417</v>
      </c>
      <c r="B798" s="4" t="s">
        <v>446</v>
      </c>
      <c r="C798" s="4" t="s">
        <v>18</v>
      </c>
      <c r="D798" s="4"/>
      <c r="E798" s="4"/>
      <c r="F798" s="29">
        <f>F799</f>
        <v>1310000</v>
      </c>
      <c r="G798" s="29"/>
    </row>
    <row r="799" spans="1:7" ht="24.75" customHeight="1">
      <c r="A799" s="3" t="s">
        <v>274</v>
      </c>
      <c r="B799" s="4" t="s">
        <v>446</v>
      </c>
      <c r="C799" s="4" t="s">
        <v>18</v>
      </c>
      <c r="D799" s="4" t="s">
        <v>255</v>
      </c>
      <c r="E799" s="4"/>
      <c r="F799" s="29">
        <f>F800</f>
        <v>1310000</v>
      </c>
      <c r="G799" s="29"/>
    </row>
    <row r="800" spans="1:7" ht="78.75">
      <c r="A800" s="3" t="s">
        <v>300</v>
      </c>
      <c r="B800" s="4" t="s">
        <v>446</v>
      </c>
      <c r="C800" s="4" t="s">
        <v>18</v>
      </c>
      <c r="D800" s="4" t="s">
        <v>255</v>
      </c>
      <c r="E800" s="4" t="s">
        <v>256</v>
      </c>
      <c r="F800" s="29">
        <f>прил6!F80</f>
        <v>1310000</v>
      </c>
      <c r="G800" s="29"/>
    </row>
    <row r="801" spans="1:7" ht="47.25">
      <c r="A801" s="27" t="s">
        <v>413</v>
      </c>
      <c r="B801" s="4" t="s">
        <v>414</v>
      </c>
      <c r="C801" s="4"/>
      <c r="D801" s="4"/>
      <c r="E801" s="4"/>
      <c r="F801" s="29">
        <f>F802</f>
        <v>5337586</v>
      </c>
      <c r="G801" s="29"/>
    </row>
    <row r="802" spans="1:7" ht="126">
      <c r="A802" s="27" t="s">
        <v>417</v>
      </c>
      <c r="B802" s="4" t="s">
        <v>414</v>
      </c>
      <c r="C802" s="4" t="s">
        <v>18</v>
      </c>
      <c r="D802" s="4"/>
      <c r="E802" s="4"/>
      <c r="F802" s="29">
        <f>F803</f>
        <v>5337586</v>
      </c>
      <c r="G802" s="29"/>
    </row>
    <row r="803" spans="1:7" ht="24" customHeight="1">
      <c r="A803" s="3" t="s">
        <v>274</v>
      </c>
      <c r="B803" s="4" t="s">
        <v>414</v>
      </c>
      <c r="C803" s="4" t="s">
        <v>18</v>
      </c>
      <c r="D803" s="4" t="s">
        <v>255</v>
      </c>
      <c r="E803" s="4"/>
      <c r="F803" s="29">
        <f>F804+F805</f>
        <v>5337586</v>
      </c>
      <c r="G803" s="29"/>
    </row>
    <row r="804" spans="1:7" ht="94.5">
      <c r="A804" s="3" t="s">
        <v>24</v>
      </c>
      <c r="B804" s="4" t="s">
        <v>414</v>
      </c>
      <c r="C804" s="4" t="s">
        <v>18</v>
      </c>
      <c r="D804" s="4" t="s">
        <v>255</v>
      </c>
      <c r="E804" s="4" t="s">
        <v>262</v>
      </c>
      <c r="F804" s="29">
        <f>прил6!F23</f>
        <v>3492576</v>
      </c>
      <c r="G804" s="29"/>
    </row>
    <row r="805" spans="1:7" ht="78.75">
      <c r="A805" s="3" t="s">
        <v>300</v>
      </c>
      <c r="B805" s="4" t="s">
        <v>414</v>
      </c>
      <c r="C805" s="4" t="s">
        <v>18</v>
      </c>
      <c r="D805" s="4" t="s">
        <v>255</v>
      </c>
      <c r="E805" s="4" t="s">
        <v>256</v>
      </c>
      <c r="F805" s="29">
        <f>прил6!F82</f>
        <v>1845010</v>
      </c>
      <c r="G805" s="29"/>
    </row>
    <row r="806" spans="1:7" ht="47.25">
      <c r="A806" s="27" t="s">
        <v>415</v>
      </c>
      <c r="B806" s="4" t="s">
        <v>416</v>
      </c>
      <c r="C806" s="4"/>
      <c r="D806" s="4"/>
      <c r="E806" s="4"/>
      <c r="F806" s="29">
        <f>F807+F811</f>
        <v>512845</v>
      </c>
      <c r="G806" s="29"/>
    </row>
    <row r="807" spans="1:7" ht="126">
      <c r="A807" s="27" t="s">
        <v>417</v>
      </c>
      <c r="B807" s="4" t="s">
        <v>416</v>
      </c>
      <c r="C807" s="4" t="s">
        <v>18</v>
      </c>
      <c r="D807" s="4"/>
      <c r="E807" s="4"/>
      <c r="F807" s="29">
        <f>F808</f>
        <v>41196</v>
      </c>
      <c r="G807" s="29"/>
    </row>
    <row r="808" spans="1:7" ht="15.75">
      <c r="A808" s="3" t="s">
        <v>274</v>
      </c>
      <c r="B808" s="4" t="s">
        <v>416</v>
      </c>
      <c r="C808" s="4" t="s">
        <v>18</v>
      </c>
      <c r="D808" s="4" t="s">
        <v>255</v>
      </c>
      <c r="E808" s="4"/>
      <c r="F808" s="29">
        <f>F809+F810</f>
        <v>41196</v>
      </c>
      <c r="G808" s="29"/>
    </row>
    <row r="809" spans="1:7" ht="94.5">
      <c r="A809" s="3" t="s">
        <v>24</v>
      </c>
      <c r="B809" s="4" t="s">
        <v>416</v>
      </c>
      <c r="C809" s="4" t="s">
        <v>18</v>
      </c>
      <c r="D809" s="4" t="s">
        <v>255</v>
      </c>
      <c r="E809" s="4" t="s">
        <v>262</v>
      </c>
      <c r="F809" s="29">
        <f>прил6!F25</f>
        <v>21196</v>
      </c>
      <c r="G809" s="29"/>
    </row>
    <row r="810" spans="1:7" ht="78.75">
      <c r="A810" s="3" t="s">
        <v>300</v>
      </c>
      <c r="B810" s="4" t="s">
        <v>416</v>
      </c>
      <c r="C810" s="4" t="s">
        <v>18</v>
      </c>
      <c r="D810" s="4" t="s">
        <v>255</v>
      </c>
      <c r="E810" s="4" t="s">
        <v>256</v>
      </c>
      <c r="F810" s="29">
        <f>прил6!F84</f>
        <v>20000</v>
      </c>
      <c r="G810" s="29"/>
    </row>
    <row r="811" spans="1:7" ht="47.25">
      <c r="A811" s="27" t="s">
        <v>306</v>
      </c>
      <c r="B811" s="4" t="s">
        <v>416</v>
      </c>
      <c r="C811" s="4" t="s">
        <v>19</v>
      </c>
      <c r="D811" s="4"/>
      <c r="E811" s="4"/>
      <c r="F811" s="29">
        <f>F812</f>
        <v>471649</v>
      </c>
      <c r="G811" s="29"/>
    </row>
    <row r="812" spans="1:7" ht="15.75">
      <c r="A812" s="3" t="s">
        <v>274</v>
      </c>
      <c r="B812" s="4" t="s">
        <v>416</v>
      </c>
      <c r="C812" s="4" t="s">
        <v>19</v>
      </c>
      <c r="D812" s="4" t="s">
        <v>255</v>
      </c>
      <c r="E812" s="4"/>
      <c r="F812" s="29">
        <f>F813+F814</f>
        <v>471649</v>
      </c>
      <c r="G812" s="29"/>
    </row>
    <row r="813" spans="1:7" ht="94.5">
      <c r="A813" s="3" t="s">
        <v>24</v>
      </c>
      <c r="B813" s="4" t="s">
        <v>416</v>
      </c>
      <c r="C813" s="4" t="s">
        <v>19</v>
      </c>
      <c r="D813" s="4" t="s">
        <v>255</v>
      </c>
      <c r="E813" s="4" t="s">
        <v>262</v>
      </c>
      <c r="F813" s="29">
        <f>прил6!F26</f>
        <v>153196</v>
      </c>
      <c r="G813" s="29"/>
    </row>
    <row r="814" spans="1:7" ht="78.75">
      <c r="A814" s="3" t="s">
        <v>300</v>
      </c>
      <c r="B814" s="4" t="s">
        <v>416</v>
      </c>
      <c r="C814" s="4" t="s">
        <v>19</v>
      </c>
      <c r="D814" s="4" t="s">
        <v>255</v>
      </c>
      <c r="E814" s="4" t="s">
        <v>256</v>
      </c>
      <c r="F814" s="29">
        <f>прил6!F85</f>
        <v>318453</v>
      </c>
      <c r="G814" s="29"/>
    </row>
    <row r="815" spans="1:7" ht="110.25">
      <c r="A815" s="3" t="s">
        <v>409</v>
      </c>
      <c r="B815" s="4" t="s">
        <v>410</v>
      </c>
      <c r="C815" s="4"/>
      <c r="D815" s="4"/>
      <c r="E815" s="4"/>
      <c r="F815" s="29">
        <f>F816</f>
        <v>45000</v>
      </c>
      <c r="G815" s="29"/>
    </row>
    <row r="816" spans="1:7" ht="126">
      <c r="A816" s="27" t="s">
        <v>417</v>
      </c>
      <c r="B816" s="4" t="s">
        <v>410</v>
      </c>
      <c r="C816" s="4" t="s">
        <v>18</v>
      </c>
      <c r="D816" s="4"/>
      <c r="E816" s="4"/>
      <c r="F816" s="29">
        <f>F817</f>
        <v>45000</v>
      </c>
      <c r="G816" s="29"/>
    </row>
    <row r="817" spans="1:7" ht="30" customHeight="1">
      <c r="A817" s="3" t="s">
        <v>274</v>
      </c>
      <c r="B817" s="4" t="s">
        <v>410</v>
      </c>
      <c r="C817" s="4" t="s">
        <v>18</v>
      </c>
      <c r="D817" s="4" t="s">
        <v>255</v>
      </c>
      <c r="E817" s="4"/>
      <c r="F817" s="29">
        <f>F818+F819</f>
        <v>45000</v>
      </c>
      <c r="G817" s="29"/>
    </row>
    <row r="818" spans="1:7" ht="63">
      <c r="A818" s="3" t="s">
        <v>70</v>
      </c>
      <c r="B818" s="4" t="s">
        <v>410</v>
      </c>
      <c r="C818" s="4" t="s">
        <v>18</v>
      </c>
      <c r="D818" s="4" t="s">
        <v>255</v>
      </c>
      <c r="E818" s="4" t="s">
        <v>260</v>
      </c>
      <c r="F818" s="29">
        <f>прил6!F17</f>
        <v>15000</v>
      </c>
      <c r="G818" s="29"/>
    </row>
    <row r="819" spans="1:7" ht="94.5">
      <c r="A819" s="3" t="s">
        <v>24</v>
      </c>
      <c r="B819" s="4" t="s">
        <v>410</v>
      </c>
      <c r="C819" s="4" t="s">
        <v>18</v>
      </c>
      <c r="D819" s="4" t="s">
        <v>255</v>
      </c>
      <c r="E819" s="4" t="s">
        <v>262</v>
      </c>
      <c r="F819" s="29">
        <f>прил6!F28</f>
        <v>30000</v>
      </c>
      <c r="G819" s="29"/>
    </row>
    <row r="820" spans="1:7" s="74" customFormat="1" ht="31.5">
      <c r="A820" s="3" t="s">
        <v>318</v>
      </c>
      <c r="B820" s="4" t="s">
        <v>319</v>
      </c>
      <c r="C820" s="4"/>
      <c r="D820" s="4"/>
      <c r="E820" s="4"/>
      <c r="F820" s="29">
        <f>F821+F824</f>
        <v>600000</v>
      </c>
      <c r="G820" s="53"/>
    </row>
    <row r="821" spans="1:7" s="74" customFormat="1" ht="47.25">
      <c r="A821" s="3" t="s">
        <v>306</v>
      </c>
      <c r="B821" s="4" t="s">
        <v>319</v>
      </c>
      <c r="C821" s="4" t="s">
        <v>19</v>
      </c>
      <c r="D821" s="4"/>
      <c r="E821" s="4"/>
      <c r="F821" s="29">
        <f>F822</f>
        <v>500000</v>
      </c>
      <c r="G821" s="53"/>
    </row>
    <row r="822" spans="1:7" s="74" customFormat="1" ht="47.25">
      <c r="A822" s="3" t="s">
        <v>275</v>
      </c>
      <c r="B822" s="4" t="s">
        <v>319</v>
      </c>
      <c r="C822" s="4" t="s">
        <v>19</v>
      </c>
      <c r="D822" s="4" t="s">
        <v>262</v>
      </c>
      <c r="E822" s="4"/>
      <c r="F822" s="29">
        <f>F823</f>
        <v>500000</v>
      </c>
      <c r="G822" s="53"/>
    </row>
    <row r="823" spans="1:7" s="74" customFormat="1" ht="63">
      <c r="A823" s="3" t="s">
        <v>60</v>
      </c>
      <c r="B823" s="4" t="s">
        <v>319</v>
      </c>
      <c r="C823" s="4" t="s">
        <v>19</v>
      </c>
      <c r="D823" s="4" t="s">
        <v>262</v>
      </c>
      <c r="E823" s="4" t="s">
        <v>261</v>
      </c>
      <c r="F823" s="29">
        <f>прил6!F197</f>
        <v>500000</v>
      </c>
      <c r="G823" s="53"/>
    </row>
    <row r="824" spans="1:7" s="74" customFormat="1" ht="15.75">
      <c r="A824" s="3" t="s">
        <v>235</v>
      </c>
      <c r="B824" s="4" t="s">
        <v>319</v>
      </c>
      <c r="C824" s="4" t="s">
        <v>22</v>
      </c>
      <c r="D824" s="4"/>
      <c r="E824" s="4"/>
      <c r="F824" s="29">
        <f>F825</f>
        <v>100000</v>
      </c>
      <c r="G824" s="53"/>
    </row>
    <row r="825" spans="1:7" s="74" customFormat="1" ht="15.75">
      <c r="A825" s="3" t="s">
        <v>274</v>
      </c>
      <c r="B825" s="4" t="s">
        <v>319</v>
      </c>
      <c r="C825" s="4" t="s">
        <v>22</v>
      </c>
      <c r="D825" s="4" t="s">
        <v>255</v>
      </c>
      <c r="E825" s="4"/>
      <c r="F825" s="29">
        <f>F826</f>
        <v>100000</v>
      </c>
      <c r="G825" s="53"/>
    </row>
    <row r="826" spans="1:7" s="74" customFormat="1" ht="15.75">
      <c r="A826" s="3" t="s">
        <v>283</v>
      </c>
      <c r="B826" s="4" t="s">
        <v>319</v>
      </c>
      <c r="C826" s="4" t="s">
        <v>22</v>
      </c>
      <c r="D826" s="4" t="s">
        <v>255</v>
      </c>
      <c r="E826" s="4" t="s">
        <v>169</v>
      </c>
      <c r="F826" s="29">
        <f>прил6!F89</f>
        <v>100000</v>
      </c>
      <c r="G826" s="53"/>
    </row>
    <row r="827" spans="1:7" ht="31.5">
      <c r="A827" s="3" t="s">
        <v>291</v>
      </c>
      <c r="B827" s="4" t="s">
        <v>323</v>
      </c>
      <c r="C827" s="4"/>
      <c r="D827" s="4"/>
      <c r="E827" s="4"/>
      <c r="F827" s="29">
        <f>F828+F831</f>
        <v>516785.41000000003</v>
      </c>
      <c r="G827" s="29"/>
    </row>
    <row r="828" spans="1:7" ht="47.25">
      <c r="A828" s="3" t="s">
        <v>306</v>
      </c>
      <c r="B828" s="4" t="s">
        <v>323</v>
      </c>
      <c r="C828" s="4" t="s">
        <v>19</v>
      </c>
      <c r="D828" s="4"/>
      <c r="E828" s="4"/>
      <c r="F828" s="29">
        <f>F829</f>
        <v>163177</v>
      </c>
      <c r="G828" s="29"/>
    </row>
    <row r="829" spans="1:7" ht="15.75">
      <c r="A829" s="3" t="s">
        <v>274</v>
      </c>
      <c r="B829" s="4" t="s">
        <v>323</v>
      </c>
      <c r="C829" s="4" t="s">
        <v>19</v>
      </c>
      <c r="D829" s="4" t="s">
        <v>255</v>
      </c>
      <c r="E829" s="4"/>
      <c r="F829" s="29">
        <f>F830</f>
        <v>163177</v>
      </c>
      <c r="G829" s="29"/>
    </row>
    <row r="830" spans="1:7" ht="31.5">
      <c r="A830" s="3" t="s">
        <v>284</v>
      </c>
      <c r="B830" s="4" t="s">
        <v>323</v>
      </c>
      <c r="C830" s="4" t="s">
        <v>19</v>
      </c>
      <c r="D830" s="4" t="s">
        <v>255</v>
      </c>
      <c r="E830" s="4" t="s">
        <v>16</v>
      </c>
      <c r="F830" s="29">
        <f>прил6!F168</f>
        <v>163177</v>
      </c>
      <c r="G830" s="29"/>
    </row>
    <row r="831" spans="1:7" ht="15.75">
      <c r="A831" s="3" t="s">
        <v>235</v>
      </c>
      <c r="B831" s="4" t="s">
        <v>323</v>
      </c>
      <c r="C831" s="4" t="s">
        <v>22</v>
      </c>
      <c r="D831" s="4"/>
      <c r="E831" s="4"/>
      <c r="F831" s="29">
        <f>F832</f>
        <v>353608.41000000003</v>
      </c>
      <c r="G831" s="29"/>
    </row>
    <row r="832" spans="1:7" ht="15.75">
      <c r="A832" s="3" t="s">
        <v>274</v>
      </c>
      <c r="B832" s="4" t="s">
        <v>323</v>
      </c>
      <c r="C832" s="4" t="s">
        <v>22</v>
      </c>
      <c r="D832" s="4" t="s">
        <v>255</v>
      </c>
      <c r="E832" s="4"/>
      <c r="F832" s="29">
        <f>F833</f>
        <v>353608.41000000003</v>
      </c>
      <c r="G832" s="29"/>
    </row>
    <row r="833" spans="1:7" ht="31.5">
      <c r="A833" s="3" t="s">
        <v>284</v>
      </c>
      <c r="B833" s="4" t="s">
        <v>323</v>
      </c>
      <c r="C833" s="4" t="s">
        <v>22</v>
      </c>
      <c r="D833" s="4" t="s">
        <v>255</v>
      </c>
      <c r="E833" s="4" t="s">
        <v>16</v>
      </c>
      <c r="F833" s="29">
        <f>прил6!F169</f>
        <v>353608.41000000003</v>
      </c>
      <c r="G833" s="29"/>
    </row>
    <row r="834" spans="1:7" ht="47.25">
      <c r="A834" s="3" t="s">
        <v>389</v>
      </c>
      <c r="B834" s="4" t="s">
        <v>390</v>
      </c>
      <c r="C834" s="4"/>
      <c r="D834" s="4"/>
      <c r="E834" s="4"/>
      <c r="F834" s="29">
        <f>F835+F838</f>
        <v>1440022.14</v>
      </c>
      <c r="G834" s="29"/>
    </row>
    <row r="835" spans="1:7" ht="47.25">
      <c r="A835" s="3" t="s">
        <v>306</v>
      </c>
      <c r="B835" s="4" t="s">
        <v>390</v>
      </c>
      <c r="C835" s="4" t="s">
        <v>19</v>
      </c>
      <c r="D835" s="4"/>
      <c r="E835" s="4"/>
      <c r="F835" s="29">
        <f>F836</f>
        <v>1008750.94</v>
      </c>
      <c r="G835" s="29"/>
    </row>
    <row r="836" spans="1:7" ht="15.75">
      <c r="A836" s="3" t="s">
        <v>274</v>
      </c>
      <c r="B836" s="4" t="s">
        <v>390</v>
      </c>
      <c r="C836" s="4" t="s">
        <v>19</v>
      </c>
      <c r="D836" s="4" t="s">
        <v>255</v>
      </c>
      <c r="E836" s="4"/>
      <c r="F836" s="29">
        <f>F837</f>
        <v>1008750.94</v>
      </c>
      <c r="G836" s="29"/>
    </row>
    <row r="837" spans="1:7" ht="31.5">
      <c r="A837" s="3" t="s">
        <v>284</v>
      </c>
      <c r="B837" s="4" t="s">
        <v>390</v>
      </c>
      <c r="C837" s="4" t="s">
        <v>19</v>
      </c>
      <c r="D837" s="4" t="s">
        <v>255</v>
      </c>
      <c r="E837" s="4" t="s">
        <v>16</v>
      </c>
      <c r="F837" s="29">
        <f>прил6!F171</f>
        <v>1008750.94</v>
      </c>
      <c r="G837" s="29"/>
    </row>
    <row r="838" spans="1:7" ht="15.75">
      <c r="A838" s="3" t="s">
        <v>235</v>
      </c>
      <c r="B838" s="4" t="s">
        <v>390</v>
      </c>
      <c r="C838" s="4" t="s">
        <v>22</v>
      </c>
      <c r="D838" s="4"/>
      <c r="E838" s="4"/>
      <c r="F838" s="29">
        <f>F839</f>
        <v>431271.2</v>
      </c>
      <c r="G838" s="29"/>
    </row>
    <row r="839" spans="1:7" ht="15.75">
      <c r="A839" s="3" t="s">
        <v>274</v>
      </c>
      <c r="B839" s="4" t="s">
        <v>390</v>
      </c>
      <c r="C839" s="4" t="s">
        <v>22</v>
      </c>
      <c r="D839" s="4" t="s">
        <v>255</v>
      </c>
      <c r="E839" s="4"/>
      <c r="F839" s="29">
        <f>F840</f>
        <v>431271.2</v>
      </c>
      <c r="G839" s="29"/>
    </row>
    <row r="840" spans="1:7" ht="31.5">
      <c r="A840" s="3" t="s">
        <v>284</v>
      </c>
      <c r="B840" s="4" t="s">
        <v>390</v>
      </c>
      <c r="C840" s="4" t="s">
        <v>22</v>
      </c>
      <c r="D840" s="4" t="s">
        <v>255</v>
      </c>
      <c r="E840" s="4" t="s">
        <v>16</v>
      </c>
      <c r="F840" s="29">
        <f>прил6!F172</f>
        <v>431271.2</v>
      </c>
      <c r="G840" s="29"/>
    </row>
    <row r="841" spans="1:7" ht="157.5">
      <c r="A841" s="3" t="s">
        <v>134</v>
      </c>
      <c r="B841" s="4" t="s">
        <v>135</v>
      </c>
      <c r="C841" s="4"/>
      <c r="D841" s="4"/>
      <c r="E841" s="4"/>
      <c r="F841" s="29">
        <f>F842</f>
        <v>1335000</v>
      </c>
      <c r="G841" s="29"/>
    </row>
    <row r="842" spans="1:7" ht="31.5">
      <c r="A842" s="3" t="s">
        <v>239</v>
      </c>
      <c r="B842" s="4" t="s">
        <v>135</v>
      </c>
      <c r="C842" s="4" t="s">
        <v>240</v>
      </c>
      <c r="D842" s="4"/>
      <c r="E842" s="4"/>
      <c r="F842" s="29">
        <f>F843</f>
        <v>1335000</v>
      </c>
      <c r="G842" s="29"/>
    </row>
    <row r="843" spans="1:7" ht="15.75">
      <c r="A843" s="3" t="s">
        <v>269</v>
      </c>
      <c r="B843" s="4" t="s">
        <v>135</v>
      </c>
      <c r="C843" s="4" t="s">
        <v>240</v>
      </c>
      <c r="D843" s="4" t="s">
        <v>263</v>
      </c>
      <c r="E843" s="4"/>
      <c r="F843" s="29">
        <f>F844</f>
        <v>1335000</v>
      </c>
      <c r="G843" s="29"/>
    </row>
    <row r="844" spans="1:7" ht="15.75">
      <c r="A844" s="3" t="s">
        <v>287</v>
      </c>
      <c r="B844" s="4" t="s">
        <v>135</v>
      </c>
      <c r="C844" s="4" t="s">
        <v>240</v>
      </c>
      <c r="D844" s="4" t="s">
        <v>263</v>
      </c>
      <c r="E844" s="4" t="s">
        <v>255</v>
      </c>
      <c r="F844" s="29">
        <f>прил6!F505</f>
        <v>1335000</v>
      </c>
      <c r="G844" s="29"/>
    </row>
    <row r="845" spans="1:7" ht="31.5">
      <c r="A845" s="3" t="s">
        <v>462</v>
      </c>
      <c r="B845" s="4" t="s">
        <v>463</v>
      </c>
      <c r="C845" s="4"/>
      <c r="D845" s="4"/>
      <c r="E845" s="4"/>
      <c r="F845" s="29">
        <f aca="true" t="shared" si="39" ref="F845:G847">F846</f>
        <v>650000</v>
      </c>
      <c r="G845" s="29">
        <f t="shared" si="39"/>
        <v>650000</v>
      </c>
    </row>
    <row r="846" spans="1:7" ht="47.25">
      <c r="A846" s="3" t="s">
        <v>306</v>
      </c>
      <c r="B846" s="4" t="s">
        <v>463</v>
      </c>
      <c r="C846" s="4" t="s">
        <v>19</v>
      </c>
      <c r="D846" s="4"/>
      <c r="E846" s="4"/>
      <c r="F846" s="29">
        <f t="shared" si="39"/>
        <v>650000</v>
      </c>
      <c r="G846" s="29">
        <f t="shared" si="39"/>
        <v>650000</v>
      </c>
    </row>
    <row r="847" spans="1:7" ht="47.25">
      <c r="A847" s="3" t="s">
        <v>275</v>
      </c>
      <c r="B847" s="4" t="s">
        <v>463</v>
      </c>
      <c r="C847" s="4" t="s">
        <v>19</v>
      </c>
      <c r="D847" s="4" t="s">
        <v>262</v>
      </c>
      <c r="E847" s="4"/>
      <c r="F847" s="29">
        <f t="shared" si="39"/>
        <v>650000</v>
      </c>
      <c r="G847" s="29">
        <f t="shared" si="39"/>
        <v>650000</v>
      </c>
    </row>
    <row r="848" spans="1:7" ht="63">
      <c r="A848" s="3" t="s">
        <v>60</v>
      </c>
      <c r="B848" s="4" t="s">
        <v>463</v>
      </c>
      <c r="C848" s="4" t="s">
        <v>19</v>
      </c>
      <c r="D848" s="4" t="s">
        <v>262</v>
      </c>
      <c r="E848" s="4" t="s">
        <v>261</v>
      </c>
      <c r="F848" s="29">
        <f>прил7!G270</f>
        <v>650000</v>
      </c>
      <c r="G848" s="29">
        <f>F848</f>
        <v>650000</v>
      </c>
    </row>
    <row r="849" spans="1:7" ht="15.75">
      <c r="A849" s="54" t="s">
        <v>358</v>
      </c>
      <c r="B849" s="56"/>
      <c r="C849" s="56"/>
      <c r="D849" s="56"/>
      <c r="E849" s="56"/>
      <c r="F849" s="58">
        <f>F11+F182+F212+F251+F330+F419+F471+F480+F497+F534+F592+F614+F788+F539</f>
        <v>2471239410.180001</v>
      </c>
      <c r="G849" s="58">
        <f>G11+G182+G212+G251+G330+G419+G471+G480+G497+G534+G592+G614+G788+G539</f>
        <v>919596979.3399999</v>
      </c>
    </row>
    <row r="850" spans="1:7" ht="15.75" hidden="1">
      <c r="A850" s="17"/>
      <c r="B850" s="18"/>
      <c r="C850" s="18"/>
      <c r="D850" s="18"/>
      <c r="E850" s="18"/>
      <c r="F850" s="44"/>
      <c r="G850" s="44"/>
    </row>
    <row r="851" spans="1:7" ht="15.75" hidden="1">
      <c r="A851" s="17"/>
      <c r="B851" s="18"/>
      <c r="C851" s="18"/>
      <c r="D851" s="18"/>
      <c r="E851" s="18"/>
      <c r="F851" s="44">
        <f>F849-прил7!G756</f>
        <v>0</v>
      </c>
      <c r="G851" s="44">
        <f>G849-прил7!H756</f>
        <v>0</v>
      </c>
    </row>
    <row r="852" spans="1:7" ht="15.75" hidden="1">
      <c r="A852" s="17"/>
      <c r="B852" s="18"/>
      <c r="C852" s="18"/>
      <c r="D852" s="18"/>
      <c r="E852" s="18"/>
      <c r="F852" s="44">
        <f>прил7!G756-F849</f>
        <v>0</v>
      </c>
      <c r="G852" s="44">
        <f>прил7!H756-G849</f>
        <v>0</v>
      </c>
    </row>
    <row r="853" spans="1:7" ht="15.75" hidden="1">
      <c r="A853" s="17"/>
      <c r="B853" s="18"/>
      <c r="C853" s="18"/>
      <c r="D853" s="18"/>
      <c r="E853" s="18"/>
      <c r="F853" s="44"/>
      <c r="G853" s="44"/>
    </row>
    <row r="854" spans="1:7" ht="15.75">
      <c r="A854" s="17"/>
      <c r="B854" s="18"/>
      <c r="C854" s="18"/>
      <c r="D854" s="18"/>
      <c r="E854" s="18"/>
      <c r="F854" s="44"/>
      <c r="G854" s="44"/>
    </row>
    <row r="855" spans="1:7" ht="15.75">
      <c r="A855" s="17"/>
      <c r="B855" s="18"/>
      <c r="C855" s="18"/>
      <c r="D855" s="18"/>
      <c r="E855" s="18"/>
      <c r="F855" s="44"/>
      <c r="G855" s="44"/>
    </row>
    <row r="856" spans="1:7" ht="15.75">
      <c r="A856" s="17"/>
      <c r="B856" s="18"/>
      <c r="C856" s="18"/>
      <c r="D856" s="18"/>
      <c r="E856" s="18"/>
      <c r="F856" s="44"/>
      <c r="G856" s="44"/>
    </row>
    <row r="857" spans="1:7" ht="15.75">
      <c r="A857" s="17"/>
      <c r="B857" s="18"/>
      <c r="C857" s="18"/>
      <c r="D857" s="18"/>
      <c r="E857" s="18"/>
      <c r="F857" s="44"/>
      <c r="G857" s="44"/>
    </row>
    <row r="858" spans="1:7" ht="15.75">
      <c r="A858" s="17"/>
      <c r="B858" s="18"/>
      <c r="C858" s="18"/>
      <c r="D858" s="18"/>
      <c r="E858" s="18"/>
      <c r="F858" s="44"/>
      <c r="G858" s="44"/>
    </row>
    <row r="859" spans="1:7" ht="15.75">
      <c r="A859" s="17"/>
      <c r="B859" s="18"/>
      <c r="C859" s="18"/>
      <c r="D859" s="18"/>
      <c r="E859" s="18"/>
      <c r="F859" s="44"/>
      <c r="G859" s="44"/>
    </row>
    <row r="860" spans="1:7" ht="15.75">
      <c r="A860" s="17"/>
      <c r="B860" s="18"/>
      <c r="C860" s="18"/>
      <c r="D860" s="18"/>
      <c r="E860" s="18"/>
      <c r="F860" s="44"/>
      <c r="G860" s="44"/>
    </row>
    <row r="861" spans="1:7" ht="15.75">
      <c r="A861" s="17"/>
      <c r="B861" s="18"/>
      <c r="C861" s="18"/>
      <c r="D861" s="18"/>
      <c r="E861" s="18"/>
      <c r="F861" s="44"/>
      <c r="G861" s="44"/>
    </row>
    <row r="862" spans="1:7" ht="15.75">
      <c r="A862" s="17"/>
      <c r="B862" s="18"/>
      <c r="C862" s="18"/>
      <c r="D862" s="18"/>
      <c r="E862" s="18"/>
      <c r="F862" s="44"/>
      <c r="G862" s="44"/>
    </row>
    <row r="863" spans="1:7" ht="15.75">
      <c r="A863" s="17"/>
      <c r="B863" s="18"/>
      <c r="C863" s="18"/>
      <c r="D863" s="18"/>
      <c r="E863" s="18"/>
      <c r="F863" s="44"/>
      <c r="G863" s="44"/>
    </row>
    <row r="864" spans="1:7" ht="15.75">
      <c r="A864" s="17"/>
      <c r="B864" s="18"/>
      <c r="C864" s="18"/>
      <c r="D864" s="18"/>
      <c r="E864" s="18"/>
      <c r="F864" s="44"/>
      <c r="G864" s="44"/>
    </row>
    <row r="865" spans="1:7" ht="15.75">
      <c r="A865" s="17"/>
      <c r="B865" s="18"/>
      <c r="C865" s="18"/>
      <c r="D865" s="18"/>
      <c r="E865" s="18"/>
      <c r="F865" s="44"/>
      <c r="G865" s="44"/>
    </row>
    <row r="866" spans="1:7" ht="15.75">
      <c r="A866" s="17"/>
      <c r="B866" s="18"/>
      <c r="C866" s="18"/>
      <c r="D866" s="18"/>
      <c r="E866" s="18"/>
      <c r="F866" s="44"/>
      <c r="G866" s="44"/>
    </row>
    <row r="867" spans="1:7" ht="15.75">
      <c r="A867" s="17"/>
      <c r="B867" s="18"/>
      <c r="C867" s="18"/>
      <c r="D867" s="18"/>
      <c r="E867" s="18"/>
      <c r="F867" s="44"/>
      <c r="G867" s="44"/>
    </row>
    <row r="868" spans="1:7" ht="15.75">
      <c r="A868" s="17"/>
      <c r="B868" s="18"/>
      <c r="C868" s="18"/>
      <c r="D868" s="18"/>
      <c r="E868" s="18"/>
      <c r="F868" s="44"/>
      <c r="G868" s="44"/>
    </row>
    <row r="869" spans="1:7" ht="15.75">
      <c r="A869" s="17"/>
      <c r="B869" s="18"/>
      <c r="C869" s="18"/>
      <c r="D869" s="18"/>
      <c r="E869" s="18"/>
      <c r="F869" s="44"/>
      <c r="G869" s="44"/>
    </row>
    <row r="870" spans="1:7" ht="15.75">
      <c r="A870" s="17"/>
      <c r="B870" s="18"/>
      <c r="C870" s="18"/>
      <c r="D870" s="18"/>
      <c r="E870" s="18"/>
      <c r="F870" s="44"/>
      <c r="G870" s="44"/>
    </row>
    <row r="871" spans="1:7" ht="15.75">
      <c r="A871" s="17"/>
      <c r="B871" s="18"/>
      <c r="C871" s="18"/>
      <c r="D871" s="18"/>
      <c r="E871" s="18"/>
      <c r="F871" s="44"/>
      <c r="G871" s="44"/>
    </row>
    <row r="872" spans="1:7" ht="15.75">
      <c r="A872" s="17"/>
      <c r="B872" s="18"/>
      <c r="C872" s="18"/>
      <c r="D872" s="18"/>
      <c r="E872" s="18"/>
      <c r="F872" s="44"/>
      <c r="G872" s="44"/>
    </row>
    <row r="873" spans="1:7" ht="15.75">
      <c r="A873" s="17"/>
      <c r="B873" s="18"/>
      <c r="C873" s="18"/>
      <c r="D873" s="18"/>
      <c r="E873" s="18"/>
      <c r="F873" s="44"/>
      <c r="G873" s="44"/>
    </row>
    <row r="874" spans="1:7" ht="15.75">
      <c r="A874" s="17"/>
      <c r="B874" s="18"/>
      <c r="C874" s="18"/>
      <c r="D874" s="18"/>
      <c r="E874" s="18"/>
      <c r="F874" s="44"/>
      <c r="G874" s="44"/>
    </row>
    <row r="875" spans="1:7" ht="15.75">
      <c r="A875" s="17"/>
      <c r="B875" s="18"/>
      <c r="C875" s="18"/>
      <c r="D875" s="18"/>
      <c r="E875" s="18"/>
      <c r="F875" s="44"/>
      <c r="G875" s="44"/>
    </row>
    <row r="876" spans="1:7" ht="15.75">
      <c r="A876" s="17"/>
      <c r="B876" s="18"/>
      <c r="C876" s="18"/>
      <c r="D876" s="18"/>
      <c r="E876" s="18"/>
      <c r="F876" s="44"/>
      <c r="G876" s="44"/>
    </row>
    <row r="877" spans="1:7" ht="15.75">
      <c r="A877" s="17"/>
      <c r="B877" s="18"/>
      <c r="C877" s="18"/>
      <c r="D877" s="18"/>
      <c r="E877" s="18"/>
      <c r="F877" s="44"/>
      <c r="G877" s="44"/>
    </row>
    <row r="878" spans="1:7" ht="15.75">
      <c r="A878" s="17"/>
      <c r="B878" s="18"/>
      <c r="C878" s="18"/>
      <c r="D878" s="18"/>
      <c r="E878" s="18"/>
      <c r="F878" s="44"/>
      <c r="G878" s="44"/>
    </row>
    <row r="879" spans="1:7" ht="15.75">
      <c r="A879" s="17"/>
      <c r="B879" s="18"/>
      <c r="C879" s="18"/>
      <c r="D879" s="18"/>
      <c r="E879" s="18"/>
      <c r="F879" s="44"/>
      <c r="G879" s="44"/>
    </row>
    <row r="880" spans="1:7" ht="15.75">
      <c r="A880" s="17"/>
      <c r="B880" s="18"/>
      <c r="C880" s="18"/>
      <c r="D880" s="18"/>
      <c r="E880" s="18"/>
      <c r="F880" s="44"/>
      <c r="G880" s="44"/>
    </row>
    <row r="881" spans="1:7" ht="15.75">
      <c r="A881" s="17"/>
      <c r="B881" s="18"/>
      <c r="C881" s="18"/>
      <c r="D881" s="18"/>
      <c r="E881" s="18"/>
      <c r="F881" s="44"/>
      <c r="G881" s="44"/>
    </row>
    <row r="882" spans="1:7" ht="15.75">
      <c r="A882" s="17"/>
      <c r="B882" s="18"/>
      <c r="C882" s="18"/>
      <c r="D882" s="18"/>
      <c r="E882" s="18"/>
      <c r="F882" s="44"/>
      <c r="G882" s="44"/>
    </row>
    <row r="883" spans="1:7" ht="15.75">
      <c r="A883" s="17"/>
      <c r="B883" s="18"/>
      <c r="C883" s="18"/>
      <c r="D883" s="18"/>
      <c r="E883" s="18"/>
      <c r="F883" s="44"/>
      <c r="G883" s="44"/>
    </row>
    <row r="884" spans="1:7" ht="15.75">
      <c r="A884" s="17"/>
      <c r="B884" s="18"/>
      <c r="C884" s="18"/>
      <c r="D884" s="18"/>
      <c r="E884" s="18"/>
      <c r="F884" s="44"/>
      <c r="G884" s="44"/>
    </row>
    <row r="885" spans="1:7" ht="15.75">
      <c r="A885" s="17"/>
      <c r="B885" s="18"/>
      <c r="C885" s="18"/>
      <c r="D885" s="18"/>
      <c r="E885" s="18"/>
      <c r="F885" s="44"/>
      <c r="G885" s="44"/>
    </row>
    <row r="886" spans="1:7" ht="15.75">
      <c r="A886" s="17"/>
      <c r="B886" s="18"/>
      <c r="C886" s="18"/>
      <c r="D886" s="18"/>
      <c r="E886" s="18"/>
      <c r="F886" s="44"/>
      <c r="G886" s="44"/>
    </row>
    <row r="887" spans="1:7" ht="15.75">
      <c r="A887" s="17"/>
      <c r="B887" s="18"/>
      <c r="C887" s="18"/>
      <c r="D887" s="18"/>
      <c r="E887" s="18"/>
      <c r="F887" s="44"/>
      <c r="G887" s="44"/>
    </row>
    <row r="888" spans="1:7" ht="15.75">
      <c r="A888" s="17"/>
      <c r="B888" s="18"/>
      <c r="C888" s="18"/>
      <c r="D888" s="18"/>
      <c r="E888" s="18"/>
      <c r="F888" s="44"/>
      <c r="G888" s="44"/>
    </row>
    <row r="889" spans="1:7" ht="15.75">
      <c r="A889" s="17"/>
      <c r="B889" s="18"/>
      <c r="C889" s="18"/>
      <c r="D889" s="18"/>
      <c r="E889" s="18"/>
      <c r="F889" s="44"/>
      <c r="G889" s="44"/>
    </row>
    <row r="890" spans="1:7" ht="15.75">
      <c r="A890" s="17"/>
      <c r="B890" s="18"/>
      <c r="C890" s="18"/>
      <c r="D890" s="18"/>
      <c r="E890" s="18"/>
      <c r="F890" s="44"/>
      <c r="G890" s="44"/>
    </row>
    <row r="891" spans="1:7" ht="15.75">
      <c r="A891" s="17"/>
      <c r="B891" s="18"/>
      <c r="C891" s="18"/>
      <c r="D891" s="18"/>
      <c r="E891" s="18"/>
      <c r="F891" s="44"/>
      <c r="G891" s="44"/>
    </row>
    <row r="892" spans="1:7" ht="15.75">
      <c r="A892" s="17"/>
      <c r="B892" s="18"/>
      <c r="C892" s="18"/>
      <c r="D892" s="18"/>
      <c r="E892" s="18"/>
      <c r="F892" s="44"/>
      <c r="G892" s="44"/>
    </row>
    <row r="893" spans="1:7" ht="15.75">
      <c r="A893" s="17"/>
      <c r="B893" s="18"/>
      <c r="C893" s="18"/>
      <c r="D893" s="18"/>
      <c r="E893" s="18"/>
      <c r="F893" s="44"/>
      <c r="G893" s="44"/>
    </row>
    <row r="894" spans="1:7" ht="15.75">
      <c r="A894" s="17"/>
      <c r="B894" s="18"/>
      <c r="C894" s="18"/>
      <c r="D894" s="18"/>
      <c r="E894" s="18"/>
      <c r="F894" s="44"/>
      <c r="G894" s="44"/>
    </row>
    <row r="895" spans="1:7" ht="15.75">
      <c r="A895" s="17"/>
      <c r="B895" s="18"/>
      <c r="C895" s="18"/>
      <c r="D895" s="18"/>
      <c r="E895" s="18"/>
      <c r="F895" s="44"/>
      <c r="G895" s="44"/>
    </row>
    <row r="896" spans="1:7" ht="15.75">
      <c r="A896" s="17"/>
      <c r="B896" s="18"/>
      <c r="C896" s="18"/>
      <c r="D896" s="18"/>
      <c r="E896" s="18"/>
      <c r="F896" s="44"/>
      <c r="G896" s="44"/>
    </row>
    <row r="897" spans="1:7" ht="15.75">
      <c r="A897" s="17"/>
      <c r="B897" s="18"/>
      <c r="C897" s="18"/>
      <c r="D897" s="18"/>
      <c r="E897" s="18"/>
      <c r="F897" s="44"/>
      <c r="G897" s="44"/>
    </row>
    <row r="898" spans="1:7" ht="15.75">
      <c r="A898" s="17"/>
      <c r="B898" s="18"/>
      <c r="C898" s="18"/>
      <c r="D898" s="18"/>
      <c r="E898" s="18"/>
      <c r="F898" s="44"/>
      <c r="G898" s="44"/>
    </row>
    <row r="899" spans="1:7" ht="15.75">
      <c r="A899" s="17"/>
      <c r="B899" s="18"/>
      <c r="C899" s="18"/>
      <c r="D899" s="18"/>
      <c r="E899" s="18"/>
      <c r="F899" s="44"/>
      <c r="G899" s="44"/>
    </row>
    <row r="900" spans="1:7" ht="15.75">
      <c r="A900" s="17"/>
      <c r="B900" s="18"/>
      <c r="C900" s="18"/>
      <c r="D900" s="18"/>
      <c r="E900" s="18"/>
      <c r="F900" s="44"/>
      <c r="G900" s="44"/>
    </row>
    <row r="901" spans="1:7" ht="15.75">
      <c r="A901" s="17"/>
      <c r="B901" s="18"/>
      <c r="C901" s="18"/>
      <c r="D901" s="18"/>
      <c r="E901" s="18"/>
      <c r="F901" s="44"/>
      <c r="G901" s="44"/>
    </row>
    <row r="902" spans="1:7" ht="15.75">
      <c r="A902" s="17"/>
      <c r="B902" s="18"/>
      <c r="C902" s="18"/>
      <c r="D902" s="18"/>
      <c r="E902" s="18"/>
      <c r="F902" s="44"/>
      <c r="G902" s="44"/>
    </row>
    <row r="903" spans="1:7" ht="15.75">
      <c r="A903" s="17"/>
      <c r="B903" s="18"/>
      <c r="C903" s="18"/>
      <c r="D903" s="18"/>
      <c r="E903" s="18"/>
      <c r="F903" s="44"/>
      <c r="G903" s="44"/>
    </row>
    <row r="904" spans="1:7" ht="15.75">
      <c r="A904" s="17"/>
      <c r="B904" s="18"/>
      <c r="C904" s="18"/>
      <c r="D904" s="18"/>
      <c r="E904" s="18"/>
      <c r="F904" s="44"/>
      <c r="G904" s="44"/>
    </row>
    <row r="905" spans="1:7" ht="15.75">
      <c r="A905" s="17"/>
      <c r="B905" s="18"/>
      <c r="C905" s="18"/>
      <c r="D905" s="18"/>
      <c r="E905" s="18"/>
      <c r="F905" s="44"/>
      <c r="G905" s="44"/>
    </row>
    <row r="906" spans="1:7" ht="15.75">
      <c r="A906" s="17"/>
      <c r="B906" s="18"/>
      <c r="C906" s="18"/>
      <c r="D906" s="18"/>
      <c r="E906" s="18"/>
      <c r="F906" s="44"/>
      <c r="G906" s="44"/>
    </row>
    <row r="907" spans="1:7" ht="15.75">
      <c r="A907" s="17"/>
      <c r="B907" s="18"/>
      <c r="C907" s="18"/>
      <c r="D907" s="18"/>
      <c r="E907" s="18"/>
      <c r="F907" s="44"/>
      <c r="G907" s="44"/>
    </row>
    <row r="908" spans="1:7" ht="15.75">
      <c r="A908" s="17"/>
      <c r="B908" s="18"/>
      <c r="C908" s="18"/>
      <c r="D908" s="18"/>
      <c r="E908" s="18"/>
      <c r="F908" s="44"/>
      <c r="G908" s="44"/>
    </row>
    <row r="909" spans="1:7" ht="15.75">
      <c r="A909" s="17"/>
      <c r="B909" s="18"/>
      <c r="C909" s="18"/>
      <c r="D909" s="18"/>
      <c r="E909" s="18"/>
      <c r="F909" s="44"/>
      <c r="G909" s="44"/>
    </row>
    <row r="910" spans="1:7" ht="15.75">
      <c r="A910" s="17"/>
      <c r="B910" s="18"/>
      <c r="C910" s="18"/>
      <c r="D910" s="18"/>
      <c r="E910" s="18"/>
      <c r="F910" s="44"/>
      <c r="G910" s="44"/>
    </row>
    <row r="911" spans="1:7" ht="15.75">
      <c r="A911" s="17"/>
      <c r="B911" s="18"/>
      <c r="C911" s="18"/>
      <c r="D911" s="18"/>
      <c r="E911" s="18"/>
      <c r="F911" s="44"/>
      <c r="G911" s="44"/>
    </row>
    <row r="912" spans="1:7" ht="15.75">
      <c r="A912" s="17"/>
      <c r="B912" s="18"/>
      <c r="C912" s="18"/>
      <c r="D912" s="18"/>
      <c r="E912" s="18"/>
      <c r="F912" s="44"/>
      <c r="G912" s="44"/>
    </row>
    <row r="913" spans="1:7" ht="15.75">
      <c r="A913" s="17"/>
      <c r="B913" s="18"/>
      <c r="C913" s="18"/>
      <c r="D913" s="18"/>
      <c r="E913" s="18"/>
      <c r="F913" s="44"/>
      <c r="G913" s="44"/>
    </row>
    <row r="914" spans="1:7" ht="15.75">
      <c r="A914" s="17"/>
      <c r="B914" s="18"/>
      <c r="C914" s="18"/>
      <c r="D914" s="18"/>
      <c r="E914" s="18"/>
      <c r="F914" s="44"/>
      <c r="G914" s="44"/>
    </row>
    <row r="915" spans="1:7" ht="15.75">
      <c r="A915" s="17"/>
      <c r="B915" s="18"/>
      <c r="C915" s="18"/>
      <c r="D915" s="18"/>
      <c r="E915" s="18"/>
      <c r="F915" s="44"/>
      <c r="G915" s="44"/>
    </row>
    <row r="916" spans="1:7" ht="15.75">
      <c r="A916" s="17"/>
      <c r="B916" s="18"/>
      <c r="C916" s="18"/>
      <c r="D916" s="18"/>
      <c r="E916" s="18"/>
      <c r="F916" s="44"/>
      <c r="G916" s="44"/>
    </row>
    <row r="917" spans="1:7" ht="15.75">
      <c r="A917" s="17"/>
      <c r="B917" s="18"/>
      <c r="C917" s="18"/>
      <c r="D917" s="18"/>
      <c r="E917" s="18"/>
      <c r="F917" s="44"/>
      <c r="G917" s="44"/>
    </row>
    <row r="918" spans="1:7" ht="15.75">
      <c r="A918" s="17"/>
      <c r="B918" s="18"/>
      <c r="C918" s="18"/>
      <c r="D918" s="18"/>
      <c r="E918" s="18"/>
      <c r="F918" s="44"/>
      <c r="G918" s="44"/>
    </row>
    <row r="919" spans="1:7" ht="15.75">
      <c r="A919" s="17"/>
      <c r="B919" s="18"/>
      <c r="C919" s="18"/>
      <c r="D919" s="18"/>
      <c r="E919" s="18"/>
      <c r="F919" s="44"/>
      <c r="G919" s="44"/>
    </row>
    <row r="920" spans="1:7" ht="15.75">
      <c r="A920" s="17"/>
      <c r="B920" s="18"/>
      <c r="C920" s="18"/>
      <c r="D920" s="18"/>
      <c r="E920" s="18"/>
      <c r="F920" s="44"/>
      <c r="G920" s="44"/>
    </row>
    <row r="921" spans="1:7" ht="15.75">
      <c r="A921" s="17"/>
      <c r="B921" s="18"/>
      <c r="C921" s="18"/>
      <c r="D921" s="18"/>
      <c r="E921" s="18"/>
      <c r="F921" s="44"/>
      <c r="G921" s="44"/>
    </row>
    <row r="922" spans="1:7" ht="15.75">
      <c r="A922" s="17"/>
      <c r="B922" s="18"/>
      <c r="C922" s="18"/>
      <c r="D922" s="18"/>
      <c r="E922" s="18"/>
      <c r="F922" s="44"/>
      <c r="G922" s="44"/>
    </row>
    <row r="923" spans="1:7" ht="15.75">
      <c r="A923" s="17"/>
      <c r="B923" s="18"/>
      <c r="C923" s="18"/>
      <c r="D923" s="18"/>
      <c r="E923" s="18"/>
      <c r="F923" s="44"/>
      <c r="G923" s="44"/>
    </row>
    <row r="924" spans="1:7" ht="15.75">
      <c r="A924" s="17"/>
      <c r="B924" s="18"/>
      <c r="C924" s="18"/>
      <c r="D924" s="18"/>
      <c r="E924" s="18"/>
      <c r="F924" s="44"/>
      <c r="G924" s="44"/>
    </row>
    <row r="925" spans="1:7" ht="15.75">
      <c r="A925" s="17"/>
      <c r="B925" s="18"/>
      <c r="C925" s="18"/>
      <c r="D925" s="18"/>
      <c r="E925" s="18"/>
      <c r="F925" s="44"/>
      <c r="G925" s="44"/>
    </row>
    <row r="926" spans="1:7" ht="15.75">
      <c r="A926" s="17"/>
      <c r="B926" s="18"/>
      <c r="C926" s="18"/>
      <c r="D926" s="18"/>
      <c r="E926" s="18"/>
      <c r="F926" s="44"/>
      <c r="G926" s="44"/>
    </row>
    <row r="927" spans="1:7" ht="15.75">
      <c r="A927" s="17"/>
      <c r="B927" s="18"/>
      <c r="C927" s="18"/>
      <c r="D927" s="18"/>
      <c r="E927" s="18"/>
      <c r="F927" s="44"/>
      <c r="G927" s="44"/>
    </row>
    <row r="928" spans="1:7" ht="15.75">
      <c r="A928" s="17"/>
      <c r="B928" s="18"/>
      <c r="C928" s="18"/>
      <c r="D928" s="18"/>
      <c r="E928" s="18"/>
      <c r="F928" s="44"/>
      <c r="G928" s="44"/>
    </row>
    <row r="929" spans="1:7" ht="15.75">
      <c r="A929" s="17"/>
      <c r="B929" s="18"/>
      <c r="C929" s="18"/>
      <c r="D929" s="18"/>
      <c r="E929" s="18"/>
      <c r="F929" s="44"/>
      <c r="G929" s="44"/>
    </row>
    <row r="930" spans="1:7" ht="15.75">
      <c r="A930" s="17"/>
      <c r="B930" s="18"/>
      <c r="C930" s="18"/>
      <c r="D930" s="18"/>
      <c r="E930" s="18"/>
      <c r="F930" s="44"/>
      <c r="G930" s="44"/>
    </row>
    <row r="931" spans="1:7" ht="15.75">
      <c r="A931" s="17"/>
      <c r="B931" s="18"/>
      <c r="C931" s="18"/>
      <c r="D931" s="18"/>
      <c r="E931" s="18"/>
      <c r="F931" s="44"/>
      <c r="G931" s="44"/>
    </row>
    <row r="932" spans="1:7" ht="15.75">
      <c r="A932" s="17"/>
      <c r="B932" s="18"/>
      <c r="C932" s="18"/>
      <c r="D932" s="18"/>
      <c r="E932" s="18"/>
      <c r="F932" s="44"/>
      <c r="G932" s="44"/>
    </row>
    <row r="933" spans="1:7" ht="15.75">
      <c r="A933" s="17"/>
      <c r="B933" s="18"/>
      <c r="C933" s="18"/>
      <c r="D933" s="18"/>
      <c r="E933" s="18"/>
      <c r="F933" s="44"/>
      <c r="G933" s="44"/>
    </row>
    <row r="934" spans="1:7" ht="15.75">
      <c r="A934" s="17"/>
      <c r="B934" s="18"/>
      <c r="C934" s="18"/>
      <c r="D934" s="18"/>
      <c r="E934" s="18"/>
      <c r="F934" s="44"/>
      <c r="G934" s="44"/>
    </row>
    <row r="935" spans="1:7" ht="15.75">
      <c r="A935" s="17"/>
      <c r="B935" s="18"/>
      <c r="C935" s="18"/>
      <c r="D935" s="18"/>
      <c r="E935" s="18"/>
      <c r="F935" s="44"/>
      <c r="G935" s="44"/>
    </row>
    <row r="936" spans="1:7" ht="15.75">
      <c r="A936" s="17"/>
      <c r="B936" s="18"/>
      <c r="C936" s="18"/>
      <c r="D936" s="18"/>
      <c r="E936" s="18"/>
      <c r="F936" s="44"/>
      <c r="G936" s="44"/>
    </row>
    <row r="937" spans="1:7" ht="15.75">
      <c r="A937" s="17"/>
      <c r="B937" s="18"/>
      <c r="C937" s="18"/>
      <c r="D937" s="18"/>
      <c r="E937" s="18"/>
      <c r="F937" s="44"/>
      <c r="G937" s="44"/>
    </row>
    <row r="938" spans="1:7" ht="15.75">
      <c r="A938" s="17"/>
      <c r="B938" s="18"/>
      <c r="C938" s="18"/>
      <c r="D938" s="18"/>
      <c r="E938" s="18"/>
      <c r="F938" s="44"/>
      <c r="G938" s="44"/>
    </row>
    <row r="939" spans="1:7" ht="15.75">
      <c r="A939" s="17"/>
      <c r="B939" s="18"/>
      <c r="C939" s="18"/>
      <c r="D939" s="18"/>
      <c r="E939" s="18"/>
      <c r="F939" s="44"/>
      <c r="G939" s="44"/>
    </row>
    <row r="940" spans="1:7" ht="15.75">
      <c r="A940" s="17"/>
      <c r="B940" s="18"/>
      <c r="C940" s="18"/>
      <c r="D940" s="18"/>
      <c r="E940" s="18"/>
      <c r="F940" s="44"/>
      <c r="G940" s="44"/>
    </row>
    <row r="941" spans="1:7" ht="15.75">
      <c r="A941" s="17"/>
      <c r="B941" s="18"/>
      <c r="C941" s="18"/>
      <c r="D941" s="18"/>
      <c r="E941" s="18"/>
      <c r="F941" s="44"/>
      <c r="G941" s="44"/>
    </row>
    <row r="942" spans="1:7" ht="15.75">
      <c r="A942" s="17"/>
      <c r="B942" s="18"/>
      <c r="C942" s="18"/>
      <c r="D942" s="18"/>
      <c r="E942" s="18"/>
      <c r="F942" s="44"/>
      <c r="G942" s="44"/>
    </row>
    <row r="943" spans="1:7" ht="15.75">
      <c r="A943" s="17"/>
      <c r="B943" s="18"/>
      <c r="C943" s="18"/>
      <c r="D943" s="18"/>
      <c r="E943" s="18"/>
      <c r="F943" s="44"/>
      <c r="G943" s="44"/>
    </row>
    <row r="944" spans="1:7" ht="15.75">
      <c r="A944" s="17"/>
      <c r="B944" s="18"/>
      <c r="C944" s="18"/>
      <c r="D944" s="18"/>
      <c r="E944" s="18"/>
      <c r="F944" s="44"/>
      <c r="G944" s="44"/>
    </row>
    <row r="945" spans="1:7" ht="15.75">
      <c r="A945" s="17"/>
      <c r="B945" s="18"/>
      <c r="C945" s="18"/>
      <c r="D945" s="18"/>
      <c r="E945" s="18"/>
      <c r="F945" s="44"/>
      <c r="G945" s="44"/>
    </row>
    <row r="946" spans="1:7" ht="15.75">
      <c r="A946" s="17"/>
      <c r="B946" s="18"/>
      <c r="C946" s="18"/>
      <c r="D946" s="18"/>
      <c r="E946" s="18"/>
      <c r="F946" s="44"/>
      <c r="G946" s="44"/>
    </row>
    <row r="947" spans="1:7" ht="15.75">
      <c r="A947" s="17"/>
      <c r="B947" s="18"/>
      <c r="C947" s="18"/>
      <c r="D947" s="18"/>
      <c r="E947" s="18"/>
      <c r="F947" s="44"/>
      <c r="G947" s="44"/>
    </row>
    <row r="948" spans="1:7" ht="15.75">
      <c r="A948" s="17"/>
      <c r="B948" s="18"/>
      <c r="C948" s="18"/>
      <c r="D948" s="18"/>
      <c r="E948" s="18"/>
      <c r="F948" s="44"/>
      <c r="G948" s="44"/>
    </row>
    <row r="949" spans="1:7" ht="15.75">
      <c r="A949" s="17"/>
      <c r="B949" s="18"/>
      <c r="C949" s="18"/>
      <c r="D949" s="18"/>
      <c r="E949" s="18"/>
      <c r="F949" s="44"/>
      <c r="G949" s="44"/>
    </row>
    <row r="950" spans="1:7" ht="15.75">
      <c r="A950" s="17"/>
      <c r="B950" s="18"/>
      <c r="C950" s="18"/>
      <c r="D950" s="18"/>
      <c r="E950" s="18"/>
      <c r="F950" s="44"/>
      <c r="G950" s="44"/>
    </row>
    <row r="951" spans="1:7" ht="15.75">
      <c r="A951" s="17"/>
      <c r="B951" s="18"/>
      <c r="C951" s="18"/>
      <c r="D951" s="18"/>
      <c r="E951" s="18"/>
      <c r="F951" s="44"/>
      <c r="G951" s="44"/>
    </row>
    <row r="952" spans="1:7" ht="15.75">
      <c r="A952" s="17"/>
      <c r="B952" s="18"/>
      <c r="C952" s="18"/>
      <c r="D952" s="18"/>
      <c r="E952" s="18"/>
      <c r="F952" s="44"/>
      <c r="G952" s="44"/>
    </row>
    <row r="953" spans="1:7" ht="15.75">
      <c r="A953" s="17"/>
      <c r="B953" s="18"/>
      <c r="C953" s="18"/>
      <c r="D953" s="18"/>
      <c r="E953" s="18"/>
      <c r="F953" s="44"/>
      <c r="G953" s="44"/>
    </row>
    <row r="954" spans="1:7" ht="15.75">
      <c r="A954" s="17"/>
      <c r="B954" s="18"/>
      <c r="C954" s="18"/>
      <c r="D954" s="18"/>
      <c r="E954" s="18"/>
      <c r="F954" s="44"/>
      <c r="G954" s="44"/>
    </row>
    <row r="955" spans="1:7" ht="15.75">
      <c r="A955" s="17"/>
      <c r="B955" s="18"/>
      <c r="C955" s="18"/>
      <c r="D955" s="18"/>
      <c r="E955" s="18"/>
      <c r="F955" s="44"/>
      <c r="G955" s="44"/>
    </row>
    <row r="956" spans="1:7" ht="15.75">
      <c r="A956" s="17"/>
      <c r="B956" s="18"/>
      <c r="C956" s="18"/>
      <c r="D956" s="18"/>
      <c r="E956" s="18"/>
      <c r="F956" s="44"/>
      <c r="G956" s="44"/>
    </row>
    <row r="957" spans="1:7" ht="15.75">
      <c r="A957" s="17"/>
      <c r="B957" s="18"/>
      <c r="C957" s="18"/>
      <c r="D957" s="18"/>
      <c r="E957" s="18"/>
      <c r="F957" s="44"/>
      <c r="G957" s="44"/>
    </row>
    <row r="958" spans="1:7" ht="15.75">
      <c r="A958" s="17"/>
      <c r="B958" s="18"/>
      <c r="C958" s="18"/>
      <c r="D958" s="18"/>
      <c r="E958" s="18"/>
      <c r="F958" s="44"/>
      <c r="G958" s="44"/>
    </row>
    <row r="959" spans="1:7" ht="15.75">
      <c r="A959" s="17"/>
      <c r="B959" s="18"/>
      <c r="C959" s="18"/>
      <c r="D959" s="18"/>
      <c r="E959" s="18"/>
      <c r="F959" s="44"/>
      <c r="G959" s="44"/>
    </row>
    <row r="960" spans="1:7" ht="15.75">
      <c r="A960" s="17"/>
      <c r="B960" s="18"/>
      <c r="C960" s="18"/>
      <c r="D960" s="18"/>
      <c r="E960" s="18"/>
      <c r="F960" s="44"/>
      <c r="G960" s="44"/>
    </row>
    <row r="961" spans="1:7" ht="15.75">
      <c r="A961" s="17"/>
      <c r="B961" s="18"/>
      <c r="C961" s="18"/>
      <c r="D961" s="18"/>
      <c r="E961" s="18"/>
      <c r="F961" s="44"/>
      <c r="G961" s="44"/>
    </row>
    <row r="962" spans="1:7" ht="15.75">
      <c r="A962" s="17"/>
      <c r="B962" s="18"/>
      <c r="C962" s="18"/>
      <c r="D962" s="18"/>
      <c r="E962" s="18"/>
      <c r="F962" s="44"/>
      <c r="G962" s="44"/>
    </row>
    <row r="963" spans="1:7" ht="15.75">
      <c r="A963" s="17"/>
      <c r="B963" s="18"/>
      <c r="C963" s="18"/>
      <c r="D963" s="18"/>
      <c r="E963" s="18"/>
      <c r="F963" s="44"/>
      <c r="G963" s="44"/>
    </row>
    <row r="964" spans="1:7" ht="15.75">
      <c r="A964" s="17"/>
      <c r="B964" s="18"/>
      <c r="C964" s="18"/>
      <c r="D964" s="18"/>
      <c r="E964" s="18"/>
      <c r="F964" s="44"/>
      <c r="G964" s="44"/>
    </row>
    <row r="965" spans="1:7" ht="15.75">
      <c r="A965" s="17"/>
      <c r="B965" s="18"/>
      <c r="C965" s="18"/>
      <c r="D965" s="18"/>
      <c r="E965" s="18"/>
      <c r="F965" s="44"/>
      <c r="G965" s="44"/>
    </row>
    <row r="966" spans="1:7" ht="15.75">
      <c r="A966" s="17"/>
      <c r="B966" s="18"/>
      <c r="C966" s="18"/>
      <c r="D966" s="18"/>
      <c r="E966" s="18"/>
      <c r="F966" s="44"/>
      <c r="G966" s="44"/>
    </row>
    <row r="967" spans="1:7" ht="15.75">
      <c r="A967" s="17"/>
      <c r="B967" s="18"/>
      <c r="C967" s="18"/>
      <c r="D967" s="18"/>
      <c r="E967" s="18"/>
      <c r="F967" s="44"/>
      <c r="G967" s="44"/>
    </row>
    <row r="968" spans="1:7" ht="15.75">
      <c r="A968" s="17"/>
      <c r="B968" s="18"/>
      <c r="C968" s="18"/>
      <c r="D968" s="18"/>
      <c r="E968" s="18"/>
      <c r="F968" s="44"/>
      <c r="G968" s="44"/>
    </row>
    <row r="969" spans="1:7" ht="15.75">
      <c r="A969" s="17"/>
      <c r="B969" s="18"/>
      <c r="C969" s="18"/>
      <c r="D969" s="18"/>
      <c r="E969" s="18"/>
      <c r="F969" s="44"/>
      <c r="G969" s="44"/>
    </row>
    <row r="970" spans="1:7" ht="15.75">
      <c r="A970" s="17"/>
      <c r="B970" s="18"/>
      <c r="C970" s="18"/>
      <c r="D970" s="18"/>
      <c r="E970" s="18"/>
      <c r="F970" s="44"/>
      <c r="G970" s="44"/>
    </row>
    <row r="971" spans="1:7" ht="15.75">
      <c r="A971" s="17"/>
      <c r="B971" s="18"/>
      <c r="C971" s="18"/>
      <c r="D971" s="18"/>
      <c r="E971" s="18"/>
      <c r="F971" s="44"/>
      <c r="G971" s="44"/>
    </row>
    <row r="972" spans="1:7" ht="15.75">
      <c r="A972" s="17"/>
      <c r="B972" s="18"/>
      <c r="C972" s="18"/>
      <c r="D972" s="18"/>
      <c r="E972" s="18"/>
      <c r="F972" s="44"/>
      <c r="G972" s="44"/>
    </row>
    <row r="973" spans="1:7" ht="15.75">
      <c r="A973" s="17"/>
      <c r="B973" s="18"/>
      <c r="C973" s="18"/>
      <c r="D973" s="18"/>
      <c r="E973" s="18"/>
      <c r="F973" s="44"/>
      <c r="G973" s="44"/>
    </row>
    <row r="974" spans="1:7" ht="15.75">
      <c r="A974" s="17"/>
      <c r="B974" s="18"/>
      <c r="C974" s="18"/>
      <c r="D974" s="18"/>
      <c r="E974" s="18"/>
      <c r="F974" s="44"/>
      <c r="G974" s="44"/>
    </row>
    <row r="975" spans="1:7" ht="15.75">
      <c r="A975" s="17"/>
      <c r="B975" s="18"/>
      <c r="C975" s="18"/>
      <c r="D975" s="18"/>
      <c r="E975" s="18"/>
      <c r="F975" s="44"/>
      <c r="G975" s="44"/>
    </row>
    <row r="976" spans="1:7" ht="15.75">
      <c r="A976" s="17"/>
      <c r="B976" s="18"/>
      <c r="C976" s="18"/>
      <c r="D976" s="18"/>
      <c r="E976" s="18"/>
      <c r="F976" s="44"/>
      <c r="G976" s="44"/>
    </row>
    <row r="977" spans="1:7" ht="15.75">
      <c r="A977" s="17"/>
      <c r="B977" s="18"/>
      <c r="C977" s="18"/>
      <c r="D977" s="18"/>
      <c r="E977" s="18"/>
      <c r="F977" s="44"/>
      <c r="G977" s="44"/>
    </row>
    <row r="978" spans="1:7" ht="15.75">
      <c r="A978" s="17"/>
      <c r="B978" s="18"/>
      <c r="C978" s="18"/>
      <c r="D978" s="18"/>
      <c r="E978" s="18"/>
      <c r="F978" s="44"/>
      <c r="G978" s="44"/>
    </row>
    <row r="979" spans="1:7" ht="15.75">
      <c r="A979" s="17"/>
      <c r="B979" s="18"/>
      <c r="C979" s="18"/>
      <c r="D979" s="18"/>
      <c r="E979" s="18"/>
      <c r="F979" s="44"/>
      <c r="G979" s="44"/>
    </row>
    <row r="980" spans="1:7" ht="15.75">
      <c r="A980" s="17"/>
      <c r="B980" s="18"/>
      <c r="C980" s="18"/>
      <c r="D980" s="18"/>
      <c r="E980" s="18"/>
      <c r="F980" s="44"/>
      <c r="G980" s="44"/>
    </row>
    <row r="981" spans="1:7" ht="15.75">
      <c r="A981" s="17"/>
      <c r="B981" s="18"/>
      <c r="C981" s="18"/>
      <c r="D981" s="18"/>
      <c r="E981" s="18"/>
      <c r="F981" s="44"/>
      <c r="G981" s="44"/>
    </row>
    <row r="982" spans="1:7" ht="15.75">
      <c r="A982" s="17"/>
      <c r="B982" s="18"/>
      <c r="C982" s="18"/>
      <c r="D982" s="18"/>
      <c r="E982" s="18"/>
      <c r="F982" s="44"/>
      <c r="G982" s="44"/>
    </row>
    <row r="983" spans="1:7" ht="15.75">
      <c r="A983" s="17"/>
      <c r="B983" s="18"/>
      <c r="C983" s="18"/>
      <c r="D983" s="18"/>
      <c r="E983" s="18"/>
      <c r="F983" s="44"/>
      <c r="G983" s="44"/>
    </row>
    <row r="984" spans="1:7" ht="15.75">
      <c r="A984" s="17"/>
      <c r="B984" s="18"/>
      <c r="C984" s="18"/>
      <c r="D984" s="18"/>
      <c r="E984" s="18"/>
      <c r="F984" s="44"/>
      <c r="G984" s="44"/>
    </row>
    <row r="985" spans="1:7" ht="15.75">
      <c r="A985" s="17"/>
      <c r="B985" s="18"/>
      <c r="C985" s="18"/>
      <c r="D985" s="18"/>
      <c r="E985" s="18"/>
      <c r="F985" s="44"/>
      <c r="G985" s="44"/>
    </row>
    <row r="986" spans="1:7" ht="15.75">
      <c r="A986" s="17"/>
      <c r="B986" s="18"/>
      <c r="C986" s="18"/>
      <c r="D986" s="18"/>
      <c r="E986" s="18"/>
      <c r="F986" s="44"/>
      <c r="G986" s="44"/>
    </row>
    <row r="987" spans="1:7" ht="15.75">
      <c r="A987" s="17"/>
      <c r="B987" s="18"/>
      <c r="C987" s="18"/>
      <c r="D987" s="18"/>
      <c r="E987" s="18"/>
      <c r="F987" s="44"/>
      <c r="G987" s="44"/>
    </row>
    <row r="988" spans="1:7" ht="15.75">
      <c r="A988" s="17"/>
      <c r="B988" s="18"/>
      <c r="C988" s="18"/>
      <c r="D988" s="18"/>
      <c r="E988" s="18"/>
      <c r="F988" s="44"/>
      <c r="G988" s="44"/>
    </row>
    <row r="989" spans="1:7" ht="15.75">
      <c r="A989" s="17"/>
      <c r="B989" s="18"/>
      <c r="C989" s="18"/>
      <c r="D989" s="18"/>
      <c r="E989" s="18"/>
      <c r="F989" s="44"/>
      <c r="G989" s="44"/>
    </row>
    <row r="990" spans="1:7" ht="15.75">
      <c r="A990" s="17"/>
      <c r="B990" s="18"/>
      <c r="C990" s="18"/>
      <c r="D990" s="18"/>
      <c r="E990" s="18"/>
      <c r="F990" s="44"/>
      <c r="G990" s="44"/>
    </row>
    <row r="991" spans="1:7" ht="15.75">
      <c r="A991" s="17"/>
      <c r="B991" s="18"/>
      <c r="C991" s="18"/>
      <c r="D991" s="18"/>
      <c r="E991" s="18"/>
      <c r="F991" s="44"/>
      <c r="G991" s="44"/>
    </row>
    <row r="992" spans="1:7" ht="15.75">
      <c r="A992" s="17"/>
      <c r="B992" s="18"/>
      <c r="C992" s="18"/>
      <c r="D992" s="18"/>
      <c r="E992" s="18"/>
      <c r="F992" s="44"/>
      <c r="G992" s="44"/>
    </row>
    <row r="993" spans="1:7" ht="15.75">
      <c r="A993" s="17"/>
      <c r="B993" s="18"/>
      <c r="C993" s="18"/>
      <c r="D993" s="18"/>
      <c r="E993" s="18"/>
      <c r="F993" s="44"/>
      <c r="G993" s="44"/>
    </row>
    <row r="994" spans="1:7" ht="15.75">
      <c r="A994" s="17"/>
      <c r="B994" s="18"/>
      <c r="C994" s="18"/>
      <c r="D994" s="18"/>
      <c r="E994" s="18"/>
      <c r="F994" s="44"/>
      <c r="G994" s="44"/>
    </row>
    <row r="995" spans="1:7" ht="15.75">
      <c r="A995" s="17"/>
      <c r="B995" s="18"/>
      <c r="C995" s="18"/>
      <c r="D995" s="18"/>
      <c r="E995" s="18"/>
      <c r="F995" s="44"/>
      <c r="G995" s="44"/>
    </row>
    <row r="996" spans="1:7" ht="15.75">
      <c r="A996" s="17"/>
      <c r="B996" s="18"/>
      <c r="C996" s="18"/>
      <c r="D996" s="18"/>
      <c r="E996" s="18"/>
      <c r="F996" s="44"/>
      <c r="G996" s="44"/>
    </row>
    <row r="997" spans="1:7" ht="15.75">
      <c r="A997" s="17"/>
      <c r="B997" s="18"/>
      <c r="C997" s="18"/>
      <c r="D997" s="18"/>
      <c r="E997" s="18"/>
      <c r="F997" s="44"/>
      <c r="G997" s="44"/>
    </row>
    <row r="998" spans="1:7" ht="15.75">
      <c r="A998" s="17"/>
      <c r="B998" s="18"/>
      <c r="C998" s="18"/>
      <c r="D998" s="18"/>
      <c r="E998" s="18"/>
      <c r="F998" s="44"/>
      <c r="G998" s="44"/>
    </row>
    <row r="999" spans="1:7" ht="15.75">
      <c r="A999" s="17"/>
      <c r="B999" s="18"/>
      <c r="C999" s="18"/>
      <c r="D999" s="18"/>
      <c r="E999" s="18"/>
      <c r="F999" s="44"/>
      <c r="G999" s="44"/>
    </row>
    <row r="1000" spans="1:7" ht="15.75">
      <c r="A1000" s="17"/>
      <c r="B1000" s="18"/>
      <c r="C1000" s="18"/>
      <c r="D1000" s="18"/>
      <c r="E1000" s="18"/>
      <c r="F1000" s="44"/>
      <c r="G1000" s="44"/>
    </row>
    <row r="1001" spans="1:7" ht="15.75">
      <c r="A1001" s="17"/>
      <c r="B1001" s="18"/>
      <c r="C1001" s="18"/>
      <c r="D1001" s="18"/>
      <c r="E1001" s="18"/>
      <c r="F1001" s="44"/>
      <c r="G1001" s="44"/>
    </row>
    <row r="1002" spans="1:7" ht="15.75">
      <c r="A1002" s="17"/>
      <c r="B1002" s="18"/>
      <c r="C1002" s="18"/>
      <c r="D1002" s="18"/>
      <c r="E1002" s="18"/>
      <c r="F1002" s="44"/>
      <c r="G1002" s="44"/>
    </row>
    <row r="1003" spans="1:7" ht="15.75">
      <c r="A1003" s="17"/>
      <c r="B1003" s="18"/>
      <c r="C1003" s="18"/>
      <c r="D1003" s="18"/>
      <c r="E1003" s="18"/>
      <c r="F1003" s="44"/>
      <c r="G1003" s="44"/>
    </row>
    <row r="1004" spans="1:7" ht="15.75">
      <c r="A1004" s="17"/>
      <c r="B1004" s="18"/>
      <c r="C1004" s="18"/>
      <c r="D1004" s="18"/>
      <c r="E1004" s="18"/>
      <c r="F1004" s="44"/>
      <c r="G1004" s="44"/>
    </row>
    <row r="1005" spans="1:7" ht="15.75">
      <c r="A1005" s="17"/>
      <c r="B1005" s="18"/>
      <c r="C1005" s="18"/>
      <c r="D1005" s="18"/>
      <c r="E1005" s="18"/>
      <c r="F1005" s="44"/>
      <c r="G1005" s="44"/>
    </row>
    <row r="1006" spans="1:7" ht="15.75">
      <c r="A1006" s="17"/>
      <c r="B1006" s="18"/>
      <c r="C1006" s="18"/>
      <c r="D1006" s="18"/>
      <c r="E1006" s="18"/>
      <c r="F1006" s="44"/>
      <c r="G1006" s="44"/>
    </row>
    <row r="1007" spans="1:7" ht="15.75">
      <c r="A1007" s="17"/>
      <c r="B1007" s="18"/>
      <c r="C1007" s="18"/>
      <c r="D1007" s="18"/>
      <c r="E1007" s="18"/>
      <c r="F1007" s="44"/>
      <c r="G1007" s="44"/>
    </row>
    <row r="1008" spans="1:7" ht="15.75">
      <c r="A1008" s="17"/>
      <c r="B1008" s="18"/>
      <c r="C1008" s="18"/>
      <c r="D1008" s="18"/>
      <c r="E1008" s="18"/>
      <c r="F1008" s="44"/>
      <c r="G1008" s="44"/>
    </row>
    <row r="1009" spans="1:7" ht="15.75">
      <c r="A1009" s="17"/>
      <c r="B1009" s="18"/>
      <c r="C1009" s="18"/>
      <c r="D1009" s="18"/>
      <c r="E1009" s="18"/>
      <c r="F1009" s="44"/>
      <c r="G1009" s="44"/>
    </row>
    <row r="1010" spans="1:7" ht="15.75">
      <c r="A1010" s="17"/>
      <c r="B1010" s="18"/>
      <c r="C1010" s="18"/>
      <c r="D1010" s="18"/>
      <c r="E1010" s="18"/>
      <c r="F1010" s="44"/>
      <c r="G1010" s="44"/>
    </row>
    <row r="1011" spans="1:7" ht="15.75">
      <c r="A1011" s="17"/>
      <c r="B1011" s="18"/>
      <c r="C1011" s="18"/>
      <c r="D1011" s="18"/>
      <c r="E1011" s="18"/>
      <c r="F1011" s="44"/>
      <c r="G1011" s="44"/>
    </row>
    <row r="1012" spans="1:7" ht="15.75">
      <c r="A1012" s="17"/>
      <c r="B1012" s="18"/>
      <c r="C1012" s="18"/>
      <c r="D1012" s="18"/>
      <c r="E1012" s="18"/>
      <c r="F1012" s="44"/>
      <c r="G1012" s="44"/>
    </row>
    <row r="1013" spans="1:7" ht="15.75">
      <c r="A1013" s="17"/>
      <c r="B1013" s="18"/>
      <c r="C1013" s="18"/>
      <c r="D1013" s="18"/>
      <c r="E1013" s="18"/>
      <c r="F1013" s="44"/>
      <c r="G1013" s="44"/>
    </row>
    <row r="1014" spans="1:7" ht="15.75">
      <c r="A1014" s="17"/>
      <c r="B1014" s="18"/>
      <c r="C1014" s="18"/>
      <c r="D1014" s="18"/>
      <c r="E1014" s="18"/>
      <c r="F1014" s="44"/>
      <c r="G1014" s="44"/>
    </row>
    <row r="1015" spans="1:7" ht="15.75">
      <c r="A1015" s="17"/>
      <c r="B1015" s="18"/>
      <c r="C1015" s="18"/>
      <c r="D1015" s="18"/>
      <c r="E1015" s="18"/>
      <c r="F1015" s="44"/>
      <c r="G1015" s="44"/>
    </row>
    <row r="1016" spans="1:7" ht="15.75">
      <c r="A1016" s="17"/>
      <c r="B1016" s="18"/>
      <c r="C1016" s="18"/>
      <c r="D1016" s="18"/>
      <c r="E1016" s="18"/>
      <c r="F1016" s="44"/>
      <c r="G1016" s="44"/>
    </row>
    <row r="1017" spans="1:7" ht="15.75">
      <c r="A1017" s="17"/>
      <c r="B1017" s="18"/>
      <c r="C1017" s="18"/>
      <c r="D1017" s="18"/>
      <c r="E1017" s="18"/>
      <c r="F1017" s="44"/>
      <c r="G1017" s="44"/>
    </row>
    <row r="1018" spans="1:7" ht="15.75">
      <c r="A1018" s="17"/>
      <c r="B1018" s="18"/>
      <c r="C1018" s="18"/>
      <c r="D1018" s="18"/>
      <c r="E1018" s="18"/>
      <c r="F1018" s="44"/>
      <c r="G1018" s="44"/>
    </row>
    <row r="1019" spans="1:7" ht="15.75">
      <c r="A1019" s="17"/>
      <c r="B1019" s="18"/>
      <c r="C1019" s="18"/>
      <c r="D1019" s="18"/>
      <c r="E1019" s="18"/>
      <c r="F1019" s="44"/>
      <c r="G1019" s="44"/>
    </row>
    <row r="1020" spans="1:7" ht="15.75">
      <c r="A1020" s="17"/>
      <c r="B1020" s="18"/>
      <c r="C1020" s="18"/>
      <c r="D1020" s="18"/>
      <c r="E1020" s="18"/>
      <c r="F1020" s="44"/>
      <c r="G1020" s="44"/>
    </row>
    <row r="1021" spans="1:7" ht="15.75">
      <c r="A1021" s="17"/>
      <c r="B1021" s="18"/>
      <c r="C1021" s="18"/>
      <c r="D1021" s="18"/>
      <c r="E1021" s="18"/>
      <c r="F1021" s="44"/>
      <c r="G1021" s="44"/>
    </row>
    <row r="1022" spans="1:7" ht="15.75">
      <c r="A1022" s="17"/>
      <c r="B1022" s="18"/>
      <c r="C1022" s="18"/>
      <c r="D1022" s="18"/>
      <c r="E1022" s="18"/>
      <c r="F1022" s="44"/>
      <c r="G1022" s="44"/>
    </row>
    <row r="1023" spans="1:7" ht="15.75">
      <c r="A1023" s="17"/>
      <c r="B1023" s="18"/>
      <c r="C1023" s="18"/>
      <c r="D1023" s="18"/>
      <c r="E1023" s="18"/>
      <c r="F1023" s="44"/>
      <c r="G1023" s="44"/>
    </row>
    <row r="1024" spans="1:7" ht="15.75">
      <c r="A1024" s="17"/>
      <c r="B1024" s="18"/>
      <c r="C1024" s="18"/>
      <c r="D1024" s="18"/>
      <c r="E1024" s="18"/>
      <c r="F1024" s="44"/>
      <c r="G1024" s="44"/>
    </row>
    <row r="1025" spans="1:7" ht="15.75">
      <c r="A1025" s="17"/>
      <c r="B1025" s="18"/>
      <c r="C1025" s="18"/>
      <c r="D1025" s="18"/>
      <c r="E1025" s="18"/>
      <c r="F1025" s="44"/>
      <c r="G1025" s="44"/>
    </row>
    <row r="1026" spans="1:7" ht="15.75">
      <c r="A1026" s="17"/>
      <c r="B1026" s="18"/>
      <c r="C1026" s="18"/>
      <c r="D1026" s="18"/>
      <c r="E1026" s="18"/>
      <c r="F1026" s="44"/>
      <c r="G1026" s="44"/>
    </row>
    <row r="1027" spans="1:7" ht="15.75">
      <c r="A1027" s="17"/>
      <c r="B1027" s="18"/>
      <c r="C1027" s="18"/>
      <c r="D1027" s="18"/>
      <c r="E1027" s="18"/>
      <c r="F1027" s="44"/>
      <c r="G1027" s="44"/>
    </row>
    <row r="1028" spans="1:7" ht="15.75">
      <c r="A1028" s="17"/>
      <c r="B1028" s="18"/>
      <c r="C1028" s="18"/>
      <c r="D1028" s="18"/>
      <c r="E1028" s="18"/>
      <c r="F1028" s="44"/>
      <c r="G1028" s="44"/>
    </row>
    <row r="1029" spans="1:7" ht="15.75">
      <c r="A1029" s="17"/>
      <c r="B1029" s="18"/>
      <c r="C1029" s="18"/>
      <c r="D1029" s="18"/>
      <c r="E1029" s="18"/>
      <c r="F1029" s="44"/>
      <c r="G1029" s="44"/>
    </row>
    <row r="1030" spans="1:7" ht="15.75">
      <c r="A1030" s="17"/>
      <c r="B1030" s="18"/>
      <c r="C1030" s="18"/>
      <c r="D1030" s="18"/>
      <c r="E1030" s="18"/>
      <c r="F1030" s="44"/>
      <c r="G1030" s="44"/>
    </row>
    <row r="1031" spans="1:7" ht="15.75">
      <c r="A1031" s="17"/>
      <c r="B1031" s="18"/>
      <c r="C1031" s="18"/>
      <c r="D1031" s="18"/>
      <c r="E1031" s="18"/>
      <c r="F1031" s="44"/>
      <c r="G1031" s="44"/>
    </row>
    <row r="1032" spans="1:7" ht="15.75">
      <c r="A1032" s="17"/>
      <c r="B1032" s="18"/>
      <c r="C1032" s="18"/>
      <c r="D1032" s="18"/>
      <c r="E1032" s="18"/>
      <c r="F1032" s="44"/>
      <c r="G1032" s="44"/>
    </row>
    <row r="1033" spans="2:5" ht="15.75">
      <c r="B1033" s="19"/>
      <c r="C1033" s="19"/>
      <c r="D1033" s="19"/>
      <c r="E1033" s="19"/>
    </row>
    <row r="1034" spans="2:5" ht="15.75">
      <c r="B1034" s="19"/>
      <c r="C1034" s="19"/>
      <c r="D1034" s="19"/>
      <c r="E1034" s="19"/>
    </row>
    <row r="1035" spans="2:5" ht="15.75">
      <c r="B1035" s="19"/>
      <c r="C1035" s="19"/>
      <c r="D1035" s="19"/>
      <c r="E1035" s="19"/>
    </row>
    <row r="1036" spans="2:5" ht="15.75">
      <c r="B1036" s="19"/>
      <c r="C1036" s="19"/>
      <c r="D1036" s="19"/>
      <c r="E1036" s="19"/>
    </row>
    <row r="1037" spans="2:5" ht="15.75">
      <c r="B1037" s="19"/>
      <c r="C1037" s="19"/>
      <c r="D1037" s="19"/>
      <c r="E1037" s="19"/>
    </row>
    <row r="1038" spans="2:5" ht="15.75">
      <c r="B1038" s="19"/>
      <c r="C1038" s="19"/>
      <c r="D1038" s="19"/>
      <c r="E1038" s="19"/>
    </row>
    <row r="1039" spans="2:5" ht="15.75">
      <c r="B1039" s="19"/>
      <c r="C1039" s="19"/>
      <c r="D1039" s="19"/>
      <c r="E1039" s="19"/>
    </row>
    <row r="1040" spans="2:5" ht="15.75">
      <c r="B1040" s="19"/>
      <c r="C1040" s="19"/>
      <c r="D1040" s="19"/>
      <c r="E1040" s="19"/>
    </row>
    <row r="1041" spans="2:5" ht="15.75">
      <c r="B1041" s="19"/>
      <c r="C1041" s="19"/>
      <c r="D1041" s="19"/>
      <c r="E1041" s="19"/>
    </row>
    <row r="1042" spans="2:5" ht="15.75">
      <c r="B1042" s="19"/>
      <c r="C1042" s="19"/>
      <c r="D1042" s="19"/>
      <c r="E1042" s="19"/>
    </row>
    <row r="1043" spans="2:5" ht="15.75">
      <c r="B1043" s="19"/>
      <c r="C1043" s="19"/>
      <c r="D1043" s="19"/>
      <c r="E1043" s="19"/>
    </row>
    <row r="1044" spans="2:5" ht="15.75">
      <c r="B1044" s="19"/>
      <c r="C1044" s="19"/>
      <c r="D1044" s="19"/>
      <c r="E1044" s="19"/>
    </row>
    <row r="1045" spans="2:5" ht="15.75">
      <c r="B1045" s="19"/>
      <c r="C1045" s="19"/>
      <c r="D1045" s="19"/>
      <c r="E1045" s="19"/>
    </row>
    <row r="1046" spans="2:5" ht="15.75">
      <c r="B1046" s="19"/>
      <c r="C1046" s="19"/>
      <c r="D1046" s="19"/>
      <c r="E1046" s="19"/>
    </row>
    <row r="1047" spans="2:5" ht="15.75">
      <c r="B1047" s="19"/>
      <c r="C1047" s="19"/>
      <c r="D1047" s="19"/>
      <c r="E1047" s="19"/>
    </row>
    <row r="1048" spans="2:5" ht="15.75">
      <c r="B1048" s="19"/>
      <c r="C1048" s="19"/>
      <c r="D1048" s="19"/>
      <c r="E1048" s="19"/>
    </row>
    <row r="1049" spans="2:5" ht="15.75">
      <c r="B1049" s="19"/>
      <c r="C1049" s="19"/>
      <c r="D1049" s="19"/>
      <c r="E1049" s="19"/>
    </row>
    <row r="1050" spans="2:5" ht="15.75">
      <c r="B1050" s="19"/>
      <c r="C1050" s="19"/>
      <c r="D1050" s="19"/>
      <c r="E1050" s="19"/>
    </row>
    <row r="1051" spans="2:5" ht="15.75">
      <c r="B1051" s="19"/>
      <c r="C1051" s="19"/>
      <c r="D1051" s="19"/>
      <c r="E1051" s="19"/>
    </row>
    <row r="1052" spans="2:5" ht="15.75">
      <c r="B1052" s="19"/>
      <c r="C1052" s="19"/>
      <c r="D1052" s="19"/>
      <c r="E1052" s="19"/>
    </row>
    <row r="1053" spans="2:5" ht="15.75">
      <c r="B1053" s="19"/>
      <c r="C1053" s="19"/>
      <c r="D1053" s="19"/>
      <c r="E1053" s="19"/>
    </row>
    <row r="1054" spans="2:5" ht="15.75">
      <c r="B1054" s="19"/>
      <c r="C1054" s="19"/>
      <c r="D1054" s="19"/>
      <c r="E1054" s="19"/>
    </row>
    <row r="1055" spans="2:5" ht="15.75">
      <c r="B1055" s="19"/>
      <c r="C1055" s="19"/>
      <c r="D1055" s="19"/>
      <c r="E1055" s="19"/>
    </row>
    <row r="1056" spans="2:5" ht="15.75">
      <c r="B1056" s="19"/>
      <c r="C1056" s="19"/>
      <c r="D1056" s="19"/>
      <c r="E1056" s="19"/>
    </row>
    <row r="1057" spans="2:5" ht="15.75">
      <c r="B1057" s="19"/>
      <c r="C1057" s="19"/>
      <c r="D1057" s="19"/>
      <c r="E1057" s="19"/>
    </row>
    <row r="1058" spans="2:5" ht="15.75">
      <c r="B1058" s="19"/>
      <c r="C1058" s="19"/>
      <c r="D1058" s="19"/>
      <c r="E1058" s="19"/>
    </row>
    <row r="1059" spans="2:5" ht="15.75">
      <c r="B1059" s="19"/>
      <c r="C1059" s="19"/>
      <c r="D1059" s="19"/>
      <c r="E1059" s="19"/>
    </row>
    <row r="1060" spans="2:5" ht="15.75">
      <c r="B1060" s="19"/>
      <c r="C1060" s="19"/>
      <c r="D1060" s="19"/>
      <c r="E1060" s="19"/>
    </row>
    <row r="1061" spans="2:5" ht="15.75">
      <c r="B1061" s="19"/>
      <c r="C1061" s="19"/>
      <c r="D1061" s="19"/>
      <c r="E1061" s="19"/>
    </row>
    <row r="1062" spans="2:5" ht="15.75">
      <c r="B1062" s="19"/>
      <c r="C1062" s="19"/>
      <c r="D1062" s="19"/>
      <c r="E1062" s="19"/>
    </row>
    <row r="1063" spans="2:5" ht="15.75">
      <c r="B1063" s="19"/>
      <c r="C1063" s="19"/>
      <c r="D1063" s="19"/>
      <c r="E1063" s="19"/>
    </row>
    <row r="1064" spans="2:5" ht="15.75">
      <c r="B1064" s="19"/>
      <c r="C1064" s="19"/>
      <c r="D1064" s="19"/>
      <c r="E1064" s="19"/>
    </row>
    <row r="1065" spans="2:5" ht="15.75">
      <c r="B1065" s="19"/>
      <c r="C1065" s="19"/>
      <c r="D1065" s="19"/>
      <c r="E1065" s="19"/>
    </row>
    <row r="1066" spans="2:5" ht="15.75">
      <c r="B1066" s="19"/>
      <c r="C1066" s="19"/>
      <c r="D1066" s="19"/>
      <c r="E1066" s="19"/>
    </row>
    <row r="1067" spans="2:5" ht="15.75">
      <c r="B1067" s="19"/>
      <c r="C1067" s="19"/>
      <c r="D1067" s="19"/>
      <c r="E1067" s="19"/>
    </row>
    <row r="1068" spans="2:5" ht="15.75">
      <c r="B1068" s="19"/>
      <c r="C1068" s="19"/>
      <c r="D1068" s="19"/>
      <c r="E1068" s="19"/>
    </row>
    <row r="1069" spans="2:5" ht="15.75">
      <c r="B1069" s="19"/>
      <c r="C1069" s="19"/>
      <c r="D1069" s="19"/>
      <c r="E1069" s="19"/>
    </row>
    <row r="1070" spans="2:5" ht="15.75">
      <c r="B1070" s="19"/>
      <c r="C1070" s="19"/>
      <c r="D1070" s="19"/>
      <c r="E1070" s="19"/>
    </row>
    <row r="1071" spans="2:5" ht="15.75">
      <c r="B1071" s="19"/>
      <c r="C1071" s="19"/>
      <c r="D1071" s="19"/>
      <c r="E1071" s="19"/>
    </row>
    <row r="1072" spans="2:5" ht="15.75">
      <c r="B1072" s="19"/>
      <c r="C1072" s="19"/>
      <c r="D1072" s="19"/>
      <c r="E1072" s="19"/>
    </row>
    <row r="1073" spans="2:5" ht="15.75">
      <c r="B1073" s="19"/>
      <c r="C1073" s="19"/>
      <c r="D1073" s="19"/>
      <c r="E1073" s="19"/>
    </row>
    <row r="1074" spans="2:5" ht="15.75">
      <c r="B1074" s="19"/>
      <c r="C1074" s="19"/>
      <c r="D1074" s="19"/>
      <c r="E1074" s="19"/>
    </row>
    <row r="1075" spans="2:5" ht="15.75">
      <c r="B1075" s="19"/>
      <c r="C1075" s="19"/>
      <c r="D1075" s="19"/>
      <c r="E1075" s="19"/>
    </row>
    <row r="1076" spans="2:5" ht="15.75">
      <c r="B1076" s="19"/>
      <c r="C1076" s="19"/>
      <c r="D1076" s="19"/>
      <c r="E1076" s="19"/>
    </row>
    <row r="1077" spans="2:5" ht="15.75">
      <c r="B1077" s="19"/>
      <c r="C1077" s="19"/>
      <c r="D1077" s="19"/>
      <c r="E1077" s="19"/>
    </row>
    <row r="1078" spans="2:5" ht="15.75">
      <c r="B1078" s="19"/>
      <c r="C1078" s="19"/>
      <c r="D1078" s="19"/>
      <c r="E1078" s="19"/>
    </row>
    <row r="1079" spans="2:5" ht="15.75">
      <c r="B1079" s="19"/>
      <c r="C1079" s="19"/>
      <c r="D1079" s="19"/>
      <c r="E1079" s="19"/>
    </row>
    <row r="1080" spans="2:5" ht="15.75">
      <c r="B1080" s="19"/>
      <c r="C1080" s="19"/>
      <c r="D1080" s="19"/>
      <c r="E1080" s="19"/>
    </row>
    <row r="1081" spans="2:5" ht="15.75">
      <c r="B1081" s="19"/>
      <c r="C1081" s="19"/>
      <c r="D1081" s="19"/>
      <c r="E1081" s="19"/>
    </row>
    <row r="1082" spans="2:5" ht="15.75">
      <c r="B1082" s="19"/>
      <c r="C1082" s="19"/>
      <c r="D1082" s="19"/>
      <c r="E1082" s="19"/>
    </row>
    <row r="1083" spans="2:5" ht="15.75">
      <c r="B1083" s="19"/>
      <c r="C1083" s="19"/>
      <c r="D1083" s="19"/>
      <c r="E1083" s="19"/>
    </row>
    <row r="1084" spans="2:5" ht="15.75">
      <c r="B1084" s="19"/>
      <c r="C1084" s="19"/>
      <c r="D1084" s="19"/>
      <c r="E1084" s="19"/>
    </row>
    <row r="1085" spans="2:5" ht="15.75">
      <c r="B1085" s="19"/>
      <c r="C1085" s="19"/>
      <c r="D1085" s="19"/>
      <c r="E1085" s="19"/>
    </row>
    <row r="1086" spans="2:5" ht="15.75">
      <c r="B1086" s="19"/>
      <c r="C1086" s="19"/>
      <c r="D1086" s="19"/>
      <c r="E1086" s="19"/>
    </row>
    <row r="1087" spans="2:5" ht="15.75">
      <c r="B1087" s="19"/>
      <c r="C1087" s="19"/>
      <c r="D1087" s="19"/>
      <c r="E1087" s="19"/>
    </row>
    <row r="1088" spans="2:5" ht="15.75">
      <c r="B1088" s="19"/>
      <c r="C1088" s="19"/>
      <c r="D1088" s="19"/>
      <c r="E1088" s="19"/>
    </row>
    <row r="1089" spans="2:5" ht="15.75">
      <c r="B1089" s="19"/>
      <c r="C1089" s="19"/>
      <c r="D1089" s="19"/>
      <c r="E1089" s="19"/>
    </row>
    <row r="1090" spans="2:5" ht="15.75">
      <c r="B1090" s="19"/>
      <c r="C1090" s="19"/>
      <c r="D1090" s="19"/>
      <c r="E1090" s="19"/>
    </row>
    <row r="1091" spans="2:5" ht="15.75">
      <c r="B1091" s="19"/>
      <c r="C1091" s="19"/>
      <c r="D1091" s="19"/>
      <c r="E1091" s="19"/>
    </row>
    <row r="1092" spans="2:5" ht="15.75">
      <c r="B1092" s="19"/>
      <c r="C1092" s="19"/>
      <c r="D1092" s="19"/>
      <c r="E1092" s="19"/>
    </row>
    <row r="1093" spans="2:5" ht="15.75">
      <c r="B1093" s="19"/>
      <c r="C1093" s="19"/>
      <c r="D1093" s="19"/>
      <c r="E1093" s="19"/>
    </row>
    <row r="1094" spans="2:5" ht="15.75">
      <c r="B1094" s="19"/>
      <c r="C1094" s="19"/>
      <c r="D1094" s="19"/>
      <c r="E1094" s="19"/>
    </row>
    <row r="1095" spans="2:5" ht="15.75">
      <c r="B1095" s="19"/>
      <c r="C1095" s="19"/>
      <c r="D1095" s="19"/>
      <c r="E1095" s="19"/>
    </row>
    <row r="1096" spans="2:5" ht="15.75">
      <c r="B1096" s="19"/>
      <c r="C1096" s="19"/>
      <c r="D1096" s="19"/>
      <c r="E1096" s="19"/>
    </row>
    <row r="1097" spans="2:5" ht="15.75">
      <c r="B1097" s="19"/>
      <c r="C1097" s="19"/>
      <c r="D1097" s="19"/>
      <c r="E1097" s="19"/>
    </row>
    <row r="1098" spans="2:5" ht="15.75">
      <c r="B1098" s="19"/>
      <c r="C1098" s="19"/>
      <c r="D1098" s="19"/>
      <c r="E1098" s="19"/>
    </row>
    <row r="1099" spans="2:5" ht="15.75">
      <c r="B1099" s="19"/>
      <c r="C1099" s="19"/>
      <c r="D1099" s="19"/>
      <c r="E1099" s="19"/>
    </row>
  </sheetData>
  <sheetProtection/>
  <mergeCells count="9">
    <mergeCell ref="A7:G7"/>
    <mergeCell ref="D5:E5"/>
    <mergeCell ref="F5:G5"/>
    <mergeCell ref="D1:E1"/>
    <mergeCell ref="F1:G1"/>
    <mergeCell ref="D2:G2"/>
    <mergeCell ref="D3:E3"/>
    <mergeCell ref="F3:G3"/>
    <mergeCell ref="D4:G4"/>
  </mergeCells>
  <printOptions horizontalCentered="1"/>
  <pageMargins left="0.7874015748031497" right="0.5905511811023623" top="0.35" bottom="0.17" header="0.5118110236220472" footer="0.23"/>
  <pageSetup fitToHeight="50" horizontalDpi="600" verticalDpi="600" orientation="portrait" paperSize="9" scale="75" r:id="rId1"/>
  <headerFooter alignWithMargins="0">
    <oddFooter>&amp;CСтраница &amp;P&amp;R&amp;A</oddFooter>
  </headerFooter>
  <rowBreaks count="16" manualBreakCount="16">
    <brk id="22" max="255" man="1"/>
    <brk id="111" max="255" man="1"/>
    <brk id="128" max="255" man="1"/>
    <brk id="169" max="255" man="1"/>
    <brk id="244" max="255" man="1"/>
    <brk id="351" max="255" man="1"/>
    <brk id="376" max="255" man="1"/>
    <brk id="423" max="255" man="1"/>
    <brk id="452" max="255" man="1"/>
    <brk id="472" max="255" man="1"/>
    <brk id="493" max="255" man="1"/>
    <brk id="587" max="255" man="1"/>
    <brk id="601" max="255" man="1"/>
    <brk id="727" max="255" man="1"/>
    <brk id="743" max="255" man="1"/>
    <brk id="83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
      <selection activeCell="F8" sqref="F8"/>
    </sheetView>
  </sheetViews>
  <sheetFormatPr defaultColWidth="9.00390625" defaultRowHeight="12.75"/>
  <cols>
    <col min="1" max="1" width="11.375" style="22" customWidth="1"/>
    <col min="2" max="2" width="33.25390625" style="65" customWidth="1"/>
    <col min="3" max="3" width="19.125" style="12" customWidth="1"/>
    <col min="4" max="4" width="21.625" style="12" customWidth="1"/>
    <col min="5" max="5" width="20.875" style="12" customWidth="1"/>
    <col min="6" max="6" width="19.75390625" style="26" customWidth="1"/>
    <col min="7" max="7" width="18.75390625" style="12" customWidth="1"/>
    <col min="8" max="8" width="9.125" style="12" customWidth="1"/>
    <col min="9" max="9" width="24.625" style="12" customWidth="1"/>
    <col min="10" max="10" width="16.125" style="12" customWidth="1"/>
    <col min="11" max="16384" width="9.125" style="12" customWidth="1"/>
  </cols>
  <sheetData>
    <row r="1" spans="2:5" ht="15.75">
      <c r="B1" s="95"/>
      <c r="C1" s="95"/>
      <c r="D1" s="95" t="s">
        <v>27</v>
      </c>
      <c r="E1" s="95"/>
    </row>
    <row r="2" spans="2:5" ht="15.75">
      <c r="B2" s="95" t="s">
        <v>246</v>
      </c>
      <c r="C2" s="95"/>
      <c r="D2" s="95"/>
      <c r="E2" s="95"/>
    </row>
    <row r="3" spans="2:5" ht="15.75">
      <c r="B3" s="95"/>
      <c r="C3" s="95"/>
      <c r="D3" s="95" t="s">
        <v>179</v>
      </c>
      <c r="E3" s="95"/>
    </row>
    <row r="4" spans="2:5" ht="15.75">
      <c r="B4" s="95" t="s">
        <v>180</v>
      </c>
      <c r="C4" s="95"/>
      <c r="D4" s="95"/>
      <c r="E4" s="95"/>
    </row>
    <row r="5" spans="2:5" ht="15.75">
      <c r="B5" s="95"/>
      <c r="C5" s="95"/>
      <c r="D5" s="95" t="s">
        <v>468</v>
      </c>
      <c r="E5" s="95"/>
    </row>
    <row r="7" spans="1:5" ht="54" customHeight="1">
      <c r="A7" s="97" t="s">
        <v>28</v>
      </c>
      <c r="B7" s="98"/>
      <c r="C7" s="98"/>
      <c r="D7" s="98"/>
      <c r="E7" s="98"/>
    </row>
    <row r="8" ht="15.75">
      <c r="E8" s="41" t="s">
        <v>286</v>
      </c>
    </row>
    <row r="9" spans="1:5" ht="31.5" customHeight="1">
      <c r="A9" s="106" t="s">
        <v>29</v>
      </c>
      <c r="B9" s="108" t="s">
        <v>253</v>
      </c>
      <c r="C9" s="103" t="s">
        <v>254</v>
      </c>
      <c r="D9" s="104"/>
      <c r="E9" s="105"/>
    </row>
    <row r="10" spans="1:5" ht="15.75">
      <c r="A10" s="107"/>
      <c r="B10" s="109"/>
      <c r="C10" s="15">
        <v>2014</v>
      </c>
      <c r="D10" s="15">
        <v>2015</v>
      </c>
      <c r="E10" s="64">
        <v>2016</v>
      </c>
    </row>
    <row r="11" spans="1:5" ht="15.75">
      <c r="A11" s="15">
        <v>1</v>
      </c>
      <c r="B11" s="15">
        <v>2</v>
      </c>
      <c r="C11" s="15">
        <v>3</v>
      </c>
      <c r="D11" s="15">
        <v>4</v>
      </c>
      <c r="E11" s="15">
        <v>5</v>
      </c>
    </row>
    <row r="12" spans="1:9" s="43" customFormat="1" ht="54" customHeight="1">
      <c r="A12" s="110" t="s">
        <v>331</v>
      </c>
      <c r="B12" s="111"/>
      <c r="C12" s="46">
        <f>C13+C14</f>
        <v>1585568374.7</v>
      </c>
      <c r="D12" s="46">
        <f>D13+D14</f>
        <v>1392783654.71</v>
      </c>
      <c r="E12" s="46">
        <f>E13+E14</f>
        <v>1287549099</v>
      </c>
      <c r="F12" s="26"/>
      <c r="G12" s="26"/>
      <c r="I12" s="85"/>
    </row>
    <row r="13" spans="1:7" s="43" customFormat="1" ht="54" customHeight="1">
      <c r="A13" s="60">
        <v>915</v>
      </c>
      <c r="B13" s="55" t="s">
        <v>249</v>
      </c>
      <c r="C13" s="67">
        <f>прил7!G379+прил7!G385</f>
        <v>340807502.75</v>
      </c>
      <c r="D13" s="67">
        <f>'[3]прил 7_1'!$G$285+'[3]прил 7_1'!$G$292</f>
        <v>160958985.71</v>
      </c>
      <c r="E13" s="67">
        <f>'[1]прил 7_1'!$I$285+'[1]прил 7_1'!$I$292</f>
        <v>0</v>
      </c>
      <c r="F13" s="26"/>
      <c r="G13" s="26"/>
    </row>
    <row r="14" spans="1:7" s="43" customFormat="1" ht="47.25">
      <c r="A14" s="15">
        <v>918</v>
      </c>
      <c r="B14" s="68" t="s">
        <v>68</v>
      </c>
      <c r="C14" s="67">
        <f>прил7!G473+прил7!G494+прил7!G517+прил7!G524+прил7!G556+прил7!G441+прил7!G577</f>
        <v>1244760871.95</v>
      </c>
      <c r="D14" s="67">
        <f>'[3]прил 7_1'!$G$332+'[3]прил 7_1'!$G$353+'[3]прил 7_1'!$G$364+'[3]прил 7_1'!$G$378+'[3]прил 7_1'!$G$386+'[3]прил 7_1'!$G$423+'[3]прил 7_1'!$G$444</f>
        <v>1231824669</v>
      </c>
      <c r="E14" s="67">
        <f>'[1]прил 7_1'!$I$332+'[1]прил 7_1'!$I$353+'[1]прил 7_1'!$I$364+'[1]прил 7_1'!$I$378+'[1]прил 7_1'!$I$386+'[1]прил 7_1'!$I$423+'[1]прил 7_1'!$I$444</f>
        <v>1287549099</v>
      </c>
      <c r="F14" s="26"/>
      <c r="G14" s="26"/>
    </row>
    <row r="15" spans="1:9" s="43" customFormat="1" ht="70.5" customHeight="1">
      <c r="A15" s="112" t="s">
        <v>324</v>
      </c>
      <c r="B15" s="113"/>
      <c r="C15" s="69">
        <f>C16+C17+C18</f>
        <v>5385973</v>
      </c>
      <c r="D15" s="69">
        <f>D16+D17+D18</f>
        <v>1550824</v>
      </c>
      <c r="E15" s="69">
        <f>E16+E17+E18</f>
        <v>6582756</v>
      </c>
      <c r="F15" s="26"/>
      <c r="G15" s="26"/>
      <c r="I15" s="85"/>
    </row>
    <row r="16" spans="1:7" s="43" customFormat="1" ht="94.5">
      <c r="A16" s="15">
        <v>914</v>
      </c>
      <c r="B16" s="68" t="s">
        <v>248</v>
      </c>
      <c r="C16" s="67">
        <f>прил7!G78</f>
        <v>892800</v>
      </c>
      <c r="D16" s="67">
        <f>'[1]прил 7_1'!$G$66</f>
        <v>680824</v>
      </c>
      <c r="E16" s="67">
        <f>'[1]прил 7_1'!$I$66</f>
        <v>1282756</v>
      </c>
      <c r="F16" s="26"/>
      <c r="G16" s="26"/>
    </row>
    <row r="17" spans="1:7" s="43" customFormat="1" ht="47.25">
      <c r="A17" s="15">
        <v>918</v>
      </c>
      <c r="B17" s="68" t="s">
        <v>68</v>
      </c>
      <c r="C17" s="67">
        <f>прил7!G488+прил7!G511</f>
        <v>2500000</v>
      </c>
      <c r="D17" s="67">
        <v>0</v>
      </c>
      <c r="E17" s="67">
        <f>'[1]прил 7_1'!$I$374</f>
        <v>2550000</v>
      </c>
      <c r="F17" s="26"/>
      <c r="G17" s="12"/>
    </row>
    <row r="18" spans="1:7" s="43" customFormat="1" ht="63">
      <c r="A18" s="15">
        <v>919</v>
      </c>
      <c r="B18" s="68" t="s">
        <v>292</v>
      </c>
      <c r="C18" s="67">
        <f>прил7!G620+прил7!G663</f>
        <v>1993173</v>
      </c>
      <c r="D18" s="67">
        <f>'[1]прил 7_1'!$G$479+'[1]прил 7_1'!$G$518</f>
        <v>870000</v>
      </c>
      <c r="E18" s="67">
        <f>'[1]прил 7_1'!$I$479+'[1]прил 7_1'!$I$518</f>
        <v>2750000</v>
      </c>
      <c r="F18" s="26"/>
      <c r="G18" s="12"/>
    </row>
    <row r="19" spans="1:9" s="43" customFormat="1" ht="75" customHeight="1">
      <c r="A19" s="112" t="s">
        <v>343</v>
      </c>
      <c r="B19" s="113"/>
      <c r="C19" s="69">
        <f>C23+C22+C20+C21</f>
        <v>21700494</v>
      </c>
      <c r="D19" s="69">
        <f>D23+D22+D20+D21</f>
        <v>18178200</v>
      </c>
      <c r="E19" s="69">
        <f>E23+E22+E20+E21</f>
        <v>18532049</v>
      </c>
      <c r="F19" s="26"/>
      <c r="G19" s="26"/>
      <c r="I19" s="85"/>
    </row>
    <row r="20" spans="1:7" s="43" customFormat="1" ht="96.75" customHeight="1">
      <c r="A20" s="15">
        <v>914</v>
      </c>
      <c r="B20" s="68" t="s">
        <v>248</v>
      </c>
      <c r="C20" s="67">
        <f>прил7!G84</f>
        <v>5000</v>
      </c>
      <c r="D20" s="67">
        <f>'[1]прил 7_1'!$G$71</f>
        <v>5000</v>
      </c>
      <c r="E20" s="67">
        <f>'[1]прил 7_1'!$I$71</f>
        <v>0</v>
      </c>
      <c r="F20" s="26"/>
      <c r="G20" s="26"/>
    </row>
    <row r="21" spans="1:7" s="43" customFormat="1" ht="57" customHeight="1">
      <c r="A21" s="60">
        <v>915</v>
      </c>
      <c r="B21" s="55" t="s">
        <v>249</v>
      </c>
      <c r="C21" s="67">
        <f>прил7!G403+прил7!G404</f>
        <v>2965800</v>
      </c>
      <c r="D21" s="67">
        <f>'[1]прил 7_1'!$G$304</f>
        <v>0</v>
      </c>
      <c r="E21" s="67">
        <f>'[1]прил 7_1'!$I$304</f>
        <v>0</v>
      </c>
      <c r="F21" s="26"/>
      <c r="G21" s="12"/>
    </row>
    <row r="22" spans="1:6" s="16" customFormat="1" ht="47.25">
      <c r="A22" s="15">
        <v>918</v>
      </c>
      <c r="B22" s="68" t="s">
        <v>68</v>
      </c>
      <c r="C22" s="67">
        <f>прил7!G541</f>
        <v>61750</v>
      </c>
      <c r="D22" s="67">
        <f>'[1]прил 7_1'!$G$408</f>
        <v>58662</v>
      </c>
      <c r="E22" s="67">
        <f>'[1]прил 7_1'!$I$408</f>
        <v>0</v>
      </c>
      <c r="F22" s="48"/>
    </row>
    <row r="23" spans="1:5" ht="63">
      <c r="A23" s="15">
        <v>919</v>
      </c>
      <c r="B23" s="68" t="s">
        <v>292</v>
      </c>
      <c r="C23" s="67">
        <f>прил7!G729+прил7!G724+прил7!G670+прил7!G640</f>
        <v>18667944</v>
      </c>
      <c r="D23" s="67">
        <f>'[1]прил 7_1'!$G$495+'[1]прил 7_1'!$G$523+'[1]прил 7_1'!$G$574+'[1]прил 7_1'!$G$579</f>
        <v>18114538</v>
      </c>
      <c r="E23" s="67">
        <f>'[1]прил 7_1'!$I$579+'[1]прил 7_1'!$I$574+'[1]прил 7_1'!$I$523+'[1]прил 7_1'!$I$495</f>
        <v>18532049</v>
      </c>
    </row>
    <row r="24" spans="1:9" ht="72.75" customHeight="1">
      <c r="A24" s="114" t="s">
        <v>50</v>
      </c>
      <c r="B24" s="115"/>
      <c r="C24" s="69">
        <f>C25+C26</f>
        <v>232272045.43000004</v>
      </c>
      <c r="D24" s="69">
        <f>D25+D26</f>
        <v>220645725</v>
      </c>
      <c r="E24" s="69">
        <f>E25+E26</f>
        <v>225086604</v>
      </c>
      <c r="G24" s="26"/>
      <c r="I24" s="26"/>
    </row>
    <row r="25" spans="1:7" ht="63">
      <c r="A25" s="60">
        <v>915</v>
      </c>
      <c r="B25" s="55" t="s">
        <v>249</v>
      </c>
      <c r="C25" s="67">
        <f>прил7!G214</f>
        <v>1870000</v>
      </c>
      <c r="D25" s="67">
        <f>'[1]прил 7_1'!$G$173</f>
        <v>0</v>
      </c>
      <c r="E25" s="67">
        <f>'[1]прил 7_1'!$I$173</f>
        <v>0</v>
      </c>
      <c r="G25" s="26"/>
    </row>
    <row r="26" spans="1:5" ht="63">
      <c r="A26" s="15">
        <v>919</v>
      </c>
      <c r="B26" s="68" t="s">
        <v>292</v>
      </c>
      <c r="C26" s="67">
        <f>прил7!G625+прил7!G674+прил7!G711</f>
        <v>230402045.43000004</v>
      </c>
      <c r="D26" s="67">
        <f>'[1]прил 7_1'!$G$482+'[1]прил 7_1'!$G$527+'[1]прил 7_1'!$G$561</f>
        <v>220645725</v>
      </c>
      <c r="E26" s="67">
        <f>'[1]прил 7_1'!$I$561+'[1]прил 7_1'!$I$527+'[1]прил 7_1'!$I$482</f>
        <v>225086604</v>
      </c>
    </row>
    <row r="27" spans="1:9" ht="83.25" customHeight="1">
      <c r="A27" s="114" t="s">
        <v>34</v>
      </c>
      <c r="B27" s="115"/>
      <c r="C27" s="69">
        <f>C28+C29</f>
        <v>151101392.26</v>
      </c>
      <c r="D27" s="69">
        <f>D28+D29</f>
        <v>98556197</v>
      </c>
      <c r="E27" s="69">
        <f>E28+E29</f>
        <v>82529443</v>
      </c>
      <c r="G27" s="26"/>
      <c r="I27" s="26"/>
    </row>
    <row r="28" spans="1:7" ht="94.5">
      <c r="A28" s="15">
        <v>914</v>
      </c>
      <c r="B28" s="68" t="s">
        <v>248</v>
      </c>
      <c r="C28" s="67">
        <f>прил7!G157</f>
        <v>33424500</v>
      </c>
      <c r="D28" s="67">
        <f>'[1]прил 7_1'!$G$122</f>
        <v>34665130</v>
      </c>
      <c r="E28" s="67">
        <f>'[1]прил 7_1'!$I$122</f>
        <v>32996204</v>
      </c>
      <c r="G28" s="26"/>
    </row>
    <row r="29" spans="1:5" ht="63">
      <c r="A29" s="60">
        <v>915</v>
      </c>
      <c r="B29" s="55" t="s">
        <v>249</v>
      </c>
      <c r="C29" s="67">
        <f>прил7!G304+прил7!G322+прил7!G334+прил7!G353</f>
        <v>117676892.25999999</v>
      </c>
      <c r="D29" s="67">
        <f>'[1]прил 7_1'!$G$225+'[1]прил 7_1'!$G$235+'[1]прил 7_1'!$G$247+'[1]прил 7_1'!$G$266</f>
        <v>63891067</v>
      </c>
      <c r="E29" s="67">
        <f>'[1]прил 7_1'!$I$266+'[1]прил 7_1'!$I$247+'[1]прил 7_1'!$I$235+'[1]прил 7_1'!$I$225</f>
        <v>49533239</v>
      </c>
    </row>
    <row r="30" spans="1:9" ht="63" customHeight="1">
      <c r="A30" s="112" t="s">
        <v>115</v>
      </c>
      <c r="B30" s="113"/>
      <c r="C30" s="69">
        <f>C31+C32+C33+C34</f>
        <v>51514237.410000004</v>
      </c>
      <c r="D30" s="69">
        <f>D31+D32+D33+D34</f>
        <v>38557223</v>
      </c>
      <c r="E30" s="69">
        <f>E31+E32+E33+E34</f>
        <v>39039731</v>
      </c>
      <c r="G30" s="26"/>
      <c r="I30" s="26"/>
    </row>
    <row r="31" spans="1:7" ht="94.5">
      <c r="A31" s="15">
        <v>914</v>
      </c>
      <c r="B31" s="68" t="s">
        <v>248</v>
      </c>
      <c r="C31" s="67">
        <f>прил7!G141</f>
        <v>47200040.89</v>
      </c>
      <c r="D31" s="67">
        <f>'[1]прил 7_1'!$G$111</f>
        <v>37319307</v>
      </c>
      <c r="E31" s="67">
        <f>'[1]прил 7_1'!$I$111</f>
        <v>37819681</v>
      </c>
      <c r="G31" s="26"/>
    </row>
    <row r="32" spans="1:5" ht="57" customHeight="1">
      <c r="A32" s="60">
        <v>915</v>
      </c>
      <c r="B32" s="55" t="s">
        <v>249</v>
      </c>
      <c r="C32" s="67">
        <f>прил7!G220+прил7!G261</f>
        <v>3068116.52</v>
      </c>
      <c r="D32" s="67">
        <v>0</v>
      </c>
      <c r="E32" s="67">
        <v>0</v>
      </c>
    </row>
    <row r="33" spans="1:5" ht="47.25">
      <c r="A33" s="15">
        <v>918</v>
      </c>
      <c r="B33" s="68" t="s">
        <v>68</v>
      </c>
      <c r="C33" s="67">
        <f>прил7!G545+прил7!G463</f>
        <v>1004448</v>
      </c>
      <c r="D33" s="67">
        <f>'[1]прил 7_1'!$G$340+'[1]прил 7_1'!$G$412</f>
        <v>988316</v>
      </c>
      <c r="E33" s="67">
        <f>'[1]прил 7_1'!$I$412+'[1]прил 7_1'!$I$340</f>
        <v>947910</v>
      </c>
    </row>
    <row r="34" spans="1:5" ht="63">
      <c r="A34" s="15">
        <v>919</v>
      </c>
      <c r="B34" s="68" t="s">
        <v>292</v>
      </c>
      <c r="C34" s="67">
        <f>прил7!G652+прил7!G700</f>
        <v>241632</v>
      </c>
      <c r="D34" s="67">
        <f>'[1]прил 7_1'!$G$550+'[1]прил 7_1'!$G$507</f>
        <v>249600</v>
      </c>
      <c r="E34" s="67">
        <f>'[1]прил 7_1'!$I$507+'[1]прил 7_1'!$I$550</f>
        <v>272140</v>
      </c>
    </row>
    <row r="35" spans="1:9" ht="54.75" customHeight="1">
      <c r="A35" s="114" t="s">
        <v>0</v>
      </c>
      <c r="B35" s="115"/>
      <c r="C35" s="69">
        <f>C36</f>
        <v>859086.3700000001</v>
      </c>
      <c r="D35" s="69">
        <f>D36</f>
        <v>1120000</v>
      </c>
      <c r="E35" s="69">
        <f>E36</f>
        <v>5369000</v>
      </c>
      <c r="G35" s="26"/>
      <c r="I35" s="26"/>
    </row>
    <row r="36" spans="1:7" ht="63">
      <c r="A36" s="60">
        <v>915</v>
      </c>
      <c r="B36" s="55" t="s">
        <v>249</v>
      </c>
      <c r="C36" s="67">
        <f>прил7!G374+прил7!G369</f>
        <v>859086.3700000001</v>
      </c>
      <c r="D36" s="67">
        <f>'[1]прил 7_1'!$G$280</f>
        <v>1120000</v>
      </c>
      <c r="E36" s="67">
        <f>'[1]прил 7_1'!$I$280</f>
        <v>5369000</v>
      </c>
      <c r="G36" s="26"/>
    </row>
    <row r="37" spans="1:7" ht="60" customHeight="1">
      <c r="A37" s="114" t="s">
        <v>242</v>
      </c>
      <c r="B37" s="115"/>
      <c r="C37" s="69">
        <f>C38</f>
        <v>110897135.6</v>
      </c>
      <c r="D37" s="69">
        <f>D38</f>
        <v>30929118.57</v>
      </c>
      <c r="E37" s="69">
        <f>E38</f>
        <v>61248200</v>
      </c>
      <c r="G37" s="26"/>
    </row>
    <row r="38" spans="1:7" ht="63">
      <c r="A38" s="60">
        <v>915</v>
      </c>
      <c r="B38" s="55" t="s">
        <v>249</v>
      </c>
      <c r="C38" s="67">
        <f>прил7!G273</f>
        <v>110897135.6</v>
      </c>
      <c r="D38" s="67">
        <f>'[2]прил 7_1'!$G$197</f>
        <v>30929118.57</v>
      </c>
      <c r="E38" s="67">
        <f>'[1]прил 7_1'!$I$198</f>
        <v>61248200</v>
      </c>
      <c r="G38" s="26"/>
    </row>
    <row r="39" spans="1:7" s="16" customFormat="1" ht="49.5" customHeight="1">
      <c r="A39" s="114" t="s">
        <v>71</v>
      </c>
      <c r="B39" s="115"/>
      <c r="C39" s="69">
        <f>C40+C41+C42</f>
        <v>21413052.75</v>
      </c>
      <c r="D39" s="69">
        <f>D40+D41+D42</f>
        <v>3202462</v>
      </c>
      <c r="E39" s="69">
        <f>E40+E41+E42</f>
        <v>13295839</v>
      </c>
      <c r="F39" s="26"/>
      <c r="G39" s="26"/>
    </row>
    <row r="40" spans="1:7" ht="63">
      <c r="A40" s="60">
        <v>915</v>
      </c>
      <c r="B40" s="55" t="s">
        <v>249</v>
      </c>
      <c r="C40" s="67">
        <f>прил7!G288+прил7!G312+прил7!G226</f>
        <v>9643262.45</v>
      </c>
      <c r="D40" s="67">
        <f>'[1]прил 7_1'!$G$211+'[1]прил 7_1'!$G$229</f>
        <v>110962</v>
      </c>
      <c r="E40" s="67">
        <f>'[1]прил 7_1'!$I$229+'[1]прил 7_1'!$I$211</f>
        <v>1530414</v>
      </c>
      <c r="G40" s="26"/>
    </row>
    <row r="41" spans="1:5" ht="47.25">
      <c r="A41" s="15">
        <v>918</v>
      </c>
      <c r="B41" s="68" t="s">
        <v>68</v>
      </c>
      <c r="C41" s="67">
        <f>прил7!G549</f>
        <v>6613589.77</v>
      </c>
      <c r="D41" s="67">
        <f>'[1]прил 7_1'!$G$416</f>
        <v>2013200</v>
      </c>
      <c r="E41" s="67">
        <f>'[1]прил 7_1'!$I$416</f>
        <v>10687125</v>
      </c>
    </row>
    <row r="42" spans="1:5" ht="63">
      <c r="A42" s="15">
        <v>919</v>
      </c>
      <c r="B42" s="68" t="s">
        <v>292</v>
      </c>
      <c r="C42" s="67">
        <f>прил7!G634+прил7!G656+прил7!G704</f>
        <v>5156200.53</v>
      </c>
      <c r="D42" s="67">
        <f>'[1]прил 7_1'!$G$489+'[1]прил 7_1'!$G$511+'[1]прил 7_1'!$G$554</f>
        <v>1078300</v>
      </c>
      <c r="E42" s="67">
        <f>'[1]прил 7_1'!$I$554+'[1]прил 7_1'!$I$511+'[1]прил 7_1'!$I$489</f>
        <v>1078300</v>
      </c>
    </row>
    <row r="43" spans="1:7" ht="71.25" customHeight="1">
      <c r="A43" s="114" t="s">
        <v>3</v>
      </c>
      <c r="B43" s="115"/>
      <c r="C43" s="69">
        <f>C44</f>
        <v>200000</v>
      </c>
      <c r="D43" s="69">
        <f>D44</f>
        <v>200000</v>
      </c>
      <c r="E43" s="69">
        <f>E44</f>
        <v>200000</v>
      </c>
      <c r="G43" s="26"/>
    </row>
    <row r="44" spans="1:7" ht="63">
      <c r="A44" s="60">
        <v>915</v>
      </c>
      <c r="B44" s="55" t="s">
        <v>249</v>
      </c>
      <c r="C44" s="67">
        <f>прил7!G227</f>
        <v>200000</v>
      </c>
      <c r="D44" s="67">
        <f>'[1]прил 7_1'!$G$179</f>
        <v>200000</v>
      </c>
      <c r="E44" s="67">
        <f>'[1]прил 7_1'!$I$179</f>
        <v>200000</v>
      </c>
      <c r="G44" s="26"/>
    </row>
    <row r="45" spans="1:7" ht="54" customHeight="1">
      <c r="A45" s="114" t="s">
        <v>307</v>
      </c>
      <c r="B45" s="115"/>
      <c r="C45" s="69">
        <f>SUM(C46:C52)</f>
        <v>54238121.79999999</v>
      </c>
      <c r="D45" s="69">
        <f>SUM(D46:D52)</f>
        <v>47446334</v>
      </c>
      <c r="E45" s="69">
        <f>SUM(E46:E52)</f>
        <v>47019544</v>
      </c>
      <c r="G45" s="26"/>
    </row>
    <row r="46" spans="1:7" ht="94.5">
      <c r="A46" s="15">
        <v>913</v>
      </c>
      <c r="B46" s="68" t="s">
        <v>247</v>
      </c>
      <c r="C46" s="67">
        <f>прил7!G41</f>
        <v>210570</v>
      </c>
      <c r="D46" s="67">
        <f>'[1]прил 7_1'!$G$28</f>
        <v>200000</v>
      </c>
      <c r="E46" s="67">
        <f>'[1]прил 7_1'!$I$28</f>
        <v>190000</v>
      </c>
      <c r="G46" s="26"/>
    </row>
    <row r="47" spans="1:5" ht="94.5">
      <c r="A47" s="15">
        <v>914</v>
      </c>
      <c r="B47" s="68" t="s">
        <v>248</v>
      </c>
      <c r="C47" s="67">
        <f>прил7!G88+прил7!G164+прил7!G197</f>
        <v>21742433.82</v>
      </c>
      <c r="D47" s="67">
        <f>'[1]прил 7_1'!$G$75+'[1]прил 7_1'!$G$129+'[1]прил 7_1'!$G$159</f>
        <v>35685481</v>
      </c>
      <c r="E47" s="67">
        <f>'[1]прил 7_1'!$I$159+'[1]прил 7_1'!$I$129+'[1]прил 7_1'!$I$75</f>
        <v>35836533</v>
      </c>
    </row>
    <row r="48" spans="1:5" ht="63">
      <c r="A48" s="60">
        <v>915</v>
      </c>
      <c r="B48" s="55" t="s">
        <v>249</v>
      </c>
      <c r="C48" s="67">
        <f>прил7!G283+прил7!G230</f>
        <v>22702206.499999996</v>
      </c>
      <c r="D48" s="67">
        <f>'[1]прил 7_1'!$G$206</f>
        <v>2337000</v>
      </c>
      <c r="E48" s="67">
        <f>'[1]прил 7_1'!$I$206</f>
        <v>2220150</v>
      </c>
    </row>
    <row r="49" spans="1:5" ht="47.25">
      <c r="A49" s="60">
        <v>916</v>
      </c>
      <c r="B49" s="55" t="s">
        <v>245</v>
      </c>
      <c r="C49" s="67">
        <f>прил7!G426</f>
        <v>420201.44</v>
      </c>
      <c r="D49" s="67">
        <f>'[1]прил 7_1'!$G$319</f>
        <v>396150</v>
      </c>
      <c r="E49" s="67">
        <f>'[1]прил 7_1'!$I$319</f>
        <v>376343</v>
      </c>
    </row>
    <row r="50" spans="1:5" ht="47.25">
      <c r="A50" s="15">
        <v>918</v>
      </c>
      <c r="B50" s="68" t="s">
        <v>68</v>
      </c>
      <c r="C50" s="67">
        <f>прил7!G465</f>
        <v>7001873</v>
      </c>
      <c r="D50" s="67">
        <f>'[1]прил 7_1'!$G$346</f>
        <v>6855732</v>
      </c>
      <c r="E50" s="67">
        <f>'[1]прил 7_1'!$I$346</f>
        <v>6523145</v>
      </c>
    </row>
    <row r="51" spans="1:5" ht="63">
      <c r="A51" s="15">
        <v>919</v>
      </c>
      <c r="B51" s="68" t="s">
        <v>292</v>
      </c>
      <c r="C51" s="67">
        <f>прил7!G612</f>
        <v>2105196.04</v>
      </c>
      <c r="D51" s="67">
        <f>'[1]прил 7_1'!$G$472</f>
        <v>1890746</v>
      </c>
      <c r="E51" s="67">
        <f>'[1]прил 7_1'!$I$472</f>
        <v>1796209</v>
      </c>
    </row>
    <row r="52" spans="1:5" ht="31.5">
      <c r="A52" s="70">
        <v>924</v>
      </c>
      <c r="B52" s="68" t="s">
        <v>178</v>
      </c>
      <c r="C52" s="67">
        <f>прил7!G751</f>
        <v>55641</v>
      </c>
      <c r="D52" s="67">
        <f>'[1]прил 7_1'!$G$600</f>
        <v>81225</v>
      </c>
      <c r="E52" s="67">
        <f>'[1]прил 7_1'!$I$600</f>
        <v>77164</v>
      </c>
    </row>
    <row r="53" spans="1:9" s="16" customFormat="1" ht="102.75" customHeight="1">
      <c r="A53" s="116" t="s">
        <v>6</v>
      </c>
      <c r="B53" s="117"/>
      <c r="C53" s="69">
        <f>C54</f>
        <v>13695921.26</v>
      </c>
      <c r="D53" s="69">
        <f>D54</f>
        <v>11247690</v>
      </c>
      <c r="E53" s="69">
        <f>E54</f>
        <v>12252684</v>
      </c>
      <c r="F53" s="26"/>
      <c r="G53" s="26"/>
      <c r="H53" s="12"/>
      <c r="I53" s="12"/>
    </row>
    <row r="54" spans="1:7" ht="47.25">
      <c r="A54" s="60">
        <v>916</v>
      </c>
      <c r="B54" s="55" t="s">
        <v>245</v>
      </c>
      <c r="C54" s="40">
        <f>прил7!G409+прил7!G433</f>
        <v>13695921.26</v>
      </c>
      <c r="D54" s="67">
        <f>'[2]прил 8_1'!$F$493</f>
        <v>11247690</v>
      </c>
      <c r="E54" s="67">
        <f>'[1]прил 7_1'!$I$310+'[1]прил 7_1'!$I$325</f>
        <v>12252684</v>
      </c>
      <c r="G54" s="26"/>
    </row>
    <row r="55" spans="1:10" ht="69.75" customHeight="1">
      <c r="A55" s="116" t="s">
        <v>313</v>
      </c>
      <c r="B55" s="117"/>
      <c r="C55" s="71">
        <f>SUM(C56:C62)</f>
        <v>207061198.05</v>
      </c>
      <c r="D55" s="71">
        <f>SUM(D56:D62)</f>
        <v>203357245</v>
      </c>
      <c r="E55" s="71">
        <f>SUM(E56:E62)</f>
        <v>204843600</v>
      </c>
      <c r="G55" s="26"/>
      <c r="I55" s="26"/>
      <c r="J55" s="26"/>
    </row>
    <row r="56" spans="1:7" ht="99.75" customHeight="1">
      <c r="A56" s="15">
        <v>913</v>
      </c>
      <c r="B56" s="68" t="s">
        <v>247</v>
      </c>
      <c r="C56" s="40">
        <f>прил7!G31</f>
        <v>227200</v>
      </c>
      <c r="D56" s="67">
        <v>0</v>
      </c>
      <c r="E56" s="67">
        <v>0</v>
      </c>
      <c r="G56" s="26"/>
    </row>
    <row r="57" spans="1:7" ht="94.5">
      <c r="A57" s="15">
        <v>914</v>
      </c>
      <c r="B57" s="68" t="s">
        <v>248</v>
      </c>
      <c r="C57" s="40">
        <f>прил7!G48+прил7!G98+прил7!G135+прил7!G177+прил7!G187</f>
        <v>74517196.59</v>
      </c>
      <c r="D57" s="67">
        <f>'[1]прил 7_1'!$G$35+'[1]прил 7_1'!$G$84+'[1]прил 7_1'!$G$105+'[1]прил 7_1'!$G$140+'[1]прил 7_1'!$G$150</f>
        <v>74062518</v>
      </c>
      <c r="E57" s="67">
        <f>'[1]прил 7_1'!$I$150+'[1]прил 7_1'!$I$140+'[1]прил 7_1'!$I$105+'[1]прил 7_1'!$I$84+'[1]прил 7_1'!$I$35</f>
        <v>74703721</v>
      </c>
      <c r="G57" s="26"/>
    </row>
    <row r="58" spans="1:5" ht="63">
      <c r="A58" s="60">
        <v>915</v>
      </c>
      <c r="B58" s="55" t="s">
        <v>249</v>
      </c>
      <c r="C58" s="40">
        <f>прил7!G204+прил7!G240+прил7!G291+прил7!G364+прил7!G394</f>
        <v>124281372.46</v>
      </c>
      <c r="D58" s="67">
        <f>'[1]прил 7_1'!$G$166+'[1]прил 7_1'!$G$182+'[1]прил 7_1'!$G$214+'[1]прил 7_1'!$G$274+'[1]прил 7_1'!$G$298</f>
        <v>122141352</v>
      </c>
      <c r="E58" s="67">
        <f>'[1]прил 7_1'!$I$298+'[1]прил 7_1'!$I$274+'[1]прил 7_1'!$I$214+'[1]прил 7_1'!$I$182+'[1]прил 7_1'!$I$166</f>
        <v>122986504</v>
      </c>
    </row>
    <row r="59" spans="1:5" ht="47.25">
      <c r="A59" s="60">
        <v>916</v>
      </c>
      <c r="B59" s="55" t="s">
        <v>245</v>
      </c>
      <c r="C59" s="40">
        <f>прил7!G419</f>
        <v>142100</v>
      </c>
      <c r="D59" s="67">
        <v>0</v>
      </c>
      <c r="E59" s="67">
        <v>0</v>
      </c>
    </row>
    <row r="60" spans="1:5" ht="47.25">
      <c r="A60" s="60">
        <v>918</v>
      </c>
      <c r="B60" s="68" t="s">
        <v>68</v>
      </c>
      <c r="C60" s="40">
        <f>прил7!G453</f>
        <v>515400</v>
      </c>
      <c r="D60" s="67">
        <v>0</v>
      </c>
      <c r="E60" s="67">
        <v>0</v>
      </c>
    </row>
    <row r="61" spans="1:5" ht="63">
      <c r="A61" s="15">
        <v>919</v>
      </c>
      <c r="B61" s="68" t="s">
        <v>292</v>
      </c>
      <c r="C61" s="67">
        <f>прил7!G597+прил7!G607</f>
        <v>7286829</v>
      </c>
      <c r="D61" s="67">
        <f>'[1]прил 7_1'!$G$464</f>
        <v>7153375</v>
      </c>
      <c r="E61" s="67">
        <f>'[1]прил 7_1'!$I$464</f>
        <v>7153375</v>
      </c>
    </row>
    <row r="62" spans="1:5" ht="31.5">
      <c r="A62" s="60">
        <v>924</v>
      </c>
      <c r="B62" s="68" t="s">
        <v>178</v>
      </c>
      <c r="C62" s="67">
        <f>прил7!G745</f>
        <v>91100</v>
      </c>
      <c r="D62" s="67">
        <v>0</v>
      </c>
      <c r="E62" s="67">
        <v>0</v>
      </c>
    </row>
    <row r="63" spans="1:6" s="16" customFormat="1" ht="15.75">
      <c r="A63" s="101" t="s">
        <v>358</v>
      </c>
      <c r="B63" s="102"/>
      <c r="C63" s="71">
        <f>C12+C15+C19+C24+C27+C30+C35+C37+C39+C43+C45+C53+C55</f>
        <v>2455907032.6300006</v>
      </c>
      <c r="D63" s="71">
        <f>D12+D15+D19+D24+D27+D30+D35+D37+D39+D43+D45+D53+D55</f>
        <v>2067774673.28</v>
      </c>
      <c r="E63" s="71">
        <f>E12+E15+E19+E24+E27+E30+E35+E37+E39+E43+E45+E53+E55</f>
        <v>2003548549</v>
      </c>
      <c r="F63" s="48"/>
    </row>
    <row r="64" spans="2:5" ht="21.75" customHeight="1">
      <c r="B64" s="66"/>
      <c r="C64" s="19"/>
      <c r="D64" s="19"/>
      <c r="E64" s="19"/>
    </row>
    <row r="65" spans="2:5" ht="15.75" hidden="1">
      <c r="B65" s="66"/>
      <c r="C65" s="90">
        <f>'прил 8'!F849-'прил 8'!F788-C63</f>
        <v>0</v>
      </c>
      <c r="D65" s="90"/>
      <c r="E65" s="90"/>
    </row>
    <row r="66" spans="2:5" ht="15.75">
      <c r="B66" s="66"/>
      <c r="C66" s="90"/>
      <c r="D66" s="90"/>
      <c r="E66" s="90"/>
    </row>
    <row r="67" spans="2:5" ht="15.75">
      <c r="B67" s="66"/>
      <c r="C67" s="90"/>
      <c r="D67" s="90"/>
      <c r="E67" s="90"/>
    </row>
    <row r="68" spans="2:5" ht="15.75">
      <c r="B68" s="66"/>
      <c r="C68" s="90"/>
      <c r="D68" s="90"/>
      <c r="E68" s="90"/>
    </row>
    <row r="69" spans="2:5" ht="15.75">
      <c r="B69" s="66"/>
      <c r="C69" s="19"/>
      <c r="D69" s="19"/>
      <c r="E69" s="19"/>
    </row>
    <row r="70" spans="2:5" ht="15.75">
      <c r="B70" s="66"/>
      <c r="C70" s="90"/>
      <c r="D70" s="90"/>
      <c r="E70" s="90"/>
    </row>
    <row r="71" spans="2:5" ht="15.75">
      <c r="B71" s="66"/>
      <c r="C71" s="19"/>
      <c r="D71" s="19"/>
      <c r="E71" s="19"/>
    </row>
    <row r="72" spans="2:5" ht="15.75">
      <c r="B72" s="66"/>
      <c r="C72" s="19"/>
      <c r="D72" s="19"/>
      <c r="E72" s="19"/>
    </row>
    <row r="73" spans="2:5" ht="15.75">
      <c r="B73" s="66"/>
      <c r="C73" s="19"/>
      <c r="D73" s="19"/>
      <c r="E73" s="19"/>
    </row>
  </sheetData>
  <sheetProtection/>
  <mergeCells count="26">
    <mergeCell ref="B1:C1"/>
    <mergeCell ref="D1:E1"/>
    <mergeCell ref="A30:B30"/>
    <mergeCell ref="A43:B43"/>
    <mergeCell ref="B2:E2"/>
    <mergeCell ref="A7:E7"/>
    <mergeCell ref="B5:C5"/>
    <mergeCell ref="D5:E5"/>
    <mergeCell ref="B4:E4"/>
    <mergeCell ref="B3:C3"/>
    <mergeCell ref="A45:B45"/>
    <mergeCell ref="A53:B53"/>
    <mergeCell ref="A55:B55"/>
    <mergeCell ref="A35:B35"/>
    <mergeCell ref="A37:B37"/>
    <mergeCell ref="A39:B39"/>
    <mergeCell ref="D3:E3"/>
    <mergeCell ref="A63:B63"/>
    <mergeCell ref="C9:E9"/>
    <mergeCell ref="A9:A10"/>
    <mergeCell ref="B9:B10"/>
    <mergeCell ref="A12:B12"/>
    <mergeCell ref="A15:B15"/>
    <mergeCell ref="A19:B19"/>
    <mergeCell ref="A24:B24"/>
    <mergeCell ref="A27:B27"/>
  </mergeCells>
  <printOptions horizontalCentered="1"/>
  <pageMargins left="0.7874015748031497" right="0.3937007874015748" top="0.33" bottom="0.42" header="0.28" footer="0.17"/>
  <pageSetup fitToHeight="4" fitToWidth="1" horizontalDpi="600" verticalDpi="600" orientation="portrait" paperSize="9" scale="83" r:id="rId1"/>
  <headerFooter alignWithMargins="0">
    <oddFooter>&amp;CСтраница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SNEG</dc:creator>
  <cp:keywords/>
  <dc:description/>
  <cp:lastModifiedBy>Полянина Александра Александровна</cp:lastModifiedBy>
  <cp:lastPrinted>2014-10-28T11:47:05Z</cp:lastPrinted>
  <dcterms:created xsi:type="dcterms:W3CDTF">2003-08-14T15:25:08Z</dcterms:created>
  <dcterms:modified xsi:type="dcterms:W3CDTF">2014-11-26T14:39:56Z</dcterms:modified>
  <cp:category/>
  <cp:version/>
  <cp:contentType/>
  <cp:contentStatus/>
</cp:coreProperties>
</file>