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ЭтаКнига" defaultThemeVersion="124226"/>
  <bookViews>
    <workbookView xWindow="122" yWindow="55" windowWidth="11343" windowHeight="9349" tabRatio="775" activeTab="3"/>
  </bookViews>
  <sheets>
    <sheet name="прил 1" sheetId="72" r:id="rId1"/>
    <sheet name="прил2" sheetId="8" r:id="rId2"/>
    <sheet name="прил3" sheetId="69" r:id="rId3"/>
    <sheet name="прил4" sheetId="71" r:id="rId4"/>
  </sheets>
  <definedNames>
    <definedName name="_xlnm._FilterDatabase" localSheetId="1" hidden="1">прил2!$A$8:$K$1115</definedName>
    <definedName name="_xlnm.Print_Titles" localSheetId="0">'прил 1'!$8:$8</definedName>
    <definedName name="_xlnm.Print_Titles" localSheetId="1">прил2!$7:$8</definedName>
    <definedName name="_xlnm.Print_Titles" localSheetId="2">прил3!$8:$9</definedName>
  </definedNames>
  <calcPr calcId="144525"/>
</workbook>
</file>

<file path=xl/calcChain.xml><?xml version="1.0" encoding="utf-8"?>
<calcChain xmlns="http://schemas.openxmlformats.org/spreadsheetml/2006/main">
  <c r="H136" i="72" l="1"/>
  <c r="H135" i="72"/>
  <c r="H134" i="72"/>
  <c r="G134" i="72"/>
  <c r="F134" i="72"/>
  <c r="F133" i="72" s="1"/>
  <c r="G133" i="72"/>
  <c r="H133" i="72" s="1"/>
  <c r="H130" i="72"/>
  <c r="H129" i="72"/>
  <c r="H128" i="72"/>
  <c r="H127" i="72"/>
  <c r="G126" i="72"/>
  <c r="F126" i="72"/>
  <c r="H124" i="72"/>
  <c r="G123" i="72"/>
  <c r="F123" i="72"/>
  <c r="F122" i="72"/>
  <c r="H119" i="72"/>
  <c r="H118" i="72"/>
  <c r="H117" i="72"/>
  <c r="H116" i="72"/>
  <c r="H115" i="72"/>
  <c r="G115" i="72"/>
  <c r="F115" i="72"/>
  <c r="H114" i="72"/>
  <c r="H113" i="72"/>
  <c r="G113" i="72"/>
  <c r="F113" i="72"/>
  <c r="F112" i="72" s="1"/>
  <c r="G112" i="72"/>
  <c r="H110" i="72"/>
  <c r="H109" i="72"/>
  <c r="H108" i="72"/>
  <c r="H107" i="72"/>
  <c r="H106" i="72"/>
  <c r="G105" i="72"/>
  <c r="H105" i="72" s="1"/>
  <c r="F105" i="72"/>
  <c r="F104" i="72" s="1"/>
  <c r="G104" i="72"/>
  <c r="H102" i="72"/>
  <c r="H101" i="72"/>
  <c r="H100" i="72"/>
  <c r="H99" i="72"/>
  <c r="G98" i="72"/>
  <c r="F98" i="72"/>
  <c r="H96" i="72"/>
  <c r="H95" i="72"/>
  <c r="H94" i="72"/>
  <c r="H93" i="72"/>
  <c r="H92" i="72"/>
  <c r="H91" i="72"/>
  <c r="H90" i="72"/>
  <c r="H88" i="72"/>
  <c r="H87" i="72"/>
  <c r="H86" i="72"/>
  <c r="G85" i="72"/>
  <c r="F85" i="72"/>
  <c r="F84" i="72"/>
  <c r="H81" i="72"/>
  <c r="H80" i="72"/>
  <c r="H79" i="72"/>
  <c r="H78" i="72"/>
  <c r="H77" i="72"/>
  <c r="G76" i="72"/>
  <c r="F76" i="72"/>
  <c r="H74" i="72"/>
  <c r="H73" i="72"/>
  <c r="H72" i="72"/>
  <c r="H71" i="72"/>
  <c r="H70" i="72"/>
  <c r="G70" i="72"/>
  <c r="F70" i="72"/>
  <c r="G69" i="72"/>
  <c r="H68" i="72"/>
  <c r="G67" i="72"/>
  <c r="H67" i="72" s="1"/>
  <c r="F67" i="72"/>
  <c r="F66" i="72" s="1"/>
  <c r="G66" i="72"/>
  <c r="H65" i="72"/>
  <c r="G64" i="72"/>
  <c r="F64" i="72"/>
  <c r="F63" i="72" s="1"/>
  <c r="G62" i="72"/>
  <c r="F62" i="72"/>
  <c r="H60" i="72"/>
  <c r="G59" i="72"/>
  <c r="H59" i="72" s="1"/>
  <c r="F59" i="72"/>
  <c r="F58" i="72" s="1"/>
  <c r="G58" i="72"/>
  <c r="H57" i="72"/>
  <c r="H56" i="72"/>
  <c r="H55" i="72"/>
  <c r="H54" i="72"/>
  <c r="H53" i="72"/>
  <c r="G52" i="72"/>
  <c r="F52" i="72"/>
  <c r="F51" i="72" s="1"/>
  <c r="H50" i="72"/>
  <c r="H49" i="72"/>
  <c r="H48" i="72"/>
  <c r="H47" i="72"/>
  <c r="H46" i="72"/>
  <c r="H45" i="72"/>
  <c r="H44" i="72"/>
  <c r="H43" i="72"/>
  <c r="H42" i="72"/>
  <c r="H41" i="72"/>
  <c r="H40" i="72"/>
  <c r="H39" i="72"/>
  <c r="H38" i="72"/>
  <c r="H37" i="72"/>
  <c r="H36" i="72"/>
  <c r="H35" i="72"/>
  <c r="H34" i="72"/>
  <c r="H33" i="72"/>
  <c r="G32" i="72"/>
  <c r="H32" i="72" s="1"/>
  <c r="F32" i="72"/>
  <c r="F31" i="72"/>
  <c r="H30" i="72"/>
  <c r="G29" i="72"/>
  <c r="G28" i="72" s="1"/>
  <c r="F29" i="72"/>
  <c r="F28" i="72" s="1"/>
  <c r="H27" i="72"/>
  <c r="H26" i="72"/>
  <c r="G26" i="72"/>
  <c r="F26" i="72"/>
  <c r="F25" i="72" s="1"/>
  <c r="G25" i="72"/>
  <c r="H25" i="72" s="1"/>
  <c r="H24" i="72"/>
  <c r="G23" i="72"/>
  <c r="G22" i="72" s="1"/>
  <c r="H22" i="72" s="1"/>
  <c r="F23" i="72"/>
  <c r="F22" i="72"/>
  <c r="F21" i="72"/>
  <c r="F17" i="72" s="1"/>
  <c r="F16" i="72" s="1"/>
  <c r="H20" i="72"/>
  <c r="H19" i="72"/>
  <c r="H18" i="72"/>
  <c r="G17" i="72"/>
  <c r="H14" i="72"/>
  <c r="H13" i="72"/>
  <c r="H12" i="72"/>
  <c r="H11" i="72"/>
  <c r="G10" i="72"/>
  <c r="G9" i="72" s="1"/>
  <c r="F10" i="72"/>
  <c r="F9" i="72" s="1"/>
  <c r="H540" i="8"/>
  <c r="H74" i="8"/>
  <c r="L15" i="71"/>
  <c r="L14" i="71" s="1"/>
  <c r="K15" i="71"/>
  <c r="M15" i="71" s="1"/>
  <c r="M34" i="71"/>
  <c r="L33" i="71"/>
  <c r="K33" i="71"/>
  <c r="K32" i="71" s="1"/>
  <c r="K31" i="71" s="1"/>
  <c r="L32" i="71"/>
  <c r="M30" i="71"/>
  <c r="L29" i="71"/>
  <c r="L28" i="71" s="1"/>
  <c r="L27" i="71" s="1"/>
  <c r="M27" i="71" s="1"/>
  <c r="K29" i="71"/>
  <c r="K28" i="71"/>
  <c r="K27" i="71"/>
  <c r="K22" i="71" s="1"/>
  <c r="M26" i="71"/>
  <c r="L25" i="71"/>
  <c r="L24" i="71" s="1"/>
  <c r="L23" i="71" s="1"/>
  <c r="K25" i="71"/>
  <c r="K24" i="71"/>
  <c r="K23" i="71"/>
  <c r="M21" i="71"/>
  <c r="L20" i="71"/>
  <c r="K20" i="71"/>
  <c r="K19" i="71" s="1"/>
  <c r="K18" i="71" s="1"/>
  <c r="K17" i="71" s="1"/>
  <c r="M16" i="71"/>
  <c r="M12" i="71"/>
  <c r="L11" i="71"/>
  <c r="M11" i="71" s="1"/>
  <c r="K11" i="71"/>
  <c r="K10" i="71"/>
  <c r="L13" i="71" l="1"/>
  <c r="H9" i="72"/>
  <c r="M32" i="71"/>
  <c r="H17" i="72"/>
  <c r="H58" i="72"/>
  <c r="H66" i="72"/>
  <c r="H104" i="72"/>
  <c r="M20" i="71"/>
  <c r="K14" i="71"/>
  <c r="K13" i="71" s="1"/>
  <c r="K35" i="71" s="1"/>
  <c r="H23" i="72"/>
  <c r="H52" i="72"/>
  <c r="H64" i="72"/>
  <c r="H10" i="72"/>
  <c r="F69" i="72"/>
  <c r="H69" i="72" s="1"/>
  <c r="H76" i="72"/>
  <c r="H85" i="72"/>
  <c r="H98" i="72"/>
  <c r="H112" i="72"/>
  <c r="H126" i="72"/>
  <c r="H28" i="72"/>
  <c r="H123" i="72"/>
  <c r="F137" i="72"/>
  <c r="G16" i="72"/>
  <c r="H16" i="72" s="1"/>
  <c r="H29" i="72"/>
  <c r="G31" i="72"/>
  <c r="H31" i="72" s="1"/>
  <c r="G51" i="72"/>
  <c r="H51" i="72" s="1"/>
  <c r="G63" i="72"/>
  <c r="H63" i="72" s="1"/>
  <c r="G84" i="72"/>
  <c r="H84" i="72" s="1"/>
  <c r="G122" i="72"/>
  <c r="H122" i="72" s="1"/>
  <c r="L31" i="71"/>
  <c r="M31" i="71" s="1"/>
  <c r="L22" i="71"/>
  <c r="M22" i="71" s="1"/>
  <c r="M28" i="71"/>
  <c r="L10" i="71"/>
  <c r="M10" i="71" s="1"/>
  <c r="M33" i="71"/>
  <c r="M23" i="71"/>
  <c r="M24" i="71"/>
  <c r="M25" i="71"/>
  <c r="M29" i="71"/>
  <c r="L19" i="71"/>
  <c r="M13" i="71" l="1"/>
  <c r="M14" i="71"/>
  <c r="G137" i="72"/>
  <c r="H137" i="72" s="1"/>
  <c r="M19" i="71"/>
  <c r="L18" i="71"/>
  <c r="M18" i="71" l="1"/>
  <c r="L17" i="71"/>
  <c r="L35" i="71" s="1"/>
  <c r="M35" i="71" s="1"/>
  <c r="E53" i="69" l="1"/>
  <c r="F51" i="69"/>
  <c r="F50" i="69"/>
  <c r="F48" i="69"/>
  <c r="F46" i="69"/>
  <c r="F45" i="69"/>
  <c r="F44" i="69"/>
  <c r="F42" i="69"/>
  <c r="F40" i="69"/>
  <c r="F39" i="69"/>
  <c r="F38" i="69"/>
  <c r="F37" i="69"/>
  <c r="F35" i="69"/>
  <c r="F33" i="69"/>
  <c r="F32" i="69"/>
  <c r="F31" i="69"/>
  <c r="F30" i="69"/>
  <c r="F28" i="69"/>
  <c r="F27" i="69"/>
  <c r="F26" i="69"/>
  <c r="F25" i="69"/>
  <c r="F24" i="69"/>
  <c r="F22" i="69"/>
  <c r="F21" i="69"/>
  <c r="F20" i="69"/>
  <c r="F18" i="69"/>
  <c r="F17" i="69"/>
  <c r="F15" i="69"/>
  <c r="F13" i="69"/>
  <c r="F12" i="69"/>
  <c r="F11" i="69"/>
  <c r="G16" i="8"/>
  <c r="G15" i="8" s="1"/>
  <c r="H16" i="8"/>
  <c r="H15" i="8" s="1"/>
  <c r="I929" i="8"/>
  <c r="I931" i="8"/>
  <c r="I934" i="8"/>
  <c r="I951" i="8"/>
  <c r="I958" i="8"/>
  <c r="I979" i="8"/>
  <c r="I981" i="8"/>
  <c r="I988" i="8"/>
  <c r="I996" i="8"/>
  <c r="I1003" i="8"/>
  <c r="I1008" i="8"/>
  <c r="I1011" i="8"/>
  <c r="I1017" i="8"/>
  <c r="I1020" i="8"/>
  <c r="I1025" i="8"/>
  <c r="I1027" i="8"/>
  <c r="I1049" i="8"/>
  <c r="I1111" i="8"/>
  <c r="I759" i="8"/>
  <c r="I230" i="8"/>
  <c r="I394" i="8"/>
  <c r="I396" i="8"/>
  <c r="I210" i="8"/>
  <c r="I80" i="8"/>
  <c r="H69" i="8"/>
  <c r="I861" i="8"/>
  <c r="I850" i="8"/>
  <c r="I830" i="8"/>
  <c r="I827" i="8"/>
  <c r="I821" i="8"/>
  <c r="I812" i="8"/>
  <c r="I799" i="8"/>
  <c r="I778" i="8"/>
  <c r="I776" i="8"/>
  <c r="I757" i="8"/>
  <c r="I752" i="8"/>
  <c r="I750" i="8"/>
  <c r="I729" i="8"/>
  <c r="I727" i="8"/>
  <c r="I725" i="8"/>
  <c r="I723" i="8"/>
  <c r="I697" i="8"/>
  <c r="I685" i="8"/>
  <c r="I677" i="8"/>
  <c r="I619" i="8"/>
  <c r="I557" i="8"/>
  <c r="I556" i="8"/>
  <c r="I555" i="8"/>
  <c r="I554" i="8"/>
  <c r="I553" i="8"/>
  <c r="I523" i="8"/>
  <c r="I522" i="8"/>
  <c r="I517" i="8"/>
  <c r="I445" i="8"/>
  <c r="I434" i="8"/>
  <c r="I428" i="8"/>
  <c r="I263" i="8"/>
  <c r="I243" i="8"/>
  <c r="I187" i="8"/>
  <c r="I168" i="8"/>
  <c r="I161" i="8"/>
  <c r="I135" i="8"/>
  <c r="I122" i="8"/>
  <c r="I121" i="8"/>
  <c r="I119" i="8"/>
  <c r="I109" i="8"/>
  <c r="I107" i="8"/>
  <c r="I93" i="8"/>
  <c r="I70" i="8"/>
  <c r="I65" i="8"/>
  <c r="H1123" i="8"/>
  <c r="H1117" i="8"/>
  <c r="H1114" i="8"/>
  <c r="H1113" i="8" s="1"/>
  <c r="H1112" i="8" s="1"/>
  <c r="H1110" i="8"/>
  <c r="H1109" i="8" s="1"/>
  <c r="H1107" i="8"/>
  <c r="H1106" i="8" s="1"/>
  <c r="H1105" i="8"/>
  <c r="H1097" i="8"/>
  <c r="H1096" i="8" s="1"/>
  <c r="H1094" i="8"/>
  <c r="H1093" i="8" s="1"/>
  <c r="H1092" i="8" s="1"/>
  <c r="H1087" i="8"/>
  <c r="H1086" i="8"/>
  <c r="H1083" i="8"/>
  <c r="H1076" i="8"/>
  <c r="H1063" i="8"/>
  <c r="H1062" i="8"/>
  <c r="H1061" i="8" s="1"/>
  <c r="H1057" i="8"/>
  <c r="H1056" i="8"/>
  <c r="H1055" i="8" s="1"/>
  <c r="H1048" i="8"/>
  <c r="H1047" i="8" s="1"/>
  <c r="H1046" i="8"/>
  <c r="H1045" i="8" s="1"/>
  <c r="H1044" i="8" s="1"/>
  <c r="H1043" i="8"/>
  <c r="H1042" i="8" s="1"/>
  <c r="H1040" i="8" s="1"/>
  <c r="H1038" i="8"/>
  <c r="H1037" i="8" s="1"/>
  <c r="H1036" i="8" s="1"/>
  <c r="H1035" i="8"/>
  <c r="H1034" i="8" s="1"/>
  <c r="H1033" i="8" s="1"/>
  <c r="H1031" i="8"/>
  <c r="H1030" i="8" s="1"/>
  <c r="H1029" i="8" s="1"/>
  <c r="H1028" i="8" s="1"/>
  <c r="H1026" i="8"/>
  <c r="H1024" i="8"/>
  <c r="H1023" i="8"/>
  <c r="H1022" i="8" s="1"/>
  <c r="H1019" i="8"/>
  <c r="H1018" i="8" s="1"/>
  <c r="H1016" i="8"/>
  <c r="H1015" i="8" s="1"/>
  <c r="H1013" i="8"/>
  <c r="H1012" i="8" s="1"/>
  <c r="H1010" i="8"/>
  <c r="H1007" i="8"/>
  <c r="H1006" i="8" s="1"/>
  <c r="H1005" i="8"/>
  <c r="H1004" i="8" s="1"/>
  <c r="H1002" i="8"/>
  <c r="H1000" i="8"/>
  <c r="H999" i="8" s="1"/>
  <c r="H998" i="8"/>
  <c r="H997" i="8" s="1"/>
  <c r="H995" i="8"/>
  <c r="H994" i="8"/>
  <c r="H993" i="8" s="1"/>
  <c r="H992" i="8"/>
  <c r="H991" i="8" s="1"/>
  <c r="H987" i="8"/>
  <c r="H986" i="8" s="1"/>
  <c r="H985" i="8"/>
  <c r="H984" i="8" s="1"/>
  <c r="H982" i="8"/>
  <c r="H980" i="8"/>
  <c r="H978" i="8"/>
  <c r="H977" i="8"/>
  <c r="H976" i="8" s="1"/>
  <c r="H975" i="8"/>
  <c r="H974" i="8" s="1"/>
  <c r="H972" i="8"/>
  <c r="H966" i="8"/>
  <c r="H965" i="8" s="1"/>
  <c r="H964" i="8"/>
  <c r="H963" i="8" s="1"/>
  <c r="H957" i="8"/>
  <c r="H956" i="8" s="1"/>
  <c r="H955" i="8"/>
  <c r="H954" i="8" s="1"/>
  <c r="H953" i="8" s="1"/>
  <c r="H950" i="8"/>
  <c r="H949" i="8" s="1"/>
  <c r="H948" i="8"/>
  <c r="H947" i="8" s="1"/>
  <c r="H944" i="8"/>
  <c r="H941" i="8"/>
  <c r="H940" i="8"/>
  <c r="H933" i="8"/>
  <c r="H932" i="8"/>
  <c r="H930" i="8"/>
  <c r="H928" i="8"/>
  <c r="H926" i="8"/>
  <c r="H925" i="8" s="1"/>
  <c r="H920" i="8"/>
  <c r="H919" i="8" s="1"/>
  <c r="H918" i="8" s="1"/>
  <c r="H916" i="8"/>
  <c r="H909" i="8"/>
  <c r="H908" i="8"/>
  <c r="H907" i="8"/>
  <c r="H905" i="8" s="1"/>
  <c r="H904" i="8" s="1"/>
  <c r="H903" i="8" s="1"/>
  <c r="H906" i="8"/>
  <c r="H902" i="8"/>
  <c r="H901" i="8" s="1"/>
  <c r="H900" i="8" s="1"/>
  <c r="H899" i="8" s="1"/>
  <c r="H896" i="8"/>
  <c r="H895" i="8" s="1"/>
  <c r="H893" i="8"/>
  <c r="H892" i="8" s="1"/>
  <c r="H891" i="8" s="1"/>
  <c r="H890" i="8" s="1"/>
  <c r="H885" i="8"/>
  <c r="H884" i="8" s="1"/>
  <c r="H883" i="8" s="1"/>
  <c r="H881" i="8"/>
  <c r="H880" i="8" s="1"/>
  <c r="H879" i="8"/>
  <c r="H876" i="8"/>
  <c r="H875" i="8" s="1"/>
  <c r="H872" i="8"/>
  <c r="H871" i="8" s="1"/>
  <c r="H867" i="8"/>
  <c r="H866" i="8" s="1"/>
  <c r="H860" i="8"/>
  <c r="H857" i="8"/>
  <c r="H854" i="8"/>
  <c r="H843" i="8"/>
  <c r="H837" i="8"/>
  <c r="H829" i="8"/>
  <c r="H826" i="8"/>
  <c r="H824" i="8"/>
  <c r="H820" i="8"/>
  <c r="H819" i="8"/>
  <c r="H818" i="8" s="1"/>
  <c r="H815" i="8"/>
  <c r="H814" i="8" s="1"/>
  <c r="H813" i="8" s="1"/>
  <c r="H811" i="8"/>
  <c r="H810" i="8" s="1"/>
  <c r="H808" i="8"/>
  <c r="H805" i="8"/>
  <c r="H798" i="8"/>
  <c r="H797" i="8"/>
  <c r="H794" i="8"/>
  <c r="H788" i="8"/>
  <c r="H785" i="8"/>
  <c r="H784" i="8" s="1"/>
  <c r="H781" i="8"/>
  <c r="H780" i="8" s="1"/>
  <c r="H777" i="8"/>
  <c r="H775" i="8"/>
  <c r="H774" i="8"/>
  <c r="H770" i="8"/>
  <c r="H769" i="8" s="1"/>
  <c r="H768" i="8"/>
  <c r="H767" i="8" s="1"/>
  <c r="H765" i="8" s="1"/>
  <c r="H764" i="8"/>
  <c r="H761" i="8"/>
  <c r="H760" i="8" s="1"/>
  <c r="H758" i="8"/>
  <c r="H756" i="8"/>
  <c r="H754" i="8"/>
  <c r="H751" i="8"/>
  <c r="H749" i="8"/>
  <c r="H744" i="8"/>
  <c r="H741" i="8"/>
  <c r="H732" i="8"/>
  <c r="H728" i="8"/>
  <c r="H726" i="8"/>
  <c r="H724" i="8"/>
  <c r="H722" i="8"/>
  <c r="H713" i="8"/>
  <c r="H712" i="8" s="1"/>
  <c r="H710" i="8"/>
  <c r="H709" i="8" s="1"/>
  <c r="H704" i="8"/>
  <c r="H696" i="8"/>
  <c r="H694" i="8"/>
  <c r="H693" i="8"/>
  <c r="H684" i="8"/>
  <c r="H682" i="8"/>
  <c r="H679" i="8"/>
  <c r="H678" i="8" s="1"/>
  <c r="H676" i="8"/>
  <c r="H675" i="8"/>
  <c r="H670" i="8"/>
  <c r="H669" i="8"/>
  <c r="H668" i="8" s="1"/>
  <c r="H666" i="8"/>
  <c r="H665" i="8" s="1"/>
  <c r="H664" i="8"/>
  <c r="H639" i="8"/>
  <c r="H637" i="8"/>
  <c r="H636" i="8"/>
  <c r="H618" i="8"/>
  <c r="H617" i="8" s="1"/>
  <c r="H616" i="8" s="1"/>
  <c r="H615" i="8"/>
  <c r="H614" i="8" s="1"/>
  <c r="H612" i="8"/>
  <c r="H611" i="8" s="1"/>
  <c r="H602" i="8"/>
  <c r="H601" i="8" s="1"/>
  <c r="H600" i="8"/>
  <c r="H593" i="8"/>
  <c r="H580" i="8"/>
  <c r="H577" i="8"/>
  <c r="H576" i="8" s="1"/>
  <c r="H574" i="8"/>
  <c r="H571" i="8"/>
  <c r="H569" i="8"/>
  <c r="H551" i="8"/>
  <c r="H549" i="8"/>
  <c r="H543" i="8"/>
  <c r="H537" i="8"/>
  <c r="H528" i="8"/>
  <c r="H527" i="8" s="1"/>
  <c r="H524" i="8"/>
  <c r="H521" i="8"/>
  <c r="H518" i="8"/>
  <c r="H515" i="8"/>
  <c r="H514" i="8" s="1"/>
  <c r="H511" i="8"/>
  <c r="H510" i="8" s="1"/>
  <c r="H498" i="8"/>
  <c r="H493" i="8"/>
  <c r="H491" i="8"/>
  <c r="H485" i="8"/>
  <c r="H484" i="8" s="1"/>
  <c r="H478" i="8"/>
  <c r="H476" i="8"/>
  <c r="H472" i="8"/>
  <c r="H471" i="8" s="1"/>
  <c r="H470" i="8"/>
  <c r="H469" i="8" s="1"/>
  <c r="H464" i="8"/>
  <c r="H463" i="8" s="1"/>
  <c r="H462" i="8" s="1"/>
  <c r="H460" i="8"/>
  <c r="H457" i="8"/>
  <c r="H456" i="8" s="1"/>
  <c r="H455" i="8"/>
  <c r="H454" i="8" s="1"/>
  <c r="H452" i="8"/>
  <c r="H444" i="8"/>
  <c r="H443" i="8"/>
  <c r="H440" i="8"/>
  <c r="H439" i="8" s="1"/>
  <c r="H432" i="8"/>
  <c r="H427" i="8"/>
  <c r="H425" i="8"/>
  <c r="H418" i="8"/>
  <c r="H415" i="8"/>
  <c r="H414" i="8" s="1"/>
  <c r="H403" i="8"/>
  <c r="H400" i="8"/>
  <c r="H395" i="8"/>
  <c r="H393" i="8"/>
  <c r="H387" i="8"/>
  <c r="H385" i="8"/>
  <c r="H384" i="8" s="1"/>
  <c r="H380" i="8"/>
  <c r="H379" i="8"/>
  <c r="H372" i="8"/>
  <c r="H371" i="8" s="1"/>
  <c r="H368" i="8"/>
  <c r="H367" i="8" s="1"/>
  <c r="H366" i="8" s="1"/>
  <c r="H365" i="8" s="1"/>
  <c r="H364" i="8"/>
  <c r="H363" i="8" s="1"/>
  <c r="H362" i="8"/>
  <c r="H361" i="8"/>
  <c r="H355" i="8"/>
  <c r="H349" i="8"/>
  <c r="H346" i="8"/>
  <c r="H345" i="8" s="1"/>
  <c r="H344" i="8"/>
  <c r="H343" i="8" s="1"/>
  <c r="H342" i="8"/>
  <c r="H341" i="8"/>
  <c r="H340" i="8"/>
  <c r="H335" i="8"/>
  <c r="H334" i="8" s="1"/>
  <c r="H333" i="8"/>
  <c r="H332" i="8" s="1"/>
  <c r="H331" i="8" s="1"/>
  <c r="H330" i="8"/>
  <c r="H329" i="8" s="1"/>
  <c r="H325" i="8"/>
  <c r="H324" i="8" s="1"/>
  <c r="H323" i="8" s="1"/>
  <c r="H322" i="8"/>
  <c r="H314" i="8"/>
  <c r="H311" i="8"/>
  <c r="H306" i="8"/>
  <c r="H305" i="8" s="1"/>
  <c r="H299" i="8"/>
  <c r="H297" i="8"/>
  <c r="H289" i="8"/>
  <c r="H286" i="8"/>
  <c r="H285" i="8" s="1"/>
  <c r="H273" i="8"/>
  <c r="H267" i="8"/>
  <c r="H262" i="8"/>
  <c r="H261" i="8" s="1"/>
  <c r="H260" i="8" s="1"/>
  <c r="H259" i="8" s="1"/>
  <c r="H258" i="8" s="1"/>
  <c r="H257" i="8"/>
  <c r="H253" i="8"/>
  <c r="H252" i="8" s="1"/>
  <c r="H249" i="8"/>
  <c r="H248" i="8" s="1"/>
  <c r="H247" i="8"/>
  <c r="H242" i="8"/>
  <c r="H240" i="8"/>
  <c r="H238" i="8"/>
  <c r="H228" i="8"/>
  <c r="H227" i="8" s="1"/>
  <c r="H226" i="8"/>
  <c r="H225" i="8" s="1"/>
  <c r="H224" i="8" s="1"/>
  <c r="H209" i="8"/>
  <c r="H207" i="8"/>
  <c r="H206" i="8" s="1"/>
  <c r="H205" i="8" s="1"/>
  <c r="H193" i="8"/>
  <c r="H189" i="8"/>
  <c r="H186" i="8"/>
  <c r="H185" i="8" s="1"/>
  <c r="H173" i="8"/>
  <c r="H172" i="8"/>
  <c r="H170" i="8"/>
  <c r="H167" i="8"/>
  <c r="H163" i="8"/>
  <c r="H160" i="8"/>
  <c r="H159" i="8" s="1"/>
  <c r="H156" i="8"/>
  <c r="H153" i="8"/>
  <c r="H152" i="8" s="1"/>
  <c r="H147" i="8"/>
  <c r="H143" i="8"/>
  <c r="H142" i="8"/>
  <c r="H137" i="8"/>
  <c r="H133" i="8"/>
  <c r="H129" i="8"/>
  <c r="H125" i="8"/>
  <c r="H120" i="8"/>
  <c r="H118" i="8"/>
  <c r="H114" i="8"/>
  <c r="H113" i="8" s="1"/>
  <c r="H108" i="8"/>
  <c r="H106" i="8"/>
  <c r="H103" i="8"/>
  <c r="H102" i="8" s="1"/>
  <c r="H100" i="8" s="1"/>
  <c r="H99" i="8" s="1"/>
  <c r="H97" i="8"/>
  <c r="H92" i="8"/>
  <c r="H91" i="8" s="1"/>
  <c r="H89" i="8"/>
  <c r="H88" i="8" s="1"/>
  <c r="H87" i="8" s="1"/>
  <c r="H83" i="8"/>
  <c r="H82" i="8" s="1"/>
  <c r="H81" i="8" s="1"/>
  <c r="H79" i="8"/>
  <c r="H75" i="8"/>
  <c r="H73" i="8"/>
  <c r="H72" i="8"/>
  <c r="H71" i="8" s="1"/>
  <c r="H68" i="8"/>
  <c r="H64" i="8"/>
  <c r="H56" i="8"/>
  <c r="H54" i="8"/>
  <c r="H53" i="8" s="1"/>
  <c r="H52" i="8" s="1"/>
  <c r="H51" i="8"/>
  <c r="H50" i="8" s="1"/>
  <c r="H49" i="8" s="1"/>
  <c r="H41" i="8"/>
  <c r="H40" i="8" s="1"/>
  <c r="H38" i="8"/>
  <c r="H37" i="8"/>
  <c r="H33" i="8"/>
  <c r="H32" i="8" s="1"/>
  <c r="H31" i="8" s="1"/>
  <c r="H30" i="8"/>
  <c r="H24" i="8"/>
  <c r="H20" i="8"/>
  <c r="H14" i="8"/>
  <c r="H151" i="8" l="1"/>
  <c r="H962" i="8"/>
  <c r="H339" i="8"/>
  <c r="H1021" i="8"/>
  <c r="I15" i="8"/>
  <c r="I16" i="8"/>
  <c r="H924" i="8"/>
  <c r="H923" i="8" s="1"/>
  <c r="H922" i="8" s="1"/>
  <c r="F52" i="69"/>
  <c r="D53" i="69"/>
  <c r="F34" i="69"/>
  <c r="F41" i="69"/>
  <c r="F43" i="69"/>
  <c r="F47" i="69"/>
  <c r="F19" i="69"/>
  <c r="F23" i="69"/>
  <c r="F29" i="69"/>
  <c r="F36" i="69"/>
  <c r="F49" i="69"/>
  <c r="F10" i="69"/>
  <c r="H36" i="8"/>
  <c r="H692" i="8"/>
  <c r="H575" i="8"/>
  <c r="H763" i="8"/>
  <c r="H762" i="8" s="1"/>
  <c r="H939" i="8"/>
  <c r="H938" i="8" s="1"/>
  <c r="H1074" i="8"/>
  <c r="H1073" i="8" s="1"/>
  <c r="H1081" i="8"/>
  <c r="H468" i="8"/>
  <c r="H467" i="8" s="1"/>
  <c r="H708" i="8"/>
  <c r="H952" i="8"/>
  <c r="H973" i="8"/>
  <c r="H1054" i="8"/>
  <c r="H1059" i="8"/>
  <c r="H1091" i="8"/>
  <c r="H1090" i="8" s="1"/>
  <c r="H1089" i="8" s="1"/>
  <c r="H915" i="8"/>
  <c r="H874" i="8"/>
  <c r="H990" i="8"/>
  <c r="H1014" i="8"/>
  <c r="H1032" i="8"/>
  <c r="H105" i="8"/>
  <c r="H104" i="8" s="1"/>
  <c r="H970" i="8"/>
  <c r="H1009" i="8"/>
  <c r="H21" i="8"/>
  <c r="H29" i="8"/>
  <c r="H35" i="8"/>
  <c r="H39" i="8"/>
  <c r="H128" i="8"/>
  <c r="H146" i="8"/>
  <c r="H149" i="8"/>
  <c r="H155" i="8"/>
  <c r="H162" i="8"/>
  <c r="H169" i="8"/>
  <c r="H188" i="8"/>
  <c r="H196" i="8"/>
  <c r="H212" i="8"/>
  <c r="H235" i="8"/>
  <c r="H239" i="8"/>
  <c r="H256" i="8"/>
  <c r="H266" i="8"/>
  <c r="H272" i="8"/>
  <c r="H313" i="8"/>
  <c r="H321" i="8"/>
  <c r="H328" i="8"/>
  <c r="H327" i="8" s="1"/>
  <c r="H338" i="8"/>
  <c r="H348" i="8"/>
  <c r="H357" i="8"/>
  <c r="H370" i="8"/>
  <c r="H382" i="8"/>
  <c r="H386" i="8"/>
  <c r="H402" i="8"/>
  <c r="H407" i="8"/>
  <c r="H431" i="8"/>
  <c r="H436" i="8"/>
  <c r="H459" i="8"/>
  <c r="H477" i="8"/>
  <c r="H483" i="8"/>
  <c r="H487" i="8"/>
  <c r="H492" i="8"/>
  <c r="H497" i="8"/>
  <c r="H501" i="8"/>
  <c r="H509" i="8"/>
  <c r="H513" i="8"/>
  <c r="H520" i="8"/>
  <c r="H526" i="8"/>
  <c r="H536" i="8"/>
  <c r="H562" i="8"/>
  <c r="H585" i="8"/>
  <c r="H599" i="8"/>
  <c r="H609" i="8"/>
  <c r="H613" i="8"/>
  <c r="H624" i="8"/>
  <c r="H635" i="8"/>
  <c r="H638" i="8"/>
  <c r="H654" i="8"/>
  <c r="H686" i="8"/>
  <c r="H703" i="8"/>
  <c r="H720" i="8"/>
  <c r="H733" i="8"/>
  <c r="H740" i="8"/>
  <c r="H753" i="8"/>
  <c r="H796" i="8"/>
  <c r="H804" i="8"/>
  <c r="H823" i="8"/>
  <c r="H828" i="8"/>
  <c r="H838" i="8"/>
  <c r="H853" i="8"/>
  <c r="H13" i="8"/>
  <c r="H19" i="8"/>
  <c r="H23" i="8"/>
  <c r="H43" i="8"/>
  <c r="H55" i="8"/>
  <c r="H66" i="8"/>
  <c r="H63" i="8" s="1"/>
  <c r="H78" i="8"/>
  <c r="H77" i="8"/>
  <c r="H96" i="8"/>
  <c r="H112" i="8"/>
  <c r="H136" i="8"/>
  <c r="H203" i="8"/>
  <c r="H208" i="8"/>
  <c r="H218" i="8"/>
  <c r="H221" i="8"/>
  <c r="H232" i="8"/>
  <c r="H237" i="8"/>
  <c r="H241" i="8"/>
  <c r="H251" i="8"/>
  <c r="H277" i="8"/>
  <c r="H284" i="8"/>
  <c r="H288" i="8"/>
  <c r="H298" i="8"/>
  <c r="H304" i="8"/>
  <c r="H310" i="8"/>
  <c r="H317" i="8"/>
  <c r="H351" i="8"/>
  <c r="H354" i="8"/>
  <c r="H375" i="8"/>
  <c r="H405" i="8"/>
  <c r="H409" i="8"/>
  <c r="H417" i="8"/>
  <c r="H426" i="8"/>
  <c r="H490" i="8"/>
  <c r="H504" i="8"/>
  <c r="H539" i="8"/>
  <c r="H548" i="8"/>
  <c r="H559" i="8"/>
  <c r="H568" i="8"/>
  <c r="H573" i="8"/>
  <c r="H570" i="8" s="1"/>
  <c r="H579" i="8"/>
  <c r="H592" i="8"/>
  <c r="H632" i="8"/>
  <c r="H647" i="8"/>
  <c r="H663" i="8"/>
  <c r="H667" i="8"/>
  <c r="H674" i="8"/>
  <c r="H691" i="8"/>
  <c r="H731" i="8"/>
  <c r="H743" i="8"/>
  <c r="H779" i="8"/>
  <c r="H783" i="8"/>
  <c r="H793" i="8"/>
  <c r="H807" i="8"/>
  <c r="H817" i="8"/>
  <c r="H825" i="8"/>
  <c r="H842" i="8"/>
  <c r="H849" i="8"/>
  <c r="H855" i="8"/>
  <c r="H858" i="8"/>
  <c r="H865" i="8"/>
  <c r="H898" i="8"/>
  <c r="H1039" i="8"/>
  <c r="H1060" i="8"/>
  <c r="H296" i="8"/>
  <c r="H300" i="8"/>
  <c r="H360" i="8"/>
  <c r="H424" i="8"/>
  <c r="H451" i="8"/>
  <c r="H475" i="8"/>
  <c r="H495" i="8"/>
  <c r="H530" i="8"/>
  <c r="H542" i="8"/>
  <c r="H628" i="8"/>
  <c r="H695" i="8"/>
  <c r="H736" i="8"/>
  <c r="H748" i="8"/>
  <c r="H773" i="8"/>
  <c r="H787" i="8"/>
  <c r="H809" i="8"/>
  <c r="H836" i="8"/>
  <c r="H844" i="8"/>
  <c r="H117" i="8"/>
  <c r="H132" i="8"/>
  <c r="H139" i="8"/>
  <c r="H171" i="8"/>
  <c r="H179" i="8"/>
  <c r="H245" i="8"/>
  <c r="H378" i="8"/>
  <c r="H392" i="8"/>
  <c r="H399" i="8"/>
  <c r="H442" i="8"/>
  <c r="H755" i="8"/>
  <c r="H943" i="8"/>
  <c r="H1070" i="8"/>
  <c r="H1084" i="8"/>
  <c r="H1080" i="8" s="1"/>
  <c r="H48" i="8"/>
  <c r="H86" i="8"/>
  <c r="H1104" i="8"/>
  <c r="H1102" i="8"/>
  <c r="H347" i="8"/>
  <c r="H377" i="8"/>
  <c r="H453" i="8"/>
  <c r="H735" i="8"/>
  <c r="H889" i="8"/>
  <c r="H946" i="8"/>
  <c r="H961" i="8"/>
  <c r="H1001" i="8"/>
  <c r="H1053" i="8"/>
  <c r="G476" i="8"/>
  <c r="I476" i="8" s="1"/>
  <c r="G385" i="8"/>
  <c r="I385" i="8" s="1"/>
  <c r="G648" i="8"/>
  <c r="I648" i="8" s="1"/>
  <c r="G636" i="8"/>
  <c r="I636" i="8" s="1"/>
  <c r="G630" i="8"/>
  <c r="I630" i="8" s="1"/>
  <c r="G629" i="8"/>
  <c r="I629" i="8" s="1"/>
  <c r="G625" i="8"/>
  <c r="I625" i="8" s="1"/>
  <c r="G610" i="8"/>
  <c r="I610" i="8" s="1"/>
  <c r="H166" i="8" l="1"/>
  <c r="H864" i="8"/>
  <c r="F53" i="69"/>
  <c r="H989" i="8"/>
  <c r="H231" i="8"/>
  <c r="H1103" i="8"/>
  <c r="H350" i="8"/>
  <c r="H1101" i="8"/>
  <c r="H1079" i="8"/>
  <c r="H1069" i="8"/>
  <c r="H1052" i="8"/>
  <c r="H969" i="8"/>
  <c r="H942" i="8"/>
  <c r="H914" i="8"/>
  <c r="H897" i="8"/>
  <c r="H888" i="8" s="1"/>
  <c r="H413" i="8"/>
  <c r="H412" i="8" s="1"/>
  <c r="H154" i="8"/>
  <c r="H391" i="8"/>
  <c r="H390" i="8" s="1"/>
  <c r="H389" i="8" s="1"/>
  <c r="H131" i="8"/>
  <c r="H835" i="8"/>
  <c r="H786" i="8"/>
  <c r="H782" i="8" s="1"/>
  <c r="H772" i="8"/>
  <c r="H627" i="8"/>
  <c r="H541" i="8"/>
  <c r="H529" i="8"/>
  <c r="H494" i="8"/>
  <c r="H474" i="8"/>
  <c r="H450" i="8"/>
  <c r="H423" i="8"/>
  <c r="H359" i="8"/>
  <c r="H295" i="8"/>
  <c r="H62" i="8"/>
  <c r="H806" i="8"/>
  <c r="H742" i="8"/>
  <c r="H730" i="8"/>
  <c r="H591" i="8"/>
  <c r="H567" i="8"/>
  <c r="H538" i="8"/>
  <c r="H503" i="8"/>
  <c r="H374" i="8"/>
  <c r="H369" i="8" s="1"/>
  <c r="H316" i="8"/>
  <c r="H276" i="8"/>
  <c r="H202" i="8"/>
  <c r="H42" i="8"/>
  <c r="H18" i="8"/>
  <c r="H12" i="8"/>
  <c r="H852" i="8"/>
  <c r="H822" i="8"/>
  <c r="H816" i="8" s="1"/>
  <c r="H702" i="8"/>
  <c r="H680" i="8"/>
  <c r="H561" i="8"/>
  <c r="H320" i="8"/>
  <c r="H312" i="8"/>
  <c r="H255" i="8"/>
  <c r="H145" i="8"/>
  <c r="H28" i="8"/>
  <c r="H863" i="8"/>
  <c r="H47" i="8"/>
  <c r="H707" i="8"/>
  <c r="H441" i="8"/>
  <c r="H244" i="8"/>
  <c r="H178" i="8"/>
  <c r="H177" i="8" s="1"/>
  <c r="H176" i="8" s="1"/>
  <c r="H138" i="8"/>
  <c r="H116" i="8"/>
  <c r="H847" i="8"/>
  <c r="H841" i="8"/>
  <c r="H792" i="8"/>
  <c r="H690" i="8"/>
  <c r="H672" i="8"/>
  <c r="H661" i="8"/>
  <c r="H646" i="8"/>
  <c r="H631" i="8"/>
  <c r="H578" i="8"/>
  <c r="H558" i="8"/>
  <c r="H489" i="8"/>
  <c r="H404" i="8"/>
  <c r="H309" i="8"/>
  <c r="H303" i="8"/>
  <c r="H287" i="8"/>
  <c r="H283" i="8" s="1"/>
  <c r="H217" i="8"/>
  <c r="H111" i="8"/>
  <c r="H95" i="8"/>
  <c r="H803" i="8"/>
  <c r="H795" i="8"/>
  <c r="H739" i="8"/>
  <c r="H719" i="8"/>
  <c r="H653" i="8"/>
  <c r="H634" i="8"/>
  <c r="H623" i="8"/>
  <c r="H608" i="8"/>
  <c r="H598" i="8"/>
  <c r="H597" i="8" s="1"/>
  <c r="H596" i="8" s="1"/>
  <c r="H595" i="8" s="1"/>
  <c r="H594" i="8" s="1"/>
  <c r="H584" i="8"/>
  <c r="H535" i="8"/>
  <c r="H512" i="8"/>
  <c r="H508" i="8"/>
  <c r="H500" i="8"/>
  <c r="H486" i="8"/>
  <c r="H458" i="8"/>
  <c r="H435" i="8"/>
  <c r="H430" i="8"/>
  <c r="H381" i="8"/>
  <c r="H356" i="8"/>
  <c r="H265" i="8"/>
  <c r="H234" i="8"/>
  <c r="H211" i="8"/>
  <c r="H195" i="8"/>
  <c r="H124" i="8"/>
  <c r="H1100" i="8" l="1"/>
  <c r="H1078" i="8"/>
  <c r="H1068" i="8"/>
  <c r="H1051" i="8"/>
  <c r="H968" i="8"/>
  <c r="H937" i="8"/>
  <c r="H913" i="8"/>
  <c r="H184" i="8"/>
  <c r="H223" i="8"/>
  <c r="H482" i="8"/>
  <c r="H607" i="8"/>
  <c r="H622" i="8"/>
  <c r="H738" i="8"/>
  <c r="H802" i="8"/>
  <c r="H94" i="8"/>
  <c r="H110" i="8"/>
  <c r="H216" i="8"/>
  <c r="H282" i="8"/>
  <c r="H308" i="8"/>
  <c r="H547" i="8"/>
  <c r="H645" i="8"/>
  <c r="H791" i="8"/>
  <c r="H846" i="8"/>
  <c r="H175" i="8"/>
  <c r="H706" i="8"/>
  <c r="H705" i="8" s="1"/>
  <c r="H46" i="8"/>
  <c r="H27" i="8"/>
  <c r="H319" i="8"/>
  <c r="H701" i="8"/>
  <c r="H11" i="8"/>
  <c r="H17" i="8"/>
  <c r="H34" i="8"/>
  <c r="H201" i="8"/>
  <c r="H271" i="8"/>
  <c r="H315" i="8"/>
  <c r="H590" i="8"/>
  <c r="H61" i="8"/>
  <c r="H294" i="8"/>
  <c r="H422" i="8"/>
  <c r="H473" i="8"/>
  <c r="H534" i="8"/>
  <c r="H626" i="8"/>
  <c r="H834" i="8"/>
  <c r="H130" i="8"/>
  <c r="H411" i="8"/>
  <c r="H123" i="8"/>
  <c r="H429" i="8"/>
  <c r="H507" i="8"/>
  <c r="H583" i="8"/>
  <c r="H652" i="8"/>
  <c r="H660" i="8"/>
  <c r="H689" i="8"/>
  <c r="H840" i="8"/>
  <c r="H337" i="8"/>
  <c r="H718" i="8"/>
  <c r="H566" i="8"/>
  <c r="H747" i="8"/>
  <c r="H449" i="8"/>
  <c r="H398" i="8"/>
  <c r="G633" i="8"/>
  <c r="I633" i="8" s="1"/>
  <c r="G671" i="8"/>
  <c r="I671" i="8" s="1"/>
  <c r="G669" i="8"/>
  <c r="I669" i="8" s="1"/>
  <c r="G540" i="8"/>
  <c r="I540" i="8" s="1"/>
  <c r="G419" i="8"/>
  <c r="I419" i="8" s="1"/>
  <c r="G373" i="8"/>
  <c r="I373" i="8" s="1"/>
  <c r="G306" i="8"/>
  <c r="I306" i="8" s="1"/>
  <c r="G301" i="8"/>
  <c r="I301" i="8" s="1"/>
  <c r="G297" i="8"/>
  <c r="I297" i="8" s="1"/>
  <c r="G383" i="8"/>
  <c r="I383" i="8" s="1"/>
  <c r="G425" i="8"/>
  <c r="I425" i="8" s="1"/>
  <c r="G403" i="8"/>
  <c r="I403" i="8" s="1"/>
  <c r="G528" i="8"/>
  <c r="I528" i="8" s="1"/>
  <c r="G525" i="8"/>
  <c r="I525" i="8" s="1"/>
  <c r="G516" i="8"/>
  <c r="I516" i="8" s="1"/>
  <c r="G499" i="8"/>
  <c r="I499" i="8" s="1"/>
  <c r="G491" i="8"/>
  <c r="I491" i="8" s="1"/>
  <c r="G493" i="8"/>
  <c r="I493" i="8" s="1"/>
  <c r="G485" i="8"/>
  <c r="I485" i="8" s="1"/>
  <c r="G464" i="8"/>
  <c r="I464" i="8" s="1"/>
  <c r="G440" i="8"/>
  <c r="I440" i="8" s="1"/>
  <c r="G437" i="8"/>
  <c r="I437" i="8" s="1"/>
  <c r="G387" i="8"/>
  <c r="I387" i="8" s="1"/>
  <c r="G380" i="8"/>
  <c r="I380" i="8" s="1"/>
  <c r="G372" i="8"/>
  <c r="I372" i="8" s="1"/>
  <c r="G362" i="8"/>
  <c r="I362" i="8" s="1"/>
  <c r="G358" i="8"/>
  <c r="I358" i="8" s="1"/>
  <c r="G353" i="8"/>
  <c r="I353" i="8" s="1"/>
  <c r="G349" i="8"/>
  <c r="I349" i="8" s="1"/>
  <c r="G341" i="8"/>
  <c r="I341" i="8" s="1"/>
  <c r="G340" i="8"/>
  <c r="I340" i="8" s="1"/>
  <c r="G311" i="8"/>
  <c r="I311" i="8" s="1"/>
  <c r="G600" i="8"/>
  <c r="I600" i="8" s="1"/>
  <c r="G586" i="8"/>
  <c r="I586" i="8" s="1"/>
  <c r="G572" i="8"/>
  <c r="I572" i="8" s="1"/>
  <c r="G563" i="8"/>
  <c r="I563" i="8" s="1"/>
  <c r="G550" i="8"/>
  <c r="I550" i="8" s="1"/>
  <c r="G537" i="8"/>
  <c r="I537" i="8" s="1"/>
  <c r="G531" i="8"/>
  <c r="I531" i="8" s="1"/>
  <c r="G515" i="8"/>
  <c r="I515" i="8" s="1"/>
  <c r="G496" i="8"/>
  <c r="I496" i="8" s="1"/>
  <c r="G488" i="8"/>
  <c r="I488" i="8" s="1"/>
  <c r="G472" i="8"/>
  <c r="G470" i="8"/>
  <c r="I470" i="8" s="1"/>
  <c r="G416" i="8"/>
  <c r="I416" i="8" s="1"/>
  <c r="G406" i="8"/>
  <c r="I406" i="8" s="1"/>
  <c r="G333" i="8"/>
  <c r="G322" i="8"/>
  <c r="I322" i="8" s="1"/>
  <c r="G364" i="8"/>
  <c r="G781" i="8"/>
  <c r="I781" i="8" s="1"/>
  <c r="G805" i="8"/>
  <c r="I805" i="8" s="1"/>
  <c r="G808" i="8"/>
  <c r="I808" i="8" s="1"/>
  <c r="G878" i="8"/>
  <c r="I878" i="8" s="1"/>
  <c r="G879" i="8"/>
  <c r="I879" i="8" s="1"/>
  <c r="G857" i="8"/>
  <c r="I857" i="8" s="1"/>
  <c r="G856" i="8"/>
  <c r="I856" i="8" s="1"/>
  <c r="G794" i="8"/>
  <c r="I794" i="8" s="1"/>
  <c r="G774" i="8"/>
  <c r="I774" i="8" s="1"/>
  <c r="G764" i="8"/>
  <c r="I764" i="8" s="1"/>
  <c r="G761" i="8"/>
  <c r="I761" i="8" s="1"/>
  <c r="G754" i="8"/>
  <c r="I754" i="8" s="1"/>
  <c r="G737" i="8"/>
  <c r="I737" i="8" s="1"/>
  <c r="G734" i="8"/>
  <c r="I734" i="8" s="1"/>
  <c r="G732" i="8"/>
  <c r="I732" i="8" s="1"/>
  <c r="G694" i="8"/>
  <c r="I694" i="8" s="1"/>
  <c r="G693" i="8"/>
  <c r="I693" i="8" s="1"/>
  <c r="G683" i="8"/>
  <c r="I683" i="8" s="1"/>
  <c r="G676" i="8"/>
  <c r="I676" i="8" s="1"/>
  <c r="G679" i="8"/>
  <c r="I679" i="8" s="1"/>
  <c r="G675" i="8"/>
  <c r="I675" i="8" s="1"/>
  <c r="G664" i="8"/>
  <c r="I664" i="8" s="1"/>
  <c r="G1075" i="8"/>
  <c r="I1075" i="8" s="1"/>
  <c r="G1071" i="8"/>
  <c r="I1071" i="8" s="1"/>
  <c r="G1046" i="8"/>
  <c r="I1046" i="8" s="1"/>
  <c r="G1023" i="8"/>
  <c r="I1023" i="8" s="1"/>
  <c r="G992" i="8"/>
  <c r="I992" i="8" s="1"/>
  <c r="G975" i="8"/>
  <c r="I975" i="8" s="1"/>
  <c r="G955" i="8"/>
  <c r="I955" i="8" s="1"/>
  <c r="G940" i="8"/>
  <c r="I940" i="8" s="1"/>
  <c r="G944" i="8"/>
  <c r="I944" i="8" s="1"/>
  <c r="G927" i="8"/>
  <c r="I927" i="8" s="1"/>
  <c r="G917" i="8"/>
  <c r="I917" i="8" s="1"/>
  <c r="G910" i="8"/>
  <c r="I910" i="8" s="1"/>
  <c r="G907" i="8"/>
  <c r="I907" i="8" s="1"/>
  <c r="G906" i="8"/>
  <c r="I906" i="8" s="1"/>
  <c r="G896" i="8"/>
  <c r="I896" i="8" s="1"/>
  <c r="G894" i="8"/>
  <c r="I894" i="8" s="1"/>
  <c r="G1076" i="8"/>
  <c r="I1076" i="8" s="1"/>
  <c r="G1072" i="8"/>
  <c r="I1072" i="8" s="1"/>
  <c r="G181" i="8"/>
  <c r="I181" i="8" s="1"/>
  <c r="G180" i="8"/>
  <c r="I180" i="8" s="1"/>
  <c r="G150" i="8"/>
  <c r="I150" i="8" s="1"/>
  <c r="G147" i="8"/>
  <c r="I147" i="8" s="1"/>
  <c r="G144" i="8"/>
  <c r="I144" i="8" s="1"/>
  <c r="G140" i="8"/>
  <c r="I140" i="8" s="1"/>
  <c r="G137" i="8"/>
  <c r="I137" i="8" s="1"/>
  <c r="G133" i="8"/>
  <c r="I133" i="8" s="1"/>
  <c r="G76" i="8"/>
  <c r="I76" i="8" s="1"/>
  <c r="G68" i="8"/>
  <c r="I68" i="8" s="1"/>
  <c r="G289" i="8"/>
  <c r="I289" i="8" s="1"/>
  <c r="G286" i="8"/>
  <c r="I286" i="8" s="1"/>
  <c r="G268" i="8"/>
  <c r="I268" i="8" s="1"/>
  <c r="G246" i="8"/>
  <c r="I246" i="8" s="1"/>
  <c r="G233" i="8"/>
  <c r="I233" i="8" s="1"/>
  <c r="G229" i="8"/>
  <c r="I229" i="8" s="1"/>
  <c r="G226" i="8"/>
  <c r="I226" i="8" s="1"/>
  <c r="G219" i="8"/>
  <c r="I219" i="8" s="1"/>
  <c r="G220" i="8"/>
  <c r="I220" i="8" s="1"/>
  <c r="G222" i="8"/>
  <c r="I222" i="8" s="1"/>
  <c r="G194" i="8"/>
  <c r="I194" i="8" s="1"/>
  <c r="G190" i="8"/>
  <c r="I190" i="8" s="1"/>
  <c r="G141" i="8"/>
  <c r="I141" i="8" s="1"/>
  <c r="G67" i="8"/>
  <c r="I67" i="8" s="1"/>
  <c r="G90" i="8"/>
  <c r="I90" i="8" s="1"/>
  <c r="G1108" i="8"/>
  <c r="I1108" i="8" s="1"/>
  <c r="G1083" i="8"/>
  <c r="G1086" i="8"/>
  <c r="G1114" i="8"/>
  <c r="G1098" i="8"/>
  <c r="I1098" i="8" s="1"/>
  <c r="G1094" i="8"/>
  <c r="I1094" i="8" s="1"/>
  <c r="G14" i="8"/>
  <c r="I14" i="8" s="1"/>
  <c r="G20" i="8"/>
  <c r="I20" i="8" s="1"/>
  <c r="G57" i="8"/>
  <c r="I57" i="8" s="1"/>
  <c r="G38" i="8"/>
  <c r="I38" i="8" s="1"/>
  <c r="G37" i="8"/>
  <c r="I37" i="8" s="1"/>
  <c r="G1064" i="8"/>
  <c r="I1064" i="8" s="1"/>
  <c r="G1062" i="8"/>
  <c r="I1062" i="8" s="1"/>
  <c r="G829" i="8"/>
  <c r="G744" i="8"/>
  <c r="I744" i="8" s="1"/>
  <c r="G1113" i="8" l="1"/>
  <c r="I1113" i="8" s="1"/>
  <c r="I1114" i="8"/>
  <c r="I1083" i="8"/>
  <c r="G471" i="8"/>
  <c r="I471" i="8" s="1"/>
  <c r="I472" i="8"/>
  <c r="I1086" i="8"/>
  <c r="H1099" i="8"/>
  <c r="H1077" i="8" s="1"/>
  <c r="H1067" i="8"/>
  <c r="H1050" i="8"/>
  <c r="H967" i="8"/>
  <c r="H936" i="8"/>
  <c r="H912" i="8"/>
  <c r="H466" i="8"/>
  <c r="H397" i="8"/>
  <c r="H746" i="8"/>
  <c r="H565" i="8"/>
  <c r="H688" i="8"/>
  <c r="H651" i="8"/>
  <c r="H582" i="8"/>
  <c r="H833" i="8"/>
  <c r="H621" i="8"/>
  <c r="H533" i="8"/>
  <c r="H293" i="8"/>
  <c r="H60" i="8"/>
  <c r="H589" i="8"/>
  <c r="H200" i="8"/>
  <c r="H26" i="8"/>
  <c r="H45" i="8"/>
  <c r="H790" i="8"/>
  <c r="H644" i="8"/>
  <c r="H546" i="8"/>
  <c r="H307" i="8"/>
  <c r="H281" i="8"/>
  <c r="H801" i="8"/>
  <c r="H606" i="8"/>
  <c r="G828" i="8"/>
  <c r="I828" i="8" s="1"/>
  <c r="I829" i="8"/>
  <c r="H448" i="8"/>
  <c r="H717" i="8"/>
  <c r="H326" i="8"/>
  <c r="H659" i="8"/>
  <c r="H506" i="8"/>
  <c r="H421" i="8"/>
  <c r="H270" i="8"/>
  <c r="H700" i="8"/>
  <c r="H481" i="8"/>
  <c r="H215" i="8"/>
  <c r="H183" i="8"/>
  <c r="H115" i="8"/>
  <c r="G427" i="8"/>
  <c r="G424" i="8"/>
  <c r="G54" i="8"/>
  <c r="G56" i="8"/>
  <c r="G30" i="8"/>
  <c r="G552" i="8"/>
  <c r="G543" i="8"/>
  <c r="G505" i="8"/>
  <c r="G479" i="8"/>
  <c r="G460" i="8"/>
  <c r="G457" i="8"/>
  <c r="I457" i="8" s="1"/>
  <c r="G410" i="8"/>
  <c r="G409" i="8" s="1"/>
  <c r="I409" i="8" s="1"/>
  <c r="G376" i="8"/>
  <c r="G363" i="8"/>
  <c r="G355" i="8"/>
  <c r="G344" i="8"/>
  <c r="G330" i="8"/>
  <c r="G655" i="8"/>
  <c r="I655" i="8" s="1"/>
  <c r="G641" i="8"/>
  <c r="I641" i="8" s="1"/>
  <c r="G640" i="8"/>
  <c r="I640" i="8" s="1"/>
  <c r="G609" i="8"/>
  <c r="I609" i="8" s="1"/>
  <c r="G612" i="8"/>
  <c r="G254" i="8"/>
  <c r="G253" i="8"/>
  <c r="I253" i="8" s="1"/>
  <c r="G250" i="8"/>
  <c r="G236" i="8"/>
  <c r="I236" i="8" s="1"/>
  <c r="G247" i="8"/>
  <c r="I247" i="8" s="1"/>
  <c r="G197" i="8"/>
  <c r="I197" i="8" s="1"/>
  <c r="G191" i="8"/>
  <c r="G173" i="8"/>
  <c r="I173" i="8" s="1"/>
  <c r="G114" i="8"/>
  <c r="G134" i="8"/>
  <c r="G132" i="8" s="1"/>
  <c r="I132" i="8" s="1"/>
  <c r="G158" i="8"/>
  <c r="I158" i="8" s="1"/>
  <c r="G157" i="8"/>
  <c r="G72" i="8"/>
  <c r="G1063" i="8"/>
  <c r="I1063" i="8" s="1"/>
  <c r="G1056" i="8"/>
  <c r="G1038" i="8"/>
  <c r="G1037" i="8" s="1"/>
  <c r="G1048" i="8"/>
  <c r="G1000" i="8"/>
  <c r="I1000" i="8" s="1"/>
  <c r="G998" i="8"/>
  <c r="G985" i="8"/>
  <c r="G983" i="8"/>
  <c r="I983" i="8" s="1"/>
  <c r="G972" i="8"/>
  <c r="G948" i="8"/>
  <c r="G926" i="8"/>
  <c r="G886" i="8"/>
  <c r="I886" i="8" s="1"/>
  <c r="G882" i="8"/>
  <c r="G873" i="8"/>
  <c r="G870" i="8"/>
  <c r="G869" i="8"/>
  <c r="G862" i="8"/>
  <c r="I862" i="8" s="1"/>
  <c r="G854" i="8"/>
  <c r="I854" i="8" s="1"/>
  <c r="G851" i="8"/>
  <c r="I851" i="8" s="1"/>
  <c r="G843" i="8"/>
  <c r="I843" i="8" s="1"/>
  <c r="G837" i="8"/>
  <c r="I837" i="8" s="1"/>
  <c r="G824" i="8"/>
  <c r="I824" i="8" s="1"/>
  <c r="G819" i="8"/>
  <c r="G763" i="8"/>
  <c r="G721" i="8"/>
  <c r="I721" i="8" s="1"/>
  <c r="G971" i="8"/>
  <c r="G89" i="8"/>
  <c r="I89" i="8" s="1"/>
  <c r="G815" i="8"/>
  <c r="G814" i="8" s="1"/>
  <c r="G807" i="8"/>
  <c r="G771" i="8"/>
  <c r="G768" i="8"/>
  <c r="G735" i="8"/>
  <c r="I735" i="8" s="1"/>
  <c r="G714" i="8"/>
  <c r="G711" i="8"/>
  <c r="G13" i="8"/>
  <c r="I13" i="8" s="1"/>
  <c r="G342" i="8"/>
  <c r="G296" i="8"/>
  <c r="I296" i="8" s="1"/>
  <c r="G299" i="8"/>
  <c r="G475" i="8"/>
  <c r="I475" i="8" s="1"/>
  <c r="G44" i="8"/>
  <c r="G637" i="8"/>
  <c r="I637" i="8" s="1"/>
  <c r="G615" i="8"/>
  <c r="I615" i="8" s="1"/>
  <c r="G418" i="8"/>
  <c r="G379" i="8"/>
  <c r="I379" i="8" s="1"/>
  <c r="G386" i="8"/>
  <c r="I386" i="8" s="1"/>
  <c r="G1085" i="8"/>
  <c r="G1082" i="8"/>
  <c r="G1095" i="8"/>
  <c r="G1097" i="8"/>
  <c r="G1088" i="8"/>
  <c r="G41" i="8"/>
  <c r="I41" i="8" s="1"/>
  <c r="G22" i="8"/>
  <c r="I22" i="8" s="1"/>
  <c r="G148" i="8"/>
  <c r="G127" i="8"/>
  <c r="I127" i="8" s="1"/>
  <c r="G129" i="8"/>
  <c r="G126" i="8"/>
  <c r="I126" i="8" s="1"/>
  <c r="G204" i="8"/>
  <c r="I204" i="8" s="1"/>
  <c r="G74" i="8"/>
  <c r="G73" i="8" s="1"/>
  <c r="I73" i="8" s="1"/>
  <c r="G905" i="8"/>
  <c r="G893" i="8"/>
  <c r="I893" i="8" s="1"/>
  <c r="G788" i="8"/>
  <c r="I788" i="8" s="1"/>
  <c r="G785" i="8"/>
  <c r="I785" i="8" s="1"/>
  <c r="G696" i="8"/>
  <c r="G687" i="8"/>
  <c r="I687" i="8" s="1"/>
  <c r="G668" i="8"/>
  <c r="I668" i="8" s="1"/>
  <c r="G666" i="8"/>
  <c r="I666" i="8" s="1"/>
  <c r="G318" i="8"/>
  <c r="G382" i="8"/>
  <c r="I382" i="8" s="1"/>
  <c r="G536" i="8"/>
  <c r="G108" i="8"/>
  <c r="G106" i="8"/>
  <c r="I106" i="8" s="1"/>
  <c r="G325" i="8"/>
  <c r="G324" i="8" s="1"/>
  <c r="G103" i="8"/>
  <c r="G207" i="8"/>
  <c r="I207" i="8" s="1"/>
  <c r="G1013" i="8"/>
  <c r="G885" i="8"/>
  <c r="I885" i="8" s="1"/>
  <c r="G602" i="8"/>
  <c r="I602" i="8" s="1"/>
  <c r="G577" i="8"/>
  <c r="G560" i="8"/>
  <c r="I560" i="8" s="1"/>
  <c r="G498" i="8"/>
  <c r="G452" i="8"/>
  <c r="G408" i="8"/>
  <c r="G371" i="8"/>
  <c r="G368" i="8"/>
  <c r="G367" i="8" s="1"/>
  <c r="G366" i="8" s="1"/>
  <c r="G365" i="8" s="1"/>
  <c r="G336" i="8"/>
  <c r="G335" i="8" s="1"/>
  <c r="G334" i="8" s="1"/>
  <c r="G314" i="8"/>
  <c r="I314" i="8" s="1"/>
  <c r="G305" i="8"/>
  <c r="G1035" i="8"/>
  <c r="G1005" i="8"/>
  <c r="G977" i="8"/>
  <c r="G920" i="8"/>
  <c r="G267" i="8"/>
  <c r="G172" i="8"/>
  <c r="G165" i="8"/>
  <c r="I165" i="8" s="1"/>
  <c r="G164" i="8"/>
  <c r="I164" i="8" s="1"/>
  <c r="G704" i="8"/>
  <c r="I704" i="8" s="1"/>
  <c r="G24" i="8"/>
  <c r="G213" i="8"/>
  <c r="I213" i="8" s="1"/>
  <c r="G288" i="8"/>
  <c r="G170" i="8"/>
  <c r="I170" i="8" s="1"/>
  <c r="G142" i="8"/>
  <c r="G84" i="8"/>
  <c r="G1123" i="8"/>
  <c r="G797" i="8"/>
  <c r="G1043" i="8"/>
  <c r="G1042" i="8" s="1"/>
  <c r="G1031" i="8"/>
  <c r="G916" i="8"/>
  <c r="G902" i="8"/>
  <c r="I902" i="8" s="1"/>
  <c r="G964" i="8"/>
  <c r="I964" i="8" s="1"/>
  <c r="G966" i="8"/>
  <c r="G1058" i="8"/>
  <c r="G845" i="8"/>
  <c r="I845" i="8" s="1"/>
  <c r="G839" i="8"/>
  <c r="I839" i="8" s="1"/>
  <c r="G502" i="8"/>
  <c r="G484" i="8"/>
  <c r="G455" i="8"/>
  <c r="G1117" i="8"/>
  <c r="G279" i="8"/>
  <c r="G277" i="8" s="1"/>
  <c r="G278" i="8"/>
  <c r="G275" i="8"/>
  <c r="G274" i="8"/>
  <c r="G66" i="8"/>
  <c r="I66" i="8" s="1"/>
  <c r="G167" i="8"/>
  <c r="I167" i="8" s="1"/>
  <c r="G98" i="8"/>
  <c r="G1045" i="8"/>
  <c r="G684" i="8"/>
  <c r="I684" i="8" s="1"/>
  <c r="G593" i="8"/>
  <c r="I593" i="8" s="1"/>
  <c r="G519" i="8"/>
  <c r="I519" i="8" s="1"/>
  <c r="G511" i="8"/>
  <c r="G384" i="8"/>
  <c r="I384" i="8" s="1"/>
  <c r="G401" i="8"/>
  <c r="G628" i="8"/>
  <c r="G153" i="8"/>
  <c r="G151" i="8" s="1"/>
  <c r="I151" i="8" s="1"/>
  <c r="G33" i="8"/>
  <c r="G624" i="8"/>
  <c r="G346" i="8"/>
  <c r="G647" i="8"/>
  <c r="G1110" i="8"/>
  <c r="G415" i="8"/>
  <c r="G1105" i="8"/>
  <c r="I1105" i="8" s="1"/>
  <c r="G51" i="8"/>
  <c r="G257" i="8"/>
  <c r="G240" i="8"/>
  <c r="I240" i="8" s="1"/>
  <c r="G232" i="8"/>
  <c r="G225" i="8"/>
  <c r="G192" i="8"/>
  <c r="G733" i="8"/>
  <c r="I733" i="8" s="1"/>
  <c r="G438" i="8"/>
  <c r="G580" i="8"/>
  <c r="G574" i="8"/>
  <c r="G945" i="8"/>
  <c r="G941" i="8"/>
  <c r="G741" i="8"/>
  <c r="G92" i="8"/>
  <c r="G352" i="8"/>
  <c r="G361" i="8"/>
  <c r="G238" i="8"/>
  <c r="G432" i="8"/>
  <c r="G433" i="8"/>
  <c r="G443" i="8"/>
  <c r="I443" i="8" s="1"/>
  <c r="G444" i="8"/>
  <c r="I444" i="8" s="1"/>
  <c r="G569" i="8"/>
  <c r="G994" i="8"/>
  <c r="G64" i="8"/>
  <c r="I64" i="8" s="1"/>
  <c r="G69" i="8"/>
  <c r="I69" i="8" s="1"/>
  <c r="G75" i="8"/>
  <c r="I75" i="8" s="1"/>
  <c r="G79" i="8"/>
  <c r="G118" i="8"/>
  <c r="I118" i="8" s="1"/>
  <c r="G120" i="8"/>
  <c r="I120" i="8" s="1"/>
  <c r="G136" i="8"/>
  <c r="I136" i="8" s="1"/>
  <c r="G143" i="8"/>
  <c r="I143" i="8" s="1"/>
  <c r="G160" i="8"/>
  <c r="G179" i="8"/>
  <c r="G186" i="8"/>
  <c r="G209" i="8"/>
  <c r="I209" i="8" s="1"/>
  <c r="G221" i="8"/>
  <c r="I221" i="8" s="1"/>
  <c r="G242" i="8"/>
  <c r="G262" i="8"/>
  <c r="G347" i="8"/>
  <c r="I347" i="8" s="1"/>
  <c r="G393" i="8"/>
  <c r="G395" i="8"/>
  <c r="I395" i="8" s="1"/>
  <c r="G492" i="8"/>
  <c r="I492" i="8" s="1"/>
  <c r="G521" i="8"/>
  <c r="I521" i="8" s="1"/>
  <c r="G524" i="8"/>
  <c r="I524" i="8" s="1"/>
  <c r="G527" i="8"/>
  <c r="G585" i="8"/>
  <c r="G632" i="8"/>
  <c r="G618" i="8"/>
  <c r="G670" i="8"/>
  <c r="I670" i="8" s="1"/>
  <c r="G674" i="8"/>
  <c r="G678" i="8"/>
  <c r="I678" i="8" s="1"/>
  <c r="G722" i="8"/>
  <c r="I722" i="8" s="1"/>
  <c r="G724" i="8"/>
  <c r="I724" i="8" s="1"/>
  <c r="G726" i="8"/>
  <c r="I726" i="8" s="1"/>
  <c r="G728" i="8"/>
  <c r="I728" i="8" s="1"/>
  <c r="G749" i="8"/>
  <c r="I749" i="8" s="1"/>
  <c r="G751" i="8"/>
  <c r="I751" i="8" s="1"/>
  <c r="G753" i="8"/>
  <c r="I753" i="8" s="1"/>
  <c r="G756" i="8"/>
  <c r="I756" i="8" s="1"/>
  <c r="G758" i="8"/>
  <c r="I758" i="8" s="1"/>
  <c r="G775" i="8"/>
  <c r="I775" i="8" s="1"/>
  <c r="G777" i="8"/>
  <c r="I777" i="8" s="1"/>
  <c r="G793" i="8"/>
  <c r="G798" i="8"/>
  <c r="I798" i="8" s="1"/>
  <c r="G811" i="8"/>
  <c r="G820" i="8"/>
  <c r="I820" i="8" s="1"/>
  <c r="G826" i="8"/>
  <c r="G895" i="8"/>
  <c r="I895" i="8" s="1"/>
  <c r="G908" i="8"/>
  <c r="I908" i="8" s="1"/>
  <c r="G932" i="8"/>
  <c r="I932" i="8" s="1"/>
  <c r="G950" i="8"/>
  <c r="G957" i="8"/>
  <c r="G978" i="8"/>
  <c r="I978" i="8" s="1"/>
  <c r="G980" i="8"/>
  <c r="I980" i="8" s="1"/>
  <c r="G987" i="8"/>
  <c r="G995" i="8"/>
  <c r="I995" i="8" s="1"/>
  <c r="G1002" i="8"/>
  <c r="I1002" i="8" s="1"/>
  <c r="G1007" i="8"/>
  <c r="G1010" i="8"/>
  <c r="I1010" i="8" s="1"/>
  <c r="G1016" i="8"/>
  <c r="G1019" i="8"/>
  <c r="G1024" i="8"/>
  <c r="I1024" i="8" s="1"/>
  <c r="G1026" i="8"/>
  <c r="I1026" i="8" s="1"/>
  <c r="G1061" i="8"/>
  <c r="I1061" i="8" s="1"/>
  <c r="G1107" i="8"/>
  <c r="G933" i="8"/>
  <c r="I933" i="8" s="1"/>
  <c r="G930" i="8"/>
  <c r="I930" i="8" s="1"/>
  <c r="G928" i="8"/>
  <c r="I928" i="8" s="1"/>
  <c r="G909" i="8"/>
  <c r="I909" i="8" s="1"/>
  <c r="G575" i="8"/>
  <c r="I575" i="8" s="1"/>
  <c r="G514" i="8"/>
  <c r="I514" i="8" s="1"/>
  <c r="G731" i="8"/>
  <c r="G682" i="8"/>
  <c r="I682" i="8" s="1"/>
  <c r="G300" i="8"/>
  <c r="I300" i="8" s="1"/>
  <c r="G663" i="8"/>
  <c r="I663" i="8" s="1"/>
  <c r="G743" i="8"/>
  <c r="G439" i="8"/>
  <c r="I439" i="8" s="1"/>
  <c r="G568" i="8"/>
  <c r="G530" i="8"/>
  <c r="G876" i="8"/>
  <c r="G212" i="8"/>
  <c r="I212" i="8" s="1"/>
  <c r="G19" i="8"/>
  <c r="I19" i="8" s="1"/>
  <c r="G804" i="8"/>
  <c r="G1074" i="8"/>
  <c r="G549" i="8"/>
  <c r="I549" i="8" s="1"/>
  <c r="G228" i="8"/>
  <c r="G405" i="8"/>
  <c r="I405" i="8" s="1"/>
  <c r="G360" i="8"/>
  <c r="I360" i="8" s="1"/>
  <c r="G1030" i="8"/>
  <c r="G285" i="8"/>
  <c r="G842" i="8"/>
  <c r="I842" i="8" s="1"/>
  <c r="G169" i="8"/>
  <c r="I169" i="8" s="1"/>
  <c r="G469" i="8"/>
  <c r="I469" i="8" s="1"/>
  <c r="G991" i="8"/>
  <c r="I991" i="8" s="1"/>
  <c r="G954" i="8"/>
  <c r="G571" i="8"/>
  <c r="I571" i="8" s="1"/>
  <c r="G317" i="8"/>
  <c r="G946" i="8"/>
  <c r="I946" i="8" s="1"/>
  <c r="G736" i="8"/>
  <c r="I736" i="8" s="1"/>
  <c r="G860" i="8" l="1"/>
  <c r="I860" i="8" s="1"/>
  <c r="G1112" i="8"/>
  <c r="I941" i="8"/>
  <c r="I945" i="8"/>
  <c r="G400" i="8"/>
  <c r="I400" i="8" s="1"/>
  <c r="I401" i="8"/>
  <c r="I1043" i="8"/>
  <c r="G83" i="8"/>
  <c r="I84" i="8"/>
  <c r="G976" i="8"/>
  <c r="I976" i="8" s="1"/>
  <c r="I977" i="8"/>
  <c r="I1035" i="8"/>
  <c r="I74" i="8"/>
  <c r="I1088" i="8"/>
  <c r="G1093" i="8"/>
  <c r="G1092" i="8" s="1"/>
  <c r="I1092" i="8" s="1"/>
  <c r="I1095" i="8"/>
  <c r="G1084" i="8"/>
  <c r="I1084" i="8" s="1"/>
  <c r="I1085" i="8"/>
  <c r="G713" i="8"/>
  <c r="I714" i="8"/>
  <c r="G770" i="8"/>
  <c r="G769" i="8" s="1"/>
  <c r="I769" i="8" s="1"/>
  <c r="I771" i="8"/>
  <c r="I971" i="8"/>
  <c r="I870" i="8"/>
  <c r="G881" i="8"/>
  <c r="I881" i="8" s="1"/>
  <c r="I882" i="8"/>
  <c r="G947" i="8"/>
  <c r="I947" i="8" s="1"/>
  <c r="I948" i="8"/>
  <c r="I972" i="8"/>
  <c r="G984" i="8"/>
  <c r="I984" i="8" s="1"/>
  <c r="I985" i="8"/>
  <c r="G997" i="8"/>
  <c r="I997" i="8" s="1"/>
  <c r="I998" i="8"/>
  <c r="I1038" i="8"/>
  <c r="I994" i="8"/>
  <c r="G1057" i="8"/>
  <c r="I1057" i="8" s="1"/>
  <c r="I1058" i="8"/>
  <c r="G965" i="8"/>
  <c r="I965" i="8" s="1"/>
  <c r="I966" i="8"/>
  <c r="I1031" i="8"/>
  <c r="G919" i="8"/>
  <c r="I919" i="8" s="1"/>
  <c r="I920" i="8"/>
  <c r="I1005" i="8"/>
  <c r="G1012" i="8"/>
  <c r="I1012" i="8" s="1"/>
  <c r="I1013" i="8"/>
  <c r="G1081" i="8"/>
  <c r="I1081" i="8" s="1"/>
  <c r="I1082" i="8"/>
  <c r="G710" i="8"/>
  <c r="I710" i="8" s="1"/>
  <c r="I711" i="8"/>
  <c r="G767" i="8"/>
  <c r="I767" i="8" s="1"/>
  <c r="I768" i="8"/>
  <c r="I869" i="8"/>
  <c r="I873" i="8"/>
  <c r="G1055" i="8"/>
  <c r="I1055" i="8" s="1"/>
  <c r="I1056" i="8"/>
  <c r="I72" i="8"/>
  <c r="G875" i="8"/>
  <c r="I875" i="8" s="1"/>
  <c r="I876" i="8"/>
  <c r="G1106" i="8"/>
  <c r="I1106" i="8" s="1"/>
  <c r="I1107" i="8"/>
  <c r="G1015" i="8"/>
  <c r="I1015" i="8" s="1"/>
  <c r="I1016" i="8"/>
  <c r="G1006" i="8"/>
  <c r="I1006" i="8" s="1"/>
  <c r="I1007" i="8"/>
  <c r="G956" i="8"/>
  <c r="I956" i="8" s="1"/>
  <c r="I957" i="8"/>
  <c r="G414" i="8"/>
  <c r="I414" i="8" s="1"/>
  <c r="I415" i="8"/>
  <c r="G915" i="8"/>
  <c r="I915" i="8" s="1"/>
  <c r="I916" i="8"/>
  <c r="G82" i="8"/>
  <c r="I83" i="8"/>
  <c r="G918" i="8"/>
  <c r="I918" i="8" s="1"/>
  <c r="G904" i="8"/>
  <c r="I904" i="8" s="1"/>
  <c r="I905" i="8"/>
  <c r="G1096" i="8"/>
  <c r="I1096" i="8" s="1"/>
  <c r="I1097" i="8"/>
  <c r="G709" i="8"/>
  <c r="I709" i="8" s="1"/>
  <c r="G813" i="8"/>
  <c r="I813" i="8" s="1"/>
  <c r="I814" i="8"/>
  <c r="G762" i="8"/>
  <c r="I762" i="8" s="1"/>
  <c r="I763" i="8"/>
  <c r="G1047" i="8"/>
  <c r="I1047" i="8" s="1"/>
  <c r="I1048" i="8"/>
  <c r="I1112" i="8"/>
  <c r="G953" i="8"/>
  <c r="I953" i="8" s="1"/>
  <c r="I954" i="8"/>
  <c r="G1029" i="8"/>
  <c r="I1030" i="8"/>
  <c r="G227" i="8"/>
  <c r="I227" i="8" s="1"/>
  <c r="I228" i="8"/>
  <c r="G1073" i="8"/>
  <c r="I1073" i="8" s="1"/>
  <c r="I1074" i="8"/>
  <c r="G1036" i="8"/>
  <c r="I1036" i="8" s="1"/>
  <c r="I1037" i="8"/>
  <c r="G1040" i="8"/>
  <c r="I1040" i="8" s="1"/>
  <c r="I1042" i="8"/>
  <c r="G1018" i="8"/>
  <c r="I1018" i="8" s="1"/>
  <c r="I1019" i="8"/>
  <c r="G986" i="8"/>
  <c r="I986" i="8" s="1"/>
  <c r="I987" i="8"/>
  <c r="G949" i="8"/>
  <c r="I949" i="8" s="1"/>
  <c r="I950" i="8"/>
  <c r="G77" i="8"/>
  <c r="I77" i="8" s="1"/>
  <c r="I79" i="8"/>
  <c r="G231" i="8"/>
  <c r="I231" i="8" s="1"/>
  <c r="I232" i="8"/>
  <c r="G1109" i="8"/>
  <c r="I1109" i="8" s="1"/>
  <c r="I1110" i="8"/>
  <c r="G1044" i="8"/>
  <c r="I1044" i="8" s="1"/>
  <c r="I1045" i="8"/>
  <c r="I1093" i="8"/>
  <c r="G712" i="8"/>
  <c r="I712" i="8" s="1"/>
  <c r="I713" i="8"/>
  <c r="G925" i="8"/>
  <c r="I925" i="8" s="1"/>
  <c r="I926" i="8"/>
  <c r="H1066" i="8"/>
  <c r="H960" i="8"/>
  <c r="H935" i="8"/>
  <c r="H911" i="8"/>
  <c r="H465" i="8"/>
  <c r="H420" i="8"/>
  <c r="H302" i="8"/>
  <c r="H199" i="8"/>
  <c r="G1087" i="8"/>
  <c r="I1087" i="8" s="1"/>
  <c r="G1034" i="8"/>
  <c r="G635" i="8"/>
  <c r="I635" i="8" s="1"/>
  <c r="G316" i="8"/>
  <c r="I317" i="8"/>
  <c r="G276" i="8"/>
  <c r="I277" i="8"/>
  <c r="G284" i="8"/>
  <c r="I284" i="8" s="1"/>
  <c r="I285" i="8"/>
  <c r="G211" i="8"/>
  <c r="I211" i="8" s="1"/>
  <c r="G529" i="8"/>
  <c r="I529" i="8" s="1"/>
  <c r="I530" i="8"/>
  <c r="G567" i="8"/>
  <c r="I567" i="8" s="1"/>
  <c r="I568" i="8"/>
  <c r="G810" i="8"/>
  <c r="I810" i="8" s="1"/>
  <c r="I811" i="8"/>
  <c r="G792" i="8"/>
  <c r="I792" i="8" s="1"/>
  <c r="I793" i="8"/>
  <c r="G631" i="8"/>
  <c r="I631" i="8" s="1"/>
  <c r="I632" i="8"/>
  <c r="G526" i="8"/>
  <c r="I526" i="8" s="1"/>
  <c r="I527" i="8"/>
  <c r="G241" i="8"/>
  <c r="I241" i="8" s="1"/>
  <c r="I242" i="8"/>
  <c r="G208" i="8"/>
  <c r="I208" i="8" s="1"/>
  <c r="G178" i="8"/>
  <c r="I178" i="8" s="1"/>
  <c r="I179" i="8"/>
  <c r="I433" i="8"/>
  <c r="I352" i="8"/>
  <c r="I92" i="8"/>
  <c r="G740" i="8"/>
  <c r="I741" i="8"/>
  <c r="I580" i="8"/>
  <c r="G224" i="8"/>
  <c r="I224" i="8" s="1"/>
  <c r="I225" i="8"/>
  <c r="G50" i="8"/>
  <c r="I51" i="8"/>
  <c r="G646" i="8"/>
  <c r="I647" i="8"/>
  <c r="G623" i="8"/>
  <c r="I624" i="8"/>
  <c r="G152" i="8"/>
  <c r="I152" i="8" s="1"/>
  <c r="I153" i="8"/>
  <c r="G627" i="8"/>
  <c r="I627" i="8" s="1"/>
  <c r="I628" i="8"/>
  <c r="I275" i="8"/>
  <c r="I279" i="8"/>
  <c r="G483" i="8"/>
  <c r="I483" i="8" s="1"/>
  <c r="I484" i="8"/>
  <c r="G796" i="8"/>
  <c r="I796" i="8" s="1"/>
  <c r="I797" i="8"/>
  <c r="I142" i="8"/>
  <c r="G23" i="8"/>
  <c r="I23" i="8" s="1"/>
  <c r="I24" i="8"/>
  <c r="G266" i="8"/>
  <c r="I267" i="8"/>
  <c r="G407" i="8"/>
  <c r="I407" i="8" s="1"/>
  <c r="I408" i="8"/>
  <c r="G206" i="8"/>
  <c r="I206" i="8" s="1"/>
  <c r="G323" i="8"/>
  <c r="I323" i="8" s="1"/>
  <c r="I324" i="8"/>
  <c r="G105" i="8"/>
  <c r="I108" i="8"/>
  <c r="G695" i="8"/>
  <c r="I695" i="8" s="1"/>
  <c r="I696" i="8"/>
  <c r="I129" i="8"/>
  <c r="I148" i="8"/>
  <c r="G417" i="8"/>
  <c r="I418" i="8"/>
  <c r="G474" i="8"/>
  <c r="I474" i="8" s="1"/>
  <c r="I342" i="8"/>
  <c r="G806" i="8"/>
  <c r="I806" i="8" s="1"/>
  <c r="I807" i="8"/>
  <c r="I819" i="8"/>
  <c r="I114" i="8"/>
  <c r="I191" i="8"/>
  <c r="G249" i="8"/>
  <c r="I250" i="8"/>
  <c r="G252" i="8"/>
  <c r="I254" i="8"/>
  <c r="I344" i="8"/>
  <c r="G375" i="8"/>
  <c r="I376" i="8"/>
  <c r="I410" i="8"/>
  <c r="G504" i="8"/>
  <c r="I505" i="8"/>
  <c r="G542" i="8"/>
  <c r="I543" i="8"/>
  <c r="G29" i="8"/>
  <c r="I30" i="8"/>
  <c r="G53" i="8"/>
  <c r="I54" i="8"/>
  <c r="G426" i="8"/>
  <c r="I426" i="8" s="1"/>
  <c r="I427" i="8"/>
  <c r="H182" i="8"/>
  <c r="H214" i="8"/>
  <c r="H480" i="8"/>
  <c r="H699" i="8"/>
  <c r="H269" i="8"/>
  <c r="H658" i="8"/>
  <c r="H716" i="8"/>
  <c r="H447" i="8"/>
  <c r="H605" i="8"/>
  <c r="H280" i="8"/>
  <c r="H545" i="8"/>
  <c r="H643" i="8"/>
  <c r="H789" i="8"/>
  <c r="H25" i="8"/>
  <c r="H588" i="8"/>
  <c r="H292" i="8"/>
  <c r="H532" i="8"/>
  <c r="H620" i="8"/>
  <c r="H832" i="8"/>
  <c r="H581" i="8"/>
  <c r="H650" i="8"/>
  <c r="H564" i="8"/>
  <c r="H745" i="8"/>
  <c r="G803" i="8"/>
  <c r="I803" i="8" s="1"/>
  <c r="I804" i="8"/>
  <c r="G742" i="8"/>
  <c r="I742" i="8" s="1"/>
  <c r="I743" i="8"/>
  <c r="G730" i="8"/>
  <c r="I730" i="8" s="1"/>
  <c r="I731" i="8"/>
  <c r="G825" i="8"/>
  <c r="I825" i="8" s="1"/>
  <c r="I826" i="8"/>
  <c r="G672" i="8"/>
  <c r="I672" i="8" s="1"/>
  <c r="I674" i="8"/>
  <c r="G617" i="8"/>
  <c r="I618" i="8"/>
  <c r="G584" i="8"/>
  <c r="I585" i="8"/>
  <c r="G392" i="8"/>
  <c r="I393" i="8"/>
  <c r="G185" i="8"/>
  <c r="I185" i="8" s="1"/>
  <c r="I186" i="8"/>
  <c r="G159" i="8"/>
  <c r="I159" i="8" s="1"/>
  <c r="I160" i="8"/>
  <c r="I569" i="8"/>
  <c r="I432" i="8"/>
  <c r="I238" i="8"/>
  <c r="I361" i="8"/>
  <c r="G573" i="8"/>
  <c r="I573" i="8" s="1"/>
  <c r="I574" i="8"/>
  <c r="I438" i="8"/>
  <c r="I192" i="8"/>
  <c r="G256" i="8"/>
  <c r="I257" i="8"/>
  <c r="G345" i="8"/>
  <c r="I345" i="8" s="1"/>
  <c r="I346" i="8"/>
  <c r="G32" i="8"/>
  <c r="I33" i="8"/>
  <c r="G510" i="8"/>
  <c r="I511" i="8"/>
  <c r="G97" i="8"/>
  <c r="I98" i="8"/>
  <c r="G273" i="8"/>
  <c r="I274" i="8"/>
  <c r="I278" i="8"/>
  <c r="G454" i="8"/>
  <c r="I454" i="8" s="1"/>
  <c r="I455" i="8"/>
  <c r="G501" i="8"/>
  <c r="I502" i="8"/>
  <c r="G287" i="8"/>
  <c r="I287" i="8" s="1"/>
  <c r="I288" i="8"/>
  <c r="I172" i="8"/>
  <c r="G304" i="8"/>
  <c r="I305" i="8"/>
  <c r="I336" i="8"/>
  <c r="I335" i="8" s="1"/>
  <c r="I334" i="8" s="1"/>
  <c r="I333" i="8" s="1"/>
  <c r="G370" i="8"/>
  <c r="I370" i="8" s="1"/>
  <c r="I371" i="8"/>
  <c r="I452" i="8"/>
  <c r="G497" i="8"/>
  <c r="I497" i="8" s="1"/>
  <c r="I498" i="8"/>
  <c r="I577" i="8"/>
  <c r="I103" i="8"/>
  <c r="G535" i="8"/>
  <c r="I535" i="8" s="1"/>
  <c r="I536" i="8"/>
  <c r="I318" i="8"/>
  <c r="G43" i="8"/>
  <c r="I44" i="8"/>
  <c r="G298" i="8"/>
  <c r="I298" i="8" s="1"/>
  <c r="I299" i="8"/>
  <c r="I815" i="8"/>
  <c r="I157" i="8"/>
  <c r="I134" i="8"/>
  <c r="G611" i="8"/>
  <c r="I611" i="8" s="1"/>
  <c r="I612" i="8"/>
  <c r="G329" i="8"/>
  <c r="I330" i="8"/>
  <c r="G354" i="8"/>
  <c r="I354" i="8" s="1"/>
  <c r="I355" i="8"/>
  <c r="I460" i="8"/>
  <c r="I479" i="8"/>
  <c r="G551" i="8"/>
  <c r="I551" i="8" s="1"/>
  <c r="I552" i="8"/>
  <c r="G55" i="8"/>
  <c r="I55" i="8" s="1"/>
  <c r="I56" i="8"/>
  <c r="G423" i="8"/>
  <c r="I423" i="8" s="1"/>
  <c r="I424" i="8"/>
  <c r="H800" i="8"/>
  <c r="G665" i="8"/>
  <c r="I665" i="8" s="1"/>
  <c r="G639" i="8"/>
  <c r="G872" i="8"/>
  <c r="G431" i="8"/>
  <c r="G78" i="8"/>
  <c r="I78" i="8" s="1"/>
  <c r="G156" i="8"/>
  <c r="G836" i="8"/>
  <c r="I836" i="8" s="1"/>
  <c r="G91" i="8"/>
  <c r="I91" i="8" s="1"/>
  <c r="G343" i="8"/>
  <c r="I343" i="8" s="1"/>
  <c r="G113" i="8"/>
  <c r="G203" i="8"/>
  <c r="I203" i="8" s="1"/>
  <c r="G163" i="8"/>
  <c r="G853" i="8"/>
  <c r="I853" i="8" s="1"/>
  <c r="G128" i="8"/>
  <c r="I128" i="8" s="1"/>
  <c r="G818" i="8"/>
  <c r="I818" i="8" s="1"/>
  <c r="H85" i="8"/>
  <c r="G261" i="8"/>
  <c r="I262" i="8"/>
  <c r="G177" i="8"/>
  <c r="G117" i="8"/>
  <c r="G939" i="8"/>
  <c r="G339" i="8"/>
  <c r="I339" i="8" s="1"/>
  <c r="G667" i="8"/>
  <c r="I667" i="8" s="1"/>
  <c r="G520" i="8"/>
  <c r="I520" i="8" s="1"/>
  <c r="G359" i="8"/>
  <c r="I359" i="8" s="1"/>
  <c r="G490" i="8"/>
  <c r="G760" i="8"/>
  <c r="G218" i="8"/>
  <c r="I218" i="8" s="1"/>
  <c r="G189" i="8"/>
  <c r="I189" i="8" s="1"/>
  <c r="G146" i="8"/>
  <c r="I146" i="8" s="1"/>
  <c r="G599" i="8"/>
  <c r="I599" i="8" s="1"/>
  <c r="G562" i="8"/>
  <c r="G1104" i="8"/>
  <c r="G459" i="8"/>
  <c r="G943" i="8"/>
  <c r="G1022" i="8"/>
  <c r="G844" i="8"/>
  <c r="G773" i="8"/>
  <c r="G71" i="8"/>
  <c r="G139" i="8"/>
  <c r="G102" i="8"/>
  <c r="G579" i="8"/>
  <c r="G576" i="8"/>
  <c r="I576" i="8" s="1"/>
  <c r="G748" i="8"/>
  <c r="I748" i="8" s="1"/>
  <c r="G692" i="8"/>
  <c r="G970" i="8"/>
  <c r="G131" i="8"/>
  <c r="I131" i="8" s="1"/>
  <c r="G351" i="8"/>
  <c r="G1039" i="8"/>
  <c r="I1039" i="8" s="1"/>
  <c r="G686" i="8"/>
  <c r="G720" i="8"/>
  <c r="G654" i="8"/>
  <c r="G239" i="8"/>
  <c r="I239" i="8" s="1"/>
  <c r="G321" i="8"/>
  <c r="G125" i="8"/>
  <c r="G1070" i="8"/>
  <c r="G518" i="8"/>
  <c r="G838" i="8"/>
  <c r="G963" i="8"/>
  <c r="I963" i="8" s="1"/>
  <c r="G495" i="8"/>
  <c r="G539" i="8"/>
  <c r="G601" i="8"/>
  <c r="G787" i="8"/>
  <c r="G21" i="8"/>
  <c r="I21" i="8" s="1"/>
  <c r="G88" i="8"/>
  <c r="G855" i="8"/>
  <c r="G999" i="8"/>
  <c r="I999" i="8" s="1"/>
  <c r="G377" i="8"/>
  <c r="G348" i="8"/>
  <c r="I348" i="8" s="1"/>
  <c r="G235" i="8"/>
  <c r="I235" i="8" s="1"/>
  <c r="G463" i="8"/>
  <c r="G237" i="8"/>
  <c r="I237" i="8" s="1"/>
  <c r="G149" i="8"/>
  <c r="I149" i="8" s="1"/>
  <c r="G451" i="8"/>
  <c r="G703" i="8"/>
  <c r="G784" i="8"/>
  <c r="G884" i="8"/>
  <c r="G974" i="8"/>
  <c r="I974" i="8" s="1"/>
  <c r="G614" i="8"/>
  <c r="G823" i="8"/>
  <c r="G310" i="8"/>
  <c r="G456" i="8"/>
  <c r="G487" i="8"/>
  <c r="G993" i="8"/>
  <c r="I993" i="8" s="1"/>
  <c r="G332" i="8"/>
  <c r="G592" i="8"/>
  <c r="G901" i="8"/>
  <c r="G1004" i="8"/>
  <c r="G313" i="8"/>
  <c r="G559" i="8"/>
  <c r="G40" i="8"/>
  <c r="G849" i="8"/>
  <c r="G171" i="8"/>
  <c r="G378" i="8"/>
  <c r="I378" i="8" s="1"/>
  <c r="G468" i="8"/>
  <c r="G196" i="8"/>
  <c r="G436" i="8"/>
  <c r="G357" i="8"/>
  <c r="G780" i="8"/>
  <c r="G914" i="8"/>
  <c r="G892" i="8"/>
  <c r="G982" i="8"/>
  <c r="I982" i="8" s="1"/>
  <c r="G402" i="8"/>
  <c r="I402" i="8" s="1"/>
  <c r="G867" i="8"/>
  <c r="G478" i="8"/>
  <c r="G1009" i="8"/>
  <c r="I1009" i="8" s="1"/>
  <c r="G193" i="8"/>
  <c r="I193" i="8" s="1"/>
  <c r="G442" i="8"/>
  <c r="G245" i="8"/>
  <c r="G36" i="8"/>
  <c r="G1059" i="8"/>
  <c r="I1059" i="8" s="1"/>
  <c r="G1060" i="8"/>
  <c r="I1060" i="8" s="1"/>
  <c r="G381" i="8"/>
  <c r="I381" i="8" s="1"/>
  <c r="G295" i="8" l="1"/>
  <c r="G294" i="8" s="1"/>
  <c r="I770" i="8"/>
  <c r="G880" i="8"/>
  <c r="I880" i="8" s="1"/>
  <c r="G858" i="8"/>
  <c r="I858" i="8" s="1"/>
  <c r="G570" i="8"/>
  <c r="I570" i="8" s="1"/>
  <c r="G765" i="8"/>
  <c r="I765" i="8" s="1"/>
  <c r="G1054" i="8"/>
  <c r="I1054" i="8" s="1"/>
  <c r="G924" i="8"/>
  <c r="G923" i="8" s="1"/>
  <c r="G1080" i="8"/>
  <c r="I1080" i="8" s="1"/>
  <c r="G1053" i="8"/>
  <c r="I1053" i="8" s="1"/>
  <c r="G634" i="8"/>
  <c r="I634" i="8" s="1"/>
  <c r="H291" i="8"/>
  <c r="G1091" i="8"/>
  <c r="G217" i="8"/>
  <c r="I217" i="8" s="1"/>
  <c r="G903" i="8"/>
  <c r="I903" i="8" s="1"/>
  <c r="G952" i="8"/>
  <c r="I952" i="8" s="1"/>
  <c r="G795" i="8"/>
  <c r="I795" i="8" s="1"/>
  <c r="I924" i="8"/>
  <c r="G913" i="8"/>
  <c r="I913" i="8" s="1"/>
  <c r="I914" i="8"/>
  <c r="G1090" i="8"/>
  <c r="I1090" i="8" s="1"/>
  <c r="I1091" i="8"/>
  <c r="G1079" i="8"/>
  <c r="G883" i="8"/>
  <c r="I884" i="8"/>
  <c r="G1069" i="8"/>
  <c r="I1070" i="8"/>
  <c r="G942" i="8"/>
  <c r="I942" i="8" s="1"/>
  <c r="I943" i="8"/>
  <c r="G1103" i="8"/>
  <c r="I1103" i="8" s="1"/>
  <c r="I1104" i="8"/>
  <c r="G871" i="8"/>
  <c r="I871" i="8" s="1"/>
  <c r="I872" i="8"/>
  <c r="G413" i="8"/>
  <c r="G412" i="8" s="1"/>
  <c r="I417" i="8"/>
  <c r="G1033" i="8"/>
  <c r="I1034" i="8"/>
  <c r="G1028" i="8"/>
  <c r="I1028" i="8" s="1"/>
  <c r="I1029" i="8"/>
  <c r="G81" i="8"/>
  <c r="I81" i="8" s="1"/>
  <c r="I82" i="8"/>
  <c r="G866" i="8"/>
  <c r="I866" i="8" s="1"/>
  <c r="I867" i="8"/>
  <c r="G891" i="8"/>
  <c r="I892" i="8"/>
  <c r="G467" i="8"/>
  <c r="I467" i="8" s="1"/>
  <c r="I468" i="8"/>
  <c r="G1001" i="8"/>
  <c r="I1001" i="8" s="1"/>
  <c r="I1004" i="8"/>
  <c r="G900" i="8"/>
  <c r="I901" i="8"/>
  <c r="G462" i="8"/>
  <c r="I463" i="8"/>
  <c r="G87" i="8"/>
  <c r="I88" i="8"/>
  <c r="G969" i="8"/>
  <c r="I969" i="8" s="1"/>
  <c r="I970" i="8"/>
  <c r="G63" i="8"/>
  <c r="G62" i="8" s="1"/>
  <c r="I71" i="8"/>
  <c r="G1021" i="8"/>
  <c r="I1022" i="8"/>
  <c r="G755" i="8"/>
  <c r="I755" i="8" s="1"/>
  <c r="I760" i="8"/>
  <c r="G938" i="8"/>
  <c r="I938" i="8" s="1"/>
  <c r="I939" i="8"/>
  <c r="G608" i="8"/>
  <c r="I608" i="8" s="1"/>
  <c r="G817" i="8"/>
  <c r="I817" i="8" s="1"/>
  <c r="G548" i="8"/>
  <c r="I548" i="8" s="1"/>
  <c r="G802" i="8"/>
  <c r="I802" i="8" s="1"/>
  <c r="G1102" i="8"/>
  <c r="G708" i="8"/>
  <c r="H1065" i="8"/>
  <c r="H959" i="8"/>
  <c r="H921" i="8"/>
  <c r="H388" i="8"/>
  <c r="H59" i="8"/>
  <c r="G422" i="8"/>
  <c r="I422" i="8" s="1"/>
  <c r="G338" i="8"/>
  <c r="I338" i="8" s="1"/>
  <c r="G35" i="8"/>
  <c r="I35" i="8" s="1"/>
  <c r="I36" i="8"/>
  <c r="G477" i="8"/>
  <c r="I477" i="8" s="1"/>
  <c r="I478" i="8"/>
  <c r="G779" i="8"/>
  <c r="I779" i="8" s="1"/>
  <c r="I780" i="8"/>
  <c r="G435" i="8"/>
  <c r="I436" i="8"/>
  <c r="G195" i="8"/>
  <c r="I195" i="8" s="1"/>
  <c r="I196" i="8"/>
  <c r="G847" i="8"/>
  <c r="I847" i="8" s="1"/>
  <c r="I849" i="8"/>
  <c r="G39" i="8"/>
  <c r="I39" i="8" s="1"/>
  <c r="I40" i="8"/>
  <c r="G558" i="8"/>
  <c r="I559" i="8"/>
  <c r="G312" i="8"/>
  <c r="I312" i="8" s="1"/>
  <c r="I313" i="8"/>
  <c r="G486" i="8"/>
  <c r="I487" i="8"/>
  <c r="G309" i="8"/>
  <c r="I309" i="8" s="1"/>
  <c r="I310" i="8"/>
  <c r="G822" i="8"/>
  <c r="I822" i="8" s="1"/>
  <c r="I823" i="8"/>
  <c r="G613" i="8"/>
  <c r="I613" i="8" s="1"/>
  <c r="I614" i="8"/>
  <c r="G702" i="8"/>
  <c r="I703" i="8"/>
  <c r="G786" i="8"/>
  <c r="I786" i="8" s="1"/>
  <c r="I787" i="8"/>
  <c r="G124" i="8"/>
  <c r="I125" i="8"/>
  <c r="G320" i="8"/>
  <c r="I321" i="8"/>
  <c r="G653" i="8"/>
  <c r="I654" i="8"/>
  <c r="G680" i="8"/>
  <c r="I680" i="8" s="1"/>
  <c r="I686" i="8"/>
  <c r="I63" i="8"/>
  <c r="I295" i="8"/>
  <c r="G578" i="8"/>
  <c r="I579" i="8"/>
  <c r="G772" i="8"/>
  <c r="I772" i="8" s="1"/>
  <c r="I773" i="8"/>
  <c r="G841" i="8"/>
  <c r="I844" i="8"/>
  <c r="G561" i="8"/>
  <c r="I561" i="8" s="1"/>
  <c r="I562" i="8"/>
  <c r="G489" i="8"/>
  <c r="I489" i="8" s="1"/>
  <c r="I490" i="8"/>
  <c r="G112" i="8"/>
  <c r="I113" i="8"/>
  <c r="G104" i="8"/>
  <c r="I105" i="8"/>
  <c r="G205" i="8"/>
  <c r="I205" i="8" s="1"/>
  <c r="G265" i="8"/>
  <c r="I266" i="8"/>
  <c r="G622" i="8"/>
  <c r="I622" i="8" s="1"/>
  <c r="I623" i="8"/>
  <c r="G645" i="8"/>
  <c r="I646" i="8"/>
  <c r="G49" i="8"/>
  <c r="I49" i="8" s="1"/>
  <c r="I50" i="8"/>
  <c r="G739" i="8"/>
  <c r="I740" i="8"/>
  <c r="I276" i="8"/>
  <c r="G315" i="8"/>
  <c r="I315" i="8" s="1"/>
  <c r="I316" i="8"/>
  <c r="I413" i="8"/>
  <c r="G244" i="8"/>
  <c r="I244" i="8" s="1"/>
  <c r="I245" i="8"/>
  <c r="G441" i="8"/>
  <c r="I441" i="8" s="1"/>
  <c r="I442" i="8"/>
  <c r="G399" i="8"/>
  <c r="I399" i="8" s="1"/>
  <c r="G356" i="8"/>
  <c r="I356" i="8" s="1"/>
  <c r="I357" i="8"/>
  <c r="G166" i="8"/>
  <c r="I166" i="8" s="1"/>
  <c r="I171" i="8"/>
  <c r="G591" i="8"/>
  <c r="I592" i="8"/>
  <c r="G331" i="8"/>
  <c r="I332" i="8"/>
  <c r="G453" i="8"/>
  <c r="I453" i="8" s="1"/>
  <c r="I456" i="8"/>
  <c r="G783" i="8"/>
  <c r="I783" i="8" s="1"/>
  <c r="I784" i="8"/>
  <c r="G450" i="8"/>
  <c r="I450" i="8" s="1"/>
  <c r="I451" i="8"/>
  <c r="I377" i="8"/>
  <c r="G852" i="8"/>
  <c r="I852" i="8" s="1"/>
  <c r="I855" i="8"/>
  <c r="G538" i="8"/>
  <c r="I539" i="8"/>
  <c r="G494" i="8"/>
  <c r="I494" i="8" s="1"/>
  <c r="I495" i="8"/>
  <c r="G835" i="8"/>
  <c r="I838" i="8"/>
  <c r="G513" i="8"/>
  <c r="I513" i="8" s="1"/>
  <c r="I518" i="8"/>
  <c r="G719" i="8"/>
  <c r="I720" i="8"/>
  <c r="G350" i="8"/>
  <c r="I350" i="8" s="1"/>
  <c r="I351" i="8"/>
  <c r="G691" i="8"/>
  <c r="I692" i="8"/>
  <c r="G100" i="8"/>
  <c r="I102" i="8"/>
  <c r="G138" i="8"/>
  <c r="I138" i="8" s="1"/>
  <c r="I139" i="8"/>
  <c r="G458" i="8"/>
  <c r="I458" i="8" s="1"/>
  <c r="I459" i="8"/>
  <c r="G707" i="8"/>
  <c r="I708" i="8"/>
  <c r="G116" i="8"/>
  <c r="I117" i="8"/>
  <c r="G162" i="8"/>
  <c r="I162" i="8" s="1"/>
  <c r="I163" i="8"/>
  <c r="G202" i="8"/>
  <c r="I202" i="8" s="1"/>
  <c r="G155" i="8"/>
  <c r="I156" i="8"/>
  <c r="G430" i="8"/>
  <c r="I430" i="8" s="1"/>
  <c r="I431" i="8"/>
  <c r="G638" i="8"/>
  <c r="I638" i="8" s="1"/>
  <c r="I639" i="8"/>
  <c r="G328" i="8"/>
  <c r="I328" i="8" s="1"/>
  <c r="I329" i="8"/>
  <c r="G42" i="8"/>
  <c r="I42" i="8" s="1"/>
  <c r="I43" i="8"/>
  <c r="G303" i="8"/>
  <c r="I304" i="8"/>
  <c r="G12" i="8"/>
  <c r="G500" i="8"/>
  <c r="I500" i="8" s="1"/>
  <c r="I501" i="8"/>
  <c r="G272" i="8"/>
  <c r="I272" i="8" s="1"/>
  <c r="I273" i="8"/>
  <c r="G96" i="8"/>
  <c r="I97" i="8"/>
  <c r="G509" i="8"/>
  <c r="I510" i="8"/>
  <c r="G31" i="8"/>
  <c r="I31" i="8" s="1"/>
  <c r="I32" i="8"/>
  <c r="G255" i="8"/>
  <c r="I255" i="8" s="1"/>
  <c r="I256" i="8"/>
  <c r="G391" i="8"/>
  <c r="I392" i="8"/>
  <c r="G583" i="8"/>
  <c r="I584" i="8"/>
  <c r="G616" i="8"/>
  <c r="I616" i="8" s="1"/>
  <c r="I617" i="8"/>
  <c r="H649" i="8"/>
  <c r="H831" i="8"/>
  <c r="H587" i="8"/>
  <c r="H10" i="8"/>
  <c r="H642" i="8"/>
  <c r="H544" i="8"/>
  <c r="H604" i="8"/>
  <c r="H446" i="8"/>
  <c r="H715" i="8"/>
  <c r="H657" i="8"/>
  <c r="H264" i="8"/>
  <c r="H698" i="8"/>
  <c r="H198" i="8"/>
  <c r="H174" i="8"/>
  <c r="G52" i="8"/>
  <c r="I53" i="8"/>
  <c r="G28" i="8"/>
  <c r="I29" i="8"/>
  <c r="G541" i="8"/>
  <c r="I541" i="8" s="1"/>
  <c r="I542" i="8"/>
  <c r="G503" i="8"/>
  <c r="I503" i="8" s="1"/>
  <c r="I504" i="8"/>
  <c r="G374" i="8"/>
  <c r="I374" i="8" s="1"/>
  <c r="I375" i="8"/>
  <c r="G251" i="8"/>
  <c r="I251" i="8" s="1"/>
  <c r="I252" i="8"/>
  <c r="G248" i="8"/>
  <c r="I248" i="8" s="1"/>
  <c r="I249" i="8"/>
  <c r="G791" i="8"/>
  <c r="G18" i="8"/>
  <c r="G283" i="8"/>
  <c r="G661" i="8"/>
  <c r="I661" i="8" s="1"/>
  <c r="G404" i="8"/>
  <c r="I404" i="8" s="1"/>
  <c r="G809" i="8"/>
  <c r="I809" i="8" s="1"/>
  <c r="G598" i="8"/>
  <c r="I601" i="8"/>
  <c r="G176" i="8"/>
  <c r="I177" i="8"/>
  <c r="G260" i="8"/>
  <c r="I261" i="8"/>
  <c r="G188" i="8"/>
  <c r="G145" i="8"/>
  <c r="G889" i="8"/>
  <c r="G990" i="8"/>
  <c r="I990" i="8" s="1"/>
  <c r="G234" i="8"/>
  <c r="G816" i="8"/>
  <c r="G1089" i="8"/>
  <c r="G961" i="8"/>
  <c r="G962" i="8"/>
  <c r="I962" i="8" s="1"/>
  <c r="G973" i="8"/>
  <c r="G1052" i="8"/>
  <c r="I1052" i="8" s="1"/>
  <c r="G747" i="8" l="1"/>
  <c r="I747" i="8" s="1"/>
  <c r="G865" i="8"/>
  <c r="I865" i="8" s="1"/>
  <c r="G626" i="8"/>
  <c r="G621" i="8" s="1"/>
  <c r="G512" i="8"/>
  <c r="I512" i="8" s="1"/>
  <c r="G216" i="8"/>
  <c r="I216" i="8" s="1"/>
  <c r="G337" i="8"/>
  <c r="I337" i="8" s="1"/>
  <c r="G449" i="8"/>
  <c r="I449" i="8" s="1"/>
  <c r="G398" i="8"/>
  <c r="I398" i="8" s="1"/>
  <c r="I412" i="8"/>
  <c r="I961" i="8"/>
  <c r="G1078" i="8"/>
  <c r="I1078" i="8" s="1"/>
  <c r="I1089" i="8"/>
  <c r="I889" i="8"/>
  <c r="G1101" i="8"/>
  <c r="I1102" i="8"/>
  <c r="G1014" i="8"/>
  <c r="I1014" i="8" s="1"/>
  <c r="I1021" i="8"/>
  <c r="G86" i="8"/>
  <c r="I87" i="8"/>
  <c r="G461" i="8"/>
  <c r="I462" i="8"/>
  <c r="G899" i="8"/>
  <c r="I900" i="8"/>
  <c r="G890" i="8"/>
  <c r="I890" i="8" s="1"/>
  <c r="I891" i="8"/>
  <c r="G1032" i="8"/>
  <c r="I1032" i="8" s="1"/>
  <c r="I1033" i="8"/>
  <c r="G1068" i="8"/>
  <c r="I1069" i="8"/>
  <c r="G874" i="8"/>
  <c r="I883" i="8"/>
  <c r="I1079" i="8"/>
  <c r="G922" i="8"/>
  <c r="I922" i="8" s="1"/>
  <c r="I923" i="8"/>
  <c r="G968" i="8"/>
  <c r="I968" i="8" s="1"/>
  <c r="I973" i="8"/>
  <c r="G660" i="8"/>
  <c r="G659" i="8" s="1"/>
  <c r="G989" i="8"/>
  <c r="I989" i="8" s="1"/>
  <c r="G912" i="8"/>
  <c r="G34" i="8"/>
  <c r="I34" i="8" s="1"/>
  <c r="G937" i="8"/>
  <c r="H887" i="8"/>
  <c r="G801" i="8"/>
  <c r="I816" i="8"/>
  <c r="G184" i="8"/>
  <c r="I188" i="8"/>
  <c r="G17" i="8"/>
  <c r="I18" i="8"/>
  <c r="I28" i="8"/>
  <c r="G27" i="8"/>
  <c r="I27" i="8" s="1"/>
  <c r="I52" i="8"/>
  <c r="G48" i="8"/>
  <c r="H656" i="8"/>
  <c r="G582" i="8"/>
  <c r="I583" i="8"/>
  <c r="I391" i="8"/>
  <c r="G390" i="8"/>
  <c r="G508" i="8"/>
  <c r="I508" i="8" s="1"/>
  <c r="I509" i="8"/>
  <c r="G95" i="8"/>
  <c r="I96" i="8"/>
  <c r="G11" i="8"/>
  <c r="I12" i="8"/>
  <c r="I303" i="8"/>
  <c r="I155" i="8"/>
  <c r="G154" i="8"/>
  <c r="I154" i="8" s="1"/>
  <c r="G201" i="8"/>
  <c r="I116" i="8"/>
  <c r="I707" i="8"/>
  <c r="G706" i="8"/>
  <c r="G99" i="8"/>
  <c r="I100" i="8"/>
  <c r="G690" i="8"/>
  <c r="I691" i="8"/>
  <c r="I719" i="8"/>
  <c r="G718" i="8"/>
  <c r="G834" i="8"/>
  <c r="I834" i="8" s="1"/>
  <c r="I835" i="8"/>
  <c r="G534" i="8"/>
  <c r="I538" i="8"/>
  <c r="G327" i="8"/>
  <c r="I327" i="8" s="1"/>
  <c r="I331" i="8"/>
  <c r="G590" i="8"/>
  <c r="I591" i="8"/>
  <c r="I739" i="8"/>
  <c r="G738" i="8"/>
  <c r="I738" i="8" s="1"/>
  <c r="G644" i="8"/>
  <c r="I645" i="8"/>
  <c r="I265" i="8"/>
  <c r="I104" i="8"/>
  <c r="G111" i="8"/>
  <c r="I112" i="8"/>
  <c r="G840" i="8"/>
  <c r="I840" i="8" s="1"/>
  <c r="I841" i="8"/>
  <c r="I578" i="8"/>
  <c r="G566" i="8"/>
  <c r="G293" i="8"/>
  <c r="I294" i="8"/>
  <c r="G61" i="8"/>
  <c r="I62" i="8"/>
  <c r="G652" i="8"/>
  <c r="I653" i="8"/>
  <c r="G319" i="8"/>
  <c r="I320" i="8"/>
  <c r="G123" i="8"/>
  <c r="I124" i="8"/>
  <c r="G701" i="8"/>
  <c r="I702" i="8"/>
  <c r="G482" i="8"/>
  <c r="I486" i="8"/>
  <c r="G547" i="8"/>
  <c r="I558" i="8"/>
  <c r="G429" i="8"/>
  <c r="I435" i="8"/>
  <c r="G473" i="8"/>
  <c r="G223" i="8"/>
  <c r="I223" i="8" s="1"/>
  <c r="I234" i="8"/>
  <c r="G130" i="8"/>
  <c r="I145" i="8"/>
  <c r="G282" i="8"/>
  <c r="I283" i="8"/>
  <c r="G790" i="8"/>
  <c r="I791" i="8"/>
  <c r="H603" i="8"/>
  <c r="H9" i="8"/>
  <c r="H290" i="8"/>
  <c r="G369" i="8"/>
  <c r="I369" i="8" s="1"/>
  <c r="I368" i="8" s="1"/>
  <c r="I367" i="8" s="1"/>
  <c r="I366" i="8" s="1"/>
  <c r="I365" i="8" s="1"/>
  <c r="I364" i="8" s="1"/>
  <c r="I363" i="8" s="1"/>
  <c r="G271" i="8"/>
  <c r="H58" i="8"/>
  <c r="G607" i="8"/>
  <c r="G411" i="8"/>
  <c r="I411" i="8" s="1"/>
  <c r="G846" i="8"/>
  <c r="G308" i="8"/>
  <c r="G782" i="8"/>
  <c r="I782" i="8" s="1"/>
  <c r="G259" i="8"/>
  <c r="I260" i="8"/>
  <c r="G175" i="8"/>
  <c r="I175" i="8" s="1"/>
  <c r="I176" i="8"/>
  <c r="G597" i="8"/>
  <c r="I598" i="8"/>
  <c r="G397" i="8"/>
  <c r="I397" i="8" s="1"/>
  <c r="G1051" i="8"/>
  <c r="I1051" i="8" s="1"/>
  <c r="I660" i="8" l="1"/>
  <c r="I626" i="8"/>
  <c r="G448" i="8"/>
  <c r="G447" i="8" s="1"/>
  <c r="G200" i="8"/>
  <c r="I201" i="8"/>
  <c r="G936" i="8"/>
  <c r="I937" i="8"/>
  <c r="I874" i="8"/>
  <c r="G864" i="8"/>
  <c r="G1067" i="8"/>
  <c r="I1068" i="8"/>
  <c r="I899" i="8"/>
  <c r="G898" i="8"/>
  <c r="I461" i="8"/>
  <c r="I86" i="8"/>
  <c r="G1100" i="8"/>
  <c r="I1101" i="8"/>
  <c r="G466" i="8"/>
  <c r="I473" i="8"/>
  <c r="G911" i="8"/>
  <c r="I911" i="8" s="1"/>
  <c r="I912" i="8"/>
  <c r="G967" i="8"/>
  <c r="G26" i="8"/>
  <c r="I26" i="8" s="1"/>
  <c r="G115" i="8"/>
  <c r="I115" i="8" s="1"/>
  <c r="G326" i="8"/>
  <c r="I326" i="8" s="1"/>
  <c r="I325" i="8" s="1"/>
  <c r="G833" i="8"/>
  <c r="I846" i="8"/>
  <c r="G606" i="8"/>
  <c r="I607" i="8"/>
  <c r="G270" i="8"/>
  <c r="I271" i="8"/>
  <c r="H1115" i="8"/>
  <c r="G565" i="8"/>
  <c r="I566" i="8"/>
  <c r="I718" i="8"/>
  <c r="G717" i="8"/>
  <c r="G705" i="8"/>
  <c r="I705" i="8" s="1"/>
  <c r="I706" i="8"/>
  <c r="I11" i="8"/>
  <c r="G94" i="8"/>
  <c r="I94" i="8" s="1"/>
  <c r="I95" i="8"/>
  <c r="G581" i="8"/>
  <c r="I581" i="8" s="1"/>
  <c r="I582" i="8"/>
  <c r="I621" i="8"/>
  <c r="G620" i="8"/>
  <c r="I620" i="8" s="1"/>
  <c r="I17" i="8"/>
  <c r="G183" i="8"/>
  <c r="I184" i="8"/>
  <c r="I448" i="8"/>
  <c r="G800" i="8"/>
  <c r="I800" i="8" s="1"/>
  <c r="I801" i="8"/>
  <c r="G658" i="8"/>
  <c r="I659" i="8"/>
  <c r="G307" i="8"/>
  <c r="I308" i="8"/>
  <c r="G789" i="8"/>
  <c r="I789" i="8" s="1"/>
  <c r="I790" i="8"/>
  <c r="G281" i="8"/>
  <c r="I282" i="8"/>
  <c r="I130" i="8"/>
  <c r="G215" i="8"/>
  <c r="I215" i="8" s="1"/>
  <c r="I429" i="8"/>
  <c r="G421" i="8"/>
  <c r="G546" i="8"/>
  <c r="I547" i="8"/>
  <c r="G481" i="8"/>
  <c r="I482" i="8"/>
  <c r="G700" i="8"/>
  <c r="I701" i="8"/>
  <c r="I123" i="8"/>
  <c r="I319" i="8"/>
  <c r="G651" i="8"/>
  <c r="I652" i="8"/>
  <c r="G60" i="8"/>
  <c r="I61" i="8"/>
  <c r="G292" i="8"/>
  <c r="I292" i="8" s="1"/>
  <c r="I293" i="8"/>
  <c r="G110" i="8"/>
  <c r="I111" i="8"/>
  <c r="G643" i="8"/>
  <c r="I644" i="8"/>
  <c r="G589" i="8"/>
  <c r="I590" i="8"/>
  <c r="G533" i="8"/>
  <c r="I534" i="8"/>
  <c r="G689" i="8"/>
  <c r="I690" i="8"/>
  <c r="I99" i="8"/>
  <c r="G389" i="8"/>
  <c r="I389" i="8" s="1"/>
  <c r="I390" i="8"/>
  <c r="G47" i="8"/>
  <c r="I48" i="8"/>
  <c r="G507" i="8"/>
  <c r="G746" i="8"/>
  <c r="G596" i="8"/>
  <c r="I597" i="8"/>
  <c r="G258" i="8"/>
  <c r="I258" i="8" s="1"/>
  <c r="I259" i="8"/>
  <c r="G1050" i="8"/>
  <c r="I1050" i="8" s="1"/>
  <c r="G25" i="8" l="1"/>
  <c r="I25" i="8" s="1"/>
  <c r="G85" i="8"/>
  <c r="I85" i="8" s="1"/>
  <c r="G420" i="8"/>
  <c r="I420" i="8" s="1"/>
  <c r="I421" i="8"/>
  <c r="G465" i="8"/>
  <c r="I465" i="8" s="1"/>
  <c r="I466" i="8"/>
  <c r="I1100" i="8"/>
  <c r="G1099" i="8"/>
  <c r="G1066" i="8"/>
  <c r="I1067" i="8"/>
  <c r="G935" i="8"/>
  <c r="I936" i="8"/>
  <c r="G199" i="8"/>
  <c r="I200" i="8"/>
  <c r="H1119" i="8"/>
  <c r="H1121" i="8" s="1"/>
  <c r="G960" i="8"/>
  <c r="I967" i="8"/>
  <c r="G897" i="8"/>
  <c r="I898" i="8"/>
  <c r="I864" i="8"/>
  <c r="G863" i="8"/>
  <c r="I863" i="8" s="1"/>
  <c r="G59" i="8"/>
  <c r="I59" i="8" s="1"/>
  <c r="G506" i="8"/>
  <c r="I506" i="8" s="1"/>
  <c r="I507" i="8"/>
  <c r="G46" i="8"/>
  <c r="I47" i="8"/>
  <c r="I689" i="8"/>
  <c r="G688" i="8"/>
  <c r="I688" i="8" s="1"/>
  <c r="G532" i="8"/>
  <c r="I533" i="8"/>
  <c r="G588" i="8"/>
  <c r="I589" i="8"/>
  <c r="G716" i="8"/>
  <c r="I717" i="8"/>
  <c r="H1125" i="8"/>
  <c r="G745" i="8"/>
  <c r="I745" i="8" s="1"/>
  <c r="I746" i="8"/>
  <c r="G642" i="8"/>
  <c r="I642" i="8" s="1"/>
  <c r="I643" i="8"/>
  <c r="I110" i="8"/>
  <c r="I60" i="8"/>
  <c r="G650" i="8"/>
  <c r="I651" i="8"/>
  <c r="G699" i="8"/>
  <c r="I700" i="8"/>
  <c r="G480" i="8"/>
  <c r="I481" i="8"/>
  <c r="G545" i="8"/>
  <c r="I546" i="8"/>
  <c r="G214" i="8"/>
  <c r="I214" i="8" s="1"/>
  <c r="G280" i="8"/>
  <c r="I280" i="8" s="1"/>
  <c r="I281" i="8"/>
  <c r="I307" i="8"/>
  <c r="G302" i="8"/>
  <c r="I658" i="8"/>
  <c r="I447" i="8"/>
  <c r="G182" i="8"/>
  <c r="I183" i="8"/>
  <c r="G564" i="8"/>
  <c r="I564" i="8" s="1"/>
  <c r="I565" i="8"/>
  <c r="G269" i="8"/>
  <c r="I270" i="8"/>
  <c r="I606" i="8"/>
  <c r="G605" i="8"/>
  <c r="I833" i="8"/>
  <c r="G832" i="8"/>
  <c r="G595" i="8"/>
  <c r="I596" i="8"/>
  <c r="G10" i="8"/>
  <c r="I10" i="8" s="1"/>
  <c r="G959" i="8" l="1"/>
  <c r="I960" i="8"/>
  <c r="I199" i="8"/>
  <c r="I1099" i="8"/>
  <c r="G1077" i="8"/>
  <c r="I1077" i="8" s="1"/>
  <c r="I897" i="8"/>
  <c r="G888" i="8"/>
  <c r="G921" i="8"/>
  <c r="I921" i="8" s="1"/>
  <c r="I935" i="8"/>
  <c r="G1065" i="8"/>
  <c r="I1065" i="8" s="1"/>
  <c r="I1066" i="8"/>
  <c r="G388" i="8"/>
  <c r="I388" i="8" s="1"/>
  <c r="G831" i="8"/>
  <c r="I831" i="8" s="1"/>
  <c r="I832" i="8"/>
  <c r="I605" i="8"/>
  <c r="G604" i="8"/>
  <c r="I269" i="8"/>
  <c r="G264" i="8"/>
  <c r="I264" i="8" s="1"/>
  <c r="I182" i="8"/>
  <c r="G174" i="8"/>
  <c r="G198" i="8"/>
  <c r="I198" i="8" s="1"/>
  <c r="I716" i="8"/>
  <c r="G715" i="8"/>
  <c r="G587" i="8"/>
  <c r="I587" i="8" s="1"/>
  <c r="I588" i="8"/>
  <c r="I532" i="8"/>
  <c r="I46" i="8"/>
  <c r="G45" i="8"/>
  <c r="G291" i="8"/>
  <c r="I291" i="8" s="1"/>
  <c r="I302" i="8"/>
  <c r="G544" i="8"/>
  <c r="I544" i="8" s="1"/>
  <c r="I545" i="8"/>
  <c r="I480" i="8"/>
  <c r="I699" i="8"/>
  <c r="G698" i="8"/>
  <c r="I698" i="8" s="1"/>
  <c r="G649" i="8"/>
  <c r="I649" i="8" s="1"/>
  <c r="I650" i="8"/>
  <c r="G446" i="8"/>
  <c r="G657" i="8"/>
  <c r="G594" i="8"/>
  <c r="I595" i="8"/>
  <c r="I959" i="8" l="1"/>
  <c r="I888" i="8"/>
  <c r="G887" i="8"/>
  <c r="I887" i="8" s="1"/>
  <c r="I657" i="8"/>
  <c r="G656" i="8"/>
  <c r="I656" i="8" s="1"/>
  <c r="I45" i="8"/>
  <c r="I715" i="8"/>
  <c r="I174" i="8"/>
  <c r="G58" i="8"/>
  <c r="I58" i="8" s="1"/>
  <c r="I446" i="8"/>
  <c r="G603" i="8"/>
  <c r="I603" i="8" s="1"/>
  <c r="I604" i="8"/>
  <c r="G9" i="8"/>
  <c r="I9" i="8" s="1"/>
  <c r="I594" i="8"/>
  <c r="G290" i="8"/>
  <c r="I290" i="8" s="1"/>
  <c r="G1115" i="8" l="1"/>
  <c r="I1115" i="8" s="1"/>
  <c r="G1119" i="8" l="1"/>
  <c r="G1121" i="8" l="1"/>
  <c r="G1125" i="8"/>
</calcChain>
</file>

<file path=xl/comments1.xml><?xml version="1.0" encoding="utf-8"?>
<comments xmlns="http://schemas.openxmlformats.org/spreadsheetml/2006/main">
  <authors>
    <author>CvindinaGV</author>
  </authors>
  <commentList>
    <comment ref="A145" authorId="0">
      <text>
        <r>
          <rPr>
            <b/>
            <sz val="9"/>
            <color indexed="81"/>
            <rFont val="Tahoma"/>
            <family val="2"/>
            <charset val="204"/>
          </rPr>
          <t>CvindinaGV:</t>
        </r>
        <r>
          <rPr>
            <sz val="9"/>
            <color indexed="81"/>
            <rFont val="Tahoma"/>
            <family val="2"/>
            <charset val="204"/>
          </rPr>
          <t xml:space="preserve">
поправила слово "органов"</t>
        </r>
      </text>
    </comment>
    <comment ref="G311" authorId="0">
      <text>
        <r>
          <rPr>
            <b/>
            <sz val="8"/>
            <color indexed="81"/>
            <rFont val="Tahoma"/>
            <family val="2"/>
            <charset val="204"/>
          </rPr>
          <t>CvindinaGV:</t>
        </r>
        <r>
          <rPr>
            <sz val="8"/>
            <color indexed="81"/>
            <rFont val="Tahoma"/>
            <family val="2"/>
            <charset val="204"/>
          </rPr>
          <t xml:space="preserve">
АПК Безопасный город</t>
        </r>
      </text>
    </comment>
    <comment ref="H311" authorId="0">
      <text>
        <r>
          <rPr>
            <b/>
            <sz val="8"/>
            <color indexed="81"/>
            <rFont val="Tahoma"/>
            <family val="2"/>
            <charset val="204"/>
          </rPr>
          <t>CvindinaGV:</t>
        </r>
        <r>
          <rPr>
            <sz val="8"/>
            <color indexed="81"/>
            <rFont val="Tahoma"/>
            <family val="2"/>
            <charset val="204"/>
          </rPr>
          <t xml:space="preserve">
АПК Безопасный город</t>
        </r>
      </text>
    </comment>
    <comment ref="A366" authorId="0">
      <text>
        <r>
          <rPr>
            <b/>
            <sz val="9"/>
            <color indexed="81"/>
            <rFont val="Tahoma"/>
            <family val="2"/>
            <charset val="204"/>
          </rPr>
          <t>CvindinaGV:</t>
        </r>
        <r>
          <rPr>
            <sz val="9"/>
            <color indexed="81"/>
            <rFont val="Tahoma"/>
            <family val="2"/>
            <charset val="204"/>
          </rPr>
          <t xml:space="preserve">
поправила слово "органов"</t>
        </r>
      </text>
    </comment>
    <comment ref="I555" authorId="0">
      <text>
        <r>
          <rPr>
            <b/>
            <sz val="8"/>
            <color indexed="81"/>
            <rFont val="Tahoma"/>
            <family val="2"/>
            <charset val="204"/>
          </rPr>
          <t>CvindinaGV:</t>
        </r>
        <r>
          <rPr>
            <sz val="8"/>
            <color indexed="81"/>
            <rFont val="Tahoma"/>
            <family val="2"/>
            <charset val="204"/>
          </rPr>
          <t xml:space="preserve">
Убрала Указы не наши полномочия!</t>
        </r>
      </text>
    </comment>
    <comment ref="A623" authorId="0">
      <text>
        <r>
          <rPr>
            <b/>
            <sz val="9"/>
            <color indexed="81"/>
            <rFont val="Tahoma"/>
            <family val="2"/>
            <charset val="204"/>
          </rPr>
          <t>CvindinaGV:</t>
        </r>
        <r>
          <rPr>
            <sz val="9"/>
            <color indexed="81"/>
            <rFont val="Tahoma"/>
            <family val="2"/>
            <charset val="204"/>
          </rPr>
          <t xml:space="preserve">
поправила слово "органов"</t>
        </r>
      </text>
    </comment>
    <comment ref="A661" authorId="0">
      <text>
        <r>
          <rPr>
            <b/>
            <sz val="9"/>
            <color indexed="81"/>
            <rFont val="Tahoma"/>
            <family val="2"/>
            <charset val="204"/>
          </rPr>
          <t>CvindinaGV:</t>
        </r>
        <r>
          <rPr>
            <sz val="9"/>
            <color indexed="81"/>
            <rFont val="Tahoma"/>
            <family val="2"/>
            <charset val="204"/>
          </rPr>
          <t xml:space="preserve">
поправила наименование</t>
        </r>
      </text>
    </comment>
    <comment ref="A672" authorId="0">
      <text>
        <r>
          <rPr>
            <b/>
            <sz val="9"/>
            <color indexed="81"/>
            <rFont val="Tahoma"/>
            <family val="2"/>
            <charset val="204"/>
          </rPr>
          <t>CvindinaGV:</t>
        </r>
        <r>
          <rPr>
            <sz val="9"/>
            <color indexed="81"/>
            <rFont val="Tahoma"/>
            <family val="2"/>
            <charset val="204"/>
          </rPr>
          <t xml:space="preserve">
поправила наименование</t>
        </r>
      </text>
    </comment>
    <comment ref="A680" authorId="0">
      <text>
        <r>
          <rPr>
            <b/>
            <sz val="9"/>
            <color indexed="81"/>
            <rFont val="Tahoma"/>
            <family val="2"/>
            <charset val="204"/>
          </rPr>
          <t>CvindinaGV:</t>
        </r>
        <r>
          <rPr>
            <sz val="9"/>
            <color indexed="81"/>
            <rFont val="Tahoma"/>
            <family val="2"/>
            <charset val="204"/>
          </rPr>
          <t xml:space="preserve">
поправила наименование</t>
        </r>
      </text>
    </comment>
  </commentList>
</comments>
</file>

<file path=xl/sharedStrings.xml><?xml version="1.0" encoding="utf-8"?>
<sst xmlns="http://schemas.openxmlformats.org/spreadsheetml/2006/main" count="6627" uniqueCount="1089">
  <si>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</si>
  <si>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Подпрограмма 6 "Транспортное обслуживание населения ЗАТО Александровск"</t>
  </si>
  <si>
    <t>Подпрограмма 5 "Осуществление муниципальных функций, направленных на повышение эффективности управления муниципальным имуществом"</t>
  </si>
  <si>
    <t>Подпрограмма 2 "Библиотечное дело ЗАТО Александровск"</t>
  </si>
  <si>
    <t>Подпрограмма 8 "Развитие современной инфраструктуры системы образования ЗАТО Александровск"</t>
  </si>
  <si>
    <t>Защита населения и территории от чрезвычайных ситуаций природного и техногенного характера, гражданская оборона</t>
  </si>
  <si>
    <t>Молодежная политика и оздоровление детей</t>
  </si>
  <si>
    <t>Код ведом-ства</t>
  </si>
  <si>
    <t>913</t>
  </si>
  <si>
    <t>914</t>
  </si>
  <si>
    <t>915</t>
  </si>
  <si>
    <t>919</t>
  </si>
  <si>
    <t>916</t>
  </si>
  <si>
    <t>06</t>
  </si>
  <si>
    <t>05</t>
  </si>
  <si>
    <t>07</t>
  </si>
  <si>
    <t>08</t>
  </si>
  <si>
    <t>02</t>
  </si>
  <si>
    <t>09</t>
  </si>
  <si>
    <t>03</t>
  </si>
  <si>
    <t>10</t>
  </si>
  <si>
    <t>Жилищно-коммунальное хозяйство</t>
  </si>
  <si>
    <t>04</t>
  </si>
  <si>
    <t>Образование</t>
  </si>
  <si>
    <t>Дошкольное образование</t>
  </si>
  <si>
    <t>Общее образование</t>
  </si>
  <si>
    <t>Социальная политика</t>
  </si>
  <si>
    <t>Жилищное хозяйство</t>
  </si>
  <si>
    <t>Под-раздел</t>
  </si>
  <si>
    <t>Вид расходов</t>
  </si>
  <si>
    <t>Целевая статья расходов</t>
  </si>
  <si>
    <t>Общегосударственные вопросы</t>
  </si>
  <si>
    <t>Национальная безопасность и правоохранительная деятельность</t>
  </si>
  <si>
    <t>Национальная экономика</t>
  </si>
  <si>
    <t>Транспорт</t>
  </si>
  <si>
    <t>Другие вопросы в области национальной экономики</t>
  </si>
  <si>
    <t>финансовой и бухгалтерской отчетности, обеспечение ее достоверности, контроль деятельности подведомственных учреждений</t>
  </si>
  <si>
    <t>Организация предоставления общедоступного и бесплатного начального общего, основного общего, среднего общего образования по основным образовательным программам (за исключением государственных полномочий по финансовому обеспечению реализации основных</t>
  </si>
  <si>
    <t>общеобразовательных программ в соответствии с федеральными государственными образовательными стандартами)</t>
  </si>
  <si>
    <t>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по очной</t>
  </si>
  <si>
    <t>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</si>
  <si>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 xml:space="preserve">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t>
  </si>
  <si>
    <t>которыми сохранено за детьми-сиротами и детьми, оставшимися без попечения родителей</t>
  </si>
  <si>
    <t>Проведение  фестивалей, выставок, смотров, конкурсов, конференций и иных программных мероприятий силами учреждений</t>
  </si>
  <si>
    <t>Муниципальная программа ЗАТО Александровск "Повышение качества жизни отдельных категорий граждан ЗАТО Александровск" на 2014 - 2020 годы</t>
  </si>
  <si>
    <t>Адаптация  муниципальных учреждений культуры (устройство пандусов, поручней, установка кнопок вызова, капитальный ремонт помещений для беспрепятственного доступа)</t>
  </si>
  <si>
    <t>7101200000</t>
  </si>
  <si>
    <t>Муниципальная программа ЗАТО Александровск "Энергоэффективность и развитие энергетики" на 2014 - 2020 годы</t>
  </si>
  <si>
    <t>Муниципальная программа "Развитие инвестиционной деятельности муниципального образования ЗАТО Александровск" на 2014 - 2020 годы</t>
  </si>
  <si>
    <t>Непрограммная деятельность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</si>
  <si>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</si>
  <si>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</si>
  <si>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Подпрограмма 2 "Развитие информационного общества и формирование электронного правительства"</t>
  </si>
  <si>
    <t>Прочие направления деятельности муниципальной программы</t>
  </si>
  <si>
    <t>Подпрограмма 1 "Обеспечение деятельности администрации ЗАТО Александровск"</t>
  </si>
  <si>
    <t>Непрограммная часть</t>
  </si>
  <si>
    <t>Резервный фонд администрации ЗАТО Александровск</t>
  </si>
  <si>
    <t>7531400020</t>
  </si>
  <si>
    <t>8022529990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</si>
  <si>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</si>
  <si>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Муниципальная программа ЗАТО Александровск "Развитие образования" на 2014 - 2020 годы</t>
  </si>
  <si>
    <t>Муниципальная программа ЗАТО Александровск "Эффективное управление муниципальными финансами и оптимизация муниципального долга ЗАТО Александровск" на 2014 - 2020 годы</t>
  </si>
  <si>
    <t>Муниципальная программа ЗАТО Александровск "Эффективное муниципальное управление" на 2014 - 2020 годы</t>
  </si>
  <si>
    <t>Муниципальная программа "Повышение качества жизни отдельных категорий граждан ЗАТО Александровск" на 2014 - 2020 годы</t>
  </si>
  <si>
    <t>Муниципальная программа ЗАТО Александровск "Развитие физической культуры, спорта и молодежной политики" на 2014 - 2020 годы</t>
  </si>
  <si>
    <t>Муниципальная программа ЗАТО Александровск "Развитие культуры и сохранение культурного наследия" на 2014 - 2020 годы</t>
  </si>
  <si>
    <t>Муниципальная программа "Обеспечение комплексной безопасности населения ЗАТО Александровск" на 2014 - 2020 годы</t>
  </si>
  <si>
    <t>7531100000</t>
  </si>
  <si>
    <t>7531129990</t>
  </si>
  <si>
    <t>Организация и проведение работ по предупреждению и ликвидации чрезвычайных ситуаций и их последствий, гражданская оборона</t>
  </si>
  <si>
    <t>7531400000</t>
  </si>
  <si>
    <t>7531413060</t>
  </si>
  <si>
    <t>Обслуживание МАСЦО ЗАТО Александровск</t>
  </si>
  <si>
    <t>7531600000</t>
  </si>
  <si>
    <t>7531629990</t>
  </si>
  <si>
    <t>Обслуживание государственного (муниципального) долга</t>
  </si>
  <si>
    <t>924</t>
  </si>
  <si>
    <t>Обеспечение деятельности финансовых, налоговых и таможенных органов и органов финансового (финансово-бюджетного) надзора</t>
  </si>
  <si>
    <t>Подпрограмма 3 "Информационное обеспечение населения ЗАТО  Александровск через взаимодействие органов местного самоуправления ЗАТО Александровск и средств массовой информации"</t>
  </si>
  <si>
    <t>Подпрограмма 2 "Обеспечение деятельности управления муниципальной собственностью администрации ЗАТО Александровск"</t>
  </si>
  <si>
    <t>Подпрограмма 4 "Архивное дело ЗАТО Александровск"</t>
  </si>
  <si>
    <t>Подпрограмма 6 "Обслуживание деятельности органов местного самоуправления"</t>
  </si>
  <si>
    <t>Подпрограмма 7 "Повышение эффективности управления капитальным строительством и капитальным ремонтом объектов инфраструктуры ЗАТО Александровск"</t>
  </si>
  <si>
    <t>Подпрограмма 1 "Совершенствование финансовой и бюджетной политики"</t>
  </si>
  <si>
    <t>Обслуживание государственного внутреннего и муниципального долга</t>
  </si>
  <si>
    <t>Подпрограмма 2 "Эффективное управление муниципальным долгом"</t>
  </si>
  <si>
    <t>Процентные платежи по муниципальному долгу</t>
  </si>
  <si>
    <t>Содержание автомобильных дорог общего пользования местного значения, за исключением капитального ремонта и ремонта</t>
  </si>
  <si>
    <t>Подпрограмма 1 "Профилактика правонарушений, обеспечение безопасности населения ЗАТО Александровск"</t>
  </si>
  <si>
    <t>Мероприятия по развитию и обслуживанию системы АПК "Безопасный город"</t>
  </si>
  <si>
    <t>Подпрограмма 3 "Защита населения и территории ЗАТО Александровск от чрезвычайных ситуаций, мероприятия в области гражданской обороны"</t>
  </si>
  <si>
    <t>Подпрограмма 8 "Развитие муниципальной службы ЗАТО Александровск"</t>
  </si>
  <si>
    <t>Предоставление дополнительного пенсионного обеспечения муниципальным служащим в органах местного самоуправления ЗАТО Александровск и лицам, замещавшим муниципальные должности в муниципальном образовании ЗАТО Александровск"</t>
  </si>
  <si>
    <t>Подпрограмма 3 "Музейное дело ЗАТО Александровск"</t>
  </si>
  <si>
    <t>Подпрограмма 2 "Молодежь ЗАТО Александровск"</t>
  </si>
  <si>
    <t>Стипендии и премии главы администрации ЗАТО Александровск</t>
  </si>
  <si>
    <t>Подпрограмма 3 "Патриотическое воспитание граждан"</t>
  </si>
  <si>
    <t>Подпрограмма 3 "Обеспечение деятельности управления культуры, спорта и молодежной политики администрации ЗАТО Александровск"</t>
  </si>
  <si>
    <t>Мероприятия по землеустройству и землепользованию</t>
  </si>
  <si>
    <t>Периодическая печать и издательства</t>
  </si>
  <si>
    <t>Физическая культура и спорт</t>
  </si>
  <si>
    <t>Обслуживание государственного и муниципального долга</t>
  </si>
  <si>
    <t>11</t>
  </si>
  <si>
    <t>Раздел</t>
  </si>
  <si>
    <t>Подраздел</t>
  </si>
  <si>
    <t>контрольно-счетная палата ЗАТО Александровск</t>
  </si>
  <si>
    <t>Подпрограмма 1 "Развитие творческого потенциала и организация досуга населения ЗАТО Александровск"</t>
  </si>
  <si>
    <t>Реализация переданных государственных полномочий по опеке и попечительству в отношении несовершеннолетних</t>
  </si>
  <si>
    <t>Субвенция на реализацию Закона  Мурманской области "О наделении органов местного самоуправления муниципальных образований со статусом городского</t>
  </si>
  <si>
    <t>округа и муниципального района отдельными государственными полномочиями по опеке и попечительству в отношении несовершеннолетних"</t>
  </si>
  <si>
    <t>7032100000</t>
  </si>
  <si>
    <t>7032175520</t>
  </si>
  <si>
    <t>Выплата денежного вознаграждения лицам, осуществляющим постинтернатный патронат в отношении несовершеннолетних и социальный патронат</t>
  </si>
  <si>
    <t>7032500000</t>
  </si>
  <si>
    <t>Субвенция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</si>
  <si>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7032575350</t>
  </si>
  <si>
    <t>Содержание ребенка в семье опекуна (попечителя) и приемной семье, а также вознаграждение, причитающееся приемному родителю</t>
  </si>
  <si>
    <t>7032600000</t>
  </si>
  <si>
    <t>Субвенция на содержание ребенка в семье опекуна (попечителя) и приемной семье, а также вознаграждение, причитающееся приемному родителю</t>
  </si>
  <si>
    <t>7032675340</t>
  </si>
  <si>
    <t>Улучшение технического состояния и приведение в качественное состояние объектов инфраструктуры и благоустройства на территории ЗАТО Александровск</t>
  </si>
  <si>
    <t>7441300000</t>
  </si>
  <si>
    <t>7441320090</t>
  </si>
  <si>
    <t>7441400000</t>
  </si>
  <si>
    <t>7441429990</t>
  </si>
  <si>
    <t>Подпрограмма 2 "Подготовка объектов и систем жизнеобеспечения ЗАТО Александровск к работе в осенне-зимний период"</t>
  </si>
  <si>
    <t>Подпрограмма 3 "Обеспечение собираемости платежей населения за оказанные жилищно-коммунальные услуги в ЗАТО Александровск"</t>
  </si>
  <si>
    <t>Возмещение убытков по жилищно-коммунальному хозяйству</t>
  </si>
  <si>
    <t>Подпрограмма 4 "Благоустройство территории муниципального образования ЗАТО Александровск"</t>
  </si>
  <si>
    <t>Организация наружного освещения улиц и дворовых территорий муниципального образования</t>
  </si>
  <si>
    <t>Обеспечение сохранности, технического обслуживания и содержания прочих объектов благоустройства</t>
  </si>
  <si>
    <t>Содержание и эксплуатация установленного оборудования АПК "Безопасный город"</t>
  </si>
  <si>
    <t>7511100000</t>
  </si>
  <si>
    <t>7900000000</t>
  </si>
  <si>
    <t>7902300000</t>
  </si>
  <si>
    <t>7902329990</t>
  </si>
  <si>
    <t>Организация работ по проведению оценки рыночной стоимости объектов недвижимого имущества, находящегося в собственности муниципального образования ЗАТО Александровск</t>
  </si>
  <si>
    <t>8221300000</t>
  </si>
  <si>
    <t>8221320140</t>
  </si>
  <si>
    <t>9900051200</t>
  </si>
  <si>
    <t>Улучшение положения и качества жизни инвалидов и других МГН</t>
  </si>
  <si>
    <t>7101600000</t>
  </si>
  <si>
    <t>7101629990</t>
  </si>
  <si>
    <t>Создание условий для повышения эффективности деятельности социально ориентированным некоммерческим организациям инвалидов</t>
  </si>
  <si>
    <t>7101700000</t>
  </si>
  <si>
    <t>Предоставление субсидий социально-ориентрованным некоммерческим организациям</t>
  </si>
  <si>
    <t>7101760040</t>
  </si>
  <si>
    <t>8261113060</t>
  </si>
  <si>
    <t>Содержание муниципального имущества ЗАТО Александровск, закрепленного за МКУ "ЦАХиТО" на праве оперативного управления</t>
  </si>
  <si>
    <t>8262100000</t>
  </si>
  <si>
    <t>8262100020</t>
  </si>
  <si>
    <t>8262200000</t>
  </si>
  <si>
    <t>8262200020</t>
  </si>
  <si>
    <t>Обеспечение безопасных условий труда</t>
  </si>
  <si>
    <t>8281200000</t>
  </si>
  <si>
    <t>Обеспечение выполнения служебного поручения муниципальными служащими вне места постоянной работы</t>
  </si>
  <si>
    <t>8281300000</t>
  </si>
  <si>
    <t>7511200000</t>
  </si>
  <si>
    <t>7511229990</t>
  </si>
  <si>
    <t>7903100000</t>
  </si>
  <si>
    <t>7903129990</t>
  </si>
  <si>
    <t>8251129990</t>
  </si>
  <si>
    <t>Проведение мероприятий по подготовке аукционов, конкурсов, тендеров и т. д. в целях получения дополнительных доходов в местный бюджет</t>
  </si>
  <si>
    <t>8251200000</t>
  </si>
  <si>
    <t>8251200020</t>
  </si>
  <si>
    <t>Своевременное распределение муниципальных жилых помещений гражданам в ЗАТО Александровск</t>
  </si>
  <si>
    <t>8252100000</t>
  </si>
  <si>
    <t>8252100020</t>
  </si>
  <si>
    <t>8252113060</t>
  </si>
  <si>
    <t>Качественное оформление документов граждан и представителей предприятий и организаций по вопросам получения разрешения на въезд на территорию ЗАТО Александровск</t>
  </si>
  <si>
    <t>8253100000</t>
  </si>
  <si>
    <t>8253100020</t>
  </si>
  <si>
    <t>8253113060</t>
  </si>
  <si>
    <t>Обеспечение  выполнения служебного поручения муниципальными служащими вне места постоянной работы</t>
  </si>
  <si>
    <t>Организация ритуальных услуг и содержание мест захоронения</t>
  </si>
  <si>
    <t>7441440010</t>
  </si>
  <si>
    <t>Создание эффективной системы управления в жилищно-коммунальном комплексе, основанной на конкурсном отборе подрядчиков в сфере управления и эксплуатации жилищного фонда, и инженерной инфраструктуры</t>
  </si>
  <si>
    <t>7452100000</t>
  </si>
  <si>
    <t>7452100020</t>
  </si>
  <si>
    <t>7452113060</t>
  </si>
  <si>
    <t>Организация и контроль за качеством предоставления муниципальных услуг</t>
  </si>
  <si>
    <t>7453100000</t>
  </si>
  <si>
    <t>7453100020</t>
  </si>
  <si>
    <t>7601300000</t>
  </si>
  <si>
    <t>7601329990</t>
  </si>
  <si>
    <t>Обеспечение пожарной и электрической безопасности учреждений</t>
  </si>
  <si>
    <t>8221500000</t>
  </si>
  <si>
    <t>8221529990</t>
  </si>
  <si>
    <t>Актуализация нормативных актов ЗАТО Александровск (в пределах своих полномочий), регламентирующих порядок, условия и качество предоставления муниципальных услуг (выполнения работ) подведомственными учреждениями, в соответствии с</t>
  </si>
  <si>
    <t xml:space="preserve"> действующим законодательством Российской Федерации и (или) Мурманской области, контроль за соблюдением законодательства</t>
  </si>
  <si>
    <t xml:space="preserve">Учет детей, подлежащих обучению по образовательным программам дошкольного, начального общего, основного общего и среднего общего образования, закрепление муниципальных образовательных </t>
  </si>
  <si>
    <t>организаций за конкретными территориальными образованиями, входящими в состав ЗАТО Александровск</t>
  </si>
  <si>
    <t>Предоставление общедоступного бесплатного среднего общего образования по основным общеобразовательным программам в образовательных учреждениях</t>
  </si>
  <si>
    <t>7021300000</t>
  </si>
  <si>
    <t>7021375310</t>
  </si>
  <si>
    <t>7021700000</t>
  </si>
  <si>
    <t>7021700020</t>
  </si>
  <si>
    <t>7021900000</t>
  </si>
  <si>
    <t>7021900020</t>
  </si>
  <si>
    <t>Предоставление дополнительного образования детям в учреждениях дополнительного образования детей</t>
  </si>
  <si>
    <t>7022100000</t>
  </si>
  <si>
    <t>7022100020</t>
  </si>
  <si>
    <t>7022170620</t>
  </si>
  <si>
    <t>Приобретение жилья, предоставление субсидий и выдача государственных жилищных сертификатов гражданам, выезжающим за пределы ЗАТО Александровск</t>
  </si>
  <si>
    <t>8252200000</t>
  </si>
  <si>
    <t>8252229990</t>
  </si>
  <si>
    <t>Оплата административных штрафов</t>
  </si>
  <si>
    <t>9900020160</t>
  </si>
  <si>
    <t>Реконструкция детской спортивной школы, г. Снежногорск</t>
  </si>
  <si>
    <t>7081200000</t>
  </si>
  <si>
    <t>7081240010</t>
  </si>
  <si>
    <t>Разработка проектно-сметной документации на создание АПК "Безопасный город"</t>
  </si>
  <si>
    <t>Разработка проекта комплексной системы мониторинга</t>
  </si>
  <si>
    <t>7511300000</t>
  </si>
  <si>
    <t>7511329990</t>
  </si>
  <si>
    <t>7511120110</t>
  </si>
  <si>
    <t>Обеспечение доступа к информации о деятельности органов местного самоуправления с помощью интернет-сайта</t>
  </si>
  <si>
    <t>8022200000</t>
  </si>
  <si>
    <t>8022229990</t>
  </si>
  <si>
    <t>Развитие информационно-технологической инфраструктуры органов местного самоуправления</t>
  </si>
  <si>
    <t>8022300000</t>
  </si>
  <si>
    <t>8022329990</t>
  </si>
  <si>
    <t>Субсидия на техническое сопровождение программного обеспечения "Система автоматизированного рабочего места муниципального образования"</t>
  </si>
  <si>
    <t>8022370570</t>
  </si>
  <si>
    <t>80223S0570</t>
  </si>
  <si>
    <t>Приобретение средств (ЭЦП, VipNet) для подключения к системе межведомственного электронного взаимодействия</t>
  </si>
  <si>
    <t>8022500000</t>
  </si>
  <si>
    <t>Развитие информационно- технологической инфраструктуры муниципальных учреждений</t>
  </si>
  <si>
    <t>8023100000</t>
  </si>
  <si>
    <t>8023129990</t>
  </si>
  <si>
    <t>Защита информационных систем и ресурсов</t>
  </si>
  <si>
    <t>8024100000</t>
  </si>
  <si>
    <t>8024129990</t>
  </si>
  <si>
    <t>Мероприятия по технической защите информации</t>
  </si>
  <si>
    <t>8024200000</t>
  </si>
  <si>
    <t>8024229990</t>
  </si>
  <si>
    <t>Лицензирование программного обеспечения</t>
  </si>
  <si>
    <t>8024300000</t>
  </si>
  <si>
    <t>Реализация Закона Мурманской области «О некоторых вопросах в области регулирования торговой деятельности на территории Мурманской области"</t>
  </si>
  <si>
    <t>8211600000</t>
  </si>
  <si>
    <t>8211675510</t>
  </si>
  <si>
    <t>9900080010</t>
  </si>
  <si>
    <t>8211500000</t>
  </si>
  <si>
    <t>8211400000</t>
  </si>
  <si>
    <t>7030000000</t>
  </si>
  <si>
    <t>7031100000</t>
  </si>
  <si>
    <t>7031106010</t>
  </si>
  <si>
    <t>Контроль и диагностика деятельности муниципальных образовательных учреждений по обеспечению выполнения государственных стандартов образования, создания условий для осуществления присмотра и ухода за детьми</t>
  </si>
  <si>
    <t>7031200000</t>
  </si>
  <si>
    <t>7031206010</t>
  </si>
  <si>
    <t>7031213060</t>
  </si>
  <si>
    <t>7034300000</t>
  </si>
  <si>
    <t>7034306010</t>
  </si>
  <si>
    <t>7034313060</t>
  </si>
  <si>
    <t>7034400000</t>
  </si>
  <si>
    <t>7034406010</t>
  </si>
  <si>
    <t>7034406030</t>
  </si>
  <si>
    <t>7034413060</t>
  </si>
  <si>
    <t>7010000000</t>
  </si>
  <si>
    <t xml:space="preserve">Организация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учреждениях </t>
  </si>
  <si>
    <t>7011100000</t>
  </si>
  <si>
    <t>Субвенция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</si>
  <si>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7011175380</t>
  </si>
  <si>
    <t>7011170620</t>
  </si>
  <si>
    <t>70111S0620</t>
  </si>
  <si>
    <t>Субсидия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</si>
  <si>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7011171030</t>
  </si>
  <si>
    <t>70111S1030</t>
  </si>
  <si>
    <t>Создание условий для осуществления присмотра и ухода за детьми, содержания детей в муниципальных дошкольных образовательных учреждениях</t>
  </si>
  <si>
    <t>7011200000</t>
  </si>
  <si>
    <t>7011200020</t>
  </si>
  <si>
    <t>Предоставление социальных гарантий работникам</t>
  </si>
  <si>
    <t>7011400000</t>
  </si>
  <si>
    <t>7011400020</t>
  </si>
  <si>
    <t>Субвенция на организацию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</si>
  <si>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7011475100</t>
  </si>
  <si>
    <t>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</si>
  <si>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7032275240</t>
  </si>
  <si>
    <t>Организация предоставления и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</si>
  <si>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7032300000</t>
  </si>
  <si>
    <t>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</si>
  <si>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7032375200</t>
  </si>
  <si>
    <t>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</si>
  <si>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7032375210</t>
  </si>
  <si>
    <t>7032400000</t>
  </si>
  <si>
    <t>Субвенция на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t>
  </si>
  <si>
    <t>право пользования которыми сохранено за детьми-сиротами и детьми, оставшимися без попечения родителей, лицами из числа детей-сирот и детей, оставшихся без попечения родителей</t>
  </si>
  <si>
    <t>7032475250</t>
  </si>
  <si>
    <t>Выплата компенсации части родительской платы за присмотр и уход за ребенком в ДОУ</t>
  </si>
  <si>
    <t>Организация и проведение мероприятий, направленных на совершенствование культурно-досуговой сферы молодежной среды</t>
  </si>
  <si>
    <t>7221100000</t>
  </si>
  <si>
    <t>7221129990</t>
  </si>
  <si>
    <t>Обеспечение участия молодежных лидеров и активистов, молодых семей, специалистов в областных, межрегиональных, всероссийских и международных конкурсах, форумах, фестивалях, проектах и других мероприятиях</t>
  </si>
  <si>
    <t>7221200000</t>
  </si>
  <si>
    <t>7221229990</t>
  </si>
  <si>
    <t>Обеспечение функционирования молодежного сайта ЗАТО Александровск "ZatoRozetka"</t>
  </si>
  <si>
    <t>7221300000</t>
  </si>
  <si>
    <t>7221329990</t>
  </si>
  <si>
    <t>Организация и осуществление мероприятий, направленных на самореализацию и социализацию молодежи</t>
  </si>
  <si>
    <t>7231100000</t>
  </si>
  <si>
    <t>7231100020</t>
  </si>
  <si>
    <t>Выполнение работ по вовлечению молодежи в социальную практику, включая гражданско-патриотическое воспитание молодежи</t>
  </si>
  <si>
    <t>7231200000</t>
  </si>
  <si>
    <t>7231200020</t>
  </si>
  <si>
    <t>Организация и проведение культурно-массовых мероприятий в соответствии с годовым планом</t>
  </si>
  <si>
    <t>7311100000</t>
  </si>
  <si>
    <t>7311129990</t>
  </si>
  <si>
    <t>Проведение фестивалей, выставок, смотров, конкурсов, конференций и иных программных мероприятий силами учреждений</t>
  </si>
  <si>
    <t>7312200000</t>
  </si>
  <si>
    <t>7312200020</t>
  </si>
  <si>
    <t>Организация деятельности клубных формирований</t>
  </si>
  <si>
    <t>7313100000</t>
  </si>
  <si>
    <t>7313100020</t>
  </si>
  <si>
    <t>7313170620</t>
  </si>
  <si>
    <t>73131S0620</t>
  </si>
  <si>
    <t>7313171030</t>
  </si>
  <si>
    <t>73131S1030</t>
  </si>
  <si>
    <t>7313200000</t>
  </si>
  <si>
    <t>7313200020</t>
  </si>
  <si>
    <t>7320000000</t>
  </si>
  <si>
    <t>Осуществление библиотечного, библиографического и информационного обслуживания пользователей</t>
  </si>
  <si>
    <t>7321100000</t>
  </si>
  <si>
    <t>7321100020</t>
  </si>
  <si>
    <t>7321170620</t>
  </si>
  <si>
    <t>73211S0620</t>
  </si>
  <si>
    <t>7321171030</t>
  </si>
  <si>
    <t>73211S1030</t>
  </si>
  <si>
    <t>Выполнение работы по формированию и учету фондов библиотек</t>
  </si>
  <si>
    <t>7322100000</t>
  </si>
  <si>
    <t>7322100020</t>
  </si>
  <si>
    <t>7322151440</t>
  </si>
  <si>
    <t>7322200000</t>
  </si>
  <si>
    <t>7322200020</t>
  </si>
  <si>
    <t>Работа по проведению фестивалей, выставок, смотров, конкурсов, конференций, культурно-массовых, просветительских  и иных программных мероприятий силами учреждений</t>
  </si>
  <si>
    <t>7323100000</t>
  </si>
  <si>
    <t>7323100020</t>
  </si>
  <si>
    <t>7330000000</t>
  </si>
  <si>
    <t>Формирование и учет музейного фонда</t>
  </si>
  <si>
    <t>7331100000</t>
  </si>
  <si>
    <t>7331100020</t>
  </si>
  <si>
    <t>Выполнение работ по хранению, изучению и обеспечению сохранности предметов музейного фонда</t>
  </si>
  <si>
    <t>7331200000</t>
  </si>
  <si>
    <t>7331200020</t>
  </si>
  <si>
    <t>Публикация музейных предметов, музейных коллекций путем публичного показа, воспроизведение в печатных изданиях, на электронных и других видах носителей, в том числе в виртуальном режиме</t>
  </si>
  <si>
    <t>7332100000</t>
  </si>
  <si>
    <t>7332100020</t>
  </si>
  <si>
    <t>7332170620</t>
  </si>
  <si>
    <t>73321S0620</t>
  </si>
  <si>
    <t>7313175100</t>
  </si>
  <si>
    <t>7313175110</t>
  </si>
  <si>
    <t>7321175100</t>
  </si>
  <si>
    <t>7321175110</t>
  </si>
  <si>
    <t>7210000000</t>
  </si>
  <si>
    <t>Организация проведения официальных физкультурно-оздоровительных и спортивных мероприятий ЗАТО Александровск</t>
  </si>
  <si>
    <t>7211100000</t>
  </si>
  <si>
    <t>7211129990</t>
  </si>
  <si>
    <t>7212100000</t>
  </si>
  <si>
    <t>7212129990</t>
  </si>
  <si>
    <t>Управление культуры, спорта и молодежной политики администрации ЗАТО Александровск</t>
  </si>
  <si>
    <t>Реализация Закона Мурманской области "О комиссиях по делам несовершеннолетних и защите их прав в Мурманской области"</t>
  </si>
  <si>
    <t>Охрана семьи и детства</t>
  </si>
  <si>
    <t>400</t>
  </si>
  <si>
    <t>Осуществление переданных федеральных полномочий по государственной регистрации актов гражданского состояния</t>
  </si>
  <si>
    <t>8211200000</t>
  </si>
  <si>
    <t>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</si>
  <si>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8211259300</t>
  </si>
  <si>
    <t>7530000000</t>
  </si>
  <si>
    <t>Обслуживание автоматической системы контроля за радиационной обстановкой г. Гаджиево, г. Снежногорск</t>
  </si>
  <si>
    <t>8250000000</t>
  </si>
  <si>
    <t>8251100000</t>
  </si>
  <si>
    <t>8251100020</t>
  </si>
  <si>
    <t>8251113060</t>
  </si>
  <si>
    <t>7440000000</t>
  </si>
  <si>
    <t>Организация регулирования численности безнадзорных животных</t>
  </si>
  <si>
    <t>7442200000</t>
  </si>
  <si>
    <t>7442275590</t>
  </si>
  <si>
    <t>Подпрограмма 7 "Обеспечение жильем молодых семей в ЗАТО Александровск"</t>
  </si>
  <si>
    <t>7600000000</t>
  </si>
  <si>
    <t>Организация участия команд и делегаций спортсменов ЗАТО Александровск в чемпионатах, первенствах, кубках на межрегиональных, областных соревнованиях по различным видам</t>
  </si>
  <si>
    <t>Субвенция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</si>
  <si>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7011475110</t>
  </si>
  <si>
    <t>7020000000</t>
  </si>
  <si>
    <t>Предоставление общедоступного бесплатного начального общего образования по основным общеобразовательным программам в образовательных учреждениях</t>
  </si>
  <si>
    <t>7021100000</t>
  </si>
  <si>
    <t>Субвенция на реализацию Закона Мурманской области "О региональных нормативах финансового обеспечения образовательной деятельности в Мурманской области"</t>
  </si>
  <si>
    <t>7021175310</t>
  </si>
  <si>
    <t>Предоставление общедоступного бесплатного основного общего образования по основным общеобразовательным программам в образовательных учреждениях</t>
  </si>
  <si>
    <t>7021200000</t>
  </si>
  <si>
    <t>7021275310</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</si>
  <si>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</si>
  <si>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</si>
  <si>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7441340010</t>
  </si>
  <si>
    <t>Начисление, учет, контроль за правильностью исчисления, полнотой и своевременностью осуществления неналоговых платежей, а также взыскание задолженности по платежам в бюджет по договорам аренды земельных участком и муниципального имущества (сокращение недоимки)</t>
  </si>
  <si>
    <t>Прочие направления расходов муниципальной программы</t>
  </si>
  <si>
    <t>Предоставление субсидий бюджетным, автономным учреждениям и иным некоммерческим организациям</t>
  </si>
  <si>
    <t>Подпрограмма 6 "Школьное здоровое питание"</t>
  </si>
  <si>
    <t>Подпрограмма 4 "Создание и развитие многофункционального центра предоставления государственных и муниципальных услуг ЗАТО Александровск"</t>
  </si>
  <si>
    <t>Подпрограмма 1 "Развитие физической культуры и спорта"</t>
  </si>
  <si>
    <t>Подпрограмма 2 "Обеспечение предоставления муниципальных услуг в сфере общего и дополнительного образования"</t>
  </si>
  <si>
    <t>Подпрограмма 1 "Качественное и доступное дошкольное образование"</t>
  </si>
  <si>
    <t>ВСЕГО расходов</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</si>
  <si>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</si>
  <si>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Подпрограмма 3 "Развитие системы образования через эффективное выполнение муниципальных функций"</t>
  </si>
  <si>
    <t>Управление образования  администрации ЗАТО Александровск</t>
  </si>
  <si>
    <t>918</t>
  </si>
  <si>
    <t>8024329990</t>
  </si>
  <si>
    <t>Создание условий и организация обустройства мест массового отдыха населения</t>
  </si>
  <si>
    <t>7442100000</t>
  </si>
  <si>
    <t>7442129990</t>
  </si>
  <si>
    <t>7450000000</t>
  </si>
  <si>
    <t>Обеспечение эффективной работы объектов жилищно-коммунальной инфраструктуры</t>
  </si>
  <si>
    <t>7451100000</t>
  </si>
  <si>
    <t>7451100020</t>
  </si>
  <si>
    <t>9900000020</t>
  </si>
  <si>
    <t>Проектирование и устройство очистных сооружений канализационных сточных вод с целью исключения сброса неочищенных сточных вод в ручей Безымянный №3 г. Снежногорск</t>
  </si>
  <si>
    <t>7602100000</t>
  </si>
  <si>
    <t>7602140010</t>
  </si>
  <si>
    <t>7000000000</t>
  </si>
  <si>
    <t>7080000000</t>
  </si>
  <si>
    <t>Обеспечение выполнения требований СанПиН и технической безопасности учреждений системы образования</t>
  </si>
  <si>
    <t>7082200000</t>
  </si>
  <si>
    <t>7082220090</t>
  </si>
  <si>
    <t>Обеспечение антитеррористической и противокриминальной безопасности учреждений системы образования</t>
  </si>
  <si>
    <t>7082400000</t>
  </si>
  <si>
    <t>7082420090</t>
  </si>
  <si>
    <t>7230000000</t>
  </si>
  <si>
    <t>7233100000</t>
  </si>
  <si>
    <t>7233120090</t>
  </si>
  <si>
    <t>7470000000</t>
  </si>
  <si>
    <t>7471100000</t>
  </si>
  <si>
    <t>Социальное обеспечение и иные выплаты населению</t>
  </si>
  <si>
    <t>300</t>
  </si>
  <si>
    <t>14</t>
  </si>
  <si>
    <t>Благоустройство</t>
  </si>
  <si>
    <t>Управление финансов администрации ЗАТО Александровск</t>
  </si>
  <si>
    <t xml:space="preserve">                 к решению Совета депутатов ЗАТО Александровск</t>
  </si>
  <si>
    <t>№№</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</si>
  <si>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дефицитов бюджетов</t>
  </si>
  <si>
    <t>Код бюджетной классификации</t>
  </si>
  <si>
    <t>Кредиты кредитных организаций в валюте Российской Федерации</t>
  </si>
  <si>
    <t>0000</t>
  </si>
  <si>
    <t>000</t>
  </si>
  <si>
    <t>1.1</t>
  </si>
  <si>
    <t>Получение кредитов от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</si>
  <si>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</si>
  <si>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710</t>
  </si>
  <si>
    <t>Подпрограмма 5 "Управление развитием системы жилищно-коммунального хозяйства ЗАТО Александровск"</t>
  </si>
  <si>
    <t>Расходы на выплаты по оплате труда главы муниципального образования</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</si>
  <si>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</si>
  <si>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Расходы на выплаты по оплате труда депутатов представительного органа муниципального образования</t>
  </si>
  <si>
    <t>Расходы на выплаты по оплате труда работников органов местного самоуправления</t>
  </si>
  <si>
    <t>Расходы на обеспечение функций работников органов местного самоуправления</t>
  </si>
  <si>
    <t>Расходы на выплаты по оплате труда главы местной администрации</t>
  </si>
  <si>
    <t>Расходы на выплаты по оплате труда руководителя контрольно-счетной палаты муниципального образования и его заместителей</t>
  </si>
  <si>
    <t>Физическая культура</t>
  </si>
  <si>
    <t>Средства массовой информации</t>
  </si>
  <si>
    <t>Связь и информатика</t>
  </si>
  <si>
    <t>Коммунальное хозяйство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</si>
  <si>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</si>
  <si>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12</t>
  </si>
  <si>
    <t>13</t>
  </si>
  <si>
    <t>Органы юстиции</t>
  </si>
  <si>
    <t>100</t>
  </si>
  <si>
    <t>200</t>
  </si>
  <si>
    <t>Культура и кинематография</t>
  </si>
  <si>
    <t>700</t>
  </si>
  <si>
    <t>800</t>
  </si>
  <si>
    <t>600</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</si>
  <si>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</si>
  <si>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окружающей среды</t>
  </si>
  <si>
    <t>Другие вопросы в области охраны окружающей среды</t>
  </si>
  <si>
    <t>Субвенция на реализацию Закона Мурманской области "О комиссиях по делам несовершеннолетних и защите их прав в Мурманской области"</t>
  </si>
  <si>
    <t>8211475560</t>
  </si>
  <si>
    <t>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</si>
  <si>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8211575530</t>
  </si>
  <si>
    <t>8030000000</t>
  </si>
  <si>
    <t>Предоставление субсидии из местного бюджета на возмещение затрат на производство и выпуск газеты "Полярный вестник"</t>
  </si>
  <si>
    <t>Возмещение расходов на опубликование нормативных актов ЗАТО Александровск</t>
  </si>
  <si>
    <t>8220000000</t>
  </si>
  <si>
    <t>Реализация функций в сфере управления муниципальным имуществом</t>
  </si>
  <si>
    <t>8221100000</t>
  </si>
  <si>
    <t>8221106010</t>
  </si>
  <si>
    <t>8221106030</t>
  </si>
  <si>
    <t>8221113060</t>
  </si>
  <si>
    <t>Проведение ремонта жилых помещений ветеранов Великой Отечественной войны</t>
  </si>
  <si>
    <t>7101800000</t>
  </si>
  <si>
    <t>7101820090</t>
  </si>
  <si>
    <t>7500000000</t>
  </si>
  <si>
    <t>7510000000</t>
  </si>
  <si>
    <t>7041100020</t>
  </si>
  <si>
    <t>7041300000</t>
  </si>
  <si>
    <t>7041300020</t>
  </si>
  <si>
    <t>7050000000</t>
  </si>
  <si>
    <t>Комплексное и качественное хозяйственно-эксплуатационное обслуживание учреждений системы образования ЗАТО Александровск</t>
  </si>
  <si>
    <t>7051100000</t>
  </si>
  <si>
    <t>7051100020</t>
  </si>
  <si>
    <t>7051300000</t>
  </si>
  <si>
    <t>7051300020</t>
  </si>
  <si>
    <t>7060000000</t>
  </si>
  <si>
    <t>Предоставление бесплатного молока обучающимся в 1-4 классах МОУ</t>
  </si>
  <si>
    <t>7061100000</t>
  </si>
  <si>
    <t>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</si>
  <si>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7061171040</t>
  </si>
  <si>
    <t>70611S1040</t>
  </si>
  <si>
    <t>Предоставление бесплатного питания отдельным категориям обучающихся МОУ</t>
  </si>
  <si>
    <t>7061200000</t>
  </si>
  <si>
    <t>Субвенция на обеспечение бесплатным питанием отдельных категорий обучающихся</t>
  </si>
  <si>
    <t>7061275320</t>
  </si>
  <si>
    <t>Предоставление социальных гарантий работникам МАУО "КШП"</t>
  </si>
  <si>
    <t>7061500000</t>
  </si>
  <si>
    <t>7061500020</t>
  </si>
  <si>
    <t>7021975100</t>
  </si>
  <si>
    <t>7021975110</t>
  </si>
  <si>
    <t>7032200000</t>
  </si>
  <si>
    <t>Субвенция на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t>
  </si>
  <si>
    <t>8240000000</t>
  </si>
  <si>
    <t>Обеспечение сохранности, комплектования, учета и использования архивных документов</t>
  </si>
  <si>
    <t>8241100000</t>
  </si>
  <si>
    <t>8241100020</t>
  </si>
  <si>
    <t>8241113060</t>
  </si>
  <si>
    <t>Автотранспортная перевозка пассажиров и грузов и сопутствующие ей работы</t>
  </si>
  <si>
    <t>8261100000</t>
  </si>
  <si>
    <t>8261100020</t>
  </si>
  <si>
    <t>8262113060</t>
  </si>
  <si>
    <t>8281100000</t>
  </si>
  <si>
    <t>9900020130</t>
  </si>
  <si>
    <t>Капитальные вложения в объекты государственной (муниципальной) собственности</t>
  </si>
  <si>
    <t>8230000000</t>
  </si>
  <si>
    <t>Обеспечение исполнения мероприятий в рамках муниципальных программ управления культуры, спорта и молодежной политики</t>
  </si>
  <si>
    <t>8231100000</t>
  </si>
  <si>
    <t>8231106010</t>
  </si>
  <si>
    <t>8231113060</t>
  </si>
  <si>
    <t>7300000000</t>
  </si>
  <si>
    <t>7310000000</t>
  </si>
  <si>
    <t>Реализация программ дополнительного образования в сфере культуры и искусства</t>
  </si>
  <si>
    <t>7312100000</t>
  </si>
  <si>
    <t>7312100020</t>
  </si>
  <si>
    <t>7312170620</t>
  </si>
  <si>
    <t>73121S0620</t>
  </si>
  <si>
    <t>7220000000</t>
  </si>
  <si>
    <t>Выплата премий и стипендий главы администрации ЗАТО Александровск одаренным детям и учащейся молодежи</t>
  </si>
  <si>
    <t>7222100000</t>
  </si>
  <si>
    <t>7222120010</t>
  </si>
  <si>
    <t>Закупка товаров, работ и услуг для обеспечения государственных (муниципальных) нужд</t>
  </si>
  <si>
    <t>9900013060</t>
  </si>
  <si>
    <t>9900003010</t>
  </si>
  <si>
    <t>9900006010</t>
  </si>
  <si>
    <t>8200000000</t>
  </si>
  <si>
    <t>8260000000</t>
  </si>
  <si>
    <t>8262329990</t>
  </si>
  <si>
    <t>8280000000</t>
  </si>
  <si>
    <t>Представительские и иные прочие расходы органа местного самоуправления ЗАТО Александровск</t>
  </si>
  <si>
    <t>8262300000</t>
  </si>
  <si>
    <t>Обеспечение профессиональной подготовки, переподготовки, повышение квалификации муниципальных служащих, участие в семинарах и совещаниях</t>
  </si>
  <si>
    <t>8000000000</t>
  </si>
  <si>
    <t>8020000000</t>
  </si>
  <si>
    <t>Развитие телекоммуникационной инфраструктуры администрации ЗАТО Александровск</t>
  </si>
  <si>
    <t>8021100000</t>
  </si>
  <si>
    <t>8021129990</t>
  </si>
  <si>
    <t>8210000000</t>
  </si>
  <si>
    <t>Осуществление мероприятий по организационному, документационному, правовому, финансово-экономическому обеспечению деятельности администрации ЗАТО Александровск</t>
  </si>
  <si>
    <t>8211100000</t>
  </si>
  <si>
    <t>8211104010</t>
  </si>
  <si>
    <t>8211106010</t>
  </si>
  <si>
    <t>8211106030</t>
  </si>
  <si>
    <t>8211113060</t>
  </si>
  <si>
    <t>7100000000</t>
  </si>
  <si>
    <t>7200000000</t>
  </si>
  <si>
    <t>8040000000</t>
  </si>
  <si>
    <t>Организация предоставления государственных и муниципальных услуг по принципу "одного окна"</t>
  </si>
  <si>
    <t xml:space="preserve">Реализация Закона Мурманской области "Об административных комиссиях" </t>
  </si>
  <si>
    <t>8211300000</t>
  </si>
  <si>
    <t>8211375540</t>
  </si>
  <si>
    <t>Субвенция на реализацию Закона Мурманской области "Об административных комиссиях"</t>
  </si>
  <si>
    <t>8211375550</t>
  </si>
  <si>
    <t>9900000000</t>
  </si>
  <si>
    <t>9900001010</t>
  </si>
  <si>
    <t>Другие вопросы в области образования</t>
  </si>
  <si>
    <t>Культура</t>
  </si>
  <si>
    <t>Социальное обеспечение населения</t>
  </si>
  <si>
    <t>Другие вопросы в области жилищно-коммунального хозяйства</t>
  </si>
  <si>
    <t>Резервные фонды</t>
  </si>
  <si>
    <t>Другие общегосударственные вопросы</t>
  </si>
  <si>
    <t>00</t>
  </si>
  <si>
    <t>Пенсионное обеспечение</t>
  </si>
  <si>
    <t>Раз-дел</t>
  </si>
  <si>
    <t>Другие вопросы в области национальной безопасности и правоохранительной деятельности</t>
  </si>
  <si>
    <t>Прочие расходы администрации ЗАТО Александровск</t>
  </si>
  <si>
    <t>9900005010</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</si>
  <si>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</si>
  <si>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Подпрограмма 4 "Обеспечение информационно-методического сопровождения образовательного процесса муниципальных учреждений"</t>
  </si>
  <si>
    <t>Подпрограмма 5 "Обеспечение хозяйственно-эксплуатационного обслуживания учреждений системы образования ЗАТО Александровск"</t>
  </si>
  <si>
    <t>Подпрограмма 7 "Организация отдыха, оздоровления и занятости детей и молодежи ЗАТО Александровск"</t>
  </si>
  <si>
    <t>Мероприятия, связанные со строительством (реконструкцией) объектов муниципальной собственности</t>
  </si>
  <si>
    <t>Возмещение затрат в связи с осуществлением регулярных пассажирских перевозок на социально-значимых маршрутах</t>
  </si>
  <si>
    <t>Подпрограмма 1 "Капитальный ремонт многоквартирных домов ЗАТО Александровск"</t>
  </si>
  <si>
    <t>Капитальный и текущий ремонт объектов муниципальной собственности</t>
  </si>
  <si>
    <t>Капитальный и текущий ремонт объектов жилищно-коммунального хозяйства</t>
  </si>
  <si>
    <t>Судебная система</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</si>
  <si>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</si>
  <si>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7442275600</t>
  </si>
  <si>
    <t>7700000000</t>
  </si>
  <si>
    <t>7701100000</t>
  </si>
  <si>
    <t>Содержание автомобильных дорог общего пользования на территории ЗАТО Александровск в соответствии с требованием ГОСТ  Р 50597-93</t>
  </si>
  <si>
    <t>7702100000</t>
  </si>
  <si>
    <t>7702120050</t>
  </si>
  <si>
    <t>7702129990</t>
  </si>
  <si>
    <t>Организация работ по проведению кадастровых работ объектов недвижимого имущества, в том числе земельные участки с постановкой объектов на государственный кадастр недвижимости</t>
  </si>
  <si>
    <t>8221200000</t>
  </si>
  <si>
    <t>8221220150</t>
  </si>
  <si>
    <t>8270000000</t>
  </si>
  <si>
    <t>Сбор информации об объекте: акт обследования  технического состояния объекта (дефектный акт), составление проекта производства работ, технического состояния  объекта, сметы</t>
  </si>
  <si>
    <t>8271100000</t>
  </si>
  <si>
    <t>8271100020</t>
  </si>
  <si>
    <t>Проведение процедуры размещения аукционной документации на электронной площадке с последующим заключением муниципальных контрактов на выполнение работ в области капитального строительства и капитального ремонта по результатам торгов</t>
  </si>
  <si>
    <t>8271200000</t>
  </si>
  <si>
    <t>8271200020</t>
  </si>
  <si>
    <t>8271213060</t>
  </si>
  <si>
    <t>Своевременный и постоянный контроль за ведением строительства и капитального ремонта, соблюдение норм правил СНиПов, сроков работ, применение качественных материалов, недопущение брака в ремонтных и строительных работах, соблюдение безопасности строительства</t>
  </si>
  <si>
    <t>8271300000</t>
  </si>
  <si>
    <t>8271300020</t>
  </si>
  <si>
    <t>7410000000</t>
  </si>
  <si>
    <t>7800000000</t>
  </si>
  <si>
    <t>Восстановление эксплуатационных характеристик помещений в целях сбережения энергоресурсов</t>
  </si>
  <si>
    <t>7801800000</t>
  </si>
  <si>
    <t>7801829990</t>
  </si>
  <si>
    <t>7420000000</t>
  </si>
  <si>
    <t>Капитальный ремонт сетей водоснабжения</t>
  </si>
  <si>
    <t>7421100000</t>
  </si>
  <si>
    <t>7421120100</t>
  </si>
  <si>
    <t>7421129990</t>
  </si>
  <si>
    <t>7430000000</t>
  </si>
  <si>
    <t>Предоставление субсидии на возмещение расходов, связанных с невозможностью взыскания задолженности по безнадежным долгам и за пустующий муниципальный фонд</t>
  </si>
  <si>
    <t>7432100000</t>
  </si>
  <si>
    <t>7432200000</t>
  </si>
  <si>
    <t>7432160030</t>
  </si>
  <si>
    <t>Оплата за содержание, текущий ремонт и коммунальные услуги по пустующему муниципальному жилищному фонду</t>
  </si>
  <si>
    <t>7432229990</t>
  </si>
  <si>
    <t>Улучшение качества освещения улиц на территории муниципального образования ЗАТО Александровск</t>
  </si>
  <si>
    <t>7441100000</t>
  </si>
  <si>
    <t>7441120060</t>
  </si>
  <si>
    <t>Повышение качества организации содержания лестничных сходов, детских площадок, тротуаров, дорожек и дворовых территорий муниципального образования ЗАТО Александровск</t>
  </si>
  <si>
    <t>7441200000</t>
  </si>
  <si>
    <t>7441220070</t>
  </si>
  <si>
    <t>Функционирование высшего должностного лица субъекта Российской Федерации и муниципального образования</t>
  </si>
  <si>
    <t>Подпрограмма 1 "Управление развитием информационного общества и формированием электронного правительства"</t>
  </si>
  <si>
    <t>Субсидия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</si>
  <si>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810</t>
  </si>
  <si>
    <t>Бюджетные кредиты от других бюджетов бюджетной системы Российской Федерации</t>
  </si>
  <si>
    <t>2.1</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</si>
  <si>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</si>
  <si>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</si>
  <si>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</si>
  <si>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Иные источники внутреннего финансирования дефицитов бюджетов</t>
  </si>
  <si>
    <t>3.1</t>
  </si>
  <si>
    <t>Бюджетные кредиты, предоставленные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</si>
  <si>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</si>
  <si>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</si>
  <si>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640</t>
  </si>
  <si>
    <t>Возврат бюджетных кредитов, предоставленных юридическим лицам из бюджетов городских округов в валюте Российской Федерации</t>
  </si>
  <si>
    <t>3</t>
  </si>
  <si>
    <t>Увеличение остатков средств бюджетов</t>
  </si>
  <si>
    <t>500</t>
  </si>
  <si>
    <t>Увеличение прочих остатков средств бюджетов</t>
  </si>
  <si>
    <t>Увеличение прочих остатков денежных средств бюджетов</t>
  </si>
  <si>
    <t>510</t>
  </si>
  <si>
    <t>Увеличение прочих остатков денежных средств бюджетов городских округов</t>
  </si>
  <si>
    <t>3.2</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</si>
  <si>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</si>
  <si>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</si>
  <si>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</si>
  <si>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610</t>
  </si>
  <si>
    <t>Уменьшение прочих остатков денежных средств бюджетов городских округов</t>
  </si>
  <si>
    <t>Исполнение государственных и муниципальных гарантий в валюте Российской Федерации</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</si>
  <si>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</si>
  <si>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</si>
  <si>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Сельское хозяйство и рыболовство</t>
  </si>
  <si>
    <t>Субвенция на осуществление деятельности по отлову и содержанию безнадзорных животных</t>
  </si>
  <si>
    <t>Совет депутатов муниципального образования закрытое административно-территориальное образование Александровск Мурманской области</t>
  </si>
  <si>
    <t>администрация муниципального образования закрытое административно-территориальное образование Александровск Мурманской области</t>
  </si>
  <si>
    <t>Управление муниципальной собственностью администрации ЗАТО Александровск</t>
  </si>
  <si>
    <t>Оценка недвижимости, признание прав и регулирование отношений по государственной и муниципальной собственности</t>
  </si>
  <si>
    <t>Наименование</t>
  </si>
  <si>
    <t>01</t>
  </si>
  <si>
    <t>Оказание финансовой поддержки субъектам МСП (предоставление грантов начинающим предпринимателям на создание собственного бизнеса)</t>
  </si>
  <si>
    <t xml:space="preserve">Выплаты по решениям судов и оплата государственной пошлины </t>
  </si>
  <si>
    <t>9900099990</t>
  </si>
  <si>
    <t>Строительство детского сада  на 300 мест в г.Гаджиево</t>
  </si>
  <si>
    <t>7081100000</t>
  </si>
  <si>
    <t>7081140010</t>
  </si>
  <si>
    <t>70221S0620</t>
  </si>
  <si>
    <t>7022300000</t>
  </si>
  <si>
    <t>7022300020</t>
  </si>
  <si>
    <t>7021171030</t>
  </si>
  <si>
    <t>70211S1030</t>
  </si>
  <si>
    <t>7021271030</t>
  </si>
  <si>
    <t>70212S1030</t>
  </si>
  <si>
    <t>7070000000</t>
  </si>
  <si>
    <t>Организация отдыха и оздоровления детей в возрасте от 6 до 18 лет</t>
  </si>
  <si>
    <t>7071100000</t>
  </si>
  <si>
    <t>7071129990</t>
  </si>
  <si>
    <t>Предоставление питания детям, находящимся в оздоровительном лагере дневного пребывания в МОУ</t>
  </si>
  <si>
    <t>7071200000</t>
  </si>
  <si>
    <t>Субсидия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</si>
  <si>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7071271050</t>
  </si>
  <si>
    <t>70712S1050</t>
  </si>
  <si>
    <t>7040000000</t>
  </si>
  <si>
    <t>Информационно-методическое сопровождение образовательного процесса учреждений системы образования ЗАТО Александровск</t>
  </si>
  <si>
    <t>7041100000</t>
  </si>
  <si>
    <t>7400000000</t>
  </si>
  <si>
    <t>7460000000</t>
  </si>
  <si>
    <t>Сохранение гарантированного и качественного транспортного обслуживания населения по социально значимым маршрутам в границах территории ЗАТО Александровск</t>
  </si>
  <si>
    <t>7461100000</t>
  </si>
  <si>
    <t>7461160010</t>
  </si>
  <si>
    <t>Обеспечение перевозок обучающихся государственных областных и муниципальных образовательных организаций городским и пригородным автомобильным транспортом общего пользования</t>
  </si>
  <si>
    <t>7462100000</t>
  </si>
  <si>
    <t>Субвенция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</si>
  <si>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7462176600</t>
  </si>
  <si>
    <t>8010000000</t>
  </si>
  <si>
    <t>Предоставление комплексных услуг по созданию, поддержке, развитию информационно- телекоммуникационной инфраструктуры в органах местного самоуправления и муниципальных казенных учреждениях</t>
  </si>
  <si>
    <t>8011100000</t>
  </si>
  <si>
    <t>8011100020</t>
  </si>
  <si>
    <t>8011113060</t>
  </si>
  <si>
    <t>Обеспечение доступа  работников к сети Интернет</t>
  </si>
  <si>
    <t>8022100000</t>
  </si>
  <si>
    <t>8022129990</t>
  </si>
  <si>
    <t>Муниципальная программа ЗАТО Александровск "Информационное общество" на 2014 - 2020 годы</t>
  </si>
  <si>
    <t>Муниципальная программа ЗАТО Александровск "Обеспечение комфортной среды проживания населения муниципального образования" на 2014 - 2020 годы</t>
  </si>
  <si>
    <t>Муниципальная программа "Развитие транспортной системы ЗАТО Александровск" на 2014 - 2020 годы</t>
  </si>
  <si>
    <t>Муниципальная программа ЗАТО Александровск "Охрана окружающей среды" на 2014 - 2020 годы</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</si>
  <si>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</si>
  <si>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Дорожное хозяйство (дорожные фонды)</t>
  </si>
  <si>
    <t>Иные бюджетные ассигнования</t>
  </si>
  <si>
    <t>8110000000</t>
  </si>
  <si>
    <t>8100000000</t>
  </si>
  <si>
    <t>8111100000</t>
  </si>
  <si>
    <t>8111106010</t>
  </si>
  <si>
    <t>8111113060</t>
  </si>
  <si>
    <t>Организация и осуществление контроля и надзора в финансово-бюджетной сфере</t>
  </si>
  <si>
    <t>8112100000</t>
  </si>
  <si>
    <t>8112106010</t>
  </si>
  <si>
    <t>9900020220</t>
  </si>
  <si>
    <t>8120000000</t>
  </si>
  <si>
    <t>Исполнение принятых обязательств по погашению и обслуживанию долговых обязательств ЗАТО Александровск</t>
  </si>
  <si>
    <t>8122100000</t>
  </si>
  <si>
    <t>8122120120</t>
  </si>
  <si>
    <t>Обеспечение проведения выборов и референдумов</t>
  </si>
  <si>
    <t>Проведение выборов в представительный орган местного самоуправления</t>
  </si>
  <si>
    <t>9900005100</t>
  </si>
  <si>
    <t>7011600000</t>
  </si>
  <si>
    <t>Субвенция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</si>
  <si>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7011675370</t>
  </si>
  <si>
    <t>Организация мер по предоставлению и выплате компенсации части родительской платы за присмотр и уход за ребенком в ДОУ</t>
  </si>
  <si>
    <t>7011500000</t>
  </si>
  <si>
    <t>Субвенция на расходы, связанные с выплатой компенсации родительской платы за присмотр и уход за детьми, посещающими образовательные организации,</t>
  </si>
  <si>
    <t>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</si>
  <si>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7011575360</t>
  </si>
  <si>
    <t>7081129990</t>
  </si>
  <si>
    <t>Взносы на обеспечение реализации региональной программы капитального ремонта общего имущества в многоквартирных домах в части жилых муниципальных помещений</t>
  </si>
  <si>
    <t>7413100000</t>
  </si>
  <si>
    <t>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t>
  </si>
  <si>
    <t>74131S0850</t>
  </si>
  <si>
    <t>Взносы на обеспечение реализации региональной программы капитального ремонта общего имущества в многоквартирных домах в части нежилых муниципальных помещений</t>
  </si>
  <si>
    <t>7413200000</t>
  </si>
  <si>
    <t>7082229990</t>
  </si>
  <si>
    <t>Субсидия на строительство, реконструкцию, ремонт и капитальный ремонт автомобильных дорог общего пользования местного значения (на конкурсной основе)</t>
  </si>
  <si>
    <t>77011S0930</t>
  </si>
  <si>
    <t>7702120090</t>
  </si>
  <si>
    <t>Ремонт квартир</t>
  </si>
  <si>
    <t>7412300000</t>
  </si>
  <si>
    <t>7412320090</t>
  </si>
  <si>
    <t>Взносы на проведение капитального ремонта общего имущества многоквартирных домов</t>
  </si>
  <si>
    <t>7413220950</t>
  </si>
  <si>
    <t>Аварийно-восстановительные работы по ремонту кровли МБОУ СОШ №266, г. Снежногорск, ул. Флотская, д.10</t>
  </si>
  <si>
    <t>7082600000</t>
  </si>
  <si>
    <t>7082620090</t>
  </si>
  <si>
    <t>7011229990</t>
  </si>
  <si>
    <t>Материально-техническое обеспечение органов местного самоуправления ЗАТО Александровск</t>
  </si>
  <si>
    <t>8262229990</t>
  </si>
  <si>
    <t xml:space="preserve"> Выполнение комплекса работ по разработке природоохранных, социально-экономических и других мероприятий, связанных с обращением отходов производства и потребления на территории ЗАТО Александровск</t>
  </si>
  <si>
    <t>Разработка технической документации с целью сбалансированного перспективного развития объектов, функционально обеспечивающих нормальную жизнедеятельность населения муниципального образования ЗАТО Александровск</t>
  </si>
  <si>
    <t>8281306030</t>
  </si>
  <si>
    <t>8281106030</t>
  </si>
  <si>
    <t>8281206030</t>
  </si>
  <si>
    <t>Ремонт автомобильных дорог общего пользования и междомовых проездов ЗАТО Александровск</t>
  </si>
  <si>
    <t>7701170930</t>
  </si>
  <si>
    <t>7451129990</t>
  </si>
  <si>
    <t>7082429990</t>
  </si>
  <si>
    <t>Подпрограмма 4 "Сохранение и реконструкция военно-мемориальных объектов ЗАТО Александровск"</t>
  </si>
  <si>
    <t>7340000000</t>
  </si>
  <si>
    <t>Капитальный ремонт мемориального комплекса "Морская душа"</t>
  </si>
  <si>
    <t>7342200000</t>
  </si>
  <si>
    <t>7342220090</t>
  </si>
  <si>
    <t>Приобретение, установка, ремонт и замена приборов учета тепла, воды и электроэнергии</t>
  </si>
  <si>
    <t>7801500000</t>
  </si>
  <si>
    <t>7801520090</t>
  </si>
  <si>
    <t>Подпрограмма 4 "Профилактика экстремизма и терроризма в ЗАТО Александровск"</t>
  </si>
  <si>
    <t>7540000000</t>
  </si>
  <si>
    <t>Повышение технической оснащенности административного здания администрации ЗАТО Александровск</t>
  </si>
  <si>
    <t>7541100000</t>
  </si>
  <si>
    <t>7541129990</t>
  </si>
  <si>
    <t>9900020090</t>
  </si>
  <si>
    <t>Предоставление социальных выплат молодым семьям, нуждающимся в улучшении жилищных условий</t>
  </si>
  <si>
    <t>Выполнение работы по библиографической обработке документов и организации каталогов</t>
  </si>
  <si>
    <t>Комплектование книжных фондов библиотек муниципальных образований и государственных библиотек городов Москвы и Санкт-Петербурга</t>
  </si>
  <si>
    <t>Проведение оценки рыночной стоимости нежилых помещений, арендуемых субъектами МСП</t>
  </si>
  <si>
    <t xml:space="preserve">Осуществление в установленном порядке сбора, обработки и анализа статистической, финансовой и бухгалтерской отчетности подведомственных муниципальных учреждений, предоставление в соответствующие органы консолидированной статистической, </t>
  </si>
  <si>
    <t>7413170850</t>
  </si>
  <si>
    <t xml:space="preserve">Организация ограничения доступа в законсервированные дома на территории ЗАТО Александровск </t>
  </si>
  <si>
    <t>7442300000</t>
  </si>
  <si>
    <t>7442329990</t>
  </si>
  <si>
    <t>Расходы областного бюджета на реализацию мероприятия подпрограммы "Обеспечение жильем молодых семей" федеральной целевой программы "Жилище" на 2015-2020 годы</t>
  </si>
  <si>
    <t>74711L0200</t>
  </si>
  <si>
    <t>74711R0200</t>
  </si>
  <si>
    <t>Мероприятия государственной программы Российской Федерации "Доступная среда" на 2011-2020 годы</t>
  </si>
  <si>
    <t>71012L0270</t>
  </si>
  <si>
    <t>7101250270</t>
  </si>
  <si>
    <t>Государственная поддержка лучших работников муниципальных учреждений культуры, находящихся на территориях сельских поселений</t>
  </si>
  <si>
    <t>7313151480</t>
  </si>
  <si>
    <t>Подпрограмма 3 «Обеспечение деятельности управления культуры, спорта и молодежной политики администрации ЗАТО Александровск»</t>
  </si>
  <si>
    <t>8231129990</t>
  </si>
  <si>
    <t>Реконструкция и ремонт Мемориальный комплекс на воинском захоронении моряков- подводников АПЛ К- 19, погибших в океане 24.02.1972г.</t>
  </si>
  <si>
    <t>7342400000</t>
  </si>
  <si>
    <t>7342429990</t>
  </si>
  <si>
    <t>Подпрограмма 5 "Модернизация учреждений культуры и дополнительного образования в сфере культуры ЗАТО Александровск"</t>
  </si>
  <si>
    <t>7350000000</t>
  </si>
  <si>
    <t>Обеспечение пожарной и электрической безопасности учреждений культуры и дополнительного образования в сфере культуры</t>
  </si>
  <si>
    <t>7351100000</t>
  </si>
  <si>
    <t>7351129990</t>
  </si>
  <si>
    <t xml:space="preserve">Модернизация и обслуживание сетей теплоснабжения (замена системы отопления на полипропиленновые трубы, замена радиаторов, установка терморегуляторов на отопительные приборы, установка системы приточно- </t>
  </si>
  <si>
    <t>вытяжных установок с рециркуляцией тепла, промывкы и опрессовка системы теплоснабжения)</t>
  </si>
  <si>
    <t>7801400000</t>
  </si>
  <si>
    <t>7801429990</t>
  </si>
  <si>
    <t>Расходы на единовременное поощрение за многолетнюю безупречную муниципальную службу, выплачиваемое муниципальным служащим</t>
  </si>
  <si>
    <t>8211108210</t>
  </si>
  <si>
    <t xml:space="preserve">Модернизация и обслуживание сетей теплоснабжения (замена системы отопления на полипропиленновые трубы, замена радиаторов, установка </t>
  </si>
  <si>
    <t>8041100000</t>
  </si>
  <si>
    <t>8041100020</t>
  </si>
  <si>
    <t>8031100000</t>
  </si>
  <si>
    <t>8031160070</t>
  </si>
  <si>
    <t>Обеспечение информирования населения, организаций (предприятий) по вопросам социально-экономического и культурного развития ЗАТО Александровск</t>
  </si>
  <si>
    <t>8031200000</t>
  </si>
  <si>
    <t>8031229990</t>
  </si>
  <si>
    <t>Приобретение автобусов</t>
  </si>
  <si>
    <t>7463100000</t>
  </si>
  <si>
    <t>7463129990</t>
  </si>
  <si>
    <t>7323151480</t>
  </si>
  <si>
    <t>Ремонт кровли здания ДОФ г. Гаджиево</t>
  </si>
  <si>
    <t>7801900000</t>
  </si>
  <si>
    <t>Изготовление и выдача карт маршрута регулярных перевозок установленного образца</t>
  </si>
  <si>
    <t>7461200000</t>
  </si>
  <si>
    <t>7461229990</t>
  </si>
  <si>
    <t>Оценка финансовой поддержки субъектам МСП (предоставление грантов начинающим предпринимателям на создание собственного бизнеса)</t>
  </si>
  <si>
    <t>Создание условий безопасной среды для проживания в ЗАТО Александровск</t>
  </si>
  <si>
    <t>7442400000</t>
  </si>
  <si>
    <t>7442429990</t>
  </si>
  <si>
    <t xml:space="preserve">Устройство контейнерных площадок для сбора твердых бытовых отходов крупногабаритного мусора </t>
  </si>
  <si>
    <t>7601100000</t>
  </si>
  <si>
    <t>7601129990</t>
  </si>
  <si>
    <t>Материальное обеспечение допуска лиц не проживающих на территории ЗАТО Александровск охраняемой контролируемой зоны (изготовление бланков)</t>
  </si>
  <si>
    <t>7541300000</t>
  </si>
  <si>
    <t>7541329990</t>
  </si>
  <si>
    <t>7903150640</t>
  </si>
  <si>
    <t>7031113060</t>
  </si>
  <si>
    <t>Нормативно-методическое обеспечение и организация  бюджетного процесса в ЗАТО Александровск, осуществление контроля и надзора в финансово-бюджетной сфере</t>
  </si>
  <si>
    <t>Модернизация материально - технической базы учреждений культуры и дополнительного образования в сфере культуры</t>
  </si>
  <si>
    <t>7352100000</t>
  </si>
  <si>
    <t>7352129990</t>
  </si>
  <si>
    <t>Предоставление грантов муниципальным образованиям Мурманской области в целях содействия достижению и (или) поощрения достижения наилучших значений показателей деятельности органов местного самоуправления</t>
  </si>
  <si>
    <t>7801977070</t>
  </si>
  <si>
    <t>Расходы на компенсационные выплаты муниципальным служащим, высвобождаемым в связи с выходом на трудовую пенсию</t>
  </si>
  <si>
    <t>8211108200</t>
  </si>
  <si>
    <t>8221129990</t>
  </si>
  <si>
    <t>Субсидия на софинансирование капитальных вложений в объекты муниципальной собственности (включая остатки прошлых лет)</t>
  </si>
  <si>
    <t>7081174000</t>
  </si>
  <si>
    <t>Государственная поддержка малого и среднего предпринимательства, включая крестьянские (фермерские) хозяйства (субсидия из областного бюджета бюджетам монопрофильных муниципальных образований Мурманской области,получившим прямую финансовую поддержку за счет средств федерального бюджета в рамках конкурсного отбора субъектов Российской Федерации)</t>
  </si>
  <si>
    <t>79031L0640</t>
  </si>
  <si>
    <t>Выполнение комплекса землеустроительных работ по формированию и установлению на местности границ муниципального образования ЗАТО Александровск с постановкой границ на государственный кадастр недвижимости</t>
  </si>
  <si>
    <t>8221600000</t>
  </si>
  <si>
    <t>8221620150</t>
  </si>
  <si>
    <t>Приобретение подарков на елку для одаренных детей</t>
  </si>
  <si>
    <t>7061600000</t>
  </si>
  <si>
    <t>7061600020</t>
  </si>
  <si>
    <t>7034306030</t>
  </si>
  <si>
    <t>% исполнения</t>
  </si>
  <si>
    <t>Уточненный план, руб.,коп.</t>
  </si>
  <si>
    <t>Исполнено, руб.,коп.</t>
  </si>
  <si>
    <t xml:space="preserve">                                             Приложение № 3</t>
  </si>
  <si>
    <t xml:space="preserve">Расходы местного бюджета ЗАТО Александровск за 2016 год по ведомственной структуре расходов                                                                                                                          местного бюджета ЗАТО Александровск </t>
  </si>
  <si>
    <t>по разделам и подразделам классификации расходов бюджетов</t>
  </si>
  <si>
    <t>Исполнено, руб., коп.</t>
  </si>
  <si>
    <t>ВСЕГО расходов:</t>
  </si>
  <si>
    <t>Расходы местного бюджета ЗАТО Александровск за 2016 год</t>
  </si>
  <si>
    <t>Изменение остатков средств на счетах по учету средств бюджета</t>
  </si>
  <si>
    <t>ИТОГО ИСТОЧНИКОВ ВНУТРЕННЕГО ФИНАНСИРОВАНИЯ ДЕФИЦИТА БЮДЖЕТА</t>
  </si>
  <si>
    <t xml:space="preserve">   к решению Совета депутатов ЗАТО Александровск</t>
  </si>
  <si>
    <t>главный админи-стратор</t>
  </si>
  <si>
    <t>группа</t>
  </si>
  <si>
    <t>под-группа</t>
  </si>
  <si>
    <t>статья</t>
  </si>
  <si>
    <t>под-статья</t>
  </si>
  <si>
    <t>эле-мент</t>
  </si>
  <si>
    <t>прог-рамма</t>
  </si>
  <si>
    <t>Класси-фикация операций сектора государст-венного управле-ния</t>
  </si>
  <si>
    <t>по кодам классификации источников финансирования дефицитов бюджетов за 2016 год</t>
  </si>
  <si>
    <t xml:space="preserve">Источники финансирования дефицита местного бюджета ЗАТО Александровск </t>
  </si>
  <si>
    <t xml:space="preserve">                                             Приложение № 2</t>
  </si>
  <si>
    <t xml:space="preserve"> Приложение № 4</t>
  </si>
  <si>
    <t>Код администратора доходов</t>
  </si>
  <si>
    <t>Код классификации доходов бюджетов</t>
  </si>
  <si>
    <t>Уточненный план, руб., коп.</t>
  </si>
  <si>
    <t>Исполнено,           руб., коп.</t>
  </si>
  <si>
    <t>048</t>
  </si>
  <si>
    <t>Управление Федеральной службы по надзору в сфере природопользования (Росприроднадзора) по Мурманской области</t>
  </si>
  <si>
    <t>1 00 00000 00</t>
  </si>
  <si>
    <t>НАЛОГОВЫЕ И НЕНАЛОГОВЫЕ ДОХОДЫ</t>
  </si>
  <si>
    <t>1 12 01010 01</t>
  </si>
  <si>
    <t>120</t>
  </si>
  <si>
    <t xml:space="preserve">    Плата за выбросы загрязняющих веществ в атмосферный воздух стационарными объектами</t>
  </si>
  <si>
    <t>1 12 01020 01</t>
  </si>
  <si>
    <t xml:space="preserve">    Плата за выбросы загрязняющих веществ в атмосферный воздух передвижными объектами</t>
  </si>
  <si>
    <t>1 12 01030 01</t>
  </si>
  <si>
    <t xml:space="preserve">    Плата за сбросы загрязняющих веществ в водные объекты</t>
  </si>
  <si>
    <t>1 12 01040 01</t>
  </si>
  <si>
    <t xml:space="preserve">    Плата за размещение отходов производства и потребления</t>
  </si>
  <si>
    <t>1 16 25050 01</t>
  </si>
  <si>
    <t>140</t>
  </si>
  <si>
    <t xml:space="preserve">      Денежные взыскания (штрафы) за нарушение законодательства в области охраны окружающей среды</t>
  </si>
  <si>
    <t>Управление Федерального казначейства по Мурманской области</t>
  </si>
  <si>
    <t>1030223001</t>
  </si>
  <si>
    <t>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</si>
  <si>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</si>
  <si>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</si>
  <si>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</si>
  <si>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</si>
  <si>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</si>
  <si>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</si>
  <si>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</si>
  <si>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141</t>
  </si>
  <si>
    <t>Управление Федеральной службы по надзору в сфере защиты прав потребителей и благополучия человека по Мурманской области</t>
  </si>
  <si>
    <t>1 16 28000 01</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</si>
  <si>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</si>
  <si>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150</t>
  </si>
  <si>
    <t>Государственная инспекция труда в Мурманской области</t>
  </si>
  <si>
    <t>1 16 43000 01</t>
  </si>
  <si>
    <t xml:space="preserve">      Денежные взыскания (штрафы) за нарушение законодательства Российской Федерации об административных правонарушениях, предусмотренных статьей 20.25 Кодекса Российской Федерации об административных правонарушениях</t>
  </si>
  <si>
    <t>161</t>
  </si>
  <si>
    <t>Управление Федеральной антимонопольной службы по Мурманской области</t>
  </si>
  <si>
    <t>1 16 33040 04</t>
  </si>
  <si>
    <t xml:space="preserve">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</si>
  <si>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182</t>
  </si>
  <si>
    <t>Межрайонная инспекция Федеральной налоговой службы России № 2 по Мурманской области</t>
  </si>
  <si>
    <t>1 01 0201001</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</si>
  <si>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</si>
  <si>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1 01 02020 01</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</si>
  <si>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прктикой в соответствии со статьей 227 Налогового кодекса Российской Федерации</t>
  </si>
  <si>
    <t>1 01 0203001</t>
  </si>
  <si>
    <t xml:space="preserve">      Налог на доходы физических лиц с доходов, полученных физическими лицами в соответствии со статьней 228 Налогового кодекса Российской Федерации</t>
  </si>
  <si>
    <t>1 01 02040 01</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</si>
  <si>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</si>
  <si>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1 05 0101101</t>
  </si>
  <si>
    <t xml:space="preserve">      Налог, взимаемый с налогоплательщиков, выбравших в качестве объекта налогообложения доходы</t>
  </si>
  <si>
    <t>1 05 0101201</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</si>
  <si>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</si>
  <si>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1 05 01021 01</t>
  </si>
  <si>
    <t xml:space="preserve">      Налог, взимаемый с налогоплательщиков, выбравших в качестве объекта налогообложения доходы, уменьшенные на величину расходов</t>
  </si>
  <si>
    <t>1 05 0105001</t>
  </si>
  <si>
    <t xml:space="preserve">     Минимальный налог, зачисляемый в бюджеты субъектов Российской Федерации</t>
  </si>
  <si>
    <t>1 05 02010 02</t>
  </si>
  <si>
    <t xml:space="preserve">      Единый налог на вмененный доход для отдельных видов деятельности</t>
  </si>
  <si>
    <t>1 05 02020 02</t>
  </si>
  <si>
    <t xml:space="preserve">      Единый налог на вмененый доход  для отдельных видов деятельности (за налоговые периоды, истекшие до 01.01.2011г)</t>
  </si>
  <si>
    <t>1 05 04010 02</t>
  </si>
  <si>
    <t xml:space="preserve">      Налог, взимаемый в связи с применением патентной системы налогообложения, зачисляемый в бюджеты городских округов</t>
  </si>
  <si>
    <t>1 06 01020 04</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</si>
  <si>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</si>
  <si>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1 06 06032 04</t>
  </si>
  <si>
    <t xml:space="preserve">      Земельный налог с организаций, обладающих земельным участком, расположенным в границах городских округов</t>
  </si>
  <si>
    <t>1 06 06042 04</t>
  </si>
  <si>
    <t xml:space="preserve">      Земельный налог с физических лиц, обладающих земельным участком, расположенным в границах городских округов</t>
  </si>
  <si>
    <t>1 08 03010 01</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</si>
  <si>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</si>
  <si>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1 16 03010 01</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</si>
  <si>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
</t>
  </si>
  <si>
    <t>1 16 03030 01</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</si>
  <si>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</si>
  <si>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1 16 06000 01</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</si>
  <si>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</si>
  <si>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188</t>
  </si>
  <si>
    <t>Отдел Министерства внутренних дел РФ по ЗАТО Александровск Мурманской области</t>
  </si>
  <si>
    <t>1 16 08010 01</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</si>
  <si>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</si>
  <si>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1 16 30030 01</t>
  </si>
  <si>
    <t xml:space="preserve">      Прочие денежные взыскания (штрафы) за правонарушения в области дорожного хозяйства</t>
  </si>
  <si>
    <t>1 16 4300001</t>
  </si>
  <si>
    <t>1 16 9004004</t>
  </si>
  <si>
    <t xml:space="preserve">      Прочие поступления от денежных взысканий (штрафов) и иных сумм в возмещение ущерба, зачисляемые в бюджеты городских округов</t>
  </si>
  <si>
    <t>321</t>
  </si>
  <si>
    <t>Управление Федеральной службы государственной регистрации, кадастра и картографии по Мурманской области</t>
  </si>
  <si>
    <t>1 16 25060 01</t>
  </si>
  <si>
    <t xml:space="preserve">      Денежные взыскания (штрафы) за нарушение земельного законодательства</t>
  </si>
  <si>
    <t>1164300001</t>
  </si>
  <si>
    <t>1169004004</t>
  </si>
  <si>
    <t>388</t>
  </si>
  <si>
    <t>Региональное управление № 120 Федерального медико-биологического агенства</t>
  </si>
  <si>
    <t>Совет депутатов ЗАТО Александровск</t>
  </si>
  <si>
    <t>1 13 02994 04</t>
  </si>
  <si>
    <t>130</t>
  </si>
  <si>
    <t xml:space="preserve">      Прочие доходы от компенсации затрат бюджетов городских округов 
</t>
  </si>
  <si>
    <t>Администрация ЗАТО Александровск</t>
  </si>
  <si>
    <t>1 13 02064 04</t>
  </si>
  <si>
    <t xml:space="preserve">      Доходы, поступающие в порядке возмещения расходов, понесенных в связи с эксплуатацией имущества городских округов
</t>
  </si>
  <si>
    <t>1 16 23040 04</t>
  </si>
  <si>
    <t xml:space="preserve">    Доходы от возмещения ущерба при возникновении страховых случаев, когда выгодоприобретателями выступают получатели средств бюджетов городских округов
</t>
  </si>
  <si>
    <t>1 16 90040 04</t>
  </si>
  <si>
    <t xml:space="preserve">1 17 01040 04 </t>
  </si>
  <si>
    <t xml:space="preserve">0000 </t>
  </si>
  <si>
    <t>180</t>
  </si>
  <si>
    <t xml:space="preserve">      Невыясненные поступления, зачисляемые в бюджеты городских округов</t>
  </si>
  <si>
    <t>2 00 00000 00</t>
  </si>
  <si>
    <t>БЕЗВОЗМЕЗДНЫЕ ПОСТУПЛЕНИЯ</t>
  </si>
  <si>
    <t>2 02 02009 04</t>
  </si>
  <si>
    <t>151</t>
  </si>
  <si>
    <t xml:space="preserve">      Субсидии бюджетам городских округов на государственную поддержку малого и среднего предпринимательства, включая крестьянские (фермерские) хозяйства
</t>
  </si>
  <si>
    <t>2 02 02999 04</t>
  </si>
  <si>
    <t xml:space="preserve">      Прочие субсидии бюджетам городских округов</t>
  </si>
  <si>
    <t>2 02 03003 04</t>
  </si>
  <si>
    <t xml:space="preserve">      Субвенции бюджетам городских округов на государственную регистрацию актов гражданского состояния</t>
  </si>
  <si>
    <t>2 02 03007 04</t>
  </si>
  <si>
    <t xml:space="preserve">     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
</t>
  </si>
  <si>
    <t>2 02 03999 04</t>
  </si>
  <si>
    <t xml:space="preserve">      Прочие субвенции бюджетам городских округов</t>
  </si>
  <si>
    <t xml:space="preserve">2 18 04010 04 </t>
  </si>
  <si>
    <t xml:space="preserve">      Доходы бюджетов городских округов от возврата бюджетными учреждениями остатков субсидий прошлых лет</t>
  </si>
  <si>
    <t xml:space="preserve">2 19 04000 04 </t>
  </si>
  <si>
    <t xml:space="preserve">      Возврат остатков субсидий, субвенций и иных межбюджетных трансфертов, имеющих целевое назначение, прошлых лет из бюджетов городских округов</t>
  </si>
  <si>
    <t>1 08 07150 01</t>
  </si>
  <si>
    <t xml:space="preserve">     Государственная пошлина за выдачу разрешения на установку рекламной конструкции </t>
  </si>
  <si>
    <t>1 11 05012 04</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</si>
  <si>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</si>
  <si>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1 11 05024 04</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</si>
  <si>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</si>
  <si>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1 11 05034 04</t>
  </si>
  <si>
    <t xml:space="preserve">    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</si>
  <si>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1 11 05074 04</t>
  </si>
  <si>
    <t xml:space="preserve">    Доходы от сдачи в аренду имущества, составляющего казну городских округов (за исключением земельных участков)
</t>
  </si>
  <si>
    <t>1 11 07014 04</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</si>
  <si>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t>
  </si>
  <si>
    <t>1 11 09044 04</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</si>
  <si>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</si>
  <si>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1 13 01994 04</t>
  </si>
  <si>
    <t xml:space="preserve">      Прочие доходы от оказания платных услуг (работ) получателями средств бюджетов городских округов
</t>
  </si>
  <si>
    <t>1 14 02043 04</t>
  </si>
  <si>
    <t>410</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</si>
  <si>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</si>
  <si>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2 02 02041 04</t>
  </si>
  <si>
    <t xml:space="preserve">    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</si>
  <si>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2 02 02077 04</t>
  </si>
  <si>
    <t xml:space="preserve">    Субсидии бюджетам городских округов на бюджетные инвестиции в объекты капитального строительства собственности муниципальных образований</t>
  </si>
  <si>
    <t>2020299904</t>
  </si>
  <si>
    <t xml:space="preserve">    Прочие субсидии бюджетам городских округов </t>
  </si>
  <si>
    <t xml:space="preserve">    Прочие субвенции бюджетам городских округов</t>
  </si>
  <si>
    <t>2 02 01001 04</t>
  </si>
  <si>
    <t xml:space="preserve">      Дотации бюджетам городских округов на выравнивание бюджетной обеспеченности</t>
  </si>
  <si>
    <t>2 02 01003 04</t>
  </si>
  <si>
    <t xml:space="preserve">      Дотации бюджетам городских округов на поддержку мер по обеспечению сбалансированности бюджета</t>
  </si>
  <si>
    <t>2 02 01007 04</t>
  </si>
  <si>
    <t xml:space="preserve">      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</si>
  <si>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Управление образования администрации ЗАТО Александровск</t>
  </si>
  <si>
    <t>2 02 03027 04</t>
  </si>
  <si>
    <t xml:space="preserve">      Субвенции бюджетам городских округов на содержание ребенка в семье опекуна и приемной семье, а также вознаграждение, причитающееся приемному родителю </t>
  </si>
  <si>
    <t>2 02 03029 04</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</si>
  <si>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</si>
  <si>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Прочии субвенции бюджетам городских округов</t>
  </si>
  <si>
    <t>2 02 02051 04</t>
  </si>
  <si>
    <t xml:space="preserve">      Субсидии бюджетам городских округов на реализацию федеральных целевых программ</t>
  </si>
  <si>
    <t>2 02 04025 04</t>
  </si>
  <si>
    <t xml:space="preserve">      Межбюджетные трансферты, передаваемые бюджетам городских округов на комплектование книжных фондов библиотек муниципальных образований</t>
  </si>
  <si>
    <t>2 02 04053 04</t>
  </si>
  <si>
    <t xml:space="preserve">     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
</t>
  </si>
  <si>
    <t xml:space="preserve">2 02 04999 04 </t>
  </si>
  <si>
    <t xml:space="preserve">      Прочие межбюджетные трансферты, передаваемые бюджетам городских округов</t>
  </si>
  <si>
    <t>Контрольно-счетная палата муниципального образования ЗАТО Александровск Мурманской области</t>
  </si>
  <si>
    <t>Всего доходов:</t>
  </si>
  <si>
    <t>Доходы местного бюджета  ЗАТО Александровск  за 2016 год по кодам классификации доходов бюджетов</t>
  </si>
  <si>
    <t>Приложение №1</t>
  </si>
  <si>
    <t xml:space="preserve">              от  20 июня 2017 года № 65     </t>
  </si>
  <si>
    <t>от  20 июня 2017 года № 65</t>
  </si>
  <si>
    <t>от 20 июня 2017 года № 65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</si>
</sst>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
  </numFmts>
  <fonts count="52" x14ac:knownFonts="1">
    <font>
      <sz val="10"/>
      <name val="Arial Cyr"/>
      <charset val="204"/>
    </font>
    <font>
      <sz val="10"/>
      <name val="Arial Cyr"/>
      <charset val="204"/>
    </font>
    <font>
      <sz val="12"/>
      <name val="Times New Roman"/>
      <family val="1"/>
      <charset val="204"/>
    </font>
    <font>
      <b/>
      <sz val="12"/>
      <name val="Times New Roman"/>
      <family val="1"/>
      <charset val="204"/>
    </font>
    <font>
      <b/>
      <sz val="14"/>
      <name val="Times New Roman"/>
      <family val="1"/>
      <charset val="204"/>
    </font>
    <font>
      <sz val="14"/>
      <name val="Times New Roman"/>
      <family val="1"/>
      <charset val="204"/>
    </font>
    <font>
      <b/>
      <sz val="15"/>
      <name val="Times New Roman"/>
      <family val="1"/>
      <charset val="204"/>
    </font>
    <font>
      <b/>
      <sz val="13"/>
      <name val="Times New Roman"/>
      <family val="1"/>
      <charset val="204"/>
    </font>
    <font>
      <sz val="16"/>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name val="Times New Roman Cyr"/>
      <charset val="204"/>
    </font>
    <font>
      <sz val="12"/>
      <color indexed="10"/>
      <name val="Times New Roman"/>
      <family val="1"/>
      <charset val="204"/>
    </font>
    <font>
      <sz val="12"/>
      <name val="Times New Roman Cyr"/>
      <family val="1"/>
      <charset val="204"/>
    </font>
    <font>
      <b/>
      <sz val="14"/>
      <name val="Times New Roman Cyr"/>
      <family val="1"/>
      <charset val="204"/>
    </font>
    <font>
      <sz val="11"/>
      <name val="Times New Roman Cyr"/>
      <family val="1"/>
      <charset val="204"/>
    </font>
    <font>
      <b/>
      <sz val="11"/>
      <name val="Times New Roman Cyr"/>
      <charset val="204"/>
    </font>
    <font>
      <b/>
      <sz val="12"/>
      <name val="Times New Roman Cyr"/>
      <charset val="204"/>
    </font>
    <font>
      <sz val="11"/>
      <name val="Times New Roman Cyr"/>
      <charset val="204"/>
    </font>
    <font>
      <b/>
      <sz val="12"/>
      <name val="Times New Roman Cyr"/>
      <family val="1"/>
      <charset val="204"/>
    </font>
    <font>
      <b/>
      <sz val="11"/>
      <name val="Times New Roman Cyr"/>
      <family val="1"/>
      <charset val="204"/>
    </font>
    <font>
      <b/>
      <sz val="12"/>
      <color indexed="10"/>
      <name val="Times New Roman"/>
      <family val="1"/>
      <charset val="204"/>
    </font>
    <font>
      <b/>
      <sz val="9"/>
      <color indexed="81"/>
      <name val="Tahoma"/>
      <family val="2"/>
      <charset val="204"/>
    </font>
    <font>
      <sz val="9"/>
      <color indexed="81"/>
      <name val="Tahoma"/>
      <family val="2"/>
      <charset val="204"/>
    </font>
    <font>
      <b/>
      <sz val="11"/>
      <name val="Times New Roman"/>
      <family val="1"/>
      <charset val="204"/>
    </font>
    <font>
      <b/>
      <sz val="8"/>
      <color indexed="81"/>
      <name val="Tahoma"/>
      <family val="2"/>
      <charset val="204"/>
    </font>
    <font>
      <sz val="8"/>
      <color indexed="81"/>
      <name val="Tahoma"/>
      <family val="2"/>
      <charset val="204"/>
    </font>
    <font>
      <sz val="13"/>
      <name val="Times New Roman"/>
      <family val="1"/>
      <charset val="204"/>
    </font>
    <font>
      <sz val="12"/>
      <color indexed="8"/>
      <name val="Times New Roman"/>
      <family val="1"/>
      <charset val="204"/>
    </font>
    <font>
      <sz val="11"/>
      <name val="Calibri"/>
      <family val="2"/>
    </font>
    <font>
      <sz val="10"/>
      <color rgb="FF000000"/>
      <name val="Arial Cyr"/>
      <family val="2"/>
    </font>
    <font>
      <b/>
      <sz val="12"/>
      <color rgb="FF000000"/>
      <name val="Arial Cyr"/>
      <family val="2"/>
    </font>
    <font>
      <b/>
      <sz val="10"/>
      <color rgb="FF000000"/>
      <name val="Arial CYR"/>
      <family val="2"/>
    </font>
    <font>
      <sz val="11"/>
      <name val="Calibri"/>
      <family val="2"/>
      <scheme val="minor"/>
    </font>
    <font>
      <sz val="10"/>
      <name val="Times New Roman CYR"/>
      <family val="1"/>
      <charset val="204"/>
    </font>
    <font>
      <sz val="8"/>
      <color rgb="FF000000"/>
      <name val="Arial Cyr"/>
    </font>
    <font>
      <sz val="11"/>
      <name val="Times New Roman"/>
      <family val="1"/>
      <charset val="204"/>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CC"/>
      </patternFill>
    </fill>
    <fill>
      <patternFill patternType="solid">
        <fgColor rgb="FFCCFFFF"/>
      </patternFill>
    </fill>
    <fill>
      <patternFill patternType="solid">
        <fgColor rgb="FFC0C0C0"/>
      </patternFill>
    </fill>
    <fill>
      <patternFill patternType="solid">
        <fgColor indexed="65"/>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76">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21" borderId="7" applyNumberFormat="0" applyAlignment="0" applyProtection="0"/>
    <xf numFmtId="0" fontId="19" fillId="0" borderId="0" applyNumberFormat="0" applyFill="0" applyBorder="0" applyAlignment="0" applyProtection="0"/>
    <xf numFmtId="0" fontId="20" fillId="22" borderId="0" applyNumberFormat="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1" fillId="23" borderId="8" applyNumberFormat="0" applyFont="0" applyAlignment="0" applyProtection="0"/>
    <xf numFmtId="0" fontId="23" fillId="0" borderId="9"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44" fillId="0" borderId="0"/>
    <xf numFmtId="0" fontId="48" fillId="0" borderId="0">
      <alignment horizontal="right"/>
    </xf>
    <xf numFmtId="0" fontId="45" fillId="0" borderId="0">
      <alignment wrapText="1"/>
    </xf>
    <xf numFmtId="0" fontId="45" fillId="0" borderId="0"/>
    <xf numFmtId="0" fontId="46" fillId="0" borderId="0">
      <alignment horizontal="center" wrapText="1"/>
    </xf>
    <xf numFmtId="0" fontId="46" fillId="0" borderId="0">
      <alignment horizontal="center"/>
    </xf>
    <xf numFmtId="0" fontId="45" fillId="0" borderId="0">
      <alignment horizontal="right"/>
    </xf>
    <xf numFmtId="0" fontId="45" fillId="0" borderId="23">
      <alignment horizontal="center" vertical="center" wrapText="1"/>
    </xf>
    <xf numFmtId="49" fontId="45" fillId="0" borderId="23">
      <alignment horizontal="center" vertical="top" shrinkToFit="1"/>
    </xf>
    <xf numFmtId="0" fontId="47" fillId="0" borderId="23">
      <alignment horizontal="left"/>
    </xf>
    <xf numFmtId="4" fontId="47" fillId="24" borderId="23">
      <alignment horizontal="right" vertical="top" shrinkToFit="1"/>
    </xf>
    <xf numFmtId="10" fontId="47" fillId="24" borderId="23">
      <alignment horizontal="right" vertical="top" shrinkToFit="1"/>
    </xf>
    <xf numFmtId="0" fontId="45" fillId="0" borderId="0">
      <alignment horizontal="left" wrapText="1"/>
    </xf>
    <xf numFmtId="0" fontId="47" fillId="0" borderId="23">
      <alignment vertical="top" wrapText="1"/>
    </xf>
    <xf numFmtId="4" fontId="47" fillId="25" borderId="23">
      <alignment horizontal="right" vertical="top" shrinkToFit="1"/>
    </xf>
    <xf numFmtId="10" fontId="47" fillId="25" borderId="23">
      <alignment horizontal="right" vertical="top" shrinkToFit="1"/>
    </xf>
    <xf numFmtId="0" fontId="48" fillId="0" borderId="0"/>
    <xf numFmtId="0" fontId="48" fillId="0" borderId="0"/>
    <xf numFmtId="0" fontId="45" fillId="0" borderId="0"/>
    <xf numFmtId="0" fontId="45" fillId="0" borderId="0"/>
    <xf numFmtId="0" fontId="48" fillId="0" borderId="0"/>
    <xf numFmtId="0" fontId="45" fillId="26" borderId="0"/>
    <xf numFmtId="0" fontId="45" fillId="26" borderId="24"/>
    <xf numFmtId="0" fontId="45" fillId="26" borderId="25"/>
    <xf numFmtId="49" fontId="45" fillId="0" borderId="23">
      <alignment horizontal="left" vertical="top" wrapText="1" indent="2"/>
    </xf>
    <xf numFmtId="4" fontId="45" fillId="0" borderId="23">
      <alignment horizontal="right" vertical="top" shrinkToFit="1"/>
    </xf>
    <xf numFmtId="10" fontId="45" fillId="0" borderId="23">
      <alignment horizontal="right" vertical="top" shrinkToFit="1"/>
    </xf>
    <xf numFmtId="0" fontId="45" fillId="26" borderId="25">
      <alignment shrinkToFit="1"/>
    </xf>
    <xf numFmtId="0" fontId="45" fillId="26" borderId="26"/>
    <xf numFmtId="0" fontId="45" fillId="26" borderId="25">
      <alignment horizontal="center"/>
    </xf>
    <xf numFmtId="0" fontId="45" fillId="26" borderId="25">
      <alignment horizontal="left"/>
    </xf>
    <xf numFmtId="0" fontId="45" fillId="26" borderId="26">
      <alignment horizontal="center"/>
    </xf>
    <xf numFmtId="0" fontId="45" fillId="26" borderId="26">
      <alignment horizontal="left"/>
    </xf>
    <xf numFmtId="4" fontId="50" fillId="0" borderId="23">
      <alignment horizontal="right" shrinkToFit="1"/>
    </xf>
  </cellStyleXfs>
  <cellXfs count="272">
    <xf numFmtId="0" fontId="0" fillId="0" borderId="0" xfId="0"/>
    <xf numFmtId="0" fontId="3" fillId="0" borderId="10" xfId="0" applyFont="1" applyFill="1" applyBorder="1" applyAlignment="1">
      <alignment vertical="center" wrapText="1"/>
    </xf>
    <xf numFmtId="49" fontId="3"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2" fillId="0" borderId="12" xfId="0" applyFont="1" applyFill="1" applyBorder="1" applyAlignment="1">
      <alignment vertical="center" wrapText="1"/>
    </xf>
    <xf numFmtId="49" fontId="2" fillId="0" borderId="12" xfId="0" applyNumberFormat="1" applyFont="1" applyFill="1" applyBorder="1" applyAlignment="1">
      <alignment horizontal="center" vertical="center" wrapText="1"/>
    </xf>
    <xf numFmtId="0" fontId="4" fillId="0" borderId="10" xfId="0" applyFont="1" applyFill="1" applyBorder="1" applyAlignment="1">
      <alignment vertical="center" wrapText="1"/>
    </xf>
    <xf numFmtId="49" fontId="4" fillId="0" borderId="10" xfId="0" applyNumberFormat="1" applyFont="1" applyFill="1" applyBorder="1" applyAlignment="1">
      <alignment horizontal="center" vertical="center" wrapText="1"/>
    </xf>
    <xf numFmtId="0" fontId="4" fillId="0" borderId="11" xfId="0" applyFont="1" applyFill="1" applyBorder="1" applyAlignment="1">
      <alignment vertical="center" wrapText="1"/>
    </xf>
    <xf numFmtId="49" fontId="4" fillId="0" borderId="11" xfId="0" applyNumberFormat="1" applyFont="1" applyFill="1" applyBorder="1" applyAlignment="1">
      <alignment horizontal="center" vertical="center" wrapText="1"/>
    </xf>
    <xf numFmtId="0" fontId="2" fillId="0" borderId="0" xfId="0" applyFont="1" applyFill="1"/>
    <xf numFmtId="0" fontId="3" fillId="0" borderId="11" xfId="0" applyFont="1" applyFill="1" applyBorder="1" applyAlignment="1">
      <alignment vertical="center" wrapText="1"/>
    </xf>
    <xf numFmtId="0" fontId="4" fillId="0" borderId="0" xfId="0" applyFont="1" applyFill="1"/>
    <xf numFmtId="0" fontId="3" fillId="0" borderId="0" xfId="0" applyFont="1" applyFill="1"/>
    <xf numFmtId="0" fontId="2" fillId="0" borderId="0" xfId="0" applyFont="1" applyFill="1" applyAlignment="1">
      <alignment vertical="center" wrapText="1"/>
    </xf>
    <xf numFmtId="49" fontId="2"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xf>
    <xf numFmtId="49" fontId="3" fillId="0" borderId="10" xfId="0" applyNumberFormat="1" applyFont="1" applyFill="1" applyBorder="1" applyAlignment="1">
      <alignment vertical="center" wrapText="1"/>
    </xf>
    <xf numFmtId="49" fontId="2" fillId="0" borderId="10" xfId="0" applyNumberFormat="1" applyFont="1" applyFill="1" applyBorder="1" applyAlignment="1">
      <alignment vertical="center" wrapText="1"/>
    </xf>
    <xf numFmtId="49" fontId="2" fillId="0" borderId="11"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2" fillId="0" borderId="0" xfId="0" applyFont="1" applyFill="1" applyAlignment="1">
      <alignment vertical="center"/>
    </xf>
    <xf numFmtId="4" fontId="2" fillId="0" borderId="0" xfId="0" applyNumberFormat="1" applyFont="1" applyFill="1"/>
    <xf numFmtId="2" fontId="2" fillId="0" borderId="10" xfId="0" applyNumberFormat="1" applyFont="1" applyFill="1" applyBorder="1" applyAlignment="1">
      <alignment vertical="center" wrapText="1"/>
    </xf>
    <xf numFmtId="4" fontId="3" fillId="0" borderId="11" xfId="0" applyNumberFormat="1" applyFont="1" applyFill="1" applyBorder="1" applyAlignment="1">
      <alignment vertical="center" wrapText="1"/>
    </xf>
    <xf numFmtId="4" fontId="2" fillId="0" borderId="10" xfId="0" applyNumberFormat="1" applyFont="1" applyFill="1" applyBorder="1" applyAlignment="1">
      <alignment vertical="center" wrapText="1"/>
    </xf>
    <xf numFmtId="0" fontId="2" fillId="0" borderId="0" xfId="0" applyFont="1" applyFill="1" applyAlignment="1"/>
    <xf numFmtId="4" fontId="2" fillId="0" borderId="12" xfId="0" applyNumberFormat="1" applyFont="1" applyFill="1" applyBorder="1" applyAlignment="1">
      <alignment vertical="center" wrapText="1"/>
    </xf>
    <xf numFmtId="4" fontId="7" fillId="0" borderId="11" xfId="0" applyNumberFormat="1" applyFont="1" applyFill="1" applyBorder="1" applyAlignment="1">
      <alignment vertical="center" wrapText="1"/>
    </xf>
    <xf numFmtId="4" fontId="3" fillId="0" borderId="10" xfId="0" applyNumberFormat="1" applyFont="1" applyFill="1" applyBorder="1" applyAlignment="1">
      <alignment vertical="center" wrapText="1"/>
    </xf>
    <xf numFmtId="0" fontId="6" fillId="0" borderId="11" xfId="0" applyFont="1" applyFill="1" applyBorder="1" applyAlignment="1">
      <alignment vertical="center" wrapText="1"/>
    </xf>
    <xf numFmtId="4" fontId="4" fillId="0" borderId="11" xfId="0" applyNumberFormat="1" applyFont="1" applyFill="1" applyBorder="1" applyAlignment="1">
      <alignment vertical="center" wrapText="1"/>
    </xf>
    <xf numFmtId="4" fontId="4" fillId="0" borderId="10" xfId="0" applyNumberFormat="1" applyFont="1" applyFill="1" applyBorder="1" applyAlignment="1">
      <alignment vertical="center" wrapText="1"/>
    </xf>
    <xf numFmtId="4" fontId="2" fillId="0" borderId="10" xfId="0" applyNumberFormat="1" applyFont="1" applyFill="1" applyBorder="1" applyAlignment="1">
      <alignment horizontal="right" vertical="center" wrapText="1"/>
    </xf>
    <xf numFmtId="49" fontId="5" fillId="0" borderId="10" xfId="0" applyNumberFormat="1" applyFont="1" applyFill="1" applyBorder="1" applyAlignment="1">
      <alignment horizontal="center" vertical="center" wrapText="1"/>
    </xf>
    <xf numFmtId="2" fontId="3" fillId="0" borderId="11" xfId="0" applyNumberFormat="1" applyFont="1" applyFill="1" applyBorder="1" applyAlignment="1">
      <alignment vertical="center" wrapText="1"/>
    </xf>
    <xf numFmtId="4" fontId="2" fillId="0" borderId="0" xfId="0" applyNumberFormat="1" applyFont="1" applyFill="1" applyAlignment="1">
      <alignment horizontal="center"/>
    </xf>
    <xf numFmtId="0" fontId="8" fillId="0" borderId="0" xfId="0" applyFont="1" applyFill="1"/>
    <xf numFmtId="4" fontId="2" fillId="0" borderId="0" xfId="0" applyNumberFormat="1" applyFont="1" applyFill="1" applyAlignment="1">
      <alignment vertical="center" wrapText="1"/>
    </xf>
    <xf numFmtId="4" fontId="3" fillId="0" borderId="11" xfId="0" applyNumberFormat="1" applyFont="1" applyFill="1" applyBorder="1" applyAlignment="1">
      <alignment horizontal="right" vertical="center" wrapText="1"/>
    </xf>
    <xf numFmtId="4" fontId="3" fillId="0" borderId="10" xfId="0" applyNumberFormat="1" applyFont="1" applyFill="1" applyBorder="1" applyAlignment="1">
      <alignment horizontal="right" vertical="center" wrapText="1"/>
    </xf>
    <xf numFmtId="4" fontId="2" fillId="0" borderId="0" xfId="0" applyNumberFormat="1" applyFont="1" applyFill="1" applyAlignment="1">
      <alignment vertical="center"/>
    </xf>
    <xf numFmtId="4" fontId="3" fillId="0" borderId="0" xfId="0" applyNumberFormat="1" applyFont="1" applyFill="1"/>
    <xf numFmtId="0" fontId="2" fillId="0" borderId="14" xfId="0" applyFont="1" applyFill="1" applyBorder="1" applyAlignment="1">
      <alignment vertical="center" wrapText="1"/>
    </xf>
    <xf numFmtId="2" fontId="3" fillId="0" borderId="10" xfId="0" applyNumberFormat="1" applyFont="1" applyFill="1" applyBorder="1" applyAlignment="1">
      <alignment vertical="center" wrapText="1"/>
    </xf>
    <xf numFmtId="4" fontId="4" fillId="0" borderId="0" xfId="0" applyNumberFormat="1" applyFont="1" applyFill="1"/>
    <xf numFmtId="0" fontId="3" fillId="0" borderId="13" xfId="0" applyFont="1" applyFill="1" applyBorder="1" applyAlignment="1">
      <alignment vertical="center" wrapText="1"/>
    </xf>
    <xf numFmtId="49" fontId="3" fillId="0" borderId="13"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 fontId="3" fillId="0" borderId="13" xfId="0" applyNumberFormat="1" applyFont="1" applyFill="1" applyBorder="1" applyAlignment="1">
      <alignment vertical="center" wrapText="1"/>
    </xf>
    <xf numFmtId="0" fontId="2" fillId="0" borderId="14" xfId="0" applyFont="1" applyFill="1" applyBorder="1" applyAlignment="1" applyProtection="1">
      <alignment vertical="top" wrapText="1" readingOrder="1"/>
      <protection locked="0"/>
    </xf>
    <xf numFmtId="3" fontId="2" fillId="0" borderId="10"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4" fontId="2" fillId="0" borderId="14" xfId="0" applyNumberFormat="1" applyFont="1" applyFill="1" applyBorder="1" applyAlignment="1">
      <alignment vertical="center" wrapText="1"/>
    </xf>
    <xf numFmtId="4" fontId="3" fillId="0" borderId="14" xfId="0" applyNumberFormat="1" applyFont="1" applyFill="1" applyBorder="1" applyAlignment="1">
      <alignment vertical="center" wrapText="1"/>
    </xf>
    <xf numFmtId="4" fontId="8" fillId="0" borderId="0" xfId="0" applyNumberFormat="1" applyFont="1" applyFill="1"/>
    <xf numFmtId="49" fontId="2" fillId="0" borderId="16"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0" fontId="28" fillId="0" borderId="0" xfId="0" applyFont="1"/>
    <xf numFmtId="49" fontId="28" fillId="0" borderId="0" xfId="0" applyNumberFormat="1" applyFont="1" applyAlignment="1">
      <alignment vertical="top"/>
    </xf>
    <xf numFmtId="0" fontId="28" fillId="0" borderId="0" xfId="0" applyFont="1" applyAlignment="1">
      <alignment horizontal="left" vertical="top" wrapText="1"/>
    </xf>
    <xf numFmtId="49" fontId="28" fillId="0" borderId="0" xfId="0" applyNumberFormat="1" applyFont="1" applyAlignment="1">
      <alignment horizontal="center"/>
    </xf>
    <xf numFmtId="0" fontId="28" fillId="0" borderId="0" xfId="0" applyFont="1" applyAlignment="1">
      <alignment horizontal="right"/>
    </xf>
    <xf numFmtId="0" fontId="31" fillId="0" borderId="0" xfId="0" applyFont="1" applyBorder="1" applyAlignment="1">
      <alignment horizontal="center" vertical="center" wrapText="1"/>
    </xf>
    <xf numFmtId="0" fontId="32" fillId="0" borderId="0" xfId="0" applyFont="1" applyBorder="1" applyAlignment="1">
      <alignment horizontal="left" vertical="center" wrapText="1"/>
    </xf>
    <xf numFmtId="49" fontId="32" fillId="0" borderId="0" xfId="0" applyNumberFormat="1" applyFont="1" applyBorder="1" applyAlignment="1">
      <alignment horizontal="center" vertical="center" wrapText="1"/>
    </xf>
    <xf numFmtId="164" fontId="32" fillId="0" borderId="0" xfId="0" applyNumberFormat="1" applyFont="1" applyBorder="1" applyAlignment="1">
      <alignment horizontal="right" vertical="center" wrapText="1"/>
    </xf>
    <xf numFmtId="49" fontId="28" fillId="0" borderId="0" xfId="0" applyNumberFormat="1" applyFont="1" applyBorder="1" applyAlignment="1">
      <alignment horizontal="center" vertical="center"/>
    </xf>
    <xf numFmtId="0" fontId="26" fillId="0" borderId="0" xfId="0" applyFont="1" applyBorder="1" applyAlignment="1">
      <alignment horizontal="left" vertical="center" wrapText="1"/>
    </xf>
    <xf numFmtId="49" fontId="26" fillId="0" borderId="0" xfId="0" applyNumberFormat="1" applyFont="1" applyBorder="1" applyAlignment="1">
      <alignment horizontal="center" vertical="center" wrapText="1"/>
    </xf>
    <xf numFmtId="164" fontId="26" fillId="0" borderId="0" xfId="0" applyNumberFormat="1" applyFont="1" applyBorder="1" applyAlignment="1">
      <alignment horizontal="right" vertical="center" wrapText="1"/>
    </xf>
    <xf numFmtId="0" fontId="30" fillId="0" borderId="0" xfId="0" applyFont="1" applyBorder="1" applyAlignment="1">
      <alignment horizontal="center" vertical="center" wrapText="1"/>
    </xf>
    <xf numFmtId="164" fontId="26" fillId="0" borderId="0" xfId="0" applyNumberFormat="1" applyFont="1" applyFill="1" applyBorder="1" applyAlignment="1">
      <alignment horizontal="right" vertical="center" wrapText="1"/>
    </xf>
    <xf numFmtId="164" fontId="32" fillId="0" borderId="0" xfId="0" applyNumberFormat="1" applyFont="1" applyFill="1" applyBorder="1" applyAlignment="1">
      <alignment horizontal="right" vertical="center" wrapText="1"/>
    </xf>
    <xf numFmtId="49" fontId="32" fillId="0" borderId="0" xfId="0" applyNumberFormat="1" applyFont="1" applyBorder="1" applyAlignment="1">
      <alignment horizontal="center" vertical="center"/>
    </xf>
    <xf numFmtId="0" fontId="26" fillId="0" borderId="0" xfId="0" applyFont="1"/>
    <xf numFmtId="49" fontId="33" fillId="0" borderId="0" xfId="0" applyNumberFormat="1" applyFont="1" applyBorder="1" applyAlignment="1">
      <alignment horizontal="center" vertical="center" wrapText="1"/>
    </xf>
    <xf numFmtId="0" fontId="34" fillId="0" borderId="0" xfId="0" applyFont="1" applyBorder="1" applyAlignment="1">
      <alignment horizontal="left" vertical="center" wrapText="1"/>
    </xf>
    <xf numFmtId="49" fontId="34" fillId="0" borderId="0" xfId="0" applyNumberFormat="1" applyFont="1" applyBorder="1" applyAlignment="1">
      <alignment horizontal="center" vertical="center"/>
    </xf>
    <xf numFmtId="4" fontId="34" fillId="0" borderId="0" xfId="0" applyNumberFormat="1" applyFont="1" applyBorder="1" applyAlignment="1">
      <alignment horizontal="right" vertical="center"/>
    </xf>
    <xf numFmtId="0" fontId="28" fillId="0" borderId="0" xfId="0" applyFont="1" applyAlignment="1">
      <alignment vertical="center"/>
    </xf>
    <xf numFmtId="0" fontId="28" fillId="0" borderId="0" xfId="0" applyFont="1" applyBorder="1" applyAlignment="1">
      <alignment horizontal="left" vertical="center" wrapText="1"/>
    </xf>
    <xf numFmtId="4" fontId="28" fillId="0" borderId="0" xfId="0" applyNumberFormat="1" applyFont="1" applyBorder="1" applyAlignment="1">
      <alignment horizontal="right" vertical="center"/>
    </xf>
    <xf numFmtId="4" fontId="28" fillId="0" borderId="0" xfId="0" applyNumberFormat="1" applyFont="1" applyFill="1" applyBorder="1" applyAlignment="1">
      <alignment horizontal="right" vertical="center"/>
    </xf>
    <xf numFmtId="4" fontId="32" fillId="0" borderId="0" xfId="0" applyNumberFormat="1" applyFont="1" applyBorder="1" applyAlignment="1">
      <alignment horizontal="right" vertical="center"/>
    </xf>
    <xf numFmtId="0" fontId="32" fillId="0" borderId="0" xfId="0" applyFont="1" applyAlignment="1">
      <alignment vertical="center"/>
    </xf>
    <xf numFmtId="164" fontId="32" fillId="0" borderId="0" xfId="0" applyNumberFormat="1" applyFont="1" applyBorder="1" applyAlignment="1">
      <alignment horizontal="right" vertical="center"/>
    </xf>
    <xf numFmtId="164" fontId="28" fillId="0" borderId="0" xfId="0" applyNumberFormat="1" applyFont="1" applyBorder="1" applyAlignment="1">
      <alignment horizontal="right" vertical="center"/>
    </xf>
    <xf numFmtId="164" fontId="28" fillId="0" borderId="0" xfId="0" applyNumberFormat="1" applyFont="1" applyFill="1" applyBorder="1" applyAlignment="1">
      <alignment horizontal="right" vertical="center"/>
    </xf>
    <xf numFmtId="0" fontId="35" fillId="0" borderId="0" xfId="0" applyFont="1" applyBorder="1" applyAlignment="1">
      <alignment vertical="center" wrapText="1"/>
    </xf>
    <xf numFmtId="4" fontId="34" fillId="0" borderId="0" xfId="0" applyNumberFormat="1" applyFont="1" applyFill="1" applyBorder="1" applyAlignment="1">
      <alignment horizontal="right" vertical="center"/>
    </xf>
    <xf numFmtId="49" fontId="28" fillId="0" borderId="0" xfId="0" applyNumberFormat="1" applyFont="1" applyAlignment="1">
      <alignment horizontal="center" vertical="center"/>
    </xf>
    <xf numFmtId="49" fontId="28" fillId="0" borderId="0" xfId="0" applyNumberFormat="1" applyFont="1" applyAlignment="1">
      <alignment horizontal="center" vertical="top"/>
    </xf>
    <xf numFmtId="4" fontId="28" fillId="0" borderId="0" xfId="0" applyNumberFormat="1" applyFont="1" applyAlignment="1">
      <alignment horizontal="center" vertical="top"/>
    </xf>
    <xf numFmtId="0" fontId="28" fillId="0" borderId="0" xfId="0" applyFont="1" applyAlignment="1">
      <alignment horizontal="center" vertical="top"/>
    </xf>
    <xf numFmtId="49" fontId="2" fillId="0" borderId="0" xfId="0" applyNumberFormat="1" applyFont="1" applyFill="1" applyBorder="1" applyAlignment="1">
      <alignment vertical="center" wrapText="1"/>
    </xf>
    <xf numFmtId="2" fontId="2" fillId="0" borderId="12" xfId="0" applyNumberFormat="1" applyFont="1" applyFill="1" applyBorder="1" applyAlignment="1">
      <alignment vertical="center" wrapText="1"/>
    </xf>
    <xf numFmtId="49" fontId="4" fillId="0" borderId="17" xfId="0" applyNumberFormat="1" applyFont="1" applyFill="1" applyBorder="1" applyAlignment="1">
      <alignment horizontal="center" vertical="center" wrapText="1"/>
    </xf>
    <xf numFmtId="0" fontId="2" fillId="0" borderId="10" xfId="0" applyFont="1" applyFill="1" applyBorder="1" applyAlignment="1">
      <alignment horizontal="justify" vertical="center"/>
    </xf>
    <xf numFmtId="0" fontId="2" fillId="0" borderId="10" xfId="0" applyFont="1" applyFill="1" applyBorder="1" applyAlignment="1" applyProtection="1">
      <alignment vertical="top" wrapText="1" readingOrder="1"/>
      <protection locked="0"/>
    </xf>
    <xf numFmtId="0" fontId="2" fillId="0" borderId="12" xfId="0" applyFont="1" applyFill="1" applyBorder="1" applyAlignment="1" applyProtection="1">
      <alignment vertical="top" wrapText="1" readingOrder="1"/>
      <protection locked="0"/>
    </xf>
    <xf numFmtId="49" fontId="2" fillId="0" borderId="18"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0" fontId="39" fillId="0" borderId="11" xfId="0" applyFont="1" applyFill="1" applyBorder="1" applyAlignment="1">
      <alignment vertical="center" wrapText="1"/>
    </xf>
    <xf numFmtId="0" fontId="2" fillId="0" borderId="19" xfId="0" applyFont="1" applyFill="1" applyBorder="1" applyAlignment="1" applyProtection="1">
      <alignment vertical="top" wrapText="1" readingOrder="1"/>
      <protection locked="0"/>
    </xf>
    <xf numFmtId="49" fontId="2" fillId="0" borderId="10" xfId="0" applyNumberFormat="1" applyFont="1" applyFill="1" applyBorder="1" applyAlignment="1">
      <alignment wrapText="1"/>
    </xf>
    <xf numFmtId="49" fontId="2"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0" fontId="4" fillId="0" borderId="0" xfId="0" applyFont="1" applyFill="1" applyBorder="1" applyAlignment="1">
      <alignment vertical="center" wrapText="1"/>
    </xf>
    <xf numFmtId="0" fontId="2" fillId="0" borderId="10" xfId="0" applyFont="1" applyFill="1" applyBorder="1" applyAlignment="1">
      <alignment wrapText="1"/>
    </xf>
    <xf numFmtId="4" fontId="2" fillId="0" borderId="12" xfId="0" applyNumberFormat="1" applyFont="1" applyFill="1" applyBorder="1" applyAlignment="1">
      <alignment horizontal="right" vertical="center" wrapText="1"/>
    </xf>
    <xf numFmtId="0" fontId="3" fillId="0" borderId="12" xfId="0" applyFont="1" applyFill="1" applyBorder="1" applyAlignment="1">
      <alignment vertical="center" wrapText="1"/>
    </xf>
    <xf numFmtId="49" fontId="3" fillId="0" borderId="12"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2" fillId="0" borderId="12" xfId="0" applyNumberFormat="1" applyFont="1" applyFill="1" applyBorder="1" applyAlignment="1">
      <alignment horizontal="center" vertical="center" wrapText="1"/>
    </xf>
    <xf numFmtId="4" fontId="3" fillId="0" borderId="12" xfId="0" applyNumberFormat="1" applyFont="1" applyFill="1" applyBorder="1" applyAlignment="1">
      <alignment vertical="center" wrapText="1"/>
    </xf>
    <xf numFmtId="4" fontId="3" fillId="0" borderId="0" xfId="0" applyNumberFormat="1" applyFont="1" applyFill="1" applyAlignment="1">
      <alignment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0" xfId="0" applyFont="1" applyFill="1" applyAlignment="1">
      <alignment horizontal="center"/>
    </xf>
    <xf numFmtId="49" fontId="2" fillId="0" borderId="0" xfId="0" applyNumberFormat="1" applyFont="1" applyFill="1" applyAlignment="1">
      <alignment horizontal="center" vertical="center" wrapText="1"/>
    </xf>
    <xf numFmtId="0" fontId="3" fillId="0" borderId="15" xfId="0" applyFont="1" applyFill="1" applyBorder="1" applyAlignment="1">
      <alignment horizontal="center" vertical="center" wrapText="1"/>
    </xf>
    <xf numFmtId="10" fontId="2" fillId="0" borderId="13" xfId="0" applyNumberFormat="1" applyFont="1" applyFill="1" applyBorder="1" applyAlignment="1">
      <alignment horizontal="center" vertical="center" wrapText="1"/>
    </xf>
    <xf numFmtId="10" fontId="4" fillId="0" borderId="10" xfId="0" applyNumberFormat="1" applyFont="1" applyFill="1" applyBorder="1" applyAlignment="1">
      <alignment vertical="center" wrapText="1"/>
    </xf>
    <xf numFmtId="10" fontId="3" fillId="0" borderId="10" xfId="0" applyNumberFormat="1" applyFont="1" applyFill="1" applyBorder="1" applyAlignment="1">
      <alignment vertical="center" wrapText="1"/>
    </xf>
    <xf numFmtId="10" fontId="2" fillId="0" borderId="10" xfId="0" applyNumberFormat="1" applyFont="1" applyFill="1" applyBorder="1" applyAlignment="1">
      <alignment vertical="center" wrapText="1"/>
    </xf>
    <xf numFmtId="10" fontId="3" fillId="0" borderId="11" xfId="0" applyNumberFormat="1" applyFont="1" applyFill="1" applyBorder="1" applyAlignment="1">
      <alignment vertical="center" wrapText="1"/>
    </xf>
    <xf numFmtId="10" fontId="2" fillId="0" borderId="10" xfId="0" applyNumberFormat="1" applyFont="1" applyFill="1" applyBorder="1" applyAlignment="1">
      <alignment horizontal="right" vertical="center" wrapText="1"/>
    </xf>
    <xf numFmtId="10" fontId="3" fillId="0" borderId="13" xfId="0" applyNumberFormat="1" applyFont="1" applyFill="1" applyBorder="1" applyAlignment="1">
      <alignment vertical="center" wrapText="1"/>
    </xf>
    <xf numFmtId="4" fontId="2" fillId="0" borderId="19" xfId="0" applyNumberFormat="1" applyFont="1" applyFill="1" applyBorder="1" applyAlignment="1">
      <alignment vertical="center" wrapText="1"/>
    </xf>
    <xf numFmtId="4" fontId="4" fillId="0" borderId="21" xfId="0" applyNumberFormat="1" applyFont="1" applyFill="1" applyBorder="1" applyAlignment="1">
      <alignment vertical="center" wrapText="1"/>
    </xf>
    <xf numFmtId="4" fontId="4" fillId="0" borderId="14" xfId="0" applyNumberFormat="1" applyFont="1" applyFill="1" applyBorder="1" applyAlignment="1">
      <alignment vertical="center" wrapText="1"/>
    </xf>
    <xf numFmtId="4" fontId="3" fillId="0" borderId="21" xfId="0" applyNumberFormat="1" applyFont="1" applyFill="1" applyBorder="1" applyAlignment="1">
      <alignment vertical="center" wrapText="1"/>
    </xf>
    <xf numFmtId="4" fontId="3" fillId="0" borderId="21" xfId="0" applyNumberFormat="1" applyFont="1" applyFill="1" applyBorder="1" applyAlignment="1">
      <alignment horizontal="right" vertical="center" wrapText="1"/>
    </xf>
    <xf numFmtId="4" fontId="2" fillId="0" borderId="14" xfId="0" applyNumberFormat="1" applyFont="1" applyFill="1" applyBorder="1" applyAlignment="1">
      <alignment horizontal="right" vertical="center" wrapText="1"/>
    </xf>
    <xf numFmtId="4" fontId="2" fillId="0" borderId="19" xfId="0" applyNumberFormat="1" applyFont="1" applyFill="1" applyBorder="1" applyAlignment="1">
      <alignment horizontal="right" vertical="center" wrapText="1"/>
    </xf>
    <xf numFmtId="4" fontId="7" fillId="0" borderId="21" xfId="0" applyNumberFormat="1" applyFont="1" applyFill="1" applyBorder="1" applyAlignment="1">
      <alignment vertical="center" wrapText="1"/>
    </xf>
    <xf numFmtId="4" fontId="3" fillId="0" borderId="19" xfId="0" applyNumberFormat="1" applyFont="1" applyFill="1" applyBorder="1" applyAlignment="1">
      <alignment vertical="center" wrapText="1"/>
    </xf>
    <xf numFmtId="4" fontId="3" fillId="0" borderId="15" xfId="0" applyNumberFormat="1" applyFont="1" applyFill="1" applyBorder="1" applyAlignment="1">
      <alignment vertical="center" wrapText="1"/>
    </xf>
    <xf numFmtId="0" fontId="27" fillId="0" borderId="0" xfId="0" applyFont="1" applyFill="1" applyBorder="1"/>
    <xf numFmtId="10" fontId="2" fillId="0" borderId="12" xfId="0" applyNumberFormat="1" applyFont="1" applyFill="1" applyBorder="1" applyAlignment="1">
      <alignment vertical="center" wrapText="1"/>
    </xf>
    <xf numFmtId="10" fontId="42" fillId="0" borderId="10" xfId="0" applyNumberFormat="1" applyFont="1" applyFill="1" applyBorder="1" applyAlignment="1">
      <alignment vertical="center" wrapText="1"/>
    </xf>
    <xf numFmtId="0" fontId="36" fillId="0" borderId="0" xfId="0" applyFont="1" applyFill="1" applyBorder="1"/>
    <xf numFmtId="0" fontId="36" fillId="0" borderId="0" xfId="0" applyFont="1" applyFill="1" applyBorder="1" applyAlignment="1">
      <alignment horizontal="center"/>
    </xf>
    <xf numFmtId="0" fontId="3" fillId="0" borderId="13" xfId="0" applyFont="1" applyFill="1" applyBorder="1" applyAlignment="1">
      <alignment horizontal="center" vertical="center" wrapText="1"/>
    </xf>
    <xf numFmtId="10" fontId="3" fillId="0" borderId="13"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0" fontId="3" fillId="0" borderId="14" xfId="0" applyFont="1" applyFill="1" applyBorder="1" applyAlignment="1" applyProtection="1">
      <alignment vertical="top" wrapText="1" readingOrder="1"/>
      <protection locked="0"/>
    </xf>
    <xf numFmtId="4" fontId="3" fillId="0" borderId="14" xfId="0" applyNumberFormat="1" applyFont="1" applyFill="1" applyBorder="1" applyAlignment="1">
      <alignment horizontal="right" vertical="center" wrapText="1"/>
    </xf>
    <xf numFmtId="0" fontId="3" fillId="0" borderId="0" xfId="0" applyFont="1" applyFill="1" applyAlignment="1">
      <alignment vertical="center" wrapText="1"/>
    </xf>
    <xf numFmtId="49" fontId="3"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xf>
    <xf numFmtId="10" fontId="3" fillId="0" borderId="12" xfId="0" applyNumberFormat="1" applyFont="1" applyFill="1" applyBorder="1" applyAlignment="1">
      <alignment vertical="center" wrapText="1"/>
    </xf>
    <xf numFmtId="1" fontId="2" fillId="0" borderId="13" xfId="0" applyNumberFormat="1" applyFont="1" applyFill="1" applyBorder="1" applyAlignment="1">
      <alignment horizontal="center" vertical="center" wrapText="1"/>
    </xf>
    <xf numFmtId="0" fontId="2" fillId="0" borderId="13" xfId="0" applyFont="1" applyFill="1" applyBorder="1" applyAlignment="1">
      <alignment vertical="center" wrapText="1"/>
    </xf>
    <xf numFmtId="4" fontId="2" fillId="0" borderId="13" xfId="0" applyNumberFormat="1" applyFont="1" applyFill="1" applyBorder="1" applyAlignment="1">
      <alignment vertical="center" wrapText="1"/>
    </xf>
    <xf numFmtId="4" fontId="43" fillId="0" borderId="13" xfId="0" applyNumberFormat="1" applyFont="1" applyFill="1" applyBorder="1" applyAlignment="1">
      <alignment vertical="center" wrapText="1"/>
    </xf>
    <xf numFmtId="0" fontId="4" fillId="0" borderId="13" xfId="0" applyFont="1" applyFill="1" applyBorder="1" applyAlignment="1">
      <alignment vertical="center" wrapText="1"/>
    </xf>
    <xf numFmtId="49" fontId="2" fillId="0" borderId="13" xfId="0" applyNumberFormat="1" applyFont="1" applyFill="1" applyBorder="1" applyAlignment="1">
      <alignment vertical="center" wrapText="1"/>
    </xf>
    <xf numFmtId="0" fontId="43" fillId="0" borderId="13" xfId="0" applyFont="1" applyFill="1" applyBorder="1" applyAlignment="1" applyProtection="1">
      <alignment vertical="top" wrapText="1" readingOrder="1"/>
      <protection locked="0"/>
    </xf>
    <xf numFmtId="2" fontId="3" fillId="0" borderId="13" xfId="0" applyNumberFormat="1" applyFont="1" applyFill="1" applyBorder="1" applyAlignment="1">
      <alignment vertical="center" wrapText="1"/>
    </xf>
    <xf numFmtId="2" fontId="2" fillId="0" borderId="13" xfId="0" applyNumberFormat="1" applyFont="1" applyFill="1" applyBorder="1" applyAlignment="1">
      <alignment vertical="center" wrapText="1"/>
    </xf>
    <xf numFmtId="4" fontId="7" fillId="0" borderId="13" xfId="0" applyNumberFormat="1" applyFont="1" applyFill="1" applyBorder="1" applyAlignment="1">
      <alignment vertical="center" wrapText="1"/>
    </xf>
    <xf numFmtId="164" fontId="2" fillId="0" borderId="0" xfId="0" applyNumberFormat="1" applyFont="1" applyFill="1" applyAlignment="1">
      <alignment vertical="center" wrapText="1"/>
    </xf>
    <xf numFmtId="4" fontId="28" fillId="0" borderId="0" xfId="0" applyNumberFormat="1" applyFont="1" applyAlignment="1">
      <alignment horizontal="center" vertical="center"/>
    </xf>
    <xf numFmtId="0" fontId="49" fillId="0" borderId="13" xfId="0" applyFont="1" applyBorder="1" applyAlignment="1">
      <alignment horizontal="center" vertical="center" wrapText="1"/>
    </xf>
    <xf numFmtId="10" fontId="32" fillId="0" borderId="0" xfId="0" applyNumberFormat="1" applyFont="1" applyBorder="1" applyAlignment="1">
      <alignment horizontal="right" vertical="center" wrapText="1"/>
    </xf>
    <xf numFmtId="10" fontId="26" fillId="0" borderId="0" xfId="0" applyNumberFormat="1" applyFont="1" applyBorder="1" applyAlignment="1">
      <alignment horizontal="right" vertical="center" wrapText="1"/>
    </xf>
    <xf numFmtId="4" fontId="28" fillId="0" borderId="0" xfId="0" applyNumberFormat="1" applyFont="1" applyFill="1"/>
    <xf numFmtId="0" fontId="28" fillId="0" borderId="0" xfId="0" applyFont="1" applyFill="1" applyAlignment="1">
      <alignment horizontal="right"/>
    </xf>
    <xf numFmtId="4" fontId="28" fillId="0" borderId="0" xfId="0" applyNumberFormat="1" applyFont="1" applyFill="1" applyAlignment="1">
      <alignment horizontal="center" vertical="center"/>
    </xf>
    <xf numFmtId="4" fontId="28" fillId="0" borderId="0" xfId="0" applyNumberFormat="1" applyFont="1" applyFill="1" applyAlignment="1">
      <alignment horizontal="center" vertical="top"/>
    </xf>
    <xf numFmtId="0" fontId="28" fillId="0" borderId="0" xfId="0" applyFont="1" applyFill="1" applyAlignment="1">
      <alignment horizontal="center" vertical="top"/>
    </xf>
    <xf numFmtId="0" fontId="28" fillId="0" borderId="0" xfId="0" applyFont="1" applyFill="1"/>
    <xf numFmtId="0" fontId="51" fillId="0" borderId="0" xfId="0" applyFont="1" applyAlignment="1"/>
    <xf numFmtId="0" fontId="51" fillId="27" borderId="13" xfId="0" applyFont="1" applyFill="1" applyBorder="1" applyAlignment="1">
      <alignment horizontal="center" vertical="center" wrapText="1"/>
    </xf>
    <xf numFmtId="0" fontId="2" fillId="28" borderId="13" xfId="0" applyFont="1" applyFill="1" applyBorder="1" applyAlignment="1">
      <alignment horizontal="center" vertical="center" wrapText="1"/>
    </xf>
    <xf numFmtId="0" fontId="51" fillId="0" borderId="0" xfId="0" applyFont="1"/>
    <xf numFmtId="49" fontId="39" fillId="29" borderId="13" xfId="0" applyNumberFormat="1" applyFont="1" applyFill="1" applyBorder="1" applyAlignment="1">
      <alignment horizontal="center" vertical="center" shrinkToFit="1"/>
    </xf>
    <xf numFmtId="49" fontId="39" fillId="29" borderId="22" xfId="0" applyNumberFormat="1" applyFont="1" applyFill="1" applyBorder="1" applyAlignment="1">
      <alignment horizontal="center" vertical="top" shrinkToFit="1"/>
    </xf>
    <xf numFmtId="49" fontId="39" fillId="29" borderId="20" xfId="0" applyNumberFormat="1" applyFont="1" applyFill="1" applyBorder="1" applyAlignment="1">
      <alignment horizontal="center" vertical="top" shrinkToFit="1"/>
    </xf>
    <xf numFmtId="0" fontId="39" fillId="29" borderId="13" xfId="0" applyFont="1" applyFill="1" applyBorder="1" applyAlignment="1">
      <alignment horizontal="center" vertical="center" wrapText="1"/>
    </xf>
    <xf numFmtId="4" fontId="39" fillId="29" borderId="13" xfId="0" applyNumberFormat="1" applyFont="1" applyFill="1" applyBorder="1" applyAlignment="1">
      <alignment horizontal="right" vertical="center" wrapText="1"/>
    </xf>
    <xf numFmtId="49" fontId="39" fillId="30" borderId="13" xfId="0" applyNumberFormat="1" applyFont="1" applyFill="1" applyBorder="1" applyAlignment="1">
      <alignment horizontal="center" vertical="top" shrinkToFit="1"/>
    </xf>
    <xf numFmtId="49" fontId="39" fillId="30" borderId="22" xfId="0" applyNumberFormat="1" applyFont="1" applyFill="1" applyBorder="1" applyAlignment="1">
      <alignment horizontal="center" vertical="center" shrinkToFit="1"/>
    </xf>
    <xf numFmtId="49" fontId="39" fillId="30" borderId="20" xfId="0" applyNumberFormat="1" applyFont="1" applyFill="1" applyBorder="1" applyAlignment="1">
      <alignment horizontal="center" vertical="center" shrinkToFit="1"/>
    </xf>
    <xf numFmtId="0" fontId="39" fillId="30" borderId="13" xfId="0" applyFont="1" applyFill="1" applyBorder="1" applyAlignment="1">
      <alignment horizontal="left" vertical="center" wrapText="1"/>
    </xf>
    <xf numFmtId="4" fontId="39" fillId="30" borderId="13" xfId="0" applyNumberFormat="1" applyFont="1" applyFill="1" applyBorder="1" applyAlignment="1">
      <alignment horizontal="right" vertical="center" wrapText="1"/>
    </xf>
    <xf numFmtId="0" fontId="51" fillId="30" borderId="0" xfId="0" applyFont="1" applyFill="1"/>
    <xf numFmtId="49" fontId="51" fillId="27" borderId="13" xfId="0" applyNumberFormat="1" applyFont="1" applyFill="1" applyBorder="1" applyAlignment="1">
      <alignment horizontal="center" vertical="top" shrinkToFit="1"/>
    </xf>
    <xf numFmtId="49" fontId="51" fillId="27" borderId="22" xfId="0" applyNumberFormat="1" applyFont="1" applyFill="1" applyBorder="1" applyAlignment="1">
      <alignment horizontal="center" vertical="top" shrinkToFit="1"/>
    </xf>
    <xf numFmtId="49" fontId="51" fillId="27" borderId="20" xfId="0" applyNumberFormat="1" applyFont="1" applyFill="1" applyBorder="1" applyAlignment="1">
      <alignment horizontal="center" vertical="top" shrinkToFit="1"/>
    </xf>
    <xf numFmtId="0" fontId="51" fillId="27" borderId="13" xfId="0" applyFont="1" applyFill="1" applyBorder="1" applyAlignment="1">
      <alignment horizontal="left" vertical="top" wrapText="1"/>
    </xf>
    <xf numFmtId="4" fontId="51" fillId="28" borderId="13" xfId="0" applyNumberFormat="1" applyFont="1" applyFill="1" applyBorder="1" applyAlignment="1">
      <alignment horizontal="right" vertical="top" shrinkToFit="1"/>
    </xf>
    <xf numFmtId="49" fontId="51" fillId="27" borderId="13" xfId="0" applyNumberFormat="1" applyFont="1" applyFill="1" applyBorder="1" applyAlignment="1">
      <alignment horizontal="left" vertical="top" wrapText="1"/>
    </xf>
    <xf numFmtId="49" fontId="39" fillId="29" borderId="22" xfId="0" applyNumberFormat="1" applyFont="1" applyFill="1" applyBorder="1" applyAlignment="1">
      <alignment horizontal="center" vertical="center" shrinkToFit="1"/>
    </xf>
    <xf numFmtId="49" fontId="39" fillId="29" borderId="20" xfId="0" applyNumberFormat="1" applyFont="1" applyFill="1" applyBorder="1" applyAlignment="1">
      <alignment horizontal="center" vertical="center" shrinkToFit="1"/>
    </xf>
    <xf numFmtId="0" fontId="51" fillId="0" borderId="0" xfId="0" applyFont="1" applyAlignment="1">
      <alignment vertical="center"/>
    </xf>
    <xf numFmtId="0" fontId="51" fillId="0" borderId="13" xfId="0" applyFont="1" applyFill="1" applyBorder="1" applyAlignment="1">
      <alignment horizontal="left" vertical="top" wrapText="1"/>
    </xf>
    <xf numFmtId="49" fontId="39" fillId="29" borderId="13" xfId="0" applyNumberFormat="1" applyFont="1" applyFill="1" applyBorder="1" applyAlignment="1">
      <alignment horizontal="center" vertical="center" wrapText="1"/>
    </xf>
    <xf numFmtId="4" fontId="39" fillId="29" borderId="13" xfId="0" applyNumberFormat="1" applyFont="1" applyFill="1" applyBorder="1" applyAlignment="1">
      <alignment horizontal="right" vertical="center" shrinkToFit="1"/>
    </xf>
    <xf numFmtId="0" fontId="51" fillId="27" borderId="13" xfId="0" applyFont="1" applyFill="1" applyBorder="1" applyAlignment="1">
      <alignment vertical="top" wrapText="1"/>
    </xf>
    <xf numFmtId="4" fontId="51" fillId="0" borderId="13" xfId="0" applyNumberFormat="1" applyFont="1" applyFill="1" applyBorder="1" applyAlignment="1">
      <alignment horizontal="right" vertical="top" shrinkToFit="1"/>
    </xf>
    <xf numFmtId="49" fontId="51" fillId="27" borderId="13" xfId="0" applyNumberFormat="1" applyFont="1" applyFill="1" applyBorder="1" applyAlignment="1">
      <alignment vertical="top" wrapText="1"/>
    </xf>
    <xf numFmtId="4" fontId="51" fillId="0" borderId="0" xfId="0" applyNumberFormat="1" applyFont="1" applyAlignment="1">
      <alignment vertical="center"/>
    </xf>
    <xf numFmtId="4" fontId="39" fillId="30" borderId="13" xfId="0" applyNumberFormat="1" applyFont="1" applyFill="1" applyBorder="1" applyAlignment="1">
      <alignment horizontal="right" vertical="center" shrinkToFit="1"/>
    </xf>
    <xf numFmtId="0" fontId="51" fillId="0" borderId="13" xfId="0" applyFont="1" applyBorder="1" applyAlignment="1">
      <alignment horizontal="justify" vertical="top" wrapText="1"/>
    </xf>
    <xf numFmtId="49" fontId="51" fillId="30" borderId="13" xfId="0" applyNumberFormat="1" applyFont="1" applyFill="1" applyBorder="1" applyAlignment="1">
      <alignment horizontal="center" vertical="top" shrinkToFit="1"/>
    </xf>
    <xf numFmtId="49" fontId="51" fillId="30" borderId="22" xfId="0" applyNumberFormat="1" applyFont="1" applyFill="1" applyBorder="1" applyAlignment="1">
      <alignment horizontal="center" vertical="top" shrinkToFit="1"/>
    </xf>
    <xf numFmtId="49" fontId="51" fillId="30" borderId="20" xfId="0" applyNumberFormat="1" applyFont="1" applyFill="1" applyBorder="1" applyAlignment="1">
      <alignment horizontal="center" vertical="top" shrinkToFit="1"/>
    </xf>
    <xf numFmtId="165" fontId="51" fillId="30" borderId="13" xfId="0" applyNumberFormat="1" applyFont="1" applyFill="1" applyBorder="1" applyAlignment="1">
      <alignment horizontal="left" vertical="top" wrapText="1"/>
    </xf>
    <xf numFmtId="4" fontId="51" fillId="30" borderId="13" xfId="0" applyNumberFormat="1" applyFont="1" applyFill="1" applyBorder="1" applyAlignment="1">
      <alignment horizontal="right" vertical="top" shrinkToFit="1"/>
    </xf>
    <xf numFmtId="49" fontId="51" fillId="30" borderId="13" xfId="0" applyNumberFormat="1" applyFont="1" applyFill="1" applyBorder="1" applyAlignment="1">
      <alignment horizontal="left" vertical="center" wrapText="1"/>
    </xf>
    <xf numFmtId="0" fontId="51" fillId="0" borderId="13" xfId="0" applyFont="1" applyBorder="1" applyAlignment="1">
      <alignment horizontal="left" vertical="top" wrapText="1"/>
    </xf>
    <xf numFmtId="2" fontId="51" fillId="0" borderId="13" xfId="0" applyNumberFormat="1" applyFont="1" applyFill="1" applyBorder="1" applyAlignment="1">
      <alignment horizontal="justify" wrapText="1"/>
    </xf>
    <xf numFmtId="2" fontId="51" fillId="0" borderId="13" xfId="0" applyNumberFormat="1" applyFont="1" applyFill="1" applyBorder="1" applyAlignment="1">
      <alignment horizontal="justify" vertical="center" wrapText="1"/>
    </xf>
    <xf numFmtId="2" fontId="51" fillId="0" borderId="13" xfId="0" applyNumberFormat="1" applyFont="1" applyFill="1" applyBorder="1" applyAlignment="1">
      <alignment horizontal="left" vertical="top" wrapText="1"/>
    </xf>
    <xf numFmtId="0" fontId="51" fillId="0" borderId="13" xfId="0" applyFont="1" applyFill="1" applyBorder="1" applyAlignment="1">
      <alignment vertical="center" wrapText="1"/>
    </xf>
    <xf numFmtId="0" fontId="51" fillId="0" borderId="13" xfId="0" applyFont="1" applyBorder="1" applyAlignment="1">
      <alignment wrapText="1"/>
    </xf>
    <xf numFmtId="0" fontId="51" fillId="0" borderId="13" xfId="0" applyFont="1" applyFill="1" applyBorder="1" applyAlignment="1">
      <alignment horizontal="left" vertical="center" wrapText="1"/>
    </xf>
    <xf numFmtId="49" fontId="39" fillId="29" borderId="13" xfId="0" applyNumberFormat="1" applyFont="1" applyFill="1" applyBorder="1" applyAlignment="1">
      <alignment horizontal="center" vertical="top" shrinkToFit="1"/>
    </xf>
    <xf numFmtId="4" fontId="39" fillId="29" borderId="13" xfId="0" applyNumberFormat="1" applyFont="1" applyFill="1" applyBorder="1" applyAlignment="1">
      <alignment horizontal="right" vertical="top" shrinkToFit="1"/>
    </xf>
    <xf numFmtId="4" fontId="51" fillId="0" borderId="0" xfId="0" applyNumberFormat="1" applyFont="1"/>
    <xf numFmtId="49" fontId="39" fillId="30" borderId="13" xfId="0" applyNumberFormat="1" applyFont="1" applyFill="1" applyBorder="1" applyAlignment="1">
      <alignment horizontal="center" vertical="center" shrinkToFit="1"/>
    </xf>
    <xf numFmtId="49" fontId="51" fillId="0" borderId="13" xfId="0" applyNumberFormat="1" applyFont="1" applyFill="1" applyBorder="1" applyAlignment="1">
      <alignment horizontal="center" vertical="top" shrinkToFit="1"/>
    </xf>
    <xf numFmtId="49" fontId="51" fillId="0" borderId="22" xfId="0" applyNumberFormat="1" applyFont="1" applyFill="1" applyBorder="1" applyAlignment="1">
      <alignment horizontal="center" vertical="top" shrinkToFit="1"/>
    </xf>
    <xf numFmtId="49" fontId="51" fillId="0" borderId="20" xfId="0" applyNumberFormat="1" applyFont="1" applyFill="1" applyBorder="1" applyAlignment="1">
      <alignment horizontal="center" vertical="top" shrinkToFit="1"/>
    </xf>
    <xf numFmtId="0" fontId="51" fillId="0" borderId="13" xfId="0" applyFont="1" applyFill="1" applyBorder="1" applyAlignment="1">
      <alignment vertical="top" wrapText="1"/>
    </xf>
    <xf numFmtId="0" fontId="51" fillId="0" borderId="13" xfId="0" applyNumberFormat="1" applyFont="1" applyFill="1" applyBorder="1" applyAlignment="1">
      <alignment vertical="top" wrapText="1"/>
    </xf>
    <xf numFmtId="0" fontId="51" fillId="30" borderId="13" xfId="0" applyFont="1" applyFill="1" applyBorder="1" applyAlignment="1">
      <alignment horizontal="justify" vertical="top" wrapText="1"/>
    </xf>
    <xf numFmtId="4" fontId="4" fillId="28" borderId="13" xfId="0" applyNumberFormat="1" applyFont="1" applyFill="1" applyBorder="1" applyAlignment="1">
      <alignment horizontal="right" vertical="center" shrinkToFit="1"/>
    </xf>
    <xf numFmtId="0" fontId="51" fillId="27" borderId="0" xfId="0" applyFont="1" applyFill="1"/>
    <xf numFmtId="4" fontId="51" fillId="27" borderId="0" xfId="0" applyNumberFormat="1" applyFont="1" applyFill="1"/>
    <xf numFmtId="0" fontId="3" fillId="0" borderId="0" xfId="0" applyFont="1"/>
    <xf numFmtId="0" fontId="3" fillId="0" borderId="0" xfId="0" applyFont="1" applyAlignment="1">
      <alignment horizontal="right"/>
    </xf>
    <xf numFmtId="0" fontId="51" fillId="27" borderId="0" xfId="0" applyFont="1" applyFill="1" applyAlignment="1">
      <alignment horizontal="left" wrapText="1"/>
    </xf>
    <xf numFmtId="0" fontId="51" fillId="0" borderId="0" xfId="0" applyFont="1" applyAlignment="1">
      <alignment horizontal="right"/>
    </xf>
    <xf numFmtId="0" fontId="4" fillId="0" borderId="0" xfId="0" applyFont="1" applyAlignment="1">
      <alignment horizontal="center" vertical="center" wrapText="1"/>
    </xf>
    <xf numFmtId="0" fontId="51" fillId="27" borderId="22" xfId="0" applyFont="1" applyFill="1" applyBorder="1" applyAlignment="1">
      <alignment horizontal="center" vertical="center" wrapText="1"/>
    </xf>
    <xf numFmtId="0" fontId="51" fillId="27" borderId="20" xfId="0" applyFont="1" applyFill="1" applyBorder="1" applyAlignment="1">
      <alignment horizontal="center" vertical="center" wrapText="1"/>
    </xf>
    <xf numFmtId="0" fontId="4" fillId="27" borderId="13" xfId="0" applyFont="1" applyFill="1" applyBorder="1" applyAlignment="1">
      <alignment horizontal="center" vertical="center"/>
    </xf>
    <xf numFmtId="10" fontId="2" fillId="0" borderId="10" xfId="0" applyNumberFormat="1" applyFont="1" applyFill="1" applyBorder="1" applyAlignment="1">
      <alignment vertical="center" wrapText="1"/>
    </xf>
    <xf numFmtId="0" fontId="0" fillId="0" borderId="10" xfId="0" applyBorder="1" applyAlignment="1">
      <alignment vertical="center" wrapText="1"/>
    </xf>
    <xf numFmtId="49" fontId="2"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14" xfId="0" applyNumberFormat="1" applyFont="1" applyFill="1" applyBorder="1" applyAlignment="1">
      <alignment horizontal="right" vertical="center" wrapText="1"/>
    </xf>
    <xf numFmtId="4" fontId="2" fillId="0" borderId="10" xfId="0" applyNumberFormat="1" applyFont="1" applyFill="1" applyBorder="1" applyAlignment="1">
      <alignment horizontal="right" vertical="center" wrapText="1"/>
    </xf>
    <xf numFmtId="10" fontId="2" fillId="0" borderId="10" xfId="0" applyNumberFormat="1" applyFont="1" applyFill="1" applyBorder="1" applyAlignment="1">
      <alignment horizontal="right" vertical="center" wrapText="1"/>
    </xf>
    <xf numFmtId="0" fontId="0" fillId="0" borderId="10" xfId="0" applyBorder="1" applyAlignment="1">
      <alignment horizontal="right" vertical="center" wrapText="1"/>
    </xf>
    <xf numFmtId="4" fontId="2" fillId="0" borderId="10" xfId="0" applyNumberFormat="1" applyFont="1" applyFill="1" applyBorder="1" applyAlignment="1">
      <alignment vertical="center" wrapText="1"/>
    </xf>
    <xf numFmtId="0" fontId="2" fillId="0" borderId="0" xfId="0" applyFont="1" applyFill="1" applyAlignment="1">
      <alignment horizontal="right"/>
    </xf>
    <xf numFmtId="0" fontId="3" fillId="0" borderId="0" xfId="0" applyFont="1" applyFill="1" applyAlignment="1">
      <alignment horizontal="right"/>
    </xf>
    <xf numFmtId="0" fontId="3" fillId="0" borderId="0" xfId="0" applyFont="1" applyFill="1" applyAlignment="1">
      <alignment horizontal="center" vertical="center" wrapText="1"/>
    </xf>
    <xf numFmtId="0" fontId="7" fillId="0" borderId="15" xfId="0" applyFont="1" applyFill="1" applyBorder="1" applyAlignment="1">
      <alignment horizontal="right" vertical="center" wrapText="1"/>
    </xf>
    <xf numFmtId="0" fontId="7" fillId="0" borderId="22" xfId="0" applyFont="1" applyFill="1" applyBorder="1" applyAlignment="1">
      <alignment horizontal="right" vertical="center" wrapText="1"/>
    </xf>
    <xf numFmtId="0" fontId="3" fillId="0" borderId="0" xfId="0" applyFont="1" applyFill="1" applyAlignment="1">
      <alignment horizontal="center"/>
    </xf>
    <xf numFmtId="10" fontId="2" fillId="0" borderId="11" xfId="0" applyNumberFormat="1" applyFont="1" applyFill="1" applyBorder="1" applyAlignment="1">
      <alignment horizontal="center" vertical="center" wrapText="1"/>
    </xf>
    <xf numFmtId="10" fontId="2" fillId="0" borderId="12" xfId="0" applyNumberFormat="1" applyFont="1" applyFill="1" applyBorder="1" applyAlignment="1">
      <alignment horizontal="center" vertical="center" wrapText="1"/>
    </xf>
    <xf numFmtId="0" fontId="29" fillId="0" borderId="0" xfId="0" applyFont="1" applyAlignment="1">
      <alignment horizontal="center"/>
    </xf>
    <xf numFmtId="0" fontId="29" fillId="0" borderId="0" xfId="0" applyFont="1" applyAlignment="1">
      <alignment horizontal="center" vertical="center" wrapText="1"/>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5" xfId="0" applyFont="1" applyBorder="1" applyAlignment="1">
      <alignment horizontal="center" vertical="center"/>
    </xf>
    <xf numFmtId="0" fontId="30" fillId="0" borderId="22" xfId="0" applyFont="1" applyBorder="1" applyAlignment="1">
      <alignment horizontal="center" vertical="center"/>
    </xf>
    <xf numFmtId="0" fontId="30" fillId="0" borderId="20" xfId="0" applyFont="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cellXfs>
  <cellStyles count="76">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br" xfId="58"/>
    <cellStyle name="col" xfId="59"/>
    <cellStyle name="dtrow" xfId="43"/>
    <cellStyle name="style0" xfId="60"/>
    <cellStyle name="td" xfId="61"/>
    <cellStyle name="tr" xfId="62"/>
    <cellStyle name="xl120" xfId="75"/>
    <cellStyle name="xl21" xfId="63"/>
    <cellStyle name="xl22" xfId="44"/>
    <cellStyle name="xl23" xfId="45"/>
    <cellStyle name="xl24" xfId="46"/>
    <cellStyle name="xl25" xfId="47"/>
    <cellStyle name="xl26" xfId="48"/>
    <cellStyle name="xl27" xfId="64"/>
    <cellStyle name="xl28" xfId="49"/>
    <cellStyle name="xl29" xfId="65"/>
    <cellStyle name="xl30" xfId="66"/>
    <cellStyle name="xl31" xfId="50"/>
    <cellStyle name="xl32" xfId="67"/>
    <cellStyle name="xl33" xfId="68"/>
    <cellStyle name="xl34" xfId="69"/>
    <cellStyle name="xl35" xfId="51"/>
    <cellStyle name="xl36" xfId="52"/>
    <cellStyle name="xl37" xfId="53"/>
    <cellStyle name="xl38" xfId="70"/>
    <cellStyle name="xl39" xfId="54"/>
    <cellStyle name="xl40" xfId="55"/>
    <cellStyle name="xl41" xfId="56"/>
    <cellStyle name="xl42" xfId="57"/>
    <cellStyle name="xl43" xfId="71"/>
    <cellStyle name="xl44" xfId="72"/>
    <cellStyle name="xl45" xfId="73"/>
    <cellStyle name="xl46" xfId="74"/>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42"/>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Хороший" xfId="41" builtinId="26" customBuiltin="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149"/>
  <sheetViews>
    <sheetView topLeftCell="C22" workbookViewId="0">
      <selection activeCell="A6" sqref="A6:H6"/>
    </sheetView>
  </sheetViews>
  <sheetFormatPr defaultRowHeight="14.4" outlineLevelRow="5" x14ac:dyDescent="0.3"/>
  <cols>
    <col min="1" max="1" width="10.59765625" style="182" customWidth="1"/>
    <col min="2" max="2" width="14.09765625" style="182" customWidth="1"/>
    <col min="3" max="3" width="6.09765625" style="182" customWidth="1"/>
    <col min="4" max="4" width="5.09765625" style="182" customWidth="1"/>
    <col min="5" max="5" width="57.8984375" style="182" customWidth="1"/>
    <col min="6" max="6" width="18.09765625" style="182" customWidth="1"/>
    <col min="7" max="7" width="18" style="182" customWidth="1"/>
    <col min="8" max="8" width="8.3984375" style="182" customWidth="1"/>
    <col min="9" max="9" width="12.296875" style="182" bestFit="1" customWidth="1"/>
    <col min="10" max="256" width="9.09765625" style="182"/>
    <col min="257" max="257" width="5.09765625" style="182" customWidth="1"/>
    <col min="258" max="258" width="14.09765625" style="182" customWidth="1"/>
    <col min="259" max="259" width="6.09765625" style="182" customWidth="1"/>
    <col min="260" max="260" width="5.09765625" style="182" customWidth="1"/>
    <col min="261" max="261" width="57.8984375" style="182" customWidth="1"/>
    <col min="262" max="262" width="18.09765625" style="182" customWidth="1"/>
    <col min="263" max="263" width="18" style="182" customWidth="1"/>
    <col min="264" max="264" width="7.8984375" style="182" customWidth="1"/>
    <col min="265" max="265" width="12.296875" style="182" bestFit="1" customWidth="1"/>
    <col min="266" max="512" width="9.09765625" style="182"/>
    <col min="513" max="513" width="5.09765625" style="182" customWidth="1"/>
    <col min="514" max="514" width="14.09765625" style="182" customWidth="1"/>
    <col min="515" max="515" width="6.09765625" style="182" customWidth="1"/>
    <col min="516" max="516" width="5.09765625" style="182" customWidth="1"/>
    <col min="517" max="517" width="57.8984375" style="182" customWidth="1"/>
    <col min="518" max="518" width="18.09765625" style="182" customWidth="1"/>
    <col min="519" max="519" width="18" style="182" customWidth="1"/>
    <col min="520" max="520" width="7.8984375" style="182" customWidth="1"/>
    <col min="521" max="521" width="12.296875" style="182" bestFit="1" customWidth="1"/>
    <col min="522" max="768" width="9.09765625" style="182"/>
    <col min="769" max="769" width="5.09765625" style="182" customWidth="1"/>
    <col min="770" max="770" width="14.09765625" style="182" customWidth="1"/>
    <col min="771" max="771" width="6.09765625" style="182" customWidth="1"/>
    <col min="772" max="772" width="5.09765625" style="182" customWidth="1"/>
    <col min="773" max="773" width="57.8984375" style="182" customWidth="1"/>
    <col min="774" max="774" width="18.09765625" style="182" customWidth="1"/>
    <col min="775" max="775" width="18" style="182" customWidth="1"/>
    <col min="776" max="776" width="7.8984375" style="182" customWidth="1"/>
    <col min="777" max="777" width="12.296875" style="182" bestFit="1" customWidth="1"/>
    <col min="778" max="1024" width="9.09765625" style="182"/>
    <col min="1025" max="1025" width="5.09765625" style="182" customWidth="1"/>
    <col min="1026" max="1026" width="14.09765625" style="182" customWidth="1"/>
    <col min="1027" max="1027" width="6.09765625" style="182" customWidth="1"/>
    <col min="1028" max="1028" width="5.09765625" style="182" customWidth="1"/>
    <col min="1029" max="1029" width="57.8984375" style="182" customWidth="1"/>
    <col min="1030" max="1030" width="18.09765625" style="182" customWidth="1"/>
    <col min="1031" max="1031" width="18" style="182" customWidth="1"/>
    <col min="1032" max="1032" width="7.8984375" style="182" customWidth="1"/>
    <col min="1033" max="1033" width="12.296875" style="182" bestFit="1" customWidth="1"/>
    <col min="1034" max="1280" width="9.09765625" style="182"/>
    <col min="1281" max="1281" width="5.09765625" style="182" customWidth="1"/>
    <col min="1282" max="1282" width="14.09765625" style="182" customWidth="1"/>
    <col min="1283" max="1283" width="6.09765625" style="182" customWidth="1"/>
    <col min="1284" max="1284" width="5.09765625" style="182" customWidth="1"/>
    <col min="1285" max="1285" width="57.8984375" style="182" customWidth="1"/>
    <col min="1286" max="1286" width="18.09765625" style="182" customWidth="1"/>
    <col min="1287" max="1287" width="18" style="182" customWidth="1"/>
    <col min="1288" max="1288" width="7.8984375" style="182" customWidth="1"/>
    <col min="1289" max="1289" width="12.296875" style="182" bestFit="1" customWidth="1"/>
    <col min="1290" max="1536" width="9.09765625" style="182"/>
    <col min="1537" max="1537" width="5.09765625" style="182" customWidth="1"/>
    <col min="1538" max="1538" width="14.09765625" style="182" customWidth="1"/>
    <col min="1539" max="1539" width="6.09765625" style="182" customWidth="1"/>
    <col min="1540" max="1540" width="5.09765625" style="182" customWidth="1"/>
    <col min="1541" max="1541" width="57.8984375" style="182" customWidth="1"/>
    <col min="1542" max="1542" width="18.09765625" style="182" customWidth="1"/>
    <col min="1543" max="1543" width="18" style="182" customWidth="1"/>
    <col min="1544" max="1544" width="7.8984375" style="182" customWidth="1"/>
    <col min="1545" max="1545" width="12.296875" style="182" bestFit="1" customWidth="1"/>
    <col min="1546" max="1792" width="9.09765625" style="182"/>
    <col min="1793" max="1793" width="5.09765625" style="182" customWidth="1"/>
    <col min="1794" max="1794" width="14.09765625" style="182" customWidth="1"/>
    <col min="1795" max="1795" width="6.09765625" style="182" customWidth="1"/>
    <col min="1796" max="1796" width="5.09765625" style="182" customWidth="1"/>
    <col min="1797" max="1797" width="57.8984375" style="182" customWidth="1"/>
    <col min="1798" max="1798" width="18.09765625" style="182" customWidth="1"/>
    <col min="1799" max="1799" width="18" style="182" customWidth="1"/>
    <col min="1800" max="1800" width="7.8984375" style="182" customWidth="1"/>
    <col min="1801" max="1801" width="12.296875" style="182" bestFit="1" customWidth="1"/>
    <col min="1802" max="2048" width="9.09765625" style="182"/>
    <col min="2049" max="2049" width="5.09765625" style="182" customWidth="1"/>
    <col min="2050" max="2050" width="14.09765625" style="182" customWidth="1"/>
    <col min="2051" max="2051" width="6.09765625" style="182" customWidth="1"/>
    <col min="2052" max="2052" width="5.09765625" style="182" customWidth="1"/>
    <col min="2053" max="2053" width="57.8984375" style="182" customWidth="1"/>
    <col min="2054" max="2054" width="18.09765625" style="182" customWidth="1"/>
    <col min="2055" max="2055" width="18" style="182" customWidth="1"/>
    <col min="2056" max="2056" width="7.8984375" style="182" customWidth="1"/>
    <col min="2057" max="2057" width="12.296875" style="182" bestFit="1" customWidth="1"/>
    <col min="2058" max="2304" width="9.09765625" style="182"/>
    <col min="2305" max="2305" width="5.09765625" style="182" customWidth="1"/>
    <col min="2306" max="2306" width="14.09765625" style="182" customWidth="1"/>
    <col min="2307" max="2307" width="6.09765625" style="182" customWidth="1"/>
    <col min="2308" max="2308" width="5.09765625" style="182" customWidth="1"/>
    <col min="2309" max="2309" width="57.8984375" style="182" customWidth="1"/>
    <col min="2310" max="2310" width="18.09765625" style="182" customWidth="1"/>
    <col min="2311" max="2311" width="18" style="182" customWidth="1"/>
    <col min="2312" max="2312" width="7.8984375" style="182" customWidth="1"/>
    <col min="2313" max="2313" width="12.296875" style="182" bestFit="1" customWidth="1"/>
    <col min="2314" max="2560" width="9.09765625" style="182"/>
    <col min="2561" max="2561" width="5.09765625" style="182" customWidth="1"/>
    <col min="2562" max="2562" width="14.09765625" style="182" customWidth="1"/>
    <col min="2563" max="2563" width="6.09765625" style="182" customWidth="1"/>
    <col min="2564" max="2564" width="5.09765625" style="182" customWidth="1"/>
    <col min="2565" max="2565" width="57.8984375" style="182" customWidth="1"/>
    <col min="2566" max="2566" width="18.09765625" style="182" customWidth="1"/>
    <col min="2567" max="2567" width="18" style="182" customWidth="1"/>
    <col min="2568" max="2568" width="7.8984375" style="182" customWidth="1"/>
    <col min="2569" max="2569" width="12.296875" style="182" bestFit="1" customWidth="1"/>
    <col min="2570" max="2816" width="9.09765625" style="182"/>
    <col min="2817" max="2817" width="5.09765625" style="182" customWidth="1"/>
    <col min="2818" max="2818" width="14.09765625" style="182" customWidth="1"/>
    <col min="2819" max="2819" width="6.09765625" style="182" customWidth="1"/>
    <col min="2820" max="2820" width="5.09765625" style="182" customWidth="1"/>
    <col min="2821" max="2821" width="57.8984375" style="182" customWidth="1"/>
    <col min="2822" max="2822" width="18.09765625" style="182" customWidth="1"/>
    <col min="2823" max="2823" width="18" style="182" customWidth="1"/>
    <col min="2824" max="2824" width="7.8984375" style="182" customWidth="1"/>
    <col min="2825" max="2825" width="12.296875" style="182" bestFit="1" customWidth="1"/>
    <col min="2826" max="3072" width="9.09765625" style="182"/>
    <col min="3073" max="3073" width="5.09765625" style="182" customWidth="1"/>
    <col min="3074" max="3074" width="14.09765625" style="182" customWidth="1"/>
    <col min="3075" max="3075" width="6.09765625" style="182" customWidth="1"/>
    <col min="3076" max="3076" width="5.09765625" style="182" customWidth="1"/>
    <col min="3077" max="3077" width="57.8984375" style="182" customWidth="1"/>
    <col min="3078" max="3078" width="18.09765625" style="182" customWidth="1"/>
    <col min="3079" max="3079" width="18" style="182" customWidth="1"/>
    <col min="3080" max="3080" width="7.8984375" style="182" customWidth="1"/>
    <col min="3081" max="3081" width="12.296875" style="182" bestFit="1" customWidth="1"/>
    <col min="3082" max="3328" width="9.09765625" style="182"/>
    <col min="3329" max="3329" width="5.09765625" style="182" customWidth="1"/>
    <col min="3330" max="3330" width="14.09765625" style="182" customWidth="1"/>
    <col min="3331" max="3331" width="6.09765625" style="182" customWidth="1"/>
    <col min="3332" max="3332" width="5.09765625" style="182" customWidth="1"/>
    <col min="3333" max="3333" width="57.8984375" style="182" customWidth="1"/>
    <col min="3334" max="3334" width="18.09765625" style="182" customWidth="1"/>
    <col min="3335" max="3335" width="18" style="182" customWidth="1"/>
    <col min="3336" max="3336" width="7.8984375" style="182" customWidth="1"/>
    <col min="3337" max="3337" width="12.296875" style="182" bestFit="1" customWidth="1"/>
    <col min="3338" max="3584" width="9.09765625" style="182"/>
    <col min="3585" max="3585" width="5.09765625" style="182" customWidth="1"/>
    <col min="3586" max="3586" width="14.09765625" style="182" customWidth="1"/>
    <col min="3587" max="3587" width="6.09765625" style="182" customWidth="1"/>
    <col min="3588" max="3588" width="5.09765625" style="182" customWidth="1"/>
    <col min="3589" max="3589" width="57.8984375" style="182" customWidth="1"/>
    <col min="3590" max="3590" width="18.09765625" style="182" customWidth="1"/>
    <col min="3591" max="3591" width="18" style="182" customWidth="1"/>
    <col min="3592" max="3592" width="7.8984375" style="182" customWidth="1"/>
    <col min="3593" max="3593" width="12.296875" style="182" bestFit="1" customWidth="1"/>
    <col min="3594" max="3840" width="9.09765625" style="182"/>
    <col min="3841" max="3841" width="5.09765625" style="182" customWidth="1"/>
    <col min="3842" max="3842" width="14.09765625" style="182" customWidth="1"/>
    <col min="3843" max="3843" width="6.09765625" style="182" customWidth="1"/>
    <col min="3844" max="3844" width="5.09765625" style="182" customWidth="1"/>
    <col min="3845" max="3845" width="57.8984375" style="182" customWidth="1"/>
    <col min="3846" max="3846" width="18.09765625" style="182" customWidth="1"/>
    <col min="3847" max="3847" width="18" style="182" customWidth="1"/>
    <col min="3848" max="3848" width="7.8984375" style="182" customWidth="1"/>
    <col min="3849" max="3849" width="12.296875" style="182" bestFit="1" customWidth="1"/>
    <col min="3850" max="4096" width="9.09765625" style="182"/>
    <col min="4097" max="4097" width="5.09765625" style="182" customWidth="1"/>
    <col min="4098" max="4098" width="14.09765625" style="182" customWidth="1"/>
    <col min="4099" max="4099" width="6.09765625" style="182" customWidth="1"/>
    <col min="4100" max="4100" width="5.09765625" style="182" customWidth="1"/>
    <col min="4101" max="4101" width="57.8984375" style="182" customWidth="1"/>
    <col min="4102" max="4102" width="18.09765625" style="182" customWidth="1"/>
    <col min="4103" max="4103" width="18" style="182" customWidth="1"/>
    <col min="4104" max="4104" width="7.8984375" style="182" customWidth="1"/>
    <col min="4105" max="4105" width="12.296875" style="182" bestFit="1" customWidth="1"/>
    <col min="4106" max="4352" width="9.09765625" style="182"/>
    <col min="4353" max="4353" width="5.09765625" style="182" customWidth="1"/>
    <col min="4354" max="4354" width="14.09765625" style="182" customWidth="1"/>
    <col min="4355" max="4355" width="6.09765625" style="182" customWidth="1"/>
    <col min="4356" max="4356" width="5.09765625" style="182" customWidth="1"/>
    <col min="4357" max="4357" width="57.8984375" style="182" customWidth="1"/>
    <col min="4358" max="4358" width="18.09765625" style="182" customWidth="1"/>
    <col min="4359" max="4359" width="18" style="182" customWidth="1"/>
    <col min="4360" max="4360" width="7.8984375" style="182" customWidth="1"/>
    <col min="4361" max="4361" width="12.296875" style="182" bestFit="1" customWidth="1"/>
    <col min="4362" max="4608" width="9.09765625" style="182"/>
    <col min="4609" max="4609" width="5.09765625" style="182" customWidth="1"/>
    <col min="4610" max="4610" width="14.09765625" style="182" customWidth="1"/>
    <col min="4611" max="4611" width="6.09765625" style="182" customWidth="1"/>
    <col min="4612" max="4612" width="5.09765625" style="182" customWidth="1"/>
    <col min="4613" max="4613" width="57.8984375" style="182" customWidth="1"/>
    <col min="4614" max="4614" width="18.09765625" style="182" customWidth="1"/>
    <col min="4615" max="4615" width="18" style="182" customWidth="1"/>
    <col min="4616" max="4616" width="7.8984375" style="182" customWidth="1"/>
    <col min="4617" max="4617" width="12.296875" style="182" bestFit="1" customWidth="1"/>
    <col min="4618" max="4864" width="9.09765625" style="182"/>
    <col min="4865" max="4865" width="5.09765625" style="182" customWidth="1"/>
    <col min="4866" max="4866" width="14.09765625" style="182" customWidth="1"/>
    <col min="4867" max="4867" width="6.09765625" style="182" customWidth="1"/>
    <col min="4868" max="4868" width="5.09765625" style="182" customWidth="1"/>
    <col min="4869" max="4869" width="57.8984375" style="182" customWidth="1"/>
    <col min="4870" max="4870" width="18.09765625" style="182" customWidth="1"/>
    <col min="4871" max="4871" width="18" style="182" customWidth="1"/>
    <col min="4872" max="4872" width="7.8984375" style="182" customWidth="1"/>
    <col min="4873" max="4873" width="12.296875" style="182" bestFit="1" customWidth="1"/>
    <col min="4874" max="5120" width="9.09765625" style="182"/>
    <col min="5121" max="5121" width="5.09765625" style="182" customWidth="1"/>
    <col min="5122" max="5122" width="14.09765625" style="182" customWidth="1"/>
    <col min="5123" max="5123" width="6.09765625" style="182" customWidth="1"/>
    <col min="5124" max="5124" width="5.09765625" style="182" customWidth="1"/>
    <col min="5125" max="5125" width="57.8984375" style="182" customWidth="1"/>
    <col min="5126" max="5126" width="18.09765625" style="182" customWidth="1"/>
    <col min="5127" max="5127" width="18" style="182" customWidth="1"/>
    <col min="5128" max="5128" width="7.8984375" style="182" customWidth="1"/>
    <col min="5129" max="5129" width="12.296875" style="182" bestFit="1" customWidth="1"/>
    <col min="5130" max="5376" width="9.09765625" style="182"/>
    <col min="5377" max="5377" width="5.09765625" style="182" customWidth="1"/>
    <col min="5378" max="5378" width="14.09765625" style="182" customWidth="1"/>
    <col min="5379" max="5379" width="6.09765625" style="182" customWidth="1"/>
    <col min="5380" max="5380" width="5.09765625" style="182" customWidth="1"/>
    <col min="5381" max="5381" width="57.8984375" style="182" customWidth="1"/>
    <col min="5382" max="5382" width="18.09765625" style="182" customWidth="1"/>
    <col min="5383" max="5383" width="18" style="182" customWidth="1"/>
    <col min="5384" max="5384" width="7.8984375" style="182" customWidth="1"/>
    <col min="5385" max="5385" width="12.296875" style="182" bestFit="1" customWidth="1"/>
    <col min="5386" max="5632" width="9.09765625" style="182"/>
    <col min="5633" max="5633" width="5.09765625" style="182" customWidth="1"/>
    <col min="5634" max="5634" width="14.09765625" style="182" customWidth="1"/>
    <col min="5635" max="5635" width="6.09765625" style="182" customWidth="1"/>
    <col min="5636" max="5636" width="5.09765625" style="182" customWidth="1"/>
    <col min="5637" max="5637" width="57.8984375" style="182" customWidth="1"/>
    <col min="5638" max="5638" width="18.09765625" style="182" customWidth="1"/>
    <col min="5639" max="5639" width="18" style="182" customWidth="1"/>
    <col min="5640" max="5640" width="7.8984375" style="182" customWidth="1"/>
    <col min="5641" max="5641" width="12.296875" style="182" bestFit="1" customWidth="1"/>
    <col min="5642" max="5888" width="9.09765625" style="182"/>
    <col min="5889" max="5889" width="5.09765625" style="182" customWidth="1"/>
    <col min="5890" max="5890" width="14.09765625" style="182" customWidth="1"/>
    <col min="5891" max="5891" width="6.09765625" style="182" customWidth="1"/>
    <col min="5892" max="5892" width="5.09765625" style="182" customWidth="1"/>
    <col min="5893" max="5893" width="57.8984375" style="182" customWidth="1"/>
    <col min="5894" max="5894" width="18.09765625" style="182" customWidth="1"/>
    <col min="5895" max="5895" width="18" style="182" customWidth="1"/>
    <col min="5896" max="5896" width="7.8984375" style="182" customWidth="1"/>
    <col min="5897" max="5897" width="12.296875" style="182" bestFit="1" customWidth="1"/>
    <col min="5898" max="6144" width="9.09765625" style="182"/>
    <col min="6145" max="6145" width="5.09765625" style="182" customWidth="1"/>
    <col min="6146" max="6146" width="14.09765625" style="182" customWidth="1"/>
    <col min="6147" max="6147" width="6.09765625" style="182" customWidth="1"/>
    <col min="6148" max="6148" width="5.09765625" style="182" customWidth="1"/>
    <col min="6149" max="6149" width="57.8984375" style="182" customWidth="1"/>
    <col min="6150" max="6150" width="18.09765625" style="182" customWidth="1"/>
    <col min="6151" max="6151" width="18" style="182" customWidth="1"/>
    <col min="6152" max="6152" width="7.8984375" style="182" customWidth="1"/>
    <col min="6153" max="6153" width="12.296875" style="182" bestFit="1" customWidth="1"/>
    <col min="6154" max="6400" width="9.09765625" style="182"/>
    <col min="6401" max="6401" width="5.09765625" style="182" customWidth="1"/>
    <col min="6402" max="6402" width="14.09765625" style="182" customWidth="1"/>
    <col min="6403" max="6403" width="6.09765625" style="182" customWidth="1"/>
    <col min="6404" max="6404" width="5.09765625" style="182" customWidth="1"/>
    <col min="6405" max="6405" width="57.8984375" style="182" customWidth="1"/>
    <col min="6406" max="6406" width="18.09765625" style="182" customWidth="1"/>
    <col min="6407" max="6407" width="18" style="182" customWidth="1"/>
    <col min="6408" max="6408" width="7.8984375" style="182" customWidth="1"/>
    <col min="6409" max="6409" width="12.296875" style="182" bestFit="1" customWidth="1"/>
    <col min="6410" max="6656" width="9.09765625" style="182"/>
    <col min="6657" max="6657" width="5.09765625" style="182" customWidth="1"/>
    <col min="6658" max="6658" width="14.09765625" style="182" customWidth="1"/>
    <col min="6659" max="6659" width="6.09765625" style="182" customWidth="1"/>
    <col min="6660" max="6660" width="5.09765625" style="182" customWidth="1"/>
    <col min="6661" max="6661" width="57.8984375" style="182" customWidth="1"/>
    <col min="6662" max="6662" width="18.09765625" style="182" customWidth="1"/>
    <col min="6663" max="6663" width="18" style="182" customWidth="1"/>
    <col min="6664" max="6664" width="7.8984375" style="182" customWidth="1"/>
    <col min="6665" max="6665" width="12.296875" style="182" bestFit="1" customWidth="1"/>
    <col min="6666" max="6912" width="9.09765625" style="182"/>
    <col min="6913" max="6913" width="5.09765625" style="182" customWidth="1"/>
    <col min="6914" max="6914" width="14.09765625" style="182" customWidth="1"/>
    <col min="6915" max="6915" width="6.09765625" style="182" customWidth="1"/>
    <col min="6916" max="6916" width="5.09765625" style="182" customWidth="1"/>
    <col min="6917" max="6917" width="57.8984375" style="182" customWidth="1"/>
    <col min="6918" max="6918" width="18.09765625" style="182" customWidth="1"/>
    <col min="6919" max="6919" width="18" style="182" customWidth="1"/>
    <col min="6920" max="6920" width="7.8984375" style="182" customWidth="1"/>
    <col min="6921" max="6921" width="12.296875" style="182" bestFit="1" customWidth="1"/>
    <col min="6922" max="7168" width="9.09765625" style="182"/>
    <col min="7169" max="7169" width="5.09765625" style="182" customWidth="1"/>
    <col min="7170" max="7170" width="14.09765625" style="182" customWidth="1"/>
    <col min="7171" max="7171" width="6.09765625" style="182" customWidth="1"/>
    <col min="7172" max="7172" width="5.09765625" style="182" customWidth="1"/>
    <col min="7173" max="7173" width="57.8984375" style="182" customWidth="1"/>
    <col min="7174" max="7174" width="18.09765625" style="182" customWidth="1"/>
    <col min="7175" max="7175" width="18" style="182" customWidth="1"/>
    <col min="7176" max="7176" width="7.8984375" style="182" customWidth="1"/>
    <col min="7177" max="7177" width="12.296875" style="182" bestFit="1" customWidth="1"/>
    <col min="7178" max="7424" width="9.09765625" style="182"/>
    <col min="7425" max="7425" width="5.09765625" style="182" customWidth="1"/>
    <col min="7426" max="7426" width="14.09765625" style="182" customWidth="1"/>
    <col min="7427" max="7427" width="6.09765625" style="182" customWidth="1"/>
    <col min="7428" max="7428" width="5.09765625" style="182" customWidth="1"/>
    <col min="7429" max="7429" width="57.8984375" style="182" customWidth="1"/>
    <col min="7430" max="7430" width="18.09765625" style="182" customWidth="1"/>
    <col min="7431" max="7431" width="18" style="182" customWidth="1"/>
    <col min="7432" max="7432" width="7.8984375" style="182" customWidth="1"/>
    <col min="7433" max="7433" width="12.296875" style="182" bestFit="1" customWidth="1"/>
    <col min="7434" max="7680" width="9.09765625" style="182"/>
    <col min="7681" max="7681" width="5.09765625" style="182" customWidth="1"/>
    <col min="7682" max="7682" width="14.09765625" style="182" customWidth="1"/>
    <col min="7683" max="7683" width="6.09765625" style="182" customWidth="1"/>
    <col min="7684" max="7684" width="5.09765625" style="182" customWidth="1"/>
    <col min="7685" max="7685" width="57.8984375" style="182" customWidth="1"/>
    <col min="7686" max="7686" width="18.09765625" style="182" customWidth="1"/>
    <col min="7687" max="7687" width="18" style="182" customWidth="1"/>
    <col min="7688" max="7688" width="7.8984375" style="182" customWidth="1"/>
    <col min="7689" max="7689" width="12.296875" style="182" bestFit="1" customWidth="1"/>
    <col min="7690" max="7936" width="9.09765625" style="182"/>
    <col min="7937" max="7937" width="5.09765625" style="182" customWidth="1"/>
    <col min="7938" max="7938" width="14.09765625" style="182" customWidth="1"/>
    <col min="7939" max="7939" width="6.09765625" style="182" customWidth="1"/>
    <col min="7940" max="7940" width="5.09765625" style="182" customWidth="1"/>
    <col min="7941" max="7941" width="57.8984375" style="182" customWidth="1"/>
    <col min="7942" max="7942" width="18.09765625" style="182" customWidth="1"/>
    <col min="7943" max="7943" width="18" style="182" customWidth="1"/>
    <col min="7944" max="7944" width="7.8984375" style="182" customWidth="1"/>
    <col min="7945" max="7945" width="12.296875" style="182" bestFit="1" customWidth="1"/>
    <col min="7946" max="8192" width="9.09765625" style="182"/>
    <col min="8193" max="8193" width="5.09765625" style="182" customWidth="1"/>
    <col min="8194" max="8194" width="14.09765625" style="182" customWidth="1"/>
    <col min="8195" max="8195" width="6.09765625" style="182" customWidth="1"/>
    <col min="8196" max="8196" width="5.09765625" style="182" customWidth="1"/>
    <col min="8197" max="8197" width="57.8984375" style="182" customWidth="1"/>
    <col min="8198" max="8198" width="18.09765625" style="182" customWidth="1"/>
    <col min="8199" max="8199" width="18" style="182" customWidth="1"/>
    <col min="8200" max="8200" width="7.8984375" style="182" customWidth="1"/>
    <col min="8201" max="8201" width="12.296875" style="182" bestFit="1" customWidth="1"/>
    <col min="8202" max="8448" width="9.09765625" style="182"/>
    <col min="8449" max="8449" width="5.09765625" style="182" customWidth="1"/>
    <col min="8450" max="8450" width="14.09765625" style="182" customWidth="1"/>
    <col min="8451" max="8451" width="6.09765625" style="182" customWidth="1"/>
    <col min="8452" max="8452" width="5.09765625" style="182" customWidth="1"/>
    <col min="8453" max="8453" width="57.8984375" style="182" customWidth="1"/>
    <col min="8454" max="8454" width="18.09765625" style="182" customWidth="1"/>
    <col min="8455" max="8455" width="18" style="182" customWidth="1"/>
    <col min="8456" max="8456" width="7.8984375" style="182" customWidth="1"/>
    <col min="8457" max="8457" width="12.296875" style="182" bestFit="1" customWidth="1"/>
    <col min="8458" max="8704" width="9.09765625" style="182"/>
    <col min="8705" max="8705" width="5.09765625" style="182" customWidth="1"/>
    <col min="8706" max="8706" width="14.09765625" style="182" customWidth="1"/>
    <col min="8707" max="8707" width="6.09765625" style="182" customWidth="1"/>
    <col min="8708" max="8708" width="5.09765625" style="182" customWidth="1"/>
    <col min="8709" max="8709" width="57.8984375" style="182" customWidth="1"/>
    <col min="8710" max="8710" width="18.09765625" style="182" customWidth="1"/>
    <col min="8711" max="8711" width="18" style="182" customWidth="1"/>
    <col min="8712" max="8712" width="7.8984375" style="182" customWidth="1"/>
    <col min="8713" max="8713" width="12.296875" style="182" bestFit="1" customWidth="1"/>
    <col min="8714" max="8960" width="9.09765625" style="182"/>
    <col min="8961" max="8961" width="5.09765625" style="182" customWidth="1"/>
    <col min="8962" max="8962" width="14.09765625" style="182" customWidth="1"/>
    <col min="8963" max="8963" width="6.09765625" style="182" customWidth="1"/>
    <col min="8964" max="8964" width="5.09765625" style="182" customWidth="1"/>
    <col min="8965" max="8965" width="57.8984375" style="182" customWidth="1"/>
    <col min="8966" max="8966" width="18.09765625" style="182" customWidth="1"/>
    <col min="8967" max="8967" width="18" style="182" customWidth="1"/>
    <col min="8968" max="8968" width="7.8984375" style="182" customWidth="1"/>
    <col min="8969" max="8969" width="12.296875" style="182" bestFit="1" customWidth="1"/>
    <col min="8970" max="9216" width="9.09765625" style="182"/>
    <col min="9217" max="9217" width="5.09765625" style="182" customWidth="1"/>
    <col min="9218" max="9218" width="14.09765625" style="182" customWidth="1"/>
    <col min="9219" max="9219" width="6.09765625" style="182" customWidth="1"/>
    <col min="9220" max="9220" width="5.09765625" style="182" customWidth="1"/>
    <col min="9221" max="9221" width="57.8984375" style="182" customWidth="1"/>
    <col min="9222" max="9222" width="18.09765625" style="182" customWidth="1"/>
    <col min="9223" max="9223" width="18" style="182" customWidth="1"/>
    <col min="9224" max="9224" width="7.8984375" style="182" customWidth="1"/>
    <col min="9225" max="9225" width="12.296875" style="182" bestFit="1" customWidth="1"/>
    <col min="9226" max="9472" width="9.09765625" style="182"/>
    <col min="9473" max="9473" width="5.09765625" style="182" customWidth="1"/>
    <col min="9474" max="9474" width="14.09765625" style="182" customWidth="1"/>
    <col min="9475" max="9475" width="6.09765625" style="182" customWidth="1"/>
    <col min="9476" max="9476" width="5.09765625" style="182" customWidth="1"/>
    <col min="9477" max="9477" width="57.8984375" style="182" customWidth="1"/>
    <col min="9478" max="9478" width="18.09765625" style="182" customWidth="1"/>
    <col min="9479" max="9479" width="18" style="182" customWidth="1"/>
    <col min="9480" max="9480" width="7.8984375" style="182" customWidth="1"/>
    <col min="9481" max="9481" width="12.296875" style="182" bestFit="1" customWidth="1"/>
    <col min="9482" max="9728" width="9.09765625" style="182"/>
    <col min="9729" max="9729" width="5.09765625" style="182" customWidth="1"/>
    <col min="9730" max="9730" width="14.09765625" style="182" customWidth="1"/>
    <col min="9731" max="9731" width="6.09765625" style="182" customWidth="1"/>
    <col min="9732" max="9732" width="5.09765625" style="182" customWidth="1"/>
    <col min="9733" max="9733" width="57.8984375" style="182" customWidth="1"/>
    <col min="9734" max="9734" width="18.09765625" style="182" customWidth="1"/>
    <col min="9735" max="9735" width="18" style="182" customWidth="1"/>
    <col min="9736" max="9736" width="7.8984375" style="182" customWidth="1"/>
    <col min="9737" max="9737" width="12.296875" style="182" bestFit="1" customWidth="1"/>
    <col min="9738" max="9984" width="9.09765625" style="182"/>
    <col min="9985" max="9985" width="5.09765625" style="182" customWidth="1"/>
    <col min="9986" max="9986" width="14.09765625" style="182" customWidth="1"/>
    <col min="9987" max="9987" width="6.09765625" style="182" customWidth="1"/>
    <col min="9988" max="9988" width="5.09765625" style="182" customWidth="1"/>
    <col min="9989" max="9989" width="57.8984375" style="182" customWidth="1"/>
    <col min="9990" max="9990" width="18.09765625" style="182" customWidth="1"/>
    <col min="9991" max="9991" width="18" style="182" customWidth="1"/>
    <col min="9992" max="9992" width="7.8984375" style="182" customWidth="1"/>
    <col min="9993" max="9993" width="12.296875" style="182" bestFit="1" customWidth="1"/>
    <col min="9994" max="10240" width="9.09765625" style="182"/>
    <col min="10241" max="10241" width="5.09765625" style="182" customWidth="1"/>
    <col min="10242" max="10242" width="14.09765625" style="182" customWidth="1"/>
    <col min="10243" max="10243" width="6.09765625" style="182" customWidth="1"/>
    <col min="10244" max="10244" width="5.09765625" style="182" customWidth="1"/>
    <col min="10245" max="10245" width="57.8984375" style="182" customWidth="1"/>
    <col min="10246" max="10246" width="18.09765625" style="182" customWidth="1"/>
    <col min="10247" max="10247" width="18" style="182" customWidth="1"/>
    <col min="10248" max="10248" width="7.8984375" style="182" customWidth="1"/>
    <col min="10249" max="10249" width="12.296875" style="182" bestFit="1" customWidth="1"/>
    <col min="10250" max="10496" width="9.09765625" style="182"/>
    <col min="10497" max="10497" width="5.09765625" style="182" customWidth="1"/>
    <col min="10498" max="10498" width="14.09765625" style="182" customWidth="1"/>
    <col min="10499" max="10499" width="6.09765625" style="182" customWidth="1"/>
    <col min="10500" max="10500" width="5.09765625" style="182" customWidth="1"/>
    <col min="10501" max="10501" width="57.8984375" style="182" customWidth="1"/>
    <col min="10502" max="10502" width="18.09765625" style="182" customWidth="1"/>
    <col min="10503" max="10503" width="18" style="182" customWidth="1"/>
    <col min="10504" max="10504" width="7.8984375" style="182" customWidth="1"/>
    <col min="10505" max="10505" width="12.296875" style="182" bestFit="1" customWidth="1"/>
    <col min="10506" max="10752" width="9.09765625" style="182"/>
    <col min="10753" max="10753" width="5.09765625" style="182" customWidth="1"/>
    <col min="10754" max="10754" width="14.09765625" style="182" customWidth="1"/>
    <col min="10755" max="10755" width="6.09765625" style="182" customWidth="1"/>
    <col min="10756" max="10756" width="5.09765625" style="182" customWidth="1"/>
    <col min="10757" max="10757" width="57.8984375" style="182" customWidth="1"/>
    <col min="10758" max="10758" width="18.09765625" style="182" customWidth="1"/>
    <col min="10759" max="10759" width="18" style="182" customWidth="1"/>
    <col min="10760" max="10760" width="7.8984375" style="182" customWidth="1"/>
    <col min="10761" max="10761" width="12.296875" style="182" bestFit="1" customWidth="1"/>
    <col min="10762" max="11008" width="9.09765625" style="182"/>
    <col min="11009" max="11009" width="5.09765625" style="182" customWidth="1"/>
    <col min="11010" max="11010" width="14.09765625" style="182" customWidth="1"/>
    <col min="11011" max="11011" width="6.09765625" style="182" customWidth="1"/>
    <col min="11012" max="11012" width="5.09765625" style="182" customWidth="1"/>
    <col min="11013" max="11013" width="57.8984375" style="182" customWidth="1"/>
    <col min="11014" max="11014" width="18.09765625" style="182" customWidth="1"/>
    <col min="11015" max="11015" width="18" style="182" customWidth="1"/>
    <col min="11016" max="11016" width="7.8984375" style="182" customWidth="1"/>
    <col min="11017" max="11017" width="12.296875" style="182" bestFit="1" customWidth="1"/>
    <col min="11018" max="11264" width="9.09765625" style="182"/>
    <col min="11265" max="11265" width="5.09765625" style="182" customWidth="1"/>
    <col min="11266" max="11266" width="14.09765625" style="182" customWidth="1"/>
    <col min="11267" max="11267" width="6.09765625" style="182" customWidth="1"/>
    <col min="11268" max="11268" width="5.09765625" style="182" customWidth="1"/>
    <col min="11269" max="11269" width="57.8984375" style="182" customWidth="1"/>
    <col min="11270" max="11270" width="18.09765625" style="182" customWidth="1"/>
    <col min="11271" max="11271" width="18" style="182" customWidth="1"/>
    <col min="11272" max="11272" width="7.8984375" style="182" customWidth="1"/>
    <col min="11273" max="11273" width="12.296875" style="182" bestFit="1" customWidth="1"/>
    <col min="11274" max="11520" width="9.09765625" style="182"/>
    <col min="11521" max="11521" width="5.09765625" style="182" customWidth="1"/>
    <col min="11522" max="11522" width="14.09765625" style="182" customWidth="1"/>
    <col min="11523" max="11523" width="6.09765625" style="182" customWidth="1"/>
    <col min="11524" max="11524" width="5.09765625" style="182" customWidth="1"/>
    <col min="11525" max="11525" width="57.8984375" style="182" customWidth="1"/>
    <col min="11526" max="11526" width="18.09765625" style="182" customWidth="1"/>
    <col min="11527" max="11527" width="18" style="182" customWidth="1"/>
    <col min="11528" max="11528" width="7.8984375" style="182" customWidth="1"/>
    <col min="11529" max="11529" width="12.296875" style="182" bestFit="1" customWidth="1"/>
    <col min="11530" max="11776" width="9.09765625" style="182"/>
    <col min="11777" max="11777" width="5.09765625" style="182" customWidth="1"/>
    <col min="11778" max="11778" width="14.09765625" style="182" customWidth="1"/>
    <col min="11779" max="11779" width="6.09765625" style="182" customWidth="1"/>
    <col min="11780" max="11780" width="5.09765625" style="182" customWidth="1"/>
    <col min="11781" max="11781" width="57.8984375" style="182" customWidth="1"/>
    <col min="11782" max="11782" width="18.09765625" style="182" customWidth="1"/>
    <col min="11783" max="11783" width="18" style="182" customWidth="1"/>
    <col min="11784" max="11784" width="7.8984375" style="182" customWidth="1"/>
    <col min="11785" max="11785" width="12.296875" style="182" bestFit="1" customWidth="1"/>
    <col min="11786" max="12032" width="9.09765625" style="182"/>
    <col min="12033" max="12033" width="5.09765625" style="182" customWidth="1"/>
    <col min="12034" max="12034" width="14.09765625" style="182" customWidth="1"/>
    <col min="12035" max="12035" width="6.09765625" style="182" customWidth="1"/>
    <col min="12036" max="12036" width="5.09765625" style="182" customWidth="1"/>
    <col min="12037" max="12037" width="57.8984375" style="182" customWidth="1"/>
    <col min="12038" max="12038" width="18.09765625" style="182" customWidth="1"/>
    <col min="12039" max="12039" width="18" style="182" customWidth="1"/>
    <col min="12040" max="12040" width="7.8984375" style="182" customWidth="1"/>
    <col min="12041" max="12041" width="12.296875" style="182" bestFit="1" customWidth="1"/>
    <col min="12042" max="12288" width="9.09765625" style="182"/>
    <col min="12289" max="12289" width="5.09765625" style="182" customWidth="1"/>
    <col min="12290" max="12290" width="14.09765625" style="182" customWidth="1"/>
    <col min="12291" max="12291" width="6.09765625" style="182" customWidth="1"/>
    <col min="12292" max="12292" width="5.09765625" style="182" customWidth="1"/>
    <col min="12293" max="12293" width="57.8984375" style="182" customWidth="1"/>
    <col min="12294" max="12294" width="18.09765625" style="182" customWidth="1"/>
    <col min="12295" max="12295" width="18" style="182" customWidth="1"/>
    <col min="12296" max="12296" width="7.8984375" style="182" customWidth="1"/>
    <col min="12297" max="12297" width="12.296875" style="182" bestFit="1" customWidth="1"/>
    <col min="12298" max="12544" width="9.09765625" style="182"/>
    <col min="12545" max="12545" width="5.09765625" style="182" customWidth="1"/>
    <col min="12546" max="12546" width="14.09765625" style="182" customWidth="1"/>
    <col min="12547" max="12547" width="6.09765625" style="182" customWidth="1"/>
    <col min="12548" max="12548" width="5.09765625" style="182" customWidth="1"/>
    <col min="12549" max="12549" width="57.8984375" style="182" customWidth="1"/>
    <col min="12550" max="12550" width="18.09765625" style="182" customWidth="1"/>
    <col min="12551" max="12551" width="18" style="182" customWidth="1"/>
    <col min="12552" max="12552" width="7.8984375" style="182" customWidth="1"/>
    <col min="12553" max="12553" width="12.296875" style="182" bestFit="1" customWidth="1"/>
    <col min="12554" max="12800" width="9.09765625" style="182"/>
    <col min="12801" max="12801" width="5.09765625" style="182" customWidth="1"/>
    <col min="12802" max="12802" width="14.09765625" style="182" customWidth="1"/>
    <col min="12803" max="12803" width="6.09765625" style="182" customWidth="1"/>
    <col min="12804" max="12804" width="5.09765625" style="182" customWidth="1"/>
    <col min="12805" max="12805" width="57.8984375" style="182" customWidth="1"/>
    <col min="12806" max="12806" width="18.09765625" style="182" customWidth="1"/>
    <col min="12807" max="12807" width="18" style="182" customWidth="1"/>
    <col min="12808" max="12808" width="7.8984375" style="182" customWidth="1"/>
    <col min="12809" max="12809" width="12.296875" style="182" bestFit="1" customWidth="1"/>
    <col min="12810" max="13056" width="9.09765625" style="182"/>
    <col min="13057" max="13057" width="5.09765625" style="182" customWidth="1"/>
    <col min="13058" max="13058" width="14.09765625" style="182" customWidth="1"/>
    <col min="13059" max="13059" width="6.09765625" style="182" customWidth="1"/>
    <col min="13060" max="13060" width="5.09765625" style="182" customWidth="1"/>
    <col min="13061" max="13061" width="57.8984375" style="182" customWidth="1"/>
    <col min="13062" max="13062" width="18.09765625" style="182" customWidth="1"/>
    <col min="13063" max="13063" width="18" style="182" customWidth="1"/>
    <col min="13064" max="13064" width="7.8984375" style="182" customWidth="1"/>
    <col min="13065" max="13065" width="12.296875" style="182" bestFit="1" customWidth="1"/>
    <col min="13066" max="13312" width="9.09765625" style="182"/>
    <col min="13313" max="13313" width="5.09765625" style="182" customWidth="1"/>
    <col min="13314" max="13314" width="14.09765625" style="182" customWidth="1"/>
    <col min="13315" max="13315" width="6.09765625" style="182" customWidth="1"/>
    <col min="13316" max="13316" width="5.09765625" style="182" customWidth="1"/>
    <col min="13317" max="13317" width="57.8984375" style="182" customWidth="1"/>
    <col min="13318" max="13318" width="18.09765625" style="182" customWidth="1"/>
    <col min="13319" max="13319" width="18" style="182" customWidth="1"/>
    <col min="13320" max="13320" width="7.8984375" style="182" customWidth="1"/>
    <col min="13321" max="13321" width="12.296875" style="182" bestFit="1" customWidth="1"/>
    <col min="13322" max="13568" width="9.09765625" style="182"/>
    <col min="13569" max="13569" width="5.09765625" style="182" customWidth="1"/>
    <col min="13570" max="13570" width="14.09765625" style="182" customWidth="1"/>
    <col min="13571" max="13571" width="6.09765625" style="182" customWidth="1"/>
    <col min="13572" max="13572" width="5.09765625" style="182" customWidth="1"/>
    <col min="13573" max="13573" width="57.8984375" style="182" customWidth="1"/>
    <col min="13574" max="13574" width="18.09765625" style="182" customWidth="1"/>
    <col min="13575" max="13575" width="18" style="182" customWidth="1"/>
    <col min="13576" max="13576" width="7.8984375" style="182" customWidth="1"/>
    <col min="13577" max="13577" width="12.296875" style="182" bestFit="1" customWidth="1"/>
    <col min="13578" max="13824" width="9.09765625" style="182"/>
    <col min="13825" max="13825" width="5.09765625" style="182" customWidth="1"/>
    <col min="13826" max="13826" width="14.09765625" style="182" customWidth="1"/>
    <col min="13827" max="13827" width="6.09765625" style="182" customWidth="1"/>
    <col min="13828" max="13828" width="5.09765625" style="182" customWidth="1"/>
    <col min="13829" max="13829" width="57.8984375" style="182" customWidth="1"/>
    <col min="13830" max="13830" width="18.09765625" style="182" customWidth="1"/>
    <col min="13831" max="13831" width="18" style="182" customWidth="1"/>
    <col min="13832" max="13832" width="7.8984375" style="182" customWidth="1"/>
    <col min="13833" max="13833" width="12.296875" style="182" bestFit="1" customWidth="1"/>
    <col min="13834" max="14080" width="9.09765625" style="182"/>
    <col min="14081" max="14081" width="5.09765625" style="182" customWidth="1"/>
    <col min="14082" max="14082" width="14.09765625" style="182" customWidth="1"/>
    <col min="14083" max="14083" width="6.09765625" style="182" customWidth="1"/>
    <col min="14084" max="14084" width="5.09765625" style="182" customWidth="1"/>
    <col min="14085" max="14085" width="57.8984375" style="182" customWidth="1"/>
    <col min="14086" max="14086" width="18.09765625" style="182" customWidth="1"/>
    <col min="14087" max="14087" width="18" style="182" customWidth="1"/>
    <col min="14088" max="14088" width="7.8984375" style="182" customWidth="1"/>
    <col min="14089" max="14089" width="12.296875" style="182" bestFit="1" customWidth="1"/>
    <col min="14090" max="14336" width="9.09765625" style="182"/>
    <col min="14337" max="14337" width="5.09765625" style="182" customWidth="1"/>
    <col min="14338" max="14338" width="14.09765625" style="182" customWidth="1"/>
    <col min="14339" max="14339" width="6.09765625" style="182" customWidth="1"/>
    <col min="14340" max="14340" width="5.09765625" style="182" customWidth="1"/>
    <col min="14341" max="14341" width="57.8984375" style="182" customWidth="1"/>
    <col min="14342" max="14342" width="18.09765625" style="182" customWidth="1"/>
    <col min="14343" max="14343" width="18" style="182" customWidth="1"/>
    <col min="14344" max="14344" width="7.8984375" style="182" customWidth="1"/>
    <col min="14345" max="14345" width="12.296875" style="182" bestFit="1" customWidth="1"/>
    <col min="14346" max="14592" width="9.09765625" style="182"/>
    <col min="14593" max="14593" width="5.09765625" style="182" customWidth="1"/>
    <col min="14594" max="14594" width="14.09765625" style="182" customWidth="1"/>
    <col min="14595" max="14595" width="6.09765625" style="182" customWidth="1"/>
    <col min="14596" max="14596" width="5.09765625" style="182" customWidth="1"/>
    <col min="14597" max="14597" width="57.8984375" style="182" customWidth="1"/>
    <col min="14598" max="14598" width="18.09765625" style="182" customWidth="1"/>
    <col min="14599" max="14599" width="18" style="182" customWidth="1"/>
    <col min="14600" max="14600" width="7.8984375" style="182" customWidth="1"/>
    <col min="14601" max="14601" width="12.296875" style="182" bestFit="1" customWidth="1"/>
    <col min="14602" max="14848" width="9.09765625" style="182"/>
    <col min="14849" max="14849" width="5.09765625" style="182" customWidth="1"/>
    <col min="14850" max="14850" width="14.09765625" style="182" customWidth="1"/>
    <col min="14851" max="14851" width="6.09765625" style="182" customWidth="1"/>
    <col min="14852" max="14852" width="5.09765625" style="182" customWidth="1"/>
    <col min="14853" max="14853" width="57.8984375" style="182" customWidth="1"/>
    <col min="14854" max="14854" width="18.09765625" style="182" customWidth="1"/>
    <col min="14855" max="14855" width="18" style="182" customWidth="1"/>
    <col min="14856" max="14856" width="7.8984375" style="182" customWidth="1"/>
    <col min="14857" max="14857" width="12.296875" style="182" bestFit="1" customWidth="1"/>
    <col min="14858" max="15104" width="9.09765625" style="182"/>
    <col min="15105" max="15105" width="5.09765625" style="182" customWidth="1"/>
    <col min="15106" max="15106" width="14.09765625" style="182" customWidth="1"/>
    <col min="15107" max="15107" width="6.09765625" style="182" customWidth="1"/>
    <col min="15108" max="15108" width="5.09765625" style="182" customWidth="1"/>
    <col min="15109" max="15109" width="57.8984375" style="182" customWidth="1"/>
    <col min="15110" max="15110" width="18.09765625" style="182" customWidth="1"/>
    <col min="15111" max="15111" width="18" style="182" customWidth="1"/>
    <col min="15112" max="15112" width="7.8984375" style="182" customWidth="1"/>
    <col min="15113" max="15113" width="12.296875" style="182" bestFit="1" customWidth="1"/>
    <col min="15114" max="15360" width="9.09765625" style="182"/>
    <col min="15361" max="15361" width="5.09765625" style="182" customWidth="1"/>
    <col min="15362" max="15362" width="14.09765625" style="182" customWidth="1"/>
    <col min="15363" max="15363" width="6.09765625" style="182" customWidth="1"/>
    <col min="15364" max="15364" width="5.09765625" style="182" customWidth="1"/>
    <col min="15365" max="15365" width="57.8984375" style="182" customWidth="1"/>
    <col min="15366" max="15366" width="18.09765625" style="182" customWidth="1"/>
    <col min="15367" max="15367" width="18" style="182" customWidth="1"/>
    <col min="15368" max="15368" width="7.8984375" style="182" customWidth="1"/>
    <col min="15369" max="15369" width="12.296875" style="182" bestFit="1" customWidth="1"/>
    <col min="15370" max="15616" width="9.09765625" style="182"/>
    <col min="15617" max="15617" width="5.09765625" style="182" customWidth="1"/>
    <col min="15618" max="15618" width="14.09765625" style="182" customWidth="1"/>
    <col min="15619" max="15619" width="6.09765625" style="182" customWidth="1"/>
    <col min="15620" max="15620" width="5.09765625" style="182" customWidth="1"/>
    <col min="15621" max="15621" width="57.8984375" style="182" customWidth="1"/>
    <col min="15622" max="15622" width="18.09765625" style="182" customWidth="1"/>
    <col min="15623" max="15623" width="18" style="182" customWidth="1"/>
    <col min="15624" max="15624" width="7.8984375" style="182" customWidth="1"/>
    <col min="15625" max="15625" width="12.296875" style="182" bestFit="1" customWidth="1"/>
    <col min="15626" max="15872" width="9.09765625" style="182"/>
    <col min="15873" max="15873" width="5.09765625" style="182" customWidth="1"/>
    <col min="15874" max="15874" width="14.09765625" style="182" customWidth="1"/>
    <col min="15875" max="15875" width="6.09765625" style="182" customWidth="1"/>
    <col min="15876" max="15876" width="5.09765625" style="182" customWidth="1"/>
    <col min="15877" max="15877" width="57.8984375" style="182" customWidth="1"/>
    <col min="15878" max="15878" width="18.09765625" style="182" customWidth="1"/>
    <col min="15879" max="15879" width="18" style="182" customWidth="1"/>
    <col min="15880" max="15880" width="7.8984375" style="182" customWidth="1"/>
    <col min="15881" max="15881" width="12.296875" style="182" bestFit="1" customWidth="1"/>
    <col min="15882" max="16128" width="9.09765625" style="182"/>
    <col min="16129" max="16129" width="5.09765625" style="182" customWidth="1"/>
    <col min="16130" max="16130" width="14.09765625" style="182" customWidth="1"/>
    <col min="16131" max="16131" width="6.09765625" style="182" customWidth="1"/>
    <col min="16132" max="16132" width="5.09765625" style="182" customWidth="1"/>
    <col min="16133" max="16133" width="57.8984375" style="182" customWidth="1"/>
    <col min="16134" max="16134" width="18.09765625" style="182" customWidth="1"/>
    <col min="16135" max="16135" width="18" style="182" customWidth="1"/>
    <col min="16136" max="16136" width="7.8984375" style="182" customWidth="1"/>
    <col min="16137" max="16137" width="12.296875" style="182" bestFit="1" customWidth="1"/>
    <col min="16138" max="16384" width="9.09765625" style="182"/>
  </cols>
  <sheetData>
    <row r="1" spans="1:9" s="179" customFormat="1" ht="14.95" customHeight="1" x14ac:dyDescent="0.3">
      <c r="G1" s="241" t="s">
        <v>1085</v>
      </c>
      <c r="H1" s="241"/>
    </row>
    <row r="2" spans="1:9" s="179" customFormat="1" ht="14.95" customHeight="1" x14ac:dyDescent="0.3">
      <c r="E2" s="241" t="s">
        <v>435</v>
      </c>
      <c r="F2" s="241"/>
      <c r="G2" s="241"/>
      <c r="H2" s="241"/>
    </row>
    <row r="3" spans="1:9" s="179" customFormat="1" ht="14.95" customHeight="1" x14ac:dyDescent="0.3">
      <c r="E3" s="241" t="s">
        <v>1086</v>
      </c>
      <c r="F3" s="241"/>
      <c r="G3" s="241"/>
      <c r="H3" s="241"/>
    </row>
    <row r="4" spans="1:9" s="179" customFormat="1" ht="14.95" customHeight="1" x14ac:dyDescent="0.3"/>
    <row r="5" spans="1:9" s="179" customFormat="1" ht="14.95" customHeight="1" x14ac:dyDescent="0.3"/>
    <row r="6" spans="1:9" s="179" customFormat="1" ht="25.5" customHeight="1" x14ac:dyDescent="0.3">
      <c r="A6" s="242" t="s">
        <v>1084</v>
      </c>
      <c r="B6" s="242"/>
      <c r="C6" s="242"/>
      <c r="D6" s="242"/>
      <c r="E6" s="242"/>
      <c r="F6" s="242"/>
      <c r="G6" s="242"/>
      <c r="H6" s="242"/>
    </row>
    <row r="7" spans="1:9" s="179" customFormat="1" ht="14.95" customHeight="1" x14ac:dyDescent="0.3"/>
    <row r="8" spans="1:9" ht="72.7" customHeight="1" x14ac:dyDescent="0.3">
      <c r="A8" s="180" t="s">
        <v>908</v>
      </c>
      <c r="B8" s="243" t="s">
        <v>909</v>
      </c>
      <c r="C8" s="243"/>
      <c r="D8" s="244"/>
      <c r="E8" s="180" t="s">
        <v>682</v>
      </c>
      <c r="F8" s="181" t="s">
        <v>910</v>
      </c>
      <c r="G8" s="181" t="s">
        <v>911</v>
      </c>
      <c r="H8" s="180" t="s">
        <v>884</v>
      </c>
    </row>
    <row r="9" spans="1:9" ht="43.2" x14ac:dyDescent="0.3">
      <c r="A9" s="183" t="s">
        <v>912</v>
      </c>
      <c r="B9" s="184"/>
      <c r="C9" s="184"/>
      <c r="D9" s="185"/>
      <c r="E9" s="186" t="s">
        <v>913</v>
      </c>
      <c r="F9" s="187">
        <f>F10</f>
        <v>10611500</v>
      </c>
      <c r="G9" s="187">
        <f>G10</f>
        <v>10154042.26</v>
      </c>
      <c r="H9" s="187">
        <f t="shared" ref="H9:H20" si="0">G9/F9*100</f>
        <v>95.689037930547045</v>
      </c>
    </row>
    <row r="10" spans="1:9" ht="20.25" customHeight="1" x14ac:dyDescent="0.3">
      <c r="A10" s="188"/>
      <c r="B10" s="189" t="s">
        <v>914</v>
      </c>
      <c r="C10" s="189" t="s">
        <v>440</v>
      </c>
      <c r="D10" s="190" t="s">
        <v>441</v>
      </c>
      <c r="E10" s="191" t="s">
        <v>915</v>
      </c>
      <c r="F10" s="192">
        <f>F11+F12+F13+F14+F15</f>
        <v>10611500</v>
      </c>
      <c r="G10" s="192">
        <f>G11+G12+G13+G14+G15</f>
        <v>10154042.26</v>
      </c>
      <c r="H10" s="192">
        <f t="shared" si="0"/>
        <v>95.689037930547045</v>
      </c>
      <c r="I10" s="193"/>
    </row>
    <row r="11" spans="1:9" ht="32.950000000000003" customHeight="1" outlineLevel="2" x14ac:dyDescent="0.3">
      <c r="A11" s="194" t="s">
        <v>912</v>
      </c>
      <c r="B11" s="195" t="s">
        <v>916</v>
      </c>
      <c r="C11" s="195" t="s">
        <v>440</v>
      </c>
      <c r="D11" s="196" t="s">
        <v>917</v>
      </c>
      <c r="E11" s="197" t="s">
        <v>918</v>
      </c>
      <c r="F11" s="198">
        <v>440000</v>
      </c>
      <c r="G11" s="198">
        <v>415173.75</v>
      </c>
      <c r="H11" s="198">
        <f t="shared" si="0"/>
        <v>94.357670454545456</v>
      </c>
    </row>
    <row r="12" spans="1:9" ht="32.950000000000003" customHeight="1" outlineLevel="5" x14ac:dyDescent="0.3">
      <c r="A12" s="194" t="s">
        <v>912</v>
      </c>
      <c r="B12" s="195" t="s">
        <v>919</v>
      </c>
      <c r="C12" s="195" t="s">
        <v>440</v>
      </c>
      <c r="D12" s="196" t="s">
        <v>917</v>
      </c>
      <c r="E12" s="199" t="s">
        <v>920</v>
      </c>
      <c r="F12" s="198">
        <v>1500</v>
      </c>
      <c r="G12" s="198">
        <v>1496.74</v>
      </c>
      <c r="H12" s="198">
        <f t="shared" si="0"/>
        <v>99.782666666666671</v>
      </c>
    </row>
    <row r="13" spans="1:9" ht="22.6" customHeight="1" outlineLevel="5" x14ac:dyDescent="0.3">
      <c r="A13" s="194" t="s">
        <v>912</v>
      </c>
      <c r="B13" s="195" t="s">
        <v>921</v>
      </c>
      <c r="C13" s="195" t="s">
        <v>440</v>
      </c>
      <c r="D13" s="196" t="s">
        <v>917</v>
      </c>
      <c r="E13" s="199" t="s">
        <v>922</v>
      </c>
      <c r="F13" s="198">
        <v>8450000</v>
      </c>
      <c r="G13" s="198">
        <v>8008431.4699999997</v>
      </c>
      <c r="H13" s="198">
        <f t="shared" si="0"/>
        <v>94.774336923076916</v>
      </c>
    </row>
    <row r="14" spans="1:9" ht="20.25" customHeight="1" outlineLevel="5" x14ac:dyDescent="0.3">
      <c r="A14" s="194" t="s">
        <v>912</v>
      </c>
      <c r="B14" s="195" t="s">
        <v>923</v>
      </c>
      <c r="C14" s="195" t="s">
        <v>440</v>
      </c>
      <c r="D14" s="196" t="s">
        <v>917</v>
      </c>
      <c r="E14" s="199" t="s">
        <v>924</v>
      </c>
      <c r="F14" s="198">
        <v>1720000</v>
      </c>
      <c r="G14" s="198">
        <v>1718940.3</v>
      </c>
      <c r="H14" s="198">
        <f t="shared" si="0"/>
        <v>99.938389534883726</v>
      </c>
    </row>
    <row r="15" spans="1:9" ht="38.25" customHeight="1" outlineLevel="5" x14ac:dyDescent="0.3">
      <c r="A15" s="194" t="s">
        <v>912</v>
      </c>
      <c r="B15" s="195" t="s">
        <v>925</v>
      </c>
      <c r="C15" s="195" t="s">
        <v>440</v>
      </c>
      <c r="D15" s="196" t="s">
        <v>926</v>
      </c>
      <c r="E15" s="197" t="s">
        <v>927</v>
      </c>
      <c r="F15" s="198">
        <v>0</v>
      </c>
      <c r="G15" s="198">
        <v>10000</v>
      </c>
      <c r="H15" s="198"/>
    </row>
    <row r="16" spans="1:9" s="202" customFormat="1" ht="32.950000000000003" customHeight="1" outlineLevel="5" x14ac:dyDescent="0.25">
      <c r="A16" s="183" t="s">
        <v>462</v>
      </c>
      <c r="B16" s="200"/>
      <c r="C16" s="200"/>
      <c r="D16" s="201"/>
      <c r="E16" s="186" t="s">
        <v>928</v>
      </c>
      <c r="F16" s="187">
        <f>F17</f>
        <v>10580005.939999999</v>
      </c>
      <c r="G16" s="187">
        <f>G17</f>
        <v>10430373.960000001</v>
      </c>
      <c r="H16" s="187">
        <f t="shared" si="0"/>
        <v>98.585709867758368</v>
      </c>
    </row>
    <row r="17" spans="1:9" s="202" customFormat="1" ht="24.8" customHeight="1" outlineLevel="5" x14ac:dyDescent="0.25">
      <c r="A17" s="188"/>
      <c r="B17" s="189" t="s">
        <v>914</v>
      </c>
      <c r="C17" s="189" t="s">
        <v>440</v>
      </c>
      <c r="D17" s="190" t="s">
        <v>441</v>
      </c>
      <c r="E17" s="191" t="s">
        <v>915</v>
      </c>
      <c r="F17" s="192">
        <f>F18+F19+F20+F21</f>
        <v>10580005.939999999</v>
      </c>
      <c r="G17" s="192">
        <f>G18+G19+G20+G21</f>
        <v>10430373.960000001</v>
      </c>
      <c r="H17" s="192">
        <f t="shared" si="0"/>
        <v>98.585709867758368</v>
      </c>
    </row>
    <row r="18" spans="1:9" ht="76.599999999999994" customHeight="1" x14ac:dyDescent="0.3">
      <c r="A18" s="194" t="s">
        <v>462</v>
      </c>
      <c r="B18" s="195" t="s">
        <v>929</v>
      </c>
      <c r="C18" s="195" t="s">
        <v>440</v>
      </c>
      <c r="D18" s="196" t="s">
        <v>930</v>
      </c>
      <c r="E18" s="203" t="s">
        <v>931</v>
      </c>
      <c r="F18" s="198">
        <v>3589602.2</v>
      </c>
      <c r="G18" s="198">
        <v>3565717.91</v>
      </c>
      <c r="H18" s="198">
        <f t="shared" si="0"/>
        <v>99.334625714236523</v>
      </c>
    </row>
    <row r="19" spans="1:9" ht="89.35" customHeight="1" x14ac:dyDescent="0.3">
      <c r="A19" s="194" t="s">
        <v>462</v>
      </c>
      <c r="B19" s="195" t="s">
        <v>932</v>
      </c>
      <c r="C19" s="195" t="s">
        <v>440</v>
      </c>
      <c r="D19" s="196" t="s">
        <v>930</v>
      </c>
      <c r="E19" s="203" t="s">
        <v>933</v>
      </c>
      <c r="F19" s="198">
        <v>80800.06</v>
      </c>
      <c r="G19" s="198">
        <v>54429.06</v>
      </c>
      <c r="H19" s="198">
        <f t="shared" si="0"/>
        <v>67.362647998033665</v>
      </c>
    </row>
    <row r="20" spans="1:9" ht="77.3" customHeight="1" x14ac:dyDescent="0.3">
      <c r="A20" s="194" t="s">
        <v>462</v>
      </c>
      <c r="B20" s="195" t="s">
        <v>934</v>
      </c>
      <c r="C20" s="195" t="s">
        <v>440</v>
      </c>
      <c r="D20" s="196" t="s">
        <v>930</v>
      </c>
      <c r="E20" s="203" t="s">
        <v>935</v>
      </c>
      <c r="F20" s="198">
        <v>6909603.6799999997</v>
      </c>
      <c r="G20" s="198">
        <v>7338357.0999999996</v>
      </c>
      <c r="H20" s="198">
        <f t="shared" si="0"/>
        <v>106.20518107631898</v>
      </c>
    </row>
    <row r="21" spans="1:9" ht="76.599999999999994" customHeight="1" x14ac:dyDescent="0.3">
      <c r="A21" s="194" t="s">
        <v>462</v>
      </c>
      <c r="B21" s="195" t="s">
        <v>936</v>
      </c>
      <c r="C21" s="195" t="s">
        <v>440</v>
      </c>
      <c r="D21" s="196" t="s">
        <v>930</v>
      </c>
      <c r="E21" s="203" t="s">
        <v>937</v>
      </c>
      <c r="F21" s="198">
        <f>32153-32153</f>
        <v>0</v>
      </c>
      <c r="G21" s="198">
        <v>-528130.11</v>
      </c>
      <c r="H21" s="198"/>
    </row>
    <row r="22" spans="1:9" ht="48.75" customHeight="1" x14ac:dyDescent="0.3">
      <c r="A22" s="183" t="s">
        <v>938</v>
      </c>
      <c r="B22" s="200"/>
      <c r="C22" s="200"/>
      <c r="D22" s="201"/>
      <c r="E22" s="204" t="s">
        <v>939</v>
      </c>
      <c r="F22" s="205">
        <f>F23</f>
        <v>31000</v>
      </c>
      <c r="G22" s="205">
        <f>G23</f>
        <v>31000</v>
      </c>
      <c r="H22" s="205">
        <f>G22/F22*100</f>
        <v>100</v>
      </c>
    </row>
    <row r="23" spans="1:9" ht="23.95" customHeight="1" x14ac:dyDescent="0.3">
      <c r="A23" s="188"/>
      <c r="B23" s="189" t="s">
        <v>914</v>
      </c>
      <c r="C23" s="189" t="s">
        <v>440</v>
      </c>
      <c r="D23" s="190" t="s">
        <v>441</v>
      </c>
      <c r="E23" s="191" t="s">
        <v>915</v>
      </c>
      <c r="F23" s="192">
        <f>F24</f>
        <v>31000</v>
      </c>
      <c r="G23" s="192">
        <f>G24</f>
        <v>31000</v>
      </c>
      <c r="H23" s="192">
        <f>G23/F23*100</f>
        <v>100</v>
      </c>
    </row>
    <row r="24" spans="1:9" ht="60.8" customHeight="1" x14ac:dyDescent="0.3">
      <c r="A24" s="194" t="s">
        <v>938</v>
      </c>
      <c r="B24" s="195" t="s">
        <v>940</v>
      </c>
      <c r="C24" s="195" t="s">
        <v>440</v>
      </c>
      <c r="D24" s="196" t="s">
        <v>926</v>
      </c>
      <c r="E24" s="206" t="s">
        <v>941</v>
      </c>
      <c r="F24" s="207">
        <v>31000</v>
      </c>
      <c r="G24" s="207">
        <v>31000</v>
      </c>
      <c r="H24" s="207">
        <f>G24/F24*100</f>
        <v>100</v>
      </c>
    </row>
    <row r="25" spans="1:9" s="202" customFormat="1" ht="30.05" customHeight="1" x14ac:dyDescent="0.25">
      <c r="A25" s="183" t="s">
        <v>942</v>
      </c>
      <c r="B25" s="200"/>
      <c r="C25" s="200"/>
      <c r="D25" s="201"/>
      <c r="E25" s="204" t="s">
        <v>943</v>
      </c>
      <c r="F25" s="205">
        <f>F26</f>
        <v>3716</v>
      </c>
      <c r="G25" s="205">
        <f>G26</f>
        <v>0</v>
      </c>
      <c r="H25" s="205">
        <f t="shared" ref="H25:H60" si="1">G25/F25*100</f>
        <v>0</v>
      </c>
    </row>
    <row r="26" spans="1:9" s="202" customFormat="1" ht="19.55" customHeight="1" x14ac:dyDescent="0.25">
      <c r="A26" s="188"/>
      <c r="B26" s="189" t="s">
        <v>914</v>
      </c>
      <c r="C26" s="189" t="s">
        <v>440</v>
      </c>
      <c r="D26" s="190" t="s">
        <v>441</v>
      </c>
      <c r="E26" s="191" t="s">
        <v>915</v>
      </c>
      <c r="F26" s="192">
        <f>F27</f>
        <v>3716</v>
      </c>
      <c r="G26" s="192">
        <f>G27</f>
        <v>0</v>
      </c>
      <c r="H26" s="192">
        <f t="shared" si="1"/>
        <v>0</v>
      </c>
    </row>
    <row r="27" spans="1:9" ht="76.599999999999994" customHeight="1" x14ac:dyDescent="0.3">
      <c r="A27" s="194" t="s">
        <v>942</v>
      </c>
      <c r="B27" s="195" t="s">
        <v>944</v>
      </c>
      <c r="C27" s="195" t="s">
        <v>440</v>
      </c>
      <c r="D27" s="196" t="s">
        <v>926</v>
      </c>
      <c r="E27" s="197" t="s">
        <v>945</v>
      </c>
      <c r="F27" s="207">
        <v>3716</v>
      </c>
      <c r="G27" s="207">
        <v>0</v>
      </c>
      <c r="H27" s="207">
        <f t="shared" si="1"/>
        <v>0</v>
      </c>
    </row>
    <row r="28" spans="1:9" s="202" customFormat="1" ht="28.8" outlineLevel="5" x14ac:dyDescent="0.25">
      <c r="A28" s="183" t="s">
        <v>946</v>
      </c>
      <c r="B28" s="200"/>
      <c r="C28" s="200"/>
      <c r="D28" s="201"/>
      <c r="E28" s="204" t="s">
        <v>947</v>
      </c>
      <c r="F28" s="205">
        <f>F29</f>
        <v>150284</v>
      </c>
      <c r="G28" s="205">
        <f>G29</f>
        <v>6000</v>
      </c>
      <c r="H28" s="205">
        <f t="shared" si="1"/>
        <v>3.9924409784142023</v>
      </c>
    </row>
    <row r="29" spans="1:9" outlineLevel="5" x14ac:dyDescent="0.3">
      <c r="A29" s="188"/>
      <c r="B29" s="189" t="s">
        <v>914</v>
      </c>
      <c r="C29" s="189" t="s">
        <v>440</v>
      </c>
      <c r="D29" s="190" t="s">
        <v>441</v>
      </c>
      <c r="E29" s="191" t="s">
        <v>915</v>
      </c>
      <c r="F29" s="192">
        <f>F30</f>
        <v>150284</v>
      </c>
      <c r="G29" s="192">
        <f>G30</f>
        <v>6000</v>
      </c>
      <c r="H29" s="192">
        <f t="shared" si="1"/>
        <v>3.9924409784142023</v>
      </c>
    </row>
    <row r="30" spans="1:9" ht="58.6" customHeight="1" outlineLevel="5" x14ac:dyDescent="0.3">
      <c r="A30" s="194" t="s">
        <v>946</v>
      </c>
      <c r="B30" s="195" t="s">
        <v>948</v>
      </c>
      <c r="C30" s="195" t="s">
        <v>440</v>
      </c>
      <c r="D30" s="196" t="s">
        <v>926</v>
      </c>
      <c r="E30" s="208" t="s">
        <v>949</v>
      </c>
      <c r="F30" s="207">
        <v>150284</v>
      </c>
      <c r="G30" s="207">
        <v>6000</v>
      </c>
      <c r="H30" s="207">
        <f t="shared" si="1"/>
        <v>3.9924409784142023</v>
      </c>
    </row>
    <row r="31" spans="1:9" s="202" customFormat="1" ht="33.799999999999997" customHeight="1" outlineLevel="5" x14ac:dyDescent="0.25">
      <c r="A31" s="183" t="s">
        <v>950</v>
      </c>
      <c r="B31" s="200"/>
      <c r="C31" s="200"/>
      <c r="D31" s="201"/>
      <c r="E31" s="204" t="s">
        <v>951</v>
      </c>
      <c r="F31" s="205">
        <f>F32</f>
        <v>659828543.77999997</v>
      </c>
      <c r="G31" s="205">
        <f>G32</f>
        <v>668324202.64999986</v>
      </c>
      <c r="H31" s="205">
        <f t="shared" si="1"/>
        <v>101.28755552485352</v>
      </c>
      <c r="I31" s="209"/>
    </row>
    <row r="32" spans="1:9" ht="18.7" customHeight="1" outlineLevel="5" x14ac:dyDescent="0.3">
      <c r="A32" s="188"/>
      <c r="B32" s="189" t="s">
        <v>914</v>
      </c>
      <c r="C32" s="189" t="s">
        <v>440</v>
      </c>
      <c r="D32" s="190" t="s">
        <v>441</v>
      </c>
      <c r="E32" s="191" t="s">
        <v>915</v>
      </c>
      <c r="F32" s="192">
        <f>F33+F34+F35+F36+F37+F38+F39+F40+F41+F42+F43+F44+F45+F46+F47+F48+F49+F50</f>
        <v>659828543.77999997</v>
      </c>
      <c r="G32" s="192">
        <f>G33+G34+G35+G36+G37+G38+G39+G40+G41+G42+G43+G44+G45+G46+G47+G48+G49+G50</f>
        <v>668324202.64999986</v>
      </c>
      <c r="H32" s="210">
        <f t="shared" si="1"/>
        <v>101.28755552485352</v>
      </c>
    </row>
    <row r="33" spans="1:8" ht="72" x14ac:dyDescent="0.3">
      <c r="A33" s="194" t="s">
        <v>950</v>
      </c>
      <c r="B33" s="195" t="s">
        <v>952</v>
      </c>
      <c r="C33" s="195" t="s">
        <v>440</v>
      </c>
      <c r="D33" s="196" t="s">
        <v>930</v>
      </c>
      <c r="E33" s="206" t="s">
        <v>953</v>
      </c>
      <c r="F33" s="198">
        <v>589779313.98000002</v>
      </c>
      <c r="G33" s="198">
        <v>603818082.85000002</v>
      </c>
      <c r="H33" s="198">
        <f t="shared" si="1"/>
        <v>102.38034270399589</v>
      </c>
    </row>
    <row r="34" spans="1:8" ht="100.8" x14ac:dyDescent="0.3">
      <c r="A34" s="194" t="s">
        <v>950</v>
      </c>
      <c r="B34" s="195" t="s">
        <v>954</v>
      </c>
      <c r="C34" s="195" t="s">
        <v>440</v>
      </c>
      <c r="D34" s="196" t="s">
        <v>930</v>
      </c>
      <c r="E34" s="206" t="s">
        <v>955</v>
      </c>
      <c r="F34" s="198">
        <v>277250</v>
      </c>
      <c r="G34" s="198">
        <v>249339.92</v>
      </c>
      <c r="H34" s="198">
        <f t="shared" si="1"/>
        <v>89.933244364292165</v>
      </c>
    </row>
    <row r="35" spans="1:8" ht="54" customHeight="1" x14ac:dyDescent="0.3">
      <c r="A35" s="194" t="s">
        <v>950</v>
      </c>
      <c r="B35" s="195" t="s">
        <v>956</v>
      </c>
      <c r="C35" s="195" t="s">
        <v>440</v>
      </c>
      <c r="D35" s="196" t="s">
        <v>930</v>
      </c>
      <c r="E35" s="206" t="s">
        <v>957</v>
      </c>
      <c r="F35" s="198">
        <v>340334.38</v>
      </c>
      <c r="G35" s="198">
        <v>356970.92</v>
      </c>
      <c r="H35" s="198">
        <f t="shared" si="1"/>
        <v>104.8882925080916</v>
      </c>
    </row>
    <row r="36" spans="1:8" ht="89.35" customHeight="1" x14ac:dyDescent="0.3">
      <c r="A36" s="194" t="s">
        <v>950</v>
      </c>
      <c r="B36" s="195" t="s">
        <v>958</v>
      </c>
      <c r="C36" s="195" t="s">
        <v>440</v>
      </c>
      <c r="D36" s="196" t="s">
        <v>930</v>
      </c>
      <c r="E36" s="206" t="s">
        <v>959</v>
      </c>
      <c r="F36" s="198">
        <v>25230.28</v>
      </c>
      <c r="G36" s="198">
        <v>22652.06</v>
      </c>
      <c r="H36" s="198">
        <f t="shared" si="1"/>
        <v>89.781246977837753</v>
      </c>
    </row>
    <row r="37" spans="1:8" ht="30.75" customHeight="1" outlineLevel="2" x14ac:dyDescent="0.3">
      <c r="A37" s="194" t="s">
        <v>950</v>
      </c>
      <c r="B37" s="195" t="s">
        <v>960</v>
      </c>
      <c r="C37" s="195" t="s">
        <v>440</v>
      </c>
      <c r="D37" s="196" t="s">
        <v>930</v>
      </c>
      <c r="E37" s="206" t="s">
        <v>961</v>
      </c>
      <c r="F37" s="198">
        <v>10233675</v>
      </c>
      <c r="G37" s="198">
        <v>9130681.4100000001</v>
      </c>
      <c r="H37" s="198">
        <f t="shared" si="1"/>
        <v>89.221920864205671</v>
      </c>
    </row>
    <row r="38" spans="1:8" ht="30.75" customHeight="1" outlineLevel="2" x14ac:dyDescent="0.3">
      <c r="A38" s="194" t="s">
        <v>950</v>
      </c>
      <c r="B38" s="195" t="s">
        <v>962</v>
      </c>
      <c r="C38" s="195" t="s">
        <v>440</v>
      </c>
      <c r="D38" s="196" t="s">
        <v>930</v>
      </c>
      <c r="E38" s="206" t="s">
        <v>963</v>
      </c>
      <c r="F38" s="198">
        <v>10000</v>
      </c>
      <c r="G38" s="198">
        <v>7147.8</v>
      </c>
      <c r="H38" s="198">
        <f t="shared" si="1"/>
        <v>71.477999999999994</v>
      </c>
    </row>
    <row r="39" spans="1:8" ht="43.2" outlineLevel="5" x14ac:dyDescent="0.3">
      <c r="A39" s="194" t="s">
        <v>950</v>
      </c>
      <c r="B39" s="195" t="s">
        <v>964</v>
      </c>
      <c r="C39" s="195" t="s">
        <v>440</v>
      </c>
      <c r="D39" s="196" t="s">
        <v>930</v>
      </c>
      <c r="E39" s="206" t="s">
        <v>965</v>
      </c>
      <c r="F39" s="198">
        <v>14635550</v>
      </c>
      <c r="G39" s="198">
        <v>13869061.119999999</v>
      </c>
      <c r="H39" s="198">
        <f t="shared" si="1"/>
        <v>94.762828318717098</v>
      </c>
    </row>
    <row r="40" spans="1:8" ht="28.8" outlineLevel="5" x14ac:dyDescent="0.3">
      <c r="A40" s="194" t="s">
        <v>950</v>
      </c>
      <c r="B40" s="195" t="s">
        <v>966</v>
      </c>
      <c r="C40" s="195" t="s">
        <v>440</v>
      </c>
      <c r="D40" s="196" t="s">
        <v>930</v>
      </c>
      <c r="E40" s="211" t="s">
        <v>967</v>
      </c>
      <c r="F40" s="198">
        <v>3546175</v>
      </c>
      <c r="G40" s="198">
        <v>3226394.7</v>
      </c>
      <c r="H40" s="198">
        <f t="shared" si="1"/>
        <v>90.982388066014792</v>
      </c>
    </row>
    <row r="41" spans="1:8" ht="28.8" x14ac:dyDescent="0.3">
      <c r="A41" s="194" t="s">
        <v>950</v>
      </c>
      <c r="B41" s="195" t="s">
        <v>968</v>
      </c>
      <c r="C41" s="195" t="s">
        <v>440</v>
      </c>
      <c r="D41" s="196" t="s">
        <v>930</v>
      </c>
      <c r="E41" s="206" t="s">
        <v>969</v>
      </c>
      <c r="F41" s="198">
        <v>18259458.239999998</v>
      </c>
      <c r="G41" s="198">
        <v>16217893.09</v>
      </c>
      <c r="H41" s="198">
        <f t="shared" si="1"/>
        <v>88.819136235227106</v>
      </c>
    </row>
    <row r="42" spans="1:8" ht="31.6" customHeight="1" x14ac:dyDescent="0.3">
      <c r="A42" s="194" t="s">
        <v>950</v>
      </c>
      <c r="B42" s="195" t="s">
        <v>970</v>
      </c>
      <c r="C42" s="195" t="s">
        <v>440</v>
      </c>
      <c r="D42" s="196" t="s">
        <v>930</v>
      </c>
      <c r="E42" s="206" t="s">
        <v>971</v>
      </c>
      <c r="F42" s="198">
        <v>10000</v>
      </c>
      <c r="G42" s="198">
        <v>4849.97</v>
      </c>
      <c r="H42" s="198">
        <f t="shared" si="1"/>
        <v>48.499700000000004</v>
      </c>
    </row>
    <row r="43" spans="1:8" ht="48.05" customHeight="1" x14ac:dyDescent="0.3">
      <c r="A43" s="194" t="s">
        <v>950</v>
      </c>
      <c r="B43" s="195" t="s">
        <v>972</v>
      </c>
      <c r="C43" s="195" t="s">
        <v>440</v>
      </c>
      <c r="D43" s="196" t="s">
        <v>930</v>
      </c>
      <c r="E43" s="206" t="s">
        <v>973</v>
      </c>
      <c r="F43" s="198">
        <v>405000</v>
      </c>
      <c r="G43" s="198">
        <v>503166.17</v>
      </c>
      <c r="H43" s="198">
        <f t="shared" si="1"/>
        <v>124.23856049382715</v>
      </c>
    </row>
    <row r="44" spans="1:8" ht="43.2" x14ac:dyDescent="0.3">
      <c r="A44" s="194" t="s">
        <v>950</v>
      </c>
      <c r="B44" s="195" t="s">
        <v>974</v>
      </c>
      <c r="C44" s="195" t="s">
        <v>440</v>
      </c>
      <c r="D44" s="196" t="s">
        <v>930</v>
      </c>
      <c r="E44" s="206" t="s">
        <v>975</v>
      </c>
      <c r="F44" s="198">
        <v>5000000</v>
      </c>
      <c r="G44" s="198">
        <v>4674070.34</v>
      </c>
      <c r="H44" s="198">
        <f t="shared" si="1"/>
        <v>93.481406800000002</v>
      </c>
    </row>
    <row r="45" spans="1:8" ht="28.8" x14ac:dyDescent="0.3">
      <c r="A45" s="194" t="s">
        <v>950</v>
      </c>
      <c r="B45" s="195" t="s">
        <v>976</v>
      </c>
      <c r="C45" s="195" t="s">
        <v>440</v>
      </c>
      <c r="D45" s="196" t="s">
        <v>930</v>
      </c>
      <c r="E45" s="206" t="s">
        <v>977</v>
      </c>
      <c r="F45" s="198">
        <v>10375549.92</v>
      </c>
      <c r="G45" s="198">
        <v>9886597.7300000004</v>
      </c>
      <c r="H45" s="198">
        <f t="shared" si="1"/>
        <v>95.287457592416473</v>
      </c>
    </row>
    <row r="46" spans="1:8" ht="28.8" x14ac:dyDescent="0.3">
      <c r="A46" s="194" t="s">
        <v>950</v>
      </c>
      <c r="B46" s="195" t="s">
        <v>978</v>
      </c>
      <c r="C46" s="195" t="s">
        <v>440</v>
      </c>
      <c r="D46" s="196" t="s">
        <v>930</v>
      </c>
      <c r="E46" s="206" t="s">
        <v>979</v>
      </c>
      <c r="F46" s="198">
        <v>200000</v>
      </c>
      <c r="G46" s="198">
        <v>50887.75</v>
      </c>
      <c r="H46" s="198">
        <f t="shared" si="1"/>
        <v>25.443874999999998</v>
      </c>
    </row>
    <row r="47" spans="1:8" ht="43.2" x14ac:dyDescent="0.3">
      <c r="A47" s="194" t="s">
        <v>950</v>
      </c>
      <c r="B47" s="195" t="s">
        <v>980</v>
      </c>
      <c r="C47" s="195" t="s">
        <v>440</v>
      </c>
      <c r="D47" s="196" t="s">
        <v>930</v>
      </c>
      <c r="E47" s="206" t="s">
        <v>981</v>
      </c>
      <c r="F47" s="198">
        <v>6573542.9800000004</v>
      </c>
      <c r="G47" s="198">
        <v>6263334.5099999998</v>
      </c>
      <c r="H47" s="198">
        <f t="shared" si="1"/>
        <v>95.280954715838789</v>
      </c>
    </row>
    <row r="48" spans="1:8" s="193" customFormat="1" ht="77.95" customHeight="1" x14ac:dyDescent="0.3">
      <c r="A48" s="212" t="s">
        <v>950</v>
      </c>
      <c r="B48" s="213" t="s">
        <v>982</v>
      </c>
      <c r="C48" s="213" t="s">
        <v>440</v>
      </c>
      <c r="D48" s="214" t="s">
        <v>926</v>
      </c>
      <c r="E48" s="215" t="s">
        <v>983</v>
      </c>
      <c r="F48" s="216">
        <v>79988</v>
      </c>
      <c r="G48" s="216">
        <v>34422.31</v>
      </c>
      <c r="H48" s="216">
        <f t="shared" si="1"/>
        <v>43.034342651397708</v>
      </c>
    </row>
    <row r="49" spans="1:8" ht="57.6" x14ac:dyDescent="0.3">
      <c r="A49" s="194" t="s">
        <v>950</v>
      </c>
      <c r="B49" s="195" t="s">
        <v>984</v>
      </c>
      <c r="C49" s="195" t="s">
        <v>440</v>
      </c>
      <c r="D49" s="196" t="s">
        <v>926</v>
      </c>
      <c r="E49" s="206" t="s">
        <v>985</v>
      </c>
      <c r="F49" s="207">
        <v>8085</v>
      </c>
      <c r="G49" s="207">
        <v>1650</v>
      </c>
      <c r="H49" s="198">
        <f t="shared" si="1"/>
        <v>20.408163265306122</v>
      </c>
    </row>
    <row r="50" spans="1:8" ht="58.6" customHeight="1" x14ac:dyDescent="0.3">
      <c r="A50" s="194" t="s">
        <v>950</v>
      </c>
      <c r="B50" s="195" t="s">
        <v>986</v>
      </c>
      <c r="C50" s="195" t="s">
        <v>440</v>
      </c>
      <c r="D50" s="196" t="s">
        <v>926</v>
      </c>
      <c r="E50" s="206" t="s">
        <v>987</v>
      </c>
      <c r="F50" s="207">
        <v>69391</v>
      </c>
      <c r="G50" s="207">
        <v>7000</v>
      </c>
      <c r="H50" s="198">
        <f t="shared" si="1"/>
        <v>10.087763542822556</v>
      </c>
    </row>
    <row r="51" spans="1:8" s="202" customFormat="1" ht="35.35" customHeight="1" outlineLevel="5" x14ac:dyDescent="0.25">
      <c r="A51" s="183" t="s">
        <v>988</v>
      </c>
      <c r="B51" s="200"/>
      <c r="C51" s="200"/>
      <c r="D51" s="201"/>
      <c r="E51" s="204" t="s">
        <v>989</v>
      </c>
      <c r="F51" s="205">
        <f>F52</f>
        <v>2750545</v>
      </c>
      <c r="G51" s="205">
        <f>G52</f>
        <v>2523815.77</v>
      </c>
      <c r="H51" s="205">
        <f t="shared" si="1"/>
        <v>91.756934353010038</v>
      </c>
    </row>
    <row r="52" spans="1:8" ht="22.6" customHeight="1" outlineLevel="5" x14ac:dyDescent="0.3">
      <c r="A52" s="188"/>
      <c r="B52" s="189" t="s">
        <v>914</v>
      </c>
      <c r="C52" s="189" t="s">
        <v>440</v>
      </c>
      <c r="D52" s="190" t="s">
        <v>441</v>
      </c>
      <c r="E52" s="191" t="s">
        <v>915</v>
      </c>
      <c r="F52" s="192">
        <f>F55+F56+F57+F53+F54</f>
        <v>2750545</v>
      </c>
      <c r="G52" s="192">
        <f>G55+G56+G57+G53+G54</f>
        <v>2523815.77</v>
      </c>
      <c r="H52" s="210">
        <f t="shared" si="1"/>
        <v>91.756934353010038</v>
      </c>
    </row>
    <row r="53" spans="1:8" ht="62.35" customHeight="1" outlineLevel="5" x14ac:dyDescent="0.3">
      <c r="A53" s="212" t="s">
        <v>988</v>
      </c>
      <c r="B53" s="195" t="s">
        <v>990</v>
      </c>
      <c r="C53" s="195" t="s">
        <v>440</v>
      </c>
      <c r="D53" s="196" t="s">
        <v>926</v>
      </c>
      <c r="E53" s="217" t="s">
        <v>991</v>
      </c>
      <c r="F53" s="216">
        <v>260000</v>
      </c>
      <c r="G53" s="216">
        <v>285000</v>
      </c>
      <c r="H53" s="216">
        <f>G53/F53*100</f>
        <v>109.61538461538463</v>
      </c>
    </row>
    <row r="54" spans="1:8" ht="62.35" customHeight="1" outlineLevel="5" x14ac:dyDescent="0.3">
      <c r="A54" s="194" t="s">
        <v>988</v>
      </c>
      <c r="B54" s="195" t="s">
        <v>940</v>
      </c>
      <c r="C54" s="195" t="s">
        <v>440</v>
      </c>
      <c r="D54" s="196" t="s">
        <v>926</v>
      </c>
      <c r="E54" s="206" t="s">
        <v>941</v>
      </c>
      <c r="F54" s="207">
        <v>18500</v>
      </c>
      <c r="G54" s="207">
        <v>14350</v>
      </c>
      <c r="H54" s="207">
        <f>G54/F54*100</f>
        <v>77.567567567567565</v>
      </c>
    </row>
    <row r="55" spans="1:8" s="193" customFormat="1" ht="28.8" outlineLevel="5" x14ac:dyDescent="0.3">
      <c r="A55" s="194" t="s">
        <v>988</v>
      </c>
      <c r="B55" s="195" t="s">
        <v>992</v>
      </c>
      <c r="C55" s="195" t="s">
        <v>440</v>
      </c>
      <c r="D55" s="196" t="s">
        <v>926</v>
      </c>
      <c r="E55" s="217" t="s">
        <v>993</v>
      </c>
      <c r="F55" s="216">
        <v>1388628</v>
      </c>
      <c r="G55" s="216">
        <v>1104755.97</v>
      </c>
      <c r="H55" s="216">
        <f t="shared" si="1"/>
        <v>79.557373897112825</v>
      </c>
    </row>
    <row r="56" spans="1:8" s="193" customFormat="1" ht="57.6" outlineLevel="5" x14ac:dyDescent="0.3">
      <c r="A56" s="194" t="s">
        <v>988</v>
      </c>
      <c r="B56" s="195" t="s">
        <v>994</v>
      </c>
      <c r="C56" s="195" t="s">
        <v>440</v>
      </c>
      <c r="D56" s="196" t="s">
        <v>926</v>
      </c>
      <c r="E56" s="197" t="s">
        <v>945</v>
      </c>
      <c r="F56" s="207">
        <v>113000</v>
      </c>
      <c r="G56" s="207">
        <v>100050.67</v>
      </c>
      <c r="H56" s="216">
        <f t="shared" si="1"/>
        <v>88.540415929203547</v>
      </c>
    </row>
    <row r="57" spans="1:8" ht="47.25" customHeight="1" outlineLevel="5" x14ac:dyDescent="0.3">
      <c r="A57" s="194" t="s">
        <v>988</v>
      </c>
      <c r="B57" s="195" t="s">
        <v>995</v>
      </c>
      <c r="C57" s="195" t="s">
        <v>440</v>
      </c>
      <c r="D57" s="196" t="s">
        <v>926</v>
      </c>
      <c r="E57" s="206" t="s">
        <v>996</v>
      </c>
      <c r="F57" s="207">
        <v>970417</v>
      </c>
      <c r="G57" s="207">
        <v>1019659.13</v>
      </c>
      <c r="H57" s="216">
        <f t="shared" si="1"/>
        <v>105.07432681002085</v>
      </c>
    </row>
    <row r="58" spans="1:8" s="202" customFormat="1" ht="43.2" outlineLevel="5" x14ac:dyDescent="0.25">
      <c r="A58" s="183" t="s">
        <v>997</v>
      </c>
      <c r="B58" s="200"/>
      <c r="C58" s="200"/>
      <c r="D58" s="201"/>
      <c r="E58" s="204" t="s">
        <v>998</v>
      </c>
      <c r="F58" s="205">
        <f>F59</f>
        <v>18589</v>
      </c>
      <c r="G58" s="205">
        <f>G59</f>
        <v>0</v>
      </c>
      <c r="H58" s="205">
        <f t="shared" si="1"/>
        <v>0</v>
      </c>
    </row>
    <row r="59" spans="1:8" s="202" customFormat="1" ht="25.5" customHeight="1" outlineLevel="5" x14ac:dyDescent="0.25">
      <c r="A59" s="188"/>
      <c r="B59" s="189" t="s">
        <v>914</v>
      </c>
      <c r="C59" s="189" t="s">
        <v>440</v>
      </c>
      <c r="D59" s="190" t="s">
        <v>441</v>
      </c>
      <c r="E59" s="191" t="s">
        <v>915</v>
      </c>
      <c r="F59" s="192">
        <f>F60</f>
        <v>18589</v>
      </c>
      <c r="G59" s="192">
        <f>G60</f>
        <v>0</v>
      </c>
      <c r="H59" s="192">
        <f t="shared" si="1"/>
        <v>0</v>
      </c>
    </row>
    <row r="60" spans="1:8" ht="32.299999999999997" customHeight="1" x14ac:dyDescent="0.3">
      <c r="A60" s="194" t="s">
        <v>997</v>
      </c>
      <c r="B60" s="195" t="s">
        <v>999</v>
      </c>
      <c r="C60" s="195" t="s">
        <v>440</v>
      </c>
      <c r="D60" s="196" t="s">
        <v>926</v>
      </c>
      <c r="E60" s="206" t="s">
        <v>1000</v>
      </c>
      <c r="F60" s="207">
        <v>18589</v>
      </c>
      <c r="G60" s="207">
        <v>0</v>
      </c>
      <c r="H60" s="207">
        <f t="shared" si="1"/>
        <v>0</v>
      </c>
    </row>
    <row r="61" spans="1:8" ht="77.3" hidden="1" customHeight="1" x14ac:dyDescent="0.3">
      <c r="A61" s="194" t="s">
        <v>997</v>
      </c>
      <c r="B61" s="195" t="s">
        <v>1001</v>
      </c>
      <c r="C61" s="195" t="s">
        <v>440</v>
      </c>
      <c r="D61" s="196" t="s">
        <v>926</v>
      </c>
      <c r="E61" s="197" t="s">
        <v>945</v>
      </c>
      <c r="F61" s="207">
        <v>0</v>
      </c>
      <c r="G61" s="207">
        <v>0</v>
      </c>
      <c r="H61" s="207"/>
    </row>
    <row r="62" spans="1:8" ht="46.55" hidden="1" customHeight="1" outlineLevel="5" x14ac:dyDescent="0.3">
      <c r="A62" s="194" t="s">
        <v>997</v>
      </c>
      <c r="B62" s="195" t="s">
        <v>1002</v>
      </c>
      <c r="C62" s="195" t="s">
        <v>440</v>
      </c>
      <c r="D62" s="196" t="s">
        <v>926</v>
      </c>
      <c r="E62" s="206" t="s">
        <v>996</v>
      </c>
      <c r="F62" s="207">
        <f>14000-4000-1000-9000</f>
        <v>0</v>
      </c>
      <c r="G62" s="207">
        <f>14000-4000-1000-9000</f>
        <v>0</v>
      </c>
      <c r="H62" s="207"/>
    </row>
    <row r="63" spans="1:8" s="202" customFormat="1" ht="28.8" outlineLevel="5" x14ac:dyDescent="0.25">
      <c r="A63" s="183" t="s">
        <v>1003</v>
      </c>
      <c r="B63" s="200"/>
      <c r="C63" s="200"/>
      <c r="D63" s="201"/>
      <c r="E63" s="204" t="s">
        <v>1004</v>
      </c>
      <c r="F63" s="205">
        <f>F64</f>
        <v>745200</v>
      </c>
      <c r="G63" s="205">
        <f>G64</f>
        <v>633200</v>
      </c>
      <c r="H63" s="205">
        <f t="shared" ref="H63:H81" si="2">G63/F63*100</f>
        <v>84.970477724100917</v>
      </c>
    </row>
    <row r="64" spans="1:8" s="202" customFormat="1" ht="19.55" customHeight="1" outlineLevel="5" x14ac:dyDescent="0.25">
      <c r="A64" s="188"/>
      <c r="B64" s="189" t="s">
        <v>914</v>
      </c>
      <c r="C64" s="189" t="s">
        <v>440</v>
      </c>
      <c r="D64" s="190" t="s">
        <v>441</v>
      </c>
      <c r="E64" s="191" t="s">
        <v>915</v>
      </c>
      <c r="F64" s="192">
        <f>F65</f>
        <v>745200</v>
      </c>
      <c r="G64" s="192">
        <f>G65</f>
        <v>633200</v>
      </c>
      <c r="H64" s="192">
        <f t="shared" si="2"/>
        <v>84.970477724100917</v>
      </c>
    </row>
    <row r="65" spans="1:9" ht="57.6" x14ac:dyDescent="0.3">
      <c r="A65" s="194" t="s">
        <v>1003</v>
      </c>
      <c r="B65" s="195" t="s">
        <v>940</v>
      </c>
      <c r="C65" s="195" t="s">
        <v>440</v>
      </c>
      <c r="D65" s="196" t="s">
        <v>926</v>
      </c>
      <c r="E65" s="206" t="s">
        <v>941</v>
      </c>
      <c r="F65" s="207">
        <v>745200</v>
      </c>
      <c r="G65" s="207">
        <v>633200</v>
      </c>
      <c r="H65" s="207">
        <f t="shared" si="2"/>
        <v>84.970477724100917</v>
      </c>
    </row>
    <row r="66" spans="1:9" s="202" customFormat="1" ht="34.5" customHeight="1" x14ac:dyDescent="0.25">
      <c r="A66" s="183" t="s">
        <v>8</v>
      </c>
      <c r="B66" s="200"/>
      <c r="C66" s="200"/>
      <c r="D66" s="201"/>
      <c r="E66" s="204" t="s">
        <v>1005</v>
      </c>
      <c r="F66" s="205">
        <f>F67</f>
        <v>194424.09</v>
      </c>
      <c r="G66" s="205">
        <f>G67</f>
        <v>194424.09</v>
      </c>
      <c r="H66" s="205">
        <f t="shared" si="2"/>
        <v>100</v>
      </c>
    </row>
    <row r="67" spans="1:9" s="202" customFormat="1" ht="21.05" customHeight="1" x14ac:dyDescent="0.25">
      <c r="A67" s="188"/>
      <c r="B67" s="189" t="s">
        <v>914</v>
      </c>
      <c r="C67" s="189" t="s">
        <v>440</v>
      </c>
      <c r="D67" s="190" t="s">
        <v>441</v>
      </c>
      <c r="E67" s="191" t="s">
        <v>915</v>
      </c>
      <c r="F67" s="192">
        <f>F68</f>
        <v>194424.09</v>
      </c>
      <c r="G67" s="192">
        <f>G68</f>
        <v>194424.09</v>
      </c>
      <c r="H67" s="192">
        <f t="shared" si="2"/>
        <v>100</v>
      </c>
    </row>
    <row r="68" spans="1:9" s="202" customFormat="1" ht="36" customHeight="1" x14ac:dyDescent="0.25">
      <c r="A68" s="212" t="s">
        <v>8</v>
      </c>
      <c r="B68" s="195" t="s">
        <v>1006</v>
      </c>
      <c r="C68" s="195" t="s">
        <v>440</v>
      </c>
      <c r="D68" s="196" t="s">
        <v>1007</v>
      </c>
      <c r="E68" s="206" t="s">
        <v>1008</v>
      </c>
      <c r="F68" s="198">
        <v>194424.09</v>
      </c>
      <c r="G68" s="198">
        <v>194424.09</v>
      </c>
      <c r="H68" s="198">
        <f>G68/F68*100</f>
        <v>100</v>
      </c>
    </row>
    <row r="69" spans="1:9" s="202" customFormat="1" ht="19.55" customHeight="1" outlineLevel="5" x14ac:dyDescent="0.25">
      <c r="A69" s="183" t="s">
        <v>9</v>
      </c>
      <c r="B69" s="200"/>
      <c r="C69" s="200"/>
      <c r="D69" s="201"/>
      <c r="E69" s="204" t="s">
        <v>1009</v>
      </c>
      <c r="F69" s="205">
        <f>F70+F76</f>
        <v>6511936.1600000001</v>
      </c>
      <c r="G69" s="205">
        <f>G70+G76</f>
        <v>6182832.1200000001</v>
      </c>
      <c r="H69" s="205">
        <f t="shared" si="2"/>
        <v>94.946141486743315</v>
      </c>
      <c r="I69" s="209"/>
    </row>
    <row r="70" spans="1:9" s="202" customFormat="1" ht="19.55" customHeight="1" outlineLevel="5" x14ac:dyDescent="0.25">
      <c r="A70" s="188"/>
      <c r="B70" s="189" t="s">
        <v>914</v>
      </c>
      <c r="C70" s="189" t="s">
        <v>440</v>
      </c>
      <c r="D70" s="190" t="s">
        <v>441</v>
      </c>
      <c r="E70" s="191" t="s">
        <v>915</v>
      </c>
      <c r="F70" s="192">
        <f>F71+F72+F73+F74+F75</f>
        <v>881036.15999999992</v>
      </c>
      <c r="G70" s="192">
        <f>G71+G72+G73+G74+G75</f>
        <v>919466.95</v>
      </c>
      <c r="H70" s="192">
        <f t="shared" si="2"/>
        <v>104.36199917152096</v>
      </c>
    </row>
    <row r="71" spans="1:9" ht="49.6" customHeight="1" x14ac:dyDescent="0.3">
      <c r="A71" s="194" t="s">
        <v>9</v>
      </c>
      <c r="B71" s="195" t="s">
        <v>1010</v>
      </c>
      <c r="C71" s="195" t="s">
        <v>440</v>
      </c>
      <c r="D71" s="196" t="s">
        <v>1007</v>
      </c>
      <c r="E71" s="206" t="s">
        <v>1011</v>
      </c>
      <c r="F71" s="198">
        <v>71343</v>
      </c>
      <c r="G71" s="198">
        <v>56730.43</v>
      </c>
      <c r="H71" s="198">
        <f t="shared" si="2"/>
        <v>79.517864401553055</v>
      </c>
    </row>
    <row r="72" spans="1:9" ht="32.299999999999997" customHeight="1" x14ac:dyDescent="0.3">
      <c r="A72" s="194" t="s">
        <v>9</v>
      </c>
      <c r="B72" s="195" t="s">
        <v>1006</v>
      </c>
      <c r="C72" s="195" t="s">
        <v>440</v>
      </c>
      <c r="D72" s="196" t="s">
        <v>1007</v>
      </c>
      <c r="E72" s="206" t="s">
        <v>1008</v>
      </c>
      <c r="F72" s="198">
        <v>327393.65999999997</v>
      </c>
      <c r="G72" s="198">
        <v>379296.93</v>
      </c>
      <c r="H72" s="198">
        <f t="shared" si="2"/>
        <v>115.85347437699313</v>
      </c>
    </row>
    <row r="73" spans="1:9" ht="47.25" customHeight="1" x14ac:dyDescent="0.3">
      <c r="A73" s="194" t="s">
        <v>9</v>
      </c>
      <c r="B73" s="195" t="s">
        <v>1012</v>
      </c>
      <c r="C73" s="195" t="s">
        <v>440</v>
      </c>
      <c r="D73" s="196" t="s">
        <v>926</v>
      </c>
      <c r="E73" s="218" t="s">
        <v>1013</v>
      </c>
      <c r="F73" s="198">
        <v>22700</v>
      </c>
      <c r="G73" s="198">
        <v>22700</v>
      </c>
      <c r="H73" s="198">
        <f t="shared" si="2"/>
        <v>100</v>
      </c>
    </row>
    <row r="74" spans="1:9" ht="43.2" x14ac:dyDescent="0.3">
      <c r="A74" s="194" t="s">
        <v>9</v>
      </c>
      <c r="B74" s="195" t="s">
        <v>1014</v>
      </c>
      <c r="C74" s="195" t="s">
        <v>440</v>
      </c>
      <c r="D74" s="196" t="s">
        <v>926</v>
      </c>
      <c r="E74" s="206" t="s">
        <v>996</v>
      </c>
      <c r="F74" s="198">
        <v>459599.5</v>
      </c>
      <c r="G74" s="198">
        <v>459599.5</v>
      </c>
      <c r="H74" s="198">
        <f t="shared" si="2"/>
        <v>100</v>
      </c>
    </row>
    <row r="75" spans="1:9" ht="28.8" x14ac:dyDescent="0.3">
      <c r="A75" s="194" t="s">
        <v>9</v>
      </c>
      <c r="B75" s="195" t="s">
        <v>1015</v>
      </c>
      <c r="C75" s="195" t="s">
        <v>1016</v>
      </c>
      <c r="D75" s="196" t="s">
        <v>1017</v>
      </c>
      <c r="E75" s="206" t="s">
        <v>1018</v>
      </c>
      <c r="F75" s="198"/>
      <c r="G75" s="198">
        <v>1140.0899999999999</v>
      </c>
      <c r="H75" s="198"/>
    </row>
    <row r="76" spans="1:9" x14ac:dyDescent="0.3">
      <c r="A76" s="188"/>
      <c r="B76" s="189" t="s">
        <v>1019</v>
      </c>
      <c r="C76" s="189" t="s">
        <v>440</v>
      </c>
      <c r="D76" s="190" t="s">
        <v>441</v>
      </c>
      <c r="E76" s="191" t="s">
        <v>1020</v>
      </c>
      <c r="F76" s="192">
        <f>F78+F79+F81+F82+F83+F77+F80</f>
        <v>5630900</v>
      </c>
      <c r="G76" s="192">
        <f>G78+G79+G81+G82+G83+G77+G80</f>
        <v>5263365.17</v>
      </c>
      <c r="H76" s="192">
        <f t="shared" si="2"/>
        <v>93.472893675966546</v>
      </c>
    </row>
    <row r="77" spans="1:9" ht="59.3" customHeight="1" x14ac:dyDescent="0.3">
      <c r="A77" s="194" t="s">
        <v>9</v>
      </c>
      <c r="B77" s="195" t="s">
        <v>1021</v>
      </c>
      <c r="C77" s="195" t="s">
        <v>440</v>
      </c>
      <c r="D77" s="196" t="s">
        <v>1022</v>
      </c>
      <c r="E77" s="206" t="s">
        <v>1023</v>
      </c>
      <c r="F77" s="198">
        <v>452500</v>
      </c>
      <c r="G77" s="198">
        <v>452500</v>
      </c>
      <c r="H77" s="198">
        <f>G77/F77*100</f>
        <v>100</v>
      </c>
    </row>
    <row r="78" spans="1:9" ht="23.3" customHeight="1" outlineLevel="5" x14ac:dyDescent="0.3">
      <c r="A78" s="194" t="s">
        <v>9</v>
      </c>
      <c r="B78" s="195" t="s">
        <v>1024</v>
      </c>
      <c r="C78" s="195" t="s">
        <v>440</v>
      </c>
      <c r="D78" s="196" t="s">
        <v>1022</v>
      </c>
      <c r="E78" s="206" t="s">
        <v>1025</v>
      </c>
      <c r="F78" s="198">
        <v>11400</v>
      </c>
      <c r="G78" s="198">
        <v>11400</v>
      </c>
      <c r="H78" s="198">
        <f t="shared" si="2"/>
        <v>100</v>
      </c>
    </row>
    <row r="79" spans="1:9" ht="34.5" customHeight="1" outlineLevel="5" x14ac:dyDescent="0.3">
      <c r="A79" s="194" t="s">
        <v>9</v>
      </c>
      <c r="B79" s="195" t="s">
        <v>1026</v>
      </c>
      <c r="C79" s="195" t="s">
        <v>440</v>
      </c>
      <c r="D79" s="196" t="s">
        <v>1022</v>
      </c>
      <c r="E79" s="206" t="s">
        <v>1027</v>
      </c>
      <c r="F79" s="198">
        <v>1758900</v>
      </c>
      <c r="G79" s="198">
        <v>1758900</v>
      </c>
      <c r="H79" s="198">
        <f t="shared" si="2"/>
        <v>100</v>
      </c>
    </row>
    <row r="80" spans="1:9" ht="63" customHeight="1" outlineLevel="5" x14ac:dyDescent="0.3">
      <c r="A80" s="194" t="s">
        <v>9</v>
      </c>
      <c r="B80" s="195" t="s">
        <v>1028</v>
      </c>
      <c r="C80" s="195" t="s">
        <v>440</v>
      </c>
      <c r="D80" s="196" t="s">
        <v>1022</v>
      </c>
      <c r="E80" s="206" t="s">
        <v>1029</v>
      </c>
      <c r="F80" s="198">
        <v>38000</v>
      </c>
      <c r="G80" s="198">
        <v>28500</v>
      </c>
      <c r="H80" s="198">
        <f>G80/F80*100</f>
        <v>75</v>
      </c>
    </row>
    <row r="81" spans="1:9" ht="20.25" customHeight="1" x14ac:dyDescent="0.3">
      <c r="A81" s="194" t="s">
        <v>9</v>
      </c>
      <c r="B81" s="195" t="s">
        <v>1030</v>
      </c>
      <c r="C81" s="195" t="s">
        <v>440</v>
      </c>
      <c r="D81" s="196" t="s">
        <v>1022</v>
      </c>
      <c r="E81" s="197" t="s">
        <v>1031</v>
      </c>
      <c r="F81" s="198">
        <v>3370100</v>
      </c>
      <c r="G81" s="198">
        <v>3015697.16</v>
      </c>
      <c r="H81" s="198">
        <f t="shared" si="2"/>
        <v>89.483907302453929</v>
      </c>
    </row>
    <row r="82" spans="1:9" ht="29.25" customHeight="1" x14ac:dyDescent="0.3">
      <c r="A82" s="194" t="s">
        <v>9</v>
      </c>
      <c r="B82" s="195" t="s">
        <v>1032</v>
      </c>
      <c r="C82" s="195" t="s">
        <v>1016</v>
      </c>
      <c r="D82" s="196" t="s">
        <v>1017</v>
      </c>
      <c r="E82" s="197" t="s">
        <v>1033</v>
      </c>
      <c r="F82" s="198"/>
      <c r="G82" s="198">
        <v>58883.6</v>
      </c>
      <c r="H82" s="198"/>
    </row>
    <row r="83" spans="1:9" ht="48.05" customHeight="1" x14ac:dyDescent="0.3">
      <c r="A83" s="194" t="s">
        <v>9</v>
      </c>
      <c r="B83" s="195" t="s">
        <v>1034</v>
      </c>
      <c r="C83" s="195" t="s">
        <v>440</v>
      </c>
      <c r="D83" s="196" t="s">
        <v>1022</v>
      </c>
      <c r="E83" s="197" t="s">
        <v>1035</v>
      </c>
      <c r="F83" s="198"/>
      <c r="G83" s="198">
        <v>-62515.59</v>
      </c>
      <c r="H83" s="198"/>
    </row>
    <row r="84" spans="1:9" s="202" customFormat="1" ht="35.35" customHeight="1" outlineLevel="5" x14ac:dyDescent="0.25">
      <c r="A84" s="183" t="s">
        <v>10</v>
      </c>
      <c r="B84" s="200"/>
      <c r="C84" s="200"/>
      <c r="D84" s="201"/>
      <c r="E84" s="204" t="s">
        <v>680</v>
      </c>
      <c r="F84" s="205">
        <f>F85+F98</f>
        <v>154940075.21000001</v>
      </c>
      <c r="G84" s="205">
        <f>G85+G98</f>
        <v>161152338.56</v>
      </c>
      <c r="H84" s="205">
        <f>G84/F84*100</f>
        <v>104.00946194299965</v>
      </c>
      <c r="I84" s="209"/>
    </row>
    <row r="85" spans="1:9" outlineLevel="5" x14ac:dyDescent="0.3">
      <c r="A85" s="188"/>
      <c r="B85" s="189" t="s">
        <v>914</v>
      </c>
      <c r="C85" s="189" t="s">
        <v>440</v>
      </c>
      <c r="D85" s="190" t="s">
        <v>441</v>
      </c>
      <c r="E85" s="191" t="s">
        <v>915</v>
      </c>
      <c r="F85" s="192">
        <f>F86+F87+F88+F89+F90+F91+F92+F93+F94+F95+F96+F97</f>
        <v>93455855.420000002</v>
      </c>
      <c r="G85" s="192">
        <f>G86+G87+G88+G89+G90+G91+G92+G93+G94+G95+G96+G97</f>
        <v>100017910.27000001</v>
      </c>
      <c r="H85" s="192">
        <f>G85/F85*100</f>
        <v>107.02155560024514</v>
      </c>
    </row>
    <row r="86" spans="1:9" ht="28.8" outlineLevel="5" x14ac:dyDescent="0.3">
      <c r="A86" s="194" t="s">
        <v>10</v>
      </c>
      <c r="B86" s="195" t="s">
        <v>1036</v>
      </c>
      <c r="C86" s="195" t="s">
        <v>440</v>
      </c>
      <c r="D86" s="196" t="s">
        <v>930</v>
      </c>
      <c r="E86" s="211" t="s">
        <v>1037</v>
      </c>
      <c r="F86" s="198">
        <v>85000</v>
      </c>
      <c r="G86" s="198">
        <v>85000</v>
      </c>
      <c r="H86" s="198">
        <f>G86/F86*100</f>
        <v>100</v>
      </c>
    </row>
    <row r="87" spans="1:9" ht="78.8" customHeight="1" x14ac:dyDescent="0.3">
      <c r="A87" s="194" t="s">
        <v>10</v>
      </c>
      <c r="B87" s="195" t="s">
        <v>1038</v>
      </c>
      <c r="C87" s="195" t="s">
        <v>440</v>
      </c>
      <c r="D87" s="196" t="s">
        <v>917</v>
      </c>
      <c r="E87" s="219" t="s">
        <v>1039</v>
      </c>
      <c r="F87" s="198">
        <v>13204033</v>
      </c>
      <c r="G87" s="198">
        <v>13559363.07</v>
      </c>
      <c r="H87" s="198">
        <f t="shared" ref="H87:H96" si="3">G87/F87*100</f>
        <v>102.69107226557219</v>
      </c>
    </row>
    <row r="88" spans="1:9" ht="81.7" customHeight="1" x14ac:dyDescent="0.3">
      <c r="A88" s="194" t="s">
        <v>10</v>
      </c>
      <c r="B88" s="195" t="s">
        <v>1040</v>
      </c>
      <c r="C88" s="195" t="s">
        <v>440</v>
      </c>
      <c r="D88" s="196" t="s">
        <v>917</v>
      </c>
      <c r="E88" s="220" t="s">
        <v>1041</v>
      </c>
      <c r="F88" s="198">
        <v>2563369</v>
      </c>
      <c r="G88" s="198">
        <v>2504130.2599999998</v>
      </c>
      <c r="H88" s="198">
        <f t="shared" si="3"/>
        <v>97.689027994018801</v>
      </c>
    </row>
    <row r="89" spans="1:9" ht="60.8" customHeight="1" x14ac:dyDescent="0.3">
      <c r="A89" s="194" t="s">
        <v>10</v>
      </c>
      <c r="B89" s="195" t="s">
        <v>1042</v>
      </c>
      <c r="C89" s="195" t="s">
        <v>440</v>
      </c>
      <c r="D89" s="196" t="s">
        <v>917</v>
      </c>
      <c r="E89" s="219" t="s">
        <v>1043</v>
      </c>
      <c r="F89" s="198">
        <v>0</v>
      </c>
      <c r="G89" s="198">
        <v>-907471.75</v>
      </c>
      <c r="H89" s="198"/>
    </row>
    <row r="90" spans="1:9" ht="34.5" customHeight="1" x14ac:dyDescent="0.3">
      <c r="A90" s="194" t="s">
        <v>10</v>
      </c>
      <c r="B90" s="195" t="s">
        <v>1044</v>
      </c>
      <c r="C90" s="195" t="s">
        <v>440</v>
      </c>
      <c r="D90" s="196" t="s">
        <v>917</v>
      </c>
      <c r="E90" s="221" t="s">
        <v>1045</v>
      </c>
      <c r="F90" s="198">
        <v>14102507</v>
      </c>
      <c r="G90" s="198">
        <v>10801957.84</v>
      </c>
      <c r="H90" s="198">
        <f>G90/F90*100</f>
        <v>76.596011191485317</v>
      </c>
    </row>
    <row r="91" spans="1:9" ht="65.25" customHeight="1" x14ac:dyDescent="0.3">
      <c r="A91" s="194" t="s">
        <v>10</v>
      </c>
      <c r="B91" s="195" t="s">
        <v>1046</v>
      </c>
      <c r="C91" s="195" t="s">
        <v>440</v>
      </c>
      <c r="D91" s="196" t="s">
        <v>917</v>
      </c>
      <c r="E91" s="222" t="s">
        <v>1047</v>
      </c>
      <c r="F91" s="198">
        <v>1898864.78</v>
      </c>
      <c r="G91" s="198">
        <v>1898864.78</v>
      </c>
      <c r="H91" s="198">
        <f>G91/F91*100</f>
        <v>100</v>
      </c>
    </row>
    <row r="92" spans="1:9" ht="80.349999999999994" customHeight="1" x14ac:dyDescent="0.3">
      <c r="A92" s="194" t="s">
        <v>10</v>
      </c>
      <c r="B92" s="195" t="s">
        <v>1048</v>
      </c>
      <c r="C92" s="195" t="s">
        <v>440</v>
      </c>
      <c r="D92" s="196" t="s">
        <v>917</v>
      </c>
      <c r="E92" s="222" t="s">
        <v>1049</v>
      </c>
      <c r="F92" s="198">
        <v>27677926.5</v>
      </c>
      <c r="G92" s="198">
        <v>33541650.91</v>
      </c>
      <c r="H92" s="198">
        <f t="shared" si="3"/>
        <v>121.18556247340277</v>
      </c>
    </row>
    <row r="93" spans="1:9" ht="32.950000000000003" customHeight="1" x14ac:dyDescent="0.3">
      <c r="A93" s="194" t="s">
        <v>10</v>
      </c>
      <c r="B93" s="195" t="s">
        <v>1050</v>
      </c>
      <c r="C93" s="195" t="s">
        <v>440</v>
      </c>
      <c r="D93" s="196" t="s">
        <v>1007</v>
      </c>
      <c r="E93" s="206" t="s">
        <v>1051</v>
      </c>
      <c r="F93" s="198">
        <v>36140</v>
      </c>
      <c r="G93" s="198">
        <v>36439</v>
      </c>
      <c r="H93" s="198">
        <f>G93/F93*100</f>
        <v>100.8273381294964</v>
      </c>
    </row>
    <row r="94" spans="1:9" ht="35.35" customHeight="1" x14ac:dyDescent="0.3">
      <c r="A94" s="194" t="s">
        <v>10</v>
      </c>
      <c r="B94" s="195" t="s">
        <v>1006</v>
      </c>
      <c r="C94" s="195" t="s">
        <v>440</v>
      </c>
      <c r="D94" s="196" t="s">
        <v>1007</v>
      </c>
      <c r="E94" s="206" t="s">
        <v>1008</v>
      </c>
      <c r="F94" s="198">
        <v>2136440</v>
      </c>
      <c r="G94" s="198">
        <v>2575771.5</v>
      </c>
      <c r="H94" s="198">
        <f t="shared" si="3"/>
        <v>120.56371814794704</v>
      </c>
    </row>
    <row r="95" spans="1:9" ht="86.4" x14ac:dyDescent="0.3">
      <c r="A95" s="194" t="s">
        <v>10</v>
      </c>
      <c r="B95" s="195" t="s">
        <v>1052</v>
      </c>
      <c r="C95" s="195" t="s">
        <v>440</v>
      </c>
      <c r="D95" s="196" t="s">
        <v>1053</v>
      </c>
      <c r="E95" s="223" t="s">
        <v>1054</v>
      </c>
      <c r="F95" s="198">
        <v>29698550</v>
      </c>
      <c r="G95" s="198">
        <v>32191230.07</v>
      </c>
      <c r="H95" s="198">
        <f t="shared" si="3"/>
        <v>108.39327196108901</v>
      </c>
    </row>
    <row r="96" spans="1:9" ht="43.2" x14ac:dyDescent="0.3">
      <c r="A96" s="194" t="s">
        <v>10</v>
      </c>
      <c r="B96" s="195" t="s">
        <v>1014</v>
      </c>
      <c r="C96" s="195" t="s">
        <v>440</v>
      </c>
      <c r="D96" s="196" t="s">
        <v>926</v>
      </c>
      <c r="E96" s="206" t="s">
        <v>996</v>
      </c>
      <c r="F96" s="198">
        <v>2053025.14</v>
      </c>
      <c r="G96" s="198">
        <v>3774860.47</v>
      </c>
      <c r="H96" s="198">
        <f t="shared" si="3"/>
        <v>183.8682048481881</v>
      </c>
    </row>
    <row r="97" spans="1:9" ht="28.8" x14ac:dyDescent="0.3">
      <c r="A97" s="194" t="s">
        <v>10</v>
      </c>
      <c r="B97" s="195" t="s">
        <v>1015</v>
      </c>
      <c r="C97" s="195" t="s">
        <v>1016</v>
      </c>
      <c r="D97" s="196" t="s">
        <v>1017</v>
      </c>
      <c r="E97" s="206" t="s">
        <v>1018</v>
      </c>
      <c r="F97" s="198"/>
      <c r="G97" s="198">
        <v>-43885.88</v>
      </c>
      <c r="H97" s="198"/>
    </row>
    <row r="98" spans="1:9" ht="22.6" customHeight="1" x14ac:dyDescent="0.3">
      <c r="A98" s="188"/>
      <c r="B98" s="189" t="s">
        <v>1019</v>
      </c>
      <c r="C98" s="189" t="s">
        <v>440</v>
      </c>
      <c r="D98" s="190" t="s">
        <v>441</v>
      </c>
      <c r="E98" s="191" t="s">
        <v>1020</v>
      </c>
      <c r="F98" s="192">
        <f>F99+F100+F101+F102+F103</f>
        <v>61484219.789999999</v>
      </c>
      <c r="G98" s="192">
        <f>G99+G100+G101+G102+G103</f>
        <v>61134428.289999999</v>
      </c>
      <c r="H98" s="192">
        <f>G98/F98*100</f>
        <v>99.431087356731993</v>
      </c>
    </row>
    <row r="99" spans="1:9" ht="63" customHeight="1" x14ac:dyDescent="0.3">
      <c r="A99" s="194" t="s">
        <v>10</v>
      </c>
      <c r="B99" s="195" t="s">
        <v>1055</v>
      </c>
      <c r="C99" s="195" t="s">
        <v>440</v>
      </c>
      <c r="D99" s="196" t="s">
        <v>1022</v>
      </c>
      <c r="E99" s="224" t="s">
        <v>1056</v>
      </c>
      <c r="F99" s="198">
        <v>25821517.190000001</v>
      </c>
      <c r="G99" s="198">
        <v>25821514.210000001</v>
      </c>
      <c r="H99" s="198">
        <f>G99/F99*100</f>
        <v>99.999988459237386</v>
      </c>
    </row>
    <row r="100" spans="1:9" ht="45" customHeight="1" outlineLevel="5" x14ac:dyDescent="0.3">
      <c r="A100" s="194" t="s">
        <v>10</v>
      </c>
      <c r="B100" s="195" t="s">
        <v>1057</v>
      </c>
      <c r="C100" s="195" t="s">
        <v>440</v>
      </c>
      <c r="D100" s="196" t="s">
        <v>1022</v>
      </c>
      <c r="E100" s="224" t="s">
        <v>1058</v>
      </c>
      <c r="F100" s="198">
        <v>15000000</v>
      </c>
      <c r="G100" s="198">
        <v>15000000</v>
      </c>
      <c r="H100" s="198">
        <f>G100/F100*100</f>
        <v>100</v>
      </c>
    </row>
    <row r="101" spans="1:9" ht="21.05" customHeight="1" outlineLevel="5" x14ac:dyDescent="0.3">
      <c r="A101" s="194" t="s">
        <v>10</v>
      </c>
      <c r="B101" s="195" t="s">
        <v>1059</v>
      </c>
      <c r="C101" s="195" t="s">
        <v>440</v>
      </c>
      <c r="D101" s="196" t="s">
        <v>1022</v>
      </c>
      <c r="E101" s="206" t="s">
        <v>1060</v>
      </c>
      <c r="F101" s="198">
        <v>18902160</v>
      </c>
      <c r="G101" s="198">
        <v>18902160</v>
      </c>
      <c r="H101" s="198">
        <f>G101/F101*100</f>
        <v>100</v>
      </c>
    </row>
    <row r="102" spans="1:9" ht="18.7" customHeight="1" outlineLevel="5" x14ac:dyDescent="0.3">
      <c r="A102" s="194" t="s">
        <v>10</v>
      </c>
      <c r="B102" s="195" t="s">
        <v>1030</v>
      </c>
      <c r="C102" s="195" t="s">
        <v>440</v>
      </c>
      <c r="D102" s="196" t="s">
        <v>1022</v>
      </c>
      <c r="E102" s="206" t="s">
        <v>1061</v>
      </c>
      <c r="F102" s="198">
        <v>1760542.6</v>
      </c>
      <c r="G102" s="198">
        <v>1734207.72</v>
      </c>
      <c r="H102" s="198">
        <f>G102/F102*100</f>
        <v>98.504161160314993</v>
      </c>
    </row>
    <row r="103" spans="1:9" ht="43.2" x14ac:dyDescent="0.3">
      <c r="A103" s="194" t="s">
        <v>10</v>
      </c>
      <c r="B103" s="195" t="s">
        <v>1034</v>
      </c>
      <c r="C103" s="195" t="s">
        <v>440</v>
      </c>
      <c r="D103" s="196" t="s">
        <v>1022</v>
      </c>
      <c r="E103" s="197" t="s">
        <v>1035</v>
      </c>
      <c r="F103" s="198"/>
      <c r="G103" s="198">
        <v>-323453.64</v>
      </c>
      <c r="H103" s="198"/>
    </row>
    <row r="104" spans="1:9" s="202" customFormat="1" ht="28.8" outlineLevel="5" x14ac:dyDescent="0.25">
      <c r="A104" s="183" t="s">
        <v>12</v>
      </c>
      <c r="B104" s="200"/>
      <c r="C104" s="200"/>
      <c r="D104" s="201"/>
      <c r="E104" s="204" t="s">
        <v>434</v>
      </c>
      <c r="F104" s="205">
        <f>F105</f>
        <v>594352837</v>
      </c>
      <c r="G104" s="205">
        <f>G105</f>
        <v>593258072.07000005</v>
      </c>
      <c r="H104" s="205">
        <f t="shared" ref="H104:H110" si="4">G104/F104*100</f>
        <v>99.815805551543122</v>
      </c>
    </row>
    <row r="105" spans="1:9" ht="30.75" customHeight="1" x14ac:dyDescent="0.3">
      <c r="A105" s="188"/>
      <c r="B105" s="189" t="s">
        <v>1019</v>
      </c>
      <c r="C105" s="189" t="s">
        <v>440</v>
      </c>
      <c r="D105" s="190" t="s">
        <v>441</v>
      </c>
      <c r="E105" s="191" t="s">
        <v>1020</v>
      </c>
      <c r="F105" s="192">
        <f>F106+F107+F108+F109+F110+F111</f>
        <v>594352837</v>
      </c>
      <c r="G105" s="192">
        <f>G106+G107+G108+G109+G110+G111</f>
        <v>593258072.07000005</v>
      </c>
      <c r="H105" s="192">
        <f t="shared" si="4"/>
        <v>99.815805551543122</v>
      </c>
    </row>
    <row r="106" spans="1:9" ht="28.8" x14ac:dyDescent="0.3">
      <c r="A106" s="194" t="s">
        <v>12</v>
      </c>
      <c r="B106" s="195" t="s">
        <v>1062</v>
      </c>
      <c r="C106" s="195" t="s">
        <v>440</v>
      </c>
      <c r="D106" s="196" t="s">
        <v>1022</v>
      </c>
      <c r="E106" s="211" t="s">
        <v>1063</v>
      </c>
      <c r="F106" s="198">
        <v>13935000</v>
      </c>
      <c r="G106" s="198">
        <v>13935000</v>
      </c>
      <c r="H106" s="198">
        <f t="shared" si="4"/>
        <v>100</v>
      </c>
    </row>
    <row r="107" spans="1:9" ht="28.8" x14ac:dyDescent="0.3">
      <c r="A107" s="194" t="s">
        <v>12</v>
      </c>
      <c r="B107" s="195" t="s">
        <v>1064</v>
      </c>
      <c r="C107" s="195" t="s">
        <v>440</v>
      </c>
      <c r="D107" s="196" t="s">
        <v>1022</v>
      </c>
      <c r="E107" s="211" t="s">
        <v>1065</v>
      </c>
      <c r="F107" s="198">
        <v>2955737</v>
      </c>
      <c r="G107" s="198">
        <v>2955737</v>
      </c>
      <c r="H107" s="198">
        <f t="shared" si="4"/>
        <v>100</v>
      </c>
    </row>
    <row r="108" spans="1:9" ht="45.7" customHeight="1" x14ac:dyDescent="0.3">
      <c r="A108" s="194" t="s">
        <v>12</v>
      </c>
      <c r="B108" s="195" t="s">
        <v>1066</v>
      </c>
      <c r="C108" s="195" t="s">
        <v>440</v>
      </c>
      <c r="D108" s="196" t="s">
        <v>1022</v>
      </c>
      <c r="E108" s="211" t="s">
        <v>1067</v>
      </c>
      <c r="F108" s="198">
        <v>560805000</v>
      </c>
      <c r="G108" s="198">
        <v>560805000</v>
      </c>
      <c r="H108" s="198">
        <f t="shared" si="4"/>
        <v>100</v>
      </c>
    </row>
    <row r="109" spans="1:9" x14ac:dyDescent="0.3">
      <c r="A109" s="194" t="s">
        <v>12</v>
      </c>
      <c r="B109" s="195" t="s">
        <v>1024</v>
      </c>
      <c r="C109" s="195" t="s">
        <v>440</v>
      </c>
      <c r="D109" s="196" t="s">
        <v>1022</v>
      </c>
      <c r="E109" s="206" t="s">
        <v>1025</v>
      </c>
      <c r="F109" s="198">
        <v>13934100</v>
      </c>
      <c r="G109" s="198">
        <v>13697854.01</v>
      </c>
      <c r="H109" s="198">
        <f t="shared" si="4"/>
        <v>98.304547907651013</v>
      </c>
    </row>
    <row r="110" spans="1:9" x14ac:dyDescent="0.3">
      <c r="A110" s="194" t="s">
        <v>12</v>
      </c>
      <c r="B110" s="195" t="s">
        <v>1030</v>
      </c>
      <c r="C110" s="195" t="s">
        <v>440</v>
      </c>
      <c r="D110" s="196" t="s">
        <v>1022</v>
      </c>
      <c r="E110" s="206" t="s">
        <v>1031</v>
      </c>
      <c r="F110" s="198">
        <v>2723000</v>
      </c>
      <c r="G110" s="198">
        <v>2034438.35</v>
      </c>
      <c r="H110" s="198">
        <f t="shared" si="4"/>
        <v>74.713123393316195</v>
      </c>
    </row>
    <row r="111" spans="1:9" ht="43.2" x14ac:dyDescent="0.3">
      <c r="A111" s="194" t="s">
        <v>12</v>
      </c>
      <c r="B111" s="195" t="s">
        <v>1034</v>
      </c>
      <c r="C111" s="195" t="s">
        <v>440</v>
      </c>
      <c r="D111" s="196" t="s">
        <v>1022</v>
      </c>
      <c r="E111" s="197" t="s">
        <v>1035</v>
      </c>
      <c r="F111" s="198"/>
      <c r="G111" s="198">
        <v>-169957.29</v>
      </c>
      <c r="H111" s="198"/>
    </row>
    <row r="112" spans="1:9" ht="28.8" outlineLevel="5" x14ac:dyDescent="0.3">
      <c r="A112" s="225" t="s">
        <v>404</v>
      </c>
      <c r="B112" s="184"/>
      <c r="C112" s="184"/>
      <c r="D112" s="185"/>
      <c r="E112" s="204" t="s">
        <v>1068</v>
      </c>
      <c r="F112" s="226">
        <f>F113+F115</f>
        <v>702514686.95000005</v>
      </c>
      <c r="G112" s="226">
        <f>G113+G115</f>
        <v>692564937.29000008</v>
      </c>
      <c r="H112" s="226">
        <f t="shared" ref="H112:H119" si="5">G112/F112*100</f>
        <v>98.583695139072859</v>
      </c>
      <c r="I112" s="227"/>
    </row>
    <row r="113" spans="1:8" outlineLevel="5" x14ac:dyDescent="0.3">
      <c r="A113" s="228"/>
      <c r="B113" s="189" t="s">
        <v>914</v>
      </c>
      <c r="C113" s="189" t="s">
        <v>440</v>
      </c>
      <c r="D113" s="190" t="s">
        <v>441</v>
      </c>
      <c r="E113" s="191" t="s">
        <v>915</v>
      </c>
      <c r="F113" s="192">
        <f>F114</f>
        <v>94686.95</v>
      </c>
      <c r="G113" s="192">
        <f>G114</f>
        <v>94686.95</v>
      </c>
      <c r="H113" s="192">
        <f t="shared" si="5"/>
        <v>100</v>
      </c>
    </row>
    <row r="114" spans="1:8" ht="33.799999999999997" customHeight="1" x14ac:dyDescent="0.3">
      <c r="A114" s="229" t="s">
        <v>404</v>
      </c>
      <c r="B114" s="195" t="s">
        <v>1006</v>
      </c>
      <c r="C114" s="195" t="s">
        <v>440</v>
      </c>
      <c r="D114" s="196" t="s">
        <v>1007</v>
      </c>
      <c r="E114" s="206" t="s">
        <v>1008</v>
      </c>
      <c r="F114" s="198">
        <v>94686.95</v>
      </c>
      <c r="G114" s="198">
        <v>94686.95</v>
      </c>
      <c r="H114" s="198">
        <f t="shared" si="5"/>
        <v>100</v>
      </c>
    </row>
    <row r="115" spans="1:8" ht="21.75" customHeight="1" x14ac:dyDescent="0.3">
      <c r="A115" s="188"/>
      <c r="B115" s="189" t="s">
        <v>1019</v>
      </c>
      <c r="C115" s="189" t="s">
        <v>440</v>
      </c>
      <c r="D115" s="190" t="s">
        <v>441</v>
      </c>
      <c r="E115" s="191" t="s">
        <v>1020</v>
      </c>
      <c r="F115" s="192">
        <f>F116+F117+F118+F119+F120+F121</f>
        <v>702420000</v>
      </c>
      <c r="G115" s="192">
        <f>G116+G117+G118+G119+G120+G121</f>
        <v>692470250.34000003</v>
      </c>
      <c r="H115" s="192">
        <f t="shared" si="5"/>
        <v>98.58350421969763</v>
      </c>
    </row>
    <row r="116" spans="1:8" ht="23.3" customHeight="1" x14ac:dyDescent="0.3">
      <c r="A116" s="229" t="s">
        <v>404</v>
      </c>
      <c r="B116" s="230" t="s">
        <v>1024</v>
      </c>
      <c r="C116" s="230" t="s">
        <v>440</v>
      </c>
      <c r="D116" s="231" t="s">
        <v>1022</v>
      </c>
      <c r="E116" s="232" t="s">
        <v>1025</v>
      </c>
      <c r="F116" s="207">
        <v>4581500</v>
      </c>
      <c r="G116" s="207">
        <v>4581500</v>
      </c>
      <c r="H116" s="207">
        <f t="shared" si="5"/>
        <v>100</v>
      </c>
    </row>
    <row r="117" spans="1:8" ht="45.7" customHeight="1" x14ac:dyDescent="0.3">
      <c r="A117" s="229" t="s">
        <v>404</v>
      </c>
      <c r="B117" s="230" t="s">
        <v>1069</v>
      </c>
      <c r="C117" s="230" t="s">
        <v>440</v>
      </c>
      <c r="D117" s="231" t="s">
        <v>1022</v>
      </c>
      <c r="E117" s="232" t="s">
        <v>1070</v>
      </c>
      <c r="F117" s="207">
        <v>29669600</v>
      </c>
      <c r="G117" s="207">
        <v>29669058.800000001</v>
      </c>
      <c r="H117" s="207">
        <f t="shared" si="5"/>
        <v>99.998175910696474</v>
      </c>
    </row>
    <row r="118" spans="1:8" ht="80.349999999999994" customHeight="1" x14ac:dyDescent="0.3">
      <c r="A118" s="229" t="s">
        <v>404</v>
      </c>
      <c r="B118" s="230" t="s">
        <v>1071</v>
      </c>
      <c r="C118" s="230" t="s">
        <v>440</v>
      </c>
      <c r="D118" s="231" t="s">
        <v>1022</v>
      </c>
      <c r="E118" s="233" t="s">
        <v>1072</v>
      </c>
      <c r="F118" s="207">
        <v>12737000</v>
      </c>
      <c r="G118" s="207">
        <v>12102175.470000001</v>
      </c>
      <c r="H118" s="207">
        <f t="shared" si="5"/>
        <v>95.015902253277858</v>
      </c>
    </row>
    <row r="119" spans="1:8" ht="21.75" customHeight="1" x14ac:dyDescent="0.3">
      <c r="A119" s="194" t="s">
        <v>404</v>
      </c>
      <c r="B119" s="195" t="s">
        <v>1030</v>
      </c>
      <c r="C119" s="195" t="s">
        <v>440</v>
      </c>
      <c r="D119" s="196" t="s">
        <v>1022</v>
      </c>
      <c r="E119" s="206" t="s">
        <v>1073</v>
      </c>
      <c r="F119" s="198">
        <v>655431900</v>
      </c>
      <c r="G119" s="198">
        <v>647866282.70000005</v>
      </c>
      <c r="H119" s="207">
        <f t="shared" si="5"/>
        <v>98.845705053415926</v>
      </c>
    </row>
    <row r="120" spans="1:8" ht="34.5" customHeight="1" x14ac:dyDescent="0.3">
      <c r="A120" s="194" t="s">
        <v>404</v>
      </c>
      <c r="B120" s="195" t="s">
        <v>1032</v>
      </c>
      <c r="C120" s="195" t="s">
        <v>1016</v>
      </c>
      <c r="D120" s="196" t="s">
        <v>1017</v>
      </c>
      <c r="E120" s="197" t="s">
        <v>1033</v>
      </c>
      <c r="F120" s="198"/>
      <c r="G120" s="198">
        <v>154880.88</v>
      </c>
      <c r="H120" s="207"/>
    </row>
    <row r="121" spans="1:8" ht="48.05" customHeight="1" x14ac:dyDescent="0.3">
      <c r="A121" s="194" t="s">
        <v>404</v>
      </c>
      <c r="B121" s="195" t="s">
        <v>1034</v>
      </c>
      <c r="C121" s="195" t="s">
        <v>440</v>
      </c>
      <c r="D121" s="196" t="s">
        <v>1022</v>
      </c>
      <c r="E121" s="197" t="s">
        <v>1035</v>
      </c>
      <c r="F121" s="198"/>
      <c r="G121" s="198">
        <v>-1903647.51</v>
      </c>
      <c r="H121" s="207"/>
    </row>
    <row r="122" spans="1:8" s="202" customFormat="1" ht="28.8" outlineLevel="5" x14ac:dyDescent="0.25">
      <c r="A122" s="183" t="s">
        <v>11</v>
      </c>
      <c r="B122" s="200"/>
      <c r="C122" s="200"/>
      <c r="D122" s="201"/>
      <c r="E122" s="204" t="s">
        <v>358</v>
      </c>
      <c r="F122" s="205">
        <f>F123+F126</f>
        <v>1055355.6000000001</v>
      </c>
      <c r="G122" s="205">
        <f>G123+G126</f>
        <v>1155908.7200000002</v>
      </c>
      <c r="H122" s="205">
        <f>G122/F122*100</f>
        <v>109.52788993586617</v>
      </c>
    </row>
    <row r="123" spans="1:8" s="202" customFormat="1" outlineLevel="5" x14ac:dyDescent="0.25">
      <c r="A123" s="228"/>
      <c r="B123" s="189" t="s">
        <v>914</v>
      </c>
      <c r="C123" s="189" t="s">
        <v>440</v>
      </c>
      <c r="D123" s="190" t="s">
        <v>441</v>
      </c>
      <c r="E123" s="191" t="s">
        <v>915</v>
      </c>
      <c r="F123" s="192">
        <f>F124+F125</f>
        <v>34242.6</v>
      </c>
      <c r="G123" s="192">
        <f>G124+G125</f>
        <v>33972.6</v>
      </c>
      <c r="H123" s="192">
        <f>G123/F123*100</f>
        <v>99.211508471903414</v>
      </c>
    </row>
    <row r="124" spans="1:8" ht="33.799999999999997" customHeight="1" x14ac:dyDescent="0.3">
      <c r="A124" s="194" t="s">
        <v>11</v>
      </c>
      <c r="B124" s="195" t="s">
        <v>1006</v>
      </c>
      <c r="C124" s="195" t="s">
        <v>440</v>
      </c>
      <c r="D124" s="196" t="s">
        <v>1007</v>
      </c>
      <c r="E124" s="206" t="s">
        <v>1008</v>
      </c>
      <c r="F124" s="198">
        <v>34242.6</v>
      </c>
      <c r="G124" s="198">
        <v>34242.6</v>
      </c>
      <c r="H124" s="198">
        <f>G124/F124*100</f>
        <v>100</v>
      </c>
    </row>
    <row r="125" spans="1:8" ht="33.799999999999997" customHeight="1" x14ac:dyDescent="0.3">
      <c r="A125" s="194" t="s">
        <v>11</v>
      </c>
      <c r="B125" s="195" t="s">
        <v>1015</v>
      </c>
      <c r="C125" s="195" t="s">
        <v>1016</v>
      </c>
      <c r="D125" s="196" t="s">
        <v>1017</v>
      </c>
      <c r="E125" s="206" t="s">
        <v>1018</v>
      </c>
      <c r="F125" s="198"/>
      <c r="G125" s="198">
        <v>-270</v>
      </c>
      <c r="H125" s="198"/>
    </row>
    <row r="126" spans="1:8" ht="22.6" customHeight="1" x14ac:dyDescent="0.3">
      <c r="A126" s="188"/>
      <c r="B126" s="189" t="s">
        <v>1019</v>
      </c>
      <c r="C126" s="189" t="s">
        <v>440</v>
      </c>
      <c r="D126" s="190" t="s">
        <v>441</v>
      </c>
      <c r="E126" s="191" t="s">
        <v>1020</v>
      </c>
      <c r="F126" s="192">
        <f>F127+F128+F129+F130+F131+F132</f>
        <v>1021113</v>
      </c>
      <c r="G126" s="192">
        <f>G127+G128+G129+G130+G131+G132</f>
        <v>1121936.1200000001</v>
      </c>
      <c r="H126" s="192">
        <f>G126/F126*100</f>
        <v>109.87384549995937</v>
      </c>
    </row>
    <row r="127" spans="1:8" ht="35.35" customHeight="1" x14ac:dyDescent="0.3">
      <c r="A127" s="194" t="s">
        <v>11</v>
      </c>
      <c r="B127" s="195" t="s">
        <v>1074</v>
      </c>
      <c r="C127" s="195" t="s">
        <v>440</v>
      </c>
      <c r="D127" s="196" t="s">
        <v>1022</v>
      </c>
      <c r="E127" s="206" t="s">
        <v>1075</v>
      </c>
      <c r="F127" s="198">
        <v>158000</v>
      </c>
      <c r="G127" s="198">
        <v>158000</v>
      </c>
      <c r="H127" s="198">
        <f>G127/F127*100</f>
        <v>100</v>
      </c>
    </row>
    <row r="128" spans="1:8" ht="50.3" customHeight="1" x14ac:dyDescent="0.3">
      <c r="A128" s="194" t="s">
        <v>11</v>
      </c>
      <c r="B128" s="195" t="s">
        <v>1076</v>
      </c>
      <c r="C128" s="195" t="s">
        <v>440</v>
      </c>
      <c r="D128" s="196" t="s">
        <v>1022</v>
      </c>
      <c r="E128" s="211" t="s">
        <v>1077</v>
      </c>
      <c r="F128" s="198">
        <v>13113</v>
      </c>
      <c r="G128" s="198">
        <v>13113</v>
      </c>
      <c r="H128" s="198">
        <f>G128/F128*100</f>
        <v>100</v>
      </c>
    </row>
    <row r="129" spans="1:8" ht="63.7" customHeight="1" x14ac:dyDescent="0.3">
      <c r="A129" s="194" t="s">
        <v>11</v>
      </c>
      <c r="B129" s="195" t="s">
        <v>1078</v>
      </c>
      <c r="C129" s="195" t="s">
        <v>440</v>
      </c>
      <c r="D129" s="196" t="s">
        <v>1022</v>
      </c>
      <c r="E129" s="234" t="s">
        <v>1079</v>
      </c>
      <c r="F129" s="198">
        <v>50000</v>
      </c>
      <c r="G129" s="198">
        <v>50000</v>
      </c>
      <c r="H129" s="198">
        <f>G129/F129*100</f>
        <v>100</v>
      </c>
    </row>
    <row r="130" spans="1:8" ht="28.8" x14ac:dyDescent="0.3">
      <c r="A130" s="194" t="s">
        <v>11</v>
      </c>
      <c r="B130" s="195" t="s">
        <v>1080</v>
      </c>
      <c r="C130" s="195" t="s">
        <v>440</v>
      </c>
      <c r="D130" s="196" t="s">
        <v>1022</v>
      </c>
      <c r="E130" s="206" t="s">
        <v>1081</v>
      </c>
      <c r="F130" s="198">
        <v>800000</v>
      </c>
      <c r="G130" s="198">
        <v>800000</v>
      </c>
      <c r="H130" s="207">
        <f>G130/F130*100</f>
        <v>100</v>
      </c>
    </row>
    <row r="131" spans="1:8" ht="29.25" customHeight="1" x14ac:dyDescent="0.3">
      <c r="A131" s="194" t="s">
        <v>11</v>
      </c>
      <c r="B131" s="195" t="s">
        <v>1032</v>
      </c>
      <c r="C131" s="195" t="s">
        <v>1016</v>
      </c>
      <c r="D131" s="196" t="s">
        <v>1017</v>
      </c>
      <c r="E131" s="197" t="s">
        <v>1033</v>
      </c>
      <c r="F131" s="198"/>
      <c r="G131" s="198">
        <v>104423.12</v>
      </c>
      <c r="H131" s="207"/>
    </row>
    <row r="132" spans="1:8" ht="43.2" x14ac:dyDescent="0.3">
      <c r="A132" s="194" t="s">
        <v>11</v>
      </c>
      <c r="B132" s="195" t="s">
        <v>1034</v>
      </c>
      <c r="C132" s="195" t="s">
        <v>440</v>
      </c>
      <c r="D132" s="196" t="s">
        <v>1022</v>
      </c>
      <c r="E132" s="197" t="s">
        <v>1035</v>
      </c>
      <c r="F132" s="198"/>
      <c r="G132" s="198">
        <v>-3600</v>
      </c>
      <c r="H132" s="207"/>
    </row>
    <row r="133" spans="1:8" ht="28.8" x14ac:dyDescent="0.3">
      <c r="A133" s="183" t="s">
        <v>76</v>
      </c>
      <c r="B133" s="200"/>
      <c r="C133" s="200"/>
      <c r="D133" s="201"/>
      <c r="E133" s="204" t="s">
        <v>1082</v>
      </c>
      <c r="F133" s="205">
        <f>F134</f>
        <v>22837.25</v>
      </c>
      <c r="G133" s="205">
        <f>G134</f>
        <v>22837.119999999999</v>
      </c>
      <c r="H133" s="205">
        <f>G133/F133*100</f>
        <v>99.999430754578583</v>
      </c>
    </row>
    <row r="134" spans="1:8" x14ac:dyDescent="0.3">
      <c r="A134" s="228"/>
      <c r="B134" s="189" t="s">
        <v>914</v>
      </c>
      <c r="C134" s="189" t="s">
        <v>440</v>
      </c>
      <c r="D134" s="190" t="s">
        <v>441</v>
      </c>
      <c r="E134" s="191" t="s">
        <v>915</v>
      </c>
      <c r="F134" s="192">
        <f>F135+F136</f>
        <v>22837.25</v>
      </c>
      <c r="G134" s="192">
        <f>G135+G136</f>
        <v>22837.119999999999</v>
      </c>
      <c r="H134" s="192">
        <f>G134/F134*100</f>
        <v>99.999430754578583</v>
      </c>
    </row>
    <row r="135" spans="1:8" ht="43.2" x14ac:dyDescent="0.3">
      <c r="A135" s="194" t="s">
        <v>76</v>
      </c>
      <c r="B135" s="195" t="s">
        <v>1006</v>
      </c>
      <c r="C135" s="195" t="s">
        <v>440</v>
      </c>
      <c r="D135" s="196" t="s">
        <v>1007</v>
      </c>
      <c r="E135" s="206" t="s">
        <v>1008</v>
      </c>
      <c r="F135" s="198">
        <v>2837.25</v>
      </c>
      <c r="G135" s="198">
        <v>2837.12</v>
      </c>
      <c r="H135" s="198">
        <f>G135/F135*100</f>
        <v>99.995418098510882</v>
      </c>
    </row>
    <row r="136" spans="1:8" ht="43.2" x14ac:dyDescent="0.3">
      <c r="A136" s="194" t="s">
        <v>76</v>
      </c>
      <c r="B136" s="195" t="s">
        <v>1014</v>
      </c>
      <c r="C136" s="195" t="s">
        <v>440</v>
      </c>
      <c r="D136" s="196" t="s">
        <v>926</v>
      </c>
      <c r="E136" s="206" t="s">
        <v>996</v>
      </c>
      <c r="F136" s="198">
        <v>20000</v>
      </c>
      <c r="G136" s="198">
        <v>20000</v>
      </c>
      <c r="H136" s="198">
        <f>G136/F136*100</f>
        <v>100</v>
      </c>
    </row>
    <row r="137" spans="1:8" s="202" customFormat="1" ht="22.6" customHeight="1" x14ac:dyDescent="0.25">
      <c r="A137" s="245" t="s">
        <v>1083</v>
      </c>
      <c r="B137" s="245"/>
      <c r="C137" s="245"/>
      <c r="D137" s="245"/>
      <c r="E137" s="245"/>
      <c r="F137" s="235">
        <f>F9+F16+F22+F25+F28+F31+F51+F58+F63+F66+F69+F84+F104+F112+F122+F133</f>
        <v>2144311535.98</v>
      </c>
      <c r="G137" s="235">
        <f>G9+G16+G22+G25+G28+G31+G51+G58+G63+G66+G69+G84+G104+G112+G122+G133</f>
        <v>2146633984.6099999</v>
      </c>
      <c r="H137" s="235">
        <f>G137/F137*100</f>
        <v>100.10830742599808</v>
      </c>
    </row>
    <row r="138" spans="1:8" x14ac:dyDescent="0.3">
      <c r="A138" s="236"/>
      <c r="B138" s="236"/>
      <c r="C138" s="236"/>
      <c r="D138" s="236"/>
      <c r="E138" s="236"/>
      <c r="F138" s="237"/>
      <c r="G138" s="237"/>
      <c r="H138" s="237"/>
    </row>
    <row r="139" spans="1:8" ht="25.5" customHeight="1" x14ac:dyDescent="0.3">
      <c r="E139" s="240"/>
      <c r="F139" s="240"/>
    </row>
    <row r="140" spans="1:8" ht="15.55" x14ac:dyDescent="0.3">
      <c r="A140" s="238"/>
      <c r="B140" s="238"/>
      <c r="C140" s="238"/>
      <c r="D140" s="238"/>
      <c r="E140" s="238"/>
      <c r="F140" s="238"/>
      <c r="G140" s="238"/>
      <c r="H140" s="238"/>
    </row>
    <row r="141" spans="1:8" ht="15.55" x14ac:dyDescent="0.3">
      <c r="A141" s="238"/>
      <c r="E141" s="238"/>
      <c r="F141" s="239"/>
    </row>
    <row r="144" spans="1:8" ht="15.55" x14ac:dyDescent="0.3">
      <c r="A144" s="238"/>
      <c r="B144" s="238"/>
      <c r="C144" s="238"/>
      <c r="D144" s="238"/>
      <c r="E144" s="238"/>
      <c r="F144" s="238"/>
      <c r="G144" s="238"/>
      <c r="H144" s="238"/>
    </row>
    <row r="145" spans="1:8" ht="15.55" x14ac:dyDescent="0.3">
      <c r="A145" s="238"/>
      <c r="E145" s="238"/>
      <c r="F145" s="239"/>
    </row>
    <row r="146" spans="1:8" ht="15.55" x14ac:dyDescent="0.3">
      <c r="A146" s="238"/>
      <c r="B146" s="238"/>
      <c r="C146" s="238"/>
      <c r="D146" s="238"/>
      <c r="E146" s="238"/>
      <c r="F146" s="238"/>
      <c r="G146" s="238"/>
      <c r="H146" s="238"/>
    </row>
    <row r="149" spans="1:8" x14ac:dyDescent="0.3">
      <c r="F149" s="227"/>
      <c r="G149" s="227"/>
      <c r="H149" s="227"/>
    </row>
  </sheetData>
  <mergeCells count="7">
    <mergeCell ref="E139:F139"/>
    <mergeCell ref="G1:H1"/>
    <mergeCell ref="E2:H2"/>
    <mergeCell ref="E3:H3"/>
    <mergeCell ref="A6:H6"/>
    <mergeCell ref="B8:D8"/>
    <mergeCell ref="A137:E137"/>
  </mergeCells>
  <pageMargins left="0.70866141732283472" right="0.70866141732283472" top="0.74803149606299213" bottom="0.74803149606299213" header="0.31496062992125984" footer="0.31496062992125984"/>
  <pageSetup paperSize="9" scale="59" fitToHeight="1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6" enableFormatConditionsCalculation="0">
    <tabColor rgb="FFFFFF00"/>
    <pageSetUpPr fitToPage="1"/>
  </sheetPr>
  <dimension ref="A1:K1312"/>
  <sheetViews>
    <sheetView zoomScale="85" workbookViewId="0">
      <selection activeCell="A5" sqref="A5:I5"/>
    </sheetView>
  </sheetViews>
  <sheetFormatPr defaultColWidth="9.09765625" defaultRowHeight="15.55" x14ac:dyDescent="0.3"/>
  <cols>
    <col min="1" max="1" width="36.59765625" style="15" customWidth="1"/>
    <col min="2" max="2" width="8.296875" style="15" customWidth="1"/>
    <col min="3" max="3" width="6.09765625" style="15" customWidth="1"/>
    <col min="4" max="4" width="8.69921875" style="15" customWidth="1"/>
    <col min="5" max="5" width="14.8984375" style="15" customWidth="1"/>
    <col min="6" max="6" width="10" style="15" customWidth="1"/>
    <col min="7" max="8" width="26.69921875" style="15" customWidth="1"/>
    <col min="9" max="9" width="20.59765625" style="147" customWidth="1"/>
    <col min="10" max="10" width="21.69921875" style="44" bestFit="1" customWidth="1"/>
    <col min="11" max="11" width="17" style="44" customWidth="1"/>
    <col min="12" max="16384" width="9.09765625" style="15"/>
  </cols>
  <sheetData>
    <row r="1" spans="1:11" s="12" customFormat="1" x14ac:dyDescent="0.3">
      <c r="A1" s="255"/>
      <c r="B1" s="255"/>
      <c r="C1" s="255"/>
      <c r="D1" s="255"/>
      <c r="E1" s="255"/>
      <c r="F1" s="255"/>
      <c r="G1" s="255" t="s">
        <v>906</v>
      </c>
      <c r="H1" s="255"/>
      <c r="I1" s="255"/>
      <c r="J1" s="24"/>
      <c r="K1" s="24"/>
    </row>
    <row r="2" spans="1:11" s="12" customFormat="1" ht="15.8" customHeight="1" x14ac:dyDescent="0.3">
      <c r="A2" s="255"/>
      <c r="B2" s="255"/>
      <c r="C2" s="255"/>
      <c r="D2" s="255"/>
      <c r="E2" s="255" t="s">
        <v>435</v>
      </c>
      <c r="F2" s="255"/>
      <c r="G2" s="255"/>
      <c r="H2" s="255"/>
      <c r="I2" s="255"/>
      <c r="J2" s="24"/>
      <c r="K2" s="24"/>
    </row>
    <row r="3" spans="1:11" s="12" customFormat="1" x14ac:dyDescent="0.3">
      <c r="A3" s="255"/>
      <c r="B3" s="255"/>
      <c r="C3" s="255"/>
      <c r="D3" s="255"/>
      <c r="E3" s="255" t="s">
        <v>1087</v>
      </c>
      <c r="F3" s="255"/>
      <c r="G3" s="255"/>
      <c r="H3" s="255"/>
      <c r="I3" s="255"/>
      <c r="J3" s="24"/>
      <c r="K3" s="24"/>
    </row>
    <row r="4" spans="1:11" x14ac:dyDescent="0.3">
      <c r="A4" s="256"/>
      <c r="B4" s="256"/>
      <c r="C4" s="256"/>
      <c r="D4" s="256"/>
      <c r="E4" s="256"/>
      <c r="F4" s="256"/>
      <c r="G4" s="256"/>
      <c r="H4" s="256"/>
    </row>
    <row r="5" spans="1:11" ht="41.95" customHeight="1" x14ac:dyDescent="0.3">
      <c r="A5" s="257" t="s">
        <v>888</v>
      </c>
      <c r="B5" s="257"/>
      <c r="C5" s="257"/>
      <c r="D5" s="257"/>
      <c r="E5" s="257"/>
      <c r="F5" s="257"/>
      <c r="G5" s="257"/>
      <c r="H5" s="257"/>
      <c r="I5" s="257"/>
    </row>
    <row r="6" spans="1:11" x14ac:dyDescent="0.3">
      <c r="G6" s="124"/>
      <c r="H6" s="124"/>
      <c r="I6" s="148"/>
    </row>
    <row r="7" spans="1:11" ht="68.95" customHeight="1" x14ac:dyDescent="0.3">
      <c r="A7" s="149" t="s">
        <v>682</v>
      </c>
      <c r="B7" s="149" t="s">
        <v>7</v>
      </c>
      <c r="C7" s="149" t="s">
        <v>585</v>
      </c>
      <c r="D7" s="149" t="s">
        <v>28</v>
      </c>
      <c r="E7" s="149" t="s">
        <v>30</v>
      </c>
      <c r="F7" s="149" t="s">
        <v>29</v>
      </c>
      <c r="G7" s="149" t="s">
        <v>885</v>
      </c>
      <c r="H7" s="126" t="s">
        <v>886</v>
      </c>
      <c r="I7" s="150" t="s">
        <v>884</v>
      </c>
    </row>
    <row r="8" spans="1:11" x14ac:dyDescent="0.3">
      <c r="A8" s="149">
        <v>1</v>
      </c>
      <c r="B8" s="149">
        <v>2</v>
      </c>
      <c r="C8" s="149">
        <v>3</v>
      </c>
      <c r="D8" s="149">
        <v>4</v>
      </c>
      <c r="E8" s="149">
        <v>5</v>
      </c>
      <c r="F8" s="149">
        <v>6</v>
      </c>
      <c r="G8" s="149">
        <v>7</v>
      </c>
      <c r="H8" s="126">
        <v>8</v>
      </c>
      <c r="I8" s="151">
        <v>9</v>
      </c>
    </row>
    <row r="9" spans="1:11" s="12" customFormat="1" ht="135" customHeight="1" x14ac:dyDescent="0.3">
      <c r="A9" s="10" t="s">
        <v>678</v>
      </c>
      <c r="B9" s="11" t="s">
        <v>8</v>
      </c>
      <c r="C9" s="11"/>
      <c r="D9" s="11"/>
      <c r="E9" s="11"/>
      <c r="F9" s="11"/>
      <c r="G9" s="31">
        <f>G10+G45</f>
        <v>7628397.4900000012</v>
      </c>
      <c r="H9" s="57">
        <f>H10+H45</f>
        <v>7611700.7800000003</v>
      </c>
      <c r="I9" s="128">
        <f>H9/G9</f>
        <v>0.99781124279091538</v>
      </c>
      <c r="J9" s="24"/>
      <c r="K9" s="24"/>
    </row>
    <row r="10" spans="1:11" s="12" customFormat="1" ht="17.2" x14ac:dyDescent="0.3">
      <c r="A10" s="1" t="s">
        <v>31</v>
      </c>
      <c r="B10" s="2" t="s">
        <v>8</v>
      </c>
      <c r="C10" s="2" t="s">
        <v>683</v>
      </c>
      <c r="D10" s="2"/>
      <c r="E10" s="9"/>
      <c r="F10" s="9"/>
      <c r="G10" s="31">
        <f>SUM(G11+G18+G25)</f>
        <v>7346839.4900000012</v>
      </c>
      <c r="H10" s="57">
        <f>SUM(H11+H18+H25)</f>
        <v>7330142.8100000005</v>
      </c>
      <c r="I10" s="128">
        <f>H10/G10</f>
        <v>0.99772736562126785</v>
      </c>
      <c r="J10" s="24"/>
      <c r="K10" s="24"/>
    </row>
    <row r="11" spans="1:11" s="12" customFormat="1" ht="62.05" x14ac:dyDescent="0.3">
      <c r="A11" s="1" t="s">
        <v>644</v>
      </c>
      <c r="B11" s="2" t="s">
        <v>8</v>
      </c>
      <c r="C11" s="2" t="s">
        <v>683</v>
      </c>
      <c r="D11" s="2" t="s">
        <v>17</v>
      </c>
      <c r="E11" s="2"/>
      <c r="F11" s="2"/>
      <c r="G11" s="31">
        <f>SUM(G12)</f>
        <v>2217863.6900000004</v>
      </c>
      <c r="H11" s="57">
        <f>SUM(H12)</f>
        <v>2217863.6900000004</v>
      </c>
      <c r="I11" s="129">
        <f>H11/G11</f>
        <v>1</v>
      </c>
      <c r="J11" s="24"/>
      <c r="K11" s="24"/>
    </row>
    <row r="12" spans="1:11" ht="20.25" customHeight="1" x14ac:dyDescent="0.3">
      <c r="A12" s="46" t="s">
        <v>49</v>
      </c>
      <c r="B12" s="2" t="s">
        <v>8</v>
      </c>
      <c r="C12" s="2" t="s">
        <v>683</v>
      </c>
      <c r="D12" s="2" t="s">
        <v>17</v>
      </c>
      <c r="E12" s="2" t="s">
        <v>575</v>
      </c>
      <c r="F12" s="2"/>
      <c r="G12" s="31">
        <f>SUM(G13+G15)</f>
        <v>2217863.6900000004</v>
      </c>
      <c r="H12" s="57">
        <f>SUM(H13+H15)</f>
        <v>2217863.6900000004</v>
      </c>
      <c r="I12" s="129">
        <f>H12/G12</f>
        <v>1</v>
      </c>
    </row>
    <row r="13" spans="1:11" s="12" customFormat="1" ht="46.55" x14ac:dyDescent="0.3">
      <c r="A13" s="3" t="s">
        <v>447</v>
      </c>
      <c r="B13" s="4" t="s">
        <v>8</v>
      </c>
      <c r="C13" s="4" t="s">
        <v>683</v>
      </c>
      <c r="D13" s="4" t="s">
        <v>17</v>
      </c>
      <c r="E13" s="4" t="s">
        <v>576</v>
      </c>
      <c r="F13" s="4"/>
      <c r="G13" s="27">
        <f>SUM(G14:G14)</f>
        <v>2217863.6900000004</v>
      </c>
      <c r="H13" s="56">
        <f>SUM(H14:H14)</f>
        <v>2217863.6900000004</v>
      </c>
      <c r="I13" s="130">
        <f t="shared" ref="I13:I19" si="0">H13/G13</f>
        <v>1</v>
      </c>
      <c r="J13" s="24"/>
      <c r="K13" s="24"/>
    </row>
    <row r="14" spans="1:11" s="12" customFormat="1" ht="108.55" x14ac:dyDescent="0.3">
      <c r="A14" s="3" t="s">
        <v>50</v>
      </c>
      <c r="B14" s="4" t="s">
        <v>8</v>
      </c>
      <c r="C14" s="4" t="s">
        <v>683</v>
      </c>
      <c r="D14" s="4" t="s">
        <v>17</v>
      </c>
      <c r="E14" s="4" t="s">
        <v>576</v>
      </c>
      <c r="F14" s="4" t="s">
        <v>462</v>
      </c>
      <c r="G14" s="27">
        <f>2173475+95380.47+26338-70689.11-6640.67</f>
        <v>2217863.6900000004</v>
      </c>
      <c r="H14" s="56">
        <f>2173475+95380.47+26338-70689.11-6640.67</f>
        <v>2217863.6900000004</v>
      </c>
      <c r="I14" s="130">
        <f t="shared" si="0"/>
        <v>1</v>
      </c>
      <c r="J14" s="24"/>
      <c r="K14" s="24"/>
    </row>
    <row r="15" spans="1:11" s="12" customFormat="1" ht="126" hidden="1" customHeight="1" x14ac:dyDescent="0.3">
      <c r="A15" s="3" t="s">
        <v>448</v>
      </c>
      <c r="B15" s="4" t="s">
        <v>8</v>
      </c>
      <c r="C15" s="4" t="s">
        <v>683</v>
      </c>
      <c r="D15" s="4" t="s">
        <v>17</v>
      </c>
      <c r="E15" s="4" t="s">
        <v>544</v>
      </c>
      <c r="F15" s="4"/>
      <c r="G15" s="27">
        <f>SUM(G16:G16)</f>
        <v>0</v>
      </c>
      <c r="H15" s="56">
        <f>SUM(H16:H16)</f>
        <v>0</v>
      </c>
      <c r="I15" s="130" t="e">
        <f t="shared" si="0"/>
        <v>#DIV/0!</v>
      </c>
      <c r="J15" s="24"/>
      <c r="K15" s="24"/>
    </row>
    <row r="16" spans="1:11" s="12" customFormat="1" ht="137.25" hidden="1" customHeight="1" x14ac:dyDescent="0.3">
      <c r="A16" s="3" t="s">
        <v>50</v>
      </c>
      <c r="B16" s="4" t="s">
        <v>8</v>
      </c>
      <c r="C16" s="4" t="s">
        <v>683</v>
      </c>
      <c r="D16" s="4" t="s">
        <v>17</v>
      </c>
      <c r="E16" s="4" t="s">
        <v>544</v>
      </c>
      <c r="F16" s="4" t="s">
        <v>462</v>
      </c>
      <c r="G16" s="27">
        <f>25000-25000</f>
        <v>0</v>
      </c>
      <c r="H16" s="56">
        <f>25000-25000</f>
        <v>0</v>
      </c>
      <c r="I16" s="130" t="e">
        <f t="shared" si="0"/>
        <v>#DIV/0!</v>
      </c>
      <c r="J16" s="24"/>
      <c r="K16" s="24"/>
    </row>
    <row r="17" spans="1:11" s="12" customFormat="1" ht="93.05" x14ac:dyDescent="0.3">
      <c r="A17" s="1" t="s">
        <v>468</v>
      </c>
      <c r="B17" s="2" t="s">
        <v>8</v>
      </c>
      <c r="C17" s="2" t="s">
        <v>683</v>
      </c>
      <c r="D17" s="2" t="s">
        <v>19</v>
      </c>
      <c r="E17" s="2"/>
      <c r="F17" s="2"/>
      <c r="G17" s="31">
        <f>G18</f>
        <v>4706717.3100000005</v>
      </c>
      <c r="H17" s="57">
        <f>H18</f>
        <v>4706516.12</v>
      </c>
      <c r="I17" s="129">
        <f t="shared" si="0"/>
        <v>0.99995725470922736</v>
      </c>
      <c r="J17" s="24"/>
      <c r="K17" s="24"/>
    </row>
    <row r="18" spans="1:11" x14ac:dyDescent="0.3">
      <c r="A18" s="46" t="s">
        <v>49</v>
      </c>
      <c r="B18" s="2" t="s">
        <v>8</v>
      </c>
      <c r="C18" s="2" t="s">
        <v>683</v>
      </c>
      <c r="D18" s="2" t="s">
        <v>19</v>
      </c>
      <c r="E18" s="2" t="s">
        <v>575</v>
      </c>
      <c r="F18" s="2"/>
      <c r="G18" s="31">
        <f>SUM(G19+G21+G23)</f>
        <v>4706717.3100000005</v>
      </c>
      <c r="H18" s="57">
        <f>SUM(H19+H21+H23)</f>
        <v>4706516.12</v>
      </c>
      <c r="I18" s="129">
        <f t="shared" si="0"/>
        <v>0.99995725470922736</v>
      </c>
    </row>
    <row r="19" spans="1:11" s="12" customFormat="1" ht="46.55" x14ac:dyDescent="0.3">
      <c r="A19" s="3" t="s">
        <v>449</v>
      </c>
      <c r="B19" s="4" t="s">
        <v>8</v>
      </c>
      <c r="C19" s="4" t="s">
        <v>683</v>
      </c>
      <c r="D19" s="4" t="s">
        <v>19</v>
      </c>
      <c r="E19" s="4" t="s">
        <v>545</v>
      </c>
      <c r="F19" s="4"/>
      <c r="G19" s="27">
        <f>SUM(G20)</f>
        <v>1591523.32</v>
      </c>
      <c r="H19" s="56">
        <f>SUM(H20)</f>
        <v>1591523.32</v>
      </c>
      <c r="I19" s="130">
        <f t="shared" si="0"/>
        <v>1</v>
      </c>
      <c r="J19" s="24"/>
      <c r="K19" s="24"/>
    </row>
    <row r="20" spans="1:11" s="12" customFormat="1" ht="108.55" x14ac:dyDescent="0.3">
      <c r="A20" s="3" t="s">
        <v>50</v>
      </c>
      <c r="B20" s="4" t="s">
        <v>8</v>
      </c>
      <c r="C20" s="4" t="s">
        <v>683</v>
      </c>
      <c r="D20" s="4" t="s">
        <v>19</v>
      </c>
      <c r="E20" s="4" t="s">
        <v>545</v>
      </c>
      <c r="F20" s="4" t="s">
        <v>462</v>
      </c>
      <c r="G20" s="27">
        <f>1593645+62993.54-128597-13848+70689.11+6640.67</f>
        <v>1591523.32</v>
      </c>
      <c r="H20" s="56">
        <f>1593645+62993.54-128597-13848+70689.11+6640.67</f>
        <v>1591523.32</v>
      </c>
      <c r="I20" s="130">
        <f>H20/G20</f>
        <v>1</v>
      </c>
      <c r="J20" s="24"/>
      <c r="K20" s="24"/>
    </row>
    <row r="21" spans="1:11" s="23" customFormat="1" ht="46.55" x14ac:dyDescent="0.25">
      <c r="A21" s="3" t="s">
        <v>450</v>
      </c>
      <c r="B21" s="4" t="s">
        <v>8</v>
      </c>
      <c r="C21" s="4" t="s">
        <v>683</v>
      </c>
      <c r="D21" s="4" t="s">
        <v>19</v>
      </c>
      <c r="E21" s="4" t="s">
        <v>546</v>
      </c>
      <c r="F21" s="4"/>
      <c r="G21" s="27">
        <f>SUM(G22)</f>
        <v>3115068</v>
      </c>
      <c r="H21" s="56">
        <f>SUM(H22)</f>
        <v>3114866.81</v>
      </c>
      <c r="I21" s="130">
        <f>H21/G21</f>
        <v>0.99993541392996876</v>
      </c>
      <c r="J21" s="43"/>
      <c r="K21" s="43"/>
    </row>
    <row r="22" spans="1:11" s="23" customFormat="1" ht="108.55" x14ac:dyDescent="0.25">
      <c r="A22" s="3" t="s">
        <v>50</v>
      </c>
      <c r="B22" s="4" t="s">
        <v>8</v>
      </c>
      <c r="C22" s="4" t="s">
        <v>683</v>
      </c>
      <c r="D22" s="4" t="s">
        <v>19</v>
      </c>
      <c r="E22" s="4" t="s">
        <v>546</v>
      </c>
      <c r="F22" s="4" t="s">
        <v>462</v>
      </c>
      <c r="G22" s="27">
        <f>2987578+70000+57490</f>
        <v>3115068</v>
      </c>
      <c r="H22" s="56">
        <v>3114866.81</v>
      </c>
      <c r="I22" s="130">
        <f t="shared" ref="I22:I36" si="1">H22/G22</f>
        <v>0.99993541392996876</v>
      </c>
      <c r="J22" s="43"/>
      <c r="K22" s="43"/>
    </row>
    <row r="23" spans="1:11" s="12" customFormat="1" ht="126" customHeight="1" x14ac:dyDescent="0.3">
      <c r="A23" s="3" t="s">
        <v>448</v>
      </c>
      <c r="B23" s="4" t="s">
        <v>8</v>
      </c>
      <c r="C23" s="4" t="s">
        <v>683</v>
      </c>
      <c r="D23" s="4" t="s">
        <v>19</v>
      </c>
      <c r="E23" s="4" t="s">
        <v>544</v>
      </c>
      <c r="F23" s="4"/>
      <c r="G23" s="27">
        <f>SUM(G24)</f>
        <v>125.98999999999069</v>
      </c>
      <c r="H23" s="56">
        <f>SUM(H24)</f>
        <v>125.98999999999069</v>
      </c>
      <c r="I23" s="130">
        <f t="shared" si="1"/>
        <v>1</v>
      </c>
      <c r="J23" s="24"/>
      <c r="K23" s="24"/>
    </row>
    <row r="24" spans="1:11" s="12" customFormat="1" ht="108.55" x14ac:dyDescent="0.3">
      <c r="A24" s="3" t="s">
        <v>389</v>
      </c>
      <c r="B24" s="59" t="s">
        <v>8</v>
      </c>
      <c r="C24" s="4" t="s">
        <v>683</v>
      </c>
      <c r="D24" s="4" t="s">
        <v>19</v>
      </c>
      <c r="E24" s="4" t="s">
        <v>544</v>
      </c>
      <c r="F24" s="4" t="s">
        <v>462</v>
      </c>
      <c r="G24" s="27">
        <f>133500-133374.01</f>
        <v>125.98999999999069</v>
      </c>
      <c r="H24" s="56">
        <f>133500-133374.01</f>
        <v>125.98999999999069</v>
      </c>
      <c r="I24" s="130">
        <f t="shared" si="1"/>
        <v>1</v>
      </c>
      <c r="J24" s="24"/>
      <c r="K24" s="24"/>
    </row>
    <row r="25" spans="1:11" s="12" customFormat="1" ht="31.05" x14ac:dyDescent="0.3">
      <c r="A25" s="1" t="s">
        <v>582</v>
      </c>
      <c r="B25" s="2" t="s">
        <v>8</v>
      </c>
      <c r="C25" s="2" t="s">
        <v>683</v>
      </c>
      <c r="D25" s="2" t="s">
        <v>460</v>
      </c>
      <c r="E25" s="2"/>
      <c r="F25" s="2"/>
      <c r="G25" s="31">
        <f>SUM(G26)</f>
        <v>422258.49000000005</v>
      </c>
      <c r="H25" s="57">
        <f>SUM(H26)</f>
        <v>405763</v>
      </c>
      <c r="I25" s="130">
        <f t="shared" si="1"/>
        <v>0.96093508978351139</v>
      </c>
      <c r="J25" s="24"/>
      <c r="K25" s="24"/>
    </row>
    <row r="26" spans="1:11" ht="62.05" x14ac:dyDescent="0.3">
      <c r="A26" s="46" t="s">
        <v>62</v>
      </c>
      <c r="B26" s="2" t="s">
        <v>8</v>
      </c>
      <c r="C26" s="2" t="s">
        <v>683</v>
      </c>
      <c r="D26" s="2" t="s">
        <v>460</v>
      </c>
      <c r="E26" s="2" t="s">
        <v>547</v>
      </c>
      <c r="F26" s="2"/>
      <c r="G26" s="31">
        <f>SUM(G27+G34)</f>
        <v>422258.49000000005</v>
      </c>
      <c r="H26" s="57">
        <f>SUM(H27+H34)</f>
        <v>405763</v>
      </c>
      <c r="I26" s="129">
        <f t="shared" si="1"/>
        <v>0.96093508978351139</v>
      </c>
    </row>
    <row r="27" spans="1:11" s="12" customFormat="1" ht="46.55" x14ac:dyDescent="0.3">
      <c r="A27" s="3" t="s">
        <v>81</v>
      </c>
      <c r="B27" s="4" t="s">
        <v>8</v>
      </c>
      <c r="C27" s="4" t="s">
        <v>683</v>
      </c>
      <c r="D27" s="4" t="s">
        <v>460</v>
      </c>
      <c r="E27" s="4" t="s">
        <v>548</v>
      </c>
      <c r="F27" s="4"/>
      <c r="G27" s="27">
        <f>SUM(G31)+G28</f>
        <v>192544</v>
      </c>
      <c r="H27" s="56">
        <f>SUM(H31)+H28</f>
        <v>192544</v>
      </c>
      <c r="I27" s="130">
        <f t="shared" si="1"/>
        <v>1</v>
      </c>
      <c r="J27" s="24"/>
      <c r="K27" s="24"/>
    </row>
    <row r="28" spans="1:11" s="12" customFormat="1" ht="62.05" x14ac:dyDescent="0.3">
      <c r="A28" s="3" t="s">
        <v>777</v>
      </c>
      <c r="B28" s="4" t="s">
        <v>8</v>
      </c>
      <c r="C28" s="4" t="s">
        <v>683</v>
      </c>
      <c r="D28" s="4" t="s">
        <v>460</v>
      </c>
      <c r="E28" s="4" t="s">
        <v>151</v>
      </c>
      <c r="F28" s="4"/>
      <c r="G28" s="27">
        <f>G29</f>
        <v>192544</v>
      </c>
      <c r="H28" s="56">
        <f>H29</f>
        <v>192544</v>
      </c>
      <c r="I28" s="130">
        <f t="shared" si="1"/>
        <v>1</v>
      </c>
      <c r="J28" s="24"/>
      <c r="K28" s="24"/>
    </row>
    <row r="29" spans="1:11" s="12" customFormat="1" ht="31.05" x14ac:dyDescent="0.3">
      <c r="A29" s="3" t="s">
        <v>393</v>
      </c>
      <c r="B29" s="4" t="s">
        <v>8</v>
      </c>
      <c r="C29" s="4" t="s">
        <v>683</v>
      </c>
      <c r="D29" s="4" t="s">
        <v>460</v>
      </c>
      <c r="E29" s="4" t="s">
        <v>778</v>
      </c>
      <c r="F29" s="53"/>
      <c r="G29" s="27">
        <f>G30</f>
        <v>192544</v>
      </c>
      <c r="H29" s="56">
        <f>H30</f>
        <v>192544</v>
      </c>
      <c r="I29" s="130">
        <f t="shared" si="1"/>
        <v>1</v>
      </c>
      <c r="J29" s="24"/>
      <c r="K29" s="24"/>
    </row>
    <row r="30" spans="1:11" s="12" customFormat="1" ht="46.55" x14ac:dyDescent="0.3">
      <c r="A30" s="3" t="s">
        <v>543</v>
      </c>
      <c r="B30" s="4" t="s">
        <v>8</v>
      </c>
      <c r="C30" s="4" t="s">
        <v>683</v>
      </c>
      <c r="D30" s="4" t="s">
        <v>460</v>
      </c>
      <c r="E30" s="4" t="s">
        <v>778</v>
      </c>
      <c r="F30" s="53">
        <v>200</v>
      </c>
      <c r="G30" s="27">
        <f>210900-9132-9224</f>
        <v>192544</v>
      </c>
      <c r="H30" s="56">
        <f>210900-9132-9224</f>
        <v>192544</v>
      </c>
      <c r="I30" s="130">
        <f t="shared" si="1"/>
        <v>1</v>
      </c>
      <c r="J30" s="24"/>
      <c r="K30" s="24"/>
    </row>
    <row r="31" spans="1:11" s="12" customFormat="1" ht="63" hidden="1" customHeight="1" x14ac:dyDescent="0.3">
      <c r="A31" s="3" t="s">
        <v>551</v>
      </c>
      <c r="B31" s="4" t="s">
        <v>8</v>
      </c>
      <c r="C31" s="4" t="s">
        <v>683</v>
      </c>
      <c r="D31" s="4" t="s">
        <v>460</v>
      </c>
      <c r="E31" s="4" t="s">
        <v>552</v>
      </c>
      <c r="F31" s="4"/>
      <c r="G31" s="27">
        <f>SUM(G32)</f>
        <v>0</v>
      </c>
      <c r="H31" s="56">
        <f>SUM(H32)</f>
        <v>0</v>
      </c>
      <c r="I31" s="130" t="e">
        <f t="shared" si="1"/>
        <v>#DIV/0!</v>
      </c>
      <c r="J31" s="24"/>
      <c r="K31" s="24"/>
    </row>
    <row r="32" spans="1:11" s="12" customFormat="1" ht="31.6" hidden="1" customHeight="1" x14ac:dyDescent="0.3">
      <c r="A32" s="3" t="s">
        <v>393</v>
      </c>
      <c r="B32" s="4" t="s">
        <v>8</v>
      </c>
      <c r="C32" s="4" t="s">
        <v>683</v>
      </c>
      <c r="D32" s="4" t="s">
        <v>460</v>
      </c>
      <c r="E32" s="4" t="s">
        <v>549</v>
      </c>
      <c r="F32" s="53"/>
      <c r="G32" s="27">
        <f>SUM(G33)</f>
        <v>0</v>
      </c>
      <c r="H32" s="56">
        <f>SUM(H33)</f>
        <v>0</v>
      </c>
      <c r="I32" s="130" t="e">
        <f t="shared" si="1"/>
        <v>#DIV/0!</v>
      </c>
      <c r="J32" s="24"/>
      <c r="K32" s="24"/>
    </row>
    <row r="33" spans="1:11" s="12" customFormat="1" ht="51.8" hidden="1" customHeight="1" x14ac:dyDescent="0.3">
      <c r="A33" s="3" t="s">
        <v>543</v>
      </c>
      <c r="B33" s="4" t="s">
        <v>8</v>
      </c>
      <c r="C33" s="4" t="s">
        <v>683</v>
      </c>
      <c r="D33" s="4" t="s">
        <v>460</v>
      </c>
      <c r="E33" s="4" t="s">
        <v>549</v>
      </c>
      <c r="F33" s="53">
        <v>200</v>
      </c>
      <c r="G33" s="27">
        <f>277400-66500-210900</f>
        <v>0</v>
      </c>
      <c r="H33" s="56">
        <f>277400-66500-210900</f>
        <v>0</v>
      </c>
      <c r="I33" s="130" t="e">
        <f t="shared" si="1"/>
        <v>#DIV/0!</v>
      </c>
      <c r="J33" s="24"/>
      <c r="K33" s="24"/>
    </row>
    <row r="34" spans="1:11" s="12" customFormat="1" ht="54" customHeight="1" x14ac:dyDescent="0.3">
      <c r="A34" s="3" t="s">
        <v>91</v>
      </c>
      <c r="B34" s="4" t="s">
        <v>8</v>
      </c>
      <c r="C34" s="4" t="s">
        <v>683</v>
      </c>
      <c r="D34" s="4" t="s">
        <v>460</v>
      </c>
      <c r="E34" s="4" t="s">
        <v>550</v>
      </c>
      <c r="F34" s="53"/>
      <c r="G34" s="27">
        <f>SUM(G35)+G42+G39</f>
        <v>229714.49000000005</v>
      </c>
      <c r="H34" s="56">
        <f>SUM(H35)+H42+H39</f>
        <v>213219</v>
      </c>
      <c r="I34" s="130">
        <f t="shared" si="1"/>
        <v>0.92819133873531423</v>
      </c>
      <c r="J34" s="24"/>
      <c r="K34" s="24"/>
    </row>
    <row r="35" spans="1:11" s="12" customFormat="1" ht="77.55" x14ac:dyDescent="0.3">
      <c r="A35" s="3" t="s">
        <v>553</v>
      </c>
      <c r="B35" s="4" t="s">
        <v>8</v>
      </c>
      <c r="C35" s="4" t="s">
        <v>683</v>
      </c>
      <c r="D35" s="4" t="s">
        <v>460</v>
      </c>
      <c r="E35" s="4" t="s">
        <v>524</v>
      </c>
      <c r="F35" s="53"/>
      <c r="G35" s="27">
        <f>SUM(G36)</f>
        <v>110360.00000000001</v>
      </c>
      <c r="H35" s="56">
        <f>SUM(H36)</f>
        <v>110360.00000000001</v>
      </c>
      <c r="I35" s="130">
        <f t="shared" si="1"/>
        <v>1</v>
      </c>
      <c r="J35" s="24"/>
      <c r="K35" s="24"/>
    </row>
    <row r="36" spans="1:11" s="12" customFormat="1" ht="63" customHeight="1" x14ac:dyDescent="0.3">
      <c r="A36" s="3" t="s">
        <v>451</v>
      </c>
      <c r="B36" s="4" t="s">
        <v>8</v>
      </c>
      <c r="C36" s="4" t="s">
        <v>683</v>
      </c>
      <c r="D36" s="4" t="s">
        <v>460</v>
      </c>
      <c r="E36" s="4" t="s">
        <v>782</v>
      </c>
      <c r="F36" s="53"/>
      <c r="G36" s="27">
        <f>SUM(G37+G38)</f>
        <v>110360.00000000001</v>
      </c>
      <c r="H36" s="56">
        <f>SUM(H37+H38)</f>
        <v>110360.00000000001</v>
      </c>
      <c r="I36" s="130">
        <f t="shared" si="1"/>
        <v>1</v>
      </c>
      <c r="J36" s="24"/>
      <c r="K36" s="24"/>
    </row>
    <row r="37" spans="1:11" ht="137.25" customHeight="1" x14ac:dyDescent="0.3">
      <c r="A37" s="3" t="s">
        <v>389</v>
      </c>
      <c r="B37" s="4" t="s">
        <v>8</v>
      </c>
      <c r="C37" s="4" t="s">
        <v>683</v>
      </c>
      <c r="D37" s="4" t="s">
        <v>460</v>
      </c>
      <c r="E37" s="4" t="s">
        <v>782</v>
      </c>
      <c r="F37" s="53">
        <v>100</v>
      </c>
      <c r="G37" s="27">
        <f>114473.33+28500-97973.33-35000+20300+12236+9224-500</f>
        <v>51260.000000000015</v>
      </c>
      <c r="H37" s="56">
        <f>114473.33+28500-97973.33-35000+20300+12236+9224-500</f>
        <v>51260.000000000015</v>
      </c>
      <c r="I37" s="130">
        <f>H37/G37</f>
        <v>1</v>
      </c>
    </row>
    <row r="38" spans="1:11" s="12" customFormat="1" ht="46.55" x14ac:dyDescent="0.3">
      <c r="A38" s="3" t="s">
        <v>543</v>
      </c>
      <c r="B38" s="4" t="s">
        <v>8</v>
      </c>
      <c r="C38" s="4" t="s">
        <v>683</v>
      </c>
      <c r="D38" s="4" t="s">
        <v>460</v>
      </c>
      <c r="E38" s="4" t="s">
        <v>782</v>
      </c>
      <c r="F38" s="53">
        <v>200</v>
      </c>
      <c r="G38" s="27">
        <f>37385.16+38000-50000+8214.84+32000-6500</f>
        <v>59100</v>
      </c>
      <c r="H38" s="56">
        <f>37385.16+38000-50000+8214.84+32000-6500</f>
        <v>59100</v>
      </c>
      <c r="I38" s="130">
        <f>H38/G38</f>
        <v>1</v>
      </c>
      <c r="J38" s="24"/>
      <c r="K38" s="24"/>
    </row>
    <row r="39" spans="1:11" s="12" customFormat="1" ht="31.05" x14ac:dyDescent="0.3">
      <c r="A39" s="3" t="s">
        <v>153</v>
      </c>
      <c r="B39" s="4" t="s">
        <v>8</v>
      </c>
      <c r="C39" s="4" t="s">
        <v>683</v>
      </c>
      <c r="D39" s="4" t="s">
        <v>460</v>
      </c>
      <c r="E39" s="4" t="s">
        <v>154</v>
      </c>
      <c r="F39" s="53"/>
      <c r="G39" s="27">
        <f>G40</f>
        <v>9132</v>
      </c>
      <c r="H39" s="56">
        <f>H40</f>
        <v>9132</v>
      </c>
      <c r="I39" s="130">
        <f t="shared" ref="I39:I89" si="2">H39/G39</f>
        <v>1</v>
      </c>
      <c r="J39" s="24"/>
      <c r="K39" s="24"/>
    </row>
    <row r="40" spans="1:11" s="12" customFormat="1" ht="46.55" x14ac:dyDescent="0.3">
      <c r="A40" s="3" t="s">
        <v>451</v>
      </c>
      <c r="B40" s="4" t="s">
        <v>8</v>
      </c>
      <c r="C40" s="4" t="s">
        <v>683</v>
      </c>
      <c r="D40" s="4" t="s">
        <v>460</v>
      </c>
      <c r="E40" s="4" t="s">
        <v>783</v>
      </c>
      <c r="F40" s="53"/>
      <c r="G40" s="27">
        <f>G41</f>
        <v>9132</v>
      </c>
      <c r="H40" s="56">
        <f>H41</f>
        <v>9132</v>
      </c>
      <c r="I40" s="130">
        <f t="shared" si="2"/>
        <v>1</v>
      </c>
      <c r="J40" s="24"/>
      <c r="K40" s="24"/>
    </row>
    <row r="41" spans="1:11" s="12" customFormat="1" ht="46.55" x14ac:dyDescent="0.3">
      <c r="A41" s="3" t="s">
        <v>543</v>
      </c>
      <c r="B41" s="4" t="s">
        <v>8</v>
      </c>
      <c r="C41" s="4" t="s">
        <v>683</v>
      </c>
      <c r="D41" s="4" t="s">
        <v>460</v>
      </c>
      <c r="E41" s="4" t="s">
        <v>783</v>
      </c>
      <c r="F41" s="53">
        <v>200</v>
      </c>
      <c r="G41" s="27">
        <f>9132</f>
        <v>9132</v>
      </c>
      <c r="H41" s="56">
        <f>9132</f>
        <v>9132</v>
      </c>
      <c r="I41" s="130">
        <f t="shared" si="2"/>
        <v>1</v>
      </c>
      <c r="J41" s="24"/>
      <c r="K41" s="24"/>
    </row>
    <row r="42" spans="1:11" s="12" customFormat="1" ht="62.05" x14ac:dyDescent="0.3">
      <c r="A42" s="3" t="s">
        <v>155</v>
      </c>
      <c r="B42" s="4" t="s">
        <v>8</v>
      </c>
      <c r="C42" s="4" t="s">
        <v>683</v>
      </c>
      <c r="D42" s="4" t="s">
        <v>460</v>
      </c>
      <c r="E42" s="4" t="s">
        <v>156</v>
      </c>
      <c r="F42" s="53"/>
      <c r="G42" s="27">
        <f>G43</f>
        <v>110222.49000000002</v>
      </c>
      <c r="H42" s="56">
        <f>H43</f>
        <v>93727</v>
      </c>
      <c r="I42" s="130">
        <f t="shared" si="2"/>
        <v>0.85034370027387318</v>
      </c>
      <c r="J42" s="24"/>
      <c r="K42" s="24"/>
    </row>
    <row r="43" spans="1:11" s="12" customFormat="1" ht="46.55" x14ac:dyDescent="0.3">
      <c r="A43" s="3" t="s">
        <v>451</v>
      </c>
      <c r="B43" s="4" t="s">
        <v>8</v>
      </c>
      <c r="C43" s="4" t="s">
        <v>683</v>
      </c>
      <c r="D43" s="4" t="s">
        <v>460</v>
      </c>
      <c r="E43" s="4" t="s">
        <v>781</v>
      </c>
      <c r="F43" s="53"/>
      <c r="G43" s="27">
        <f>G44</f>
        <v>110222.49000000002</v>
      </c>
      <c r="H43" s="56">
        <f>H44</f>
        <v>93727</v>
      </c>
      <c r="I43" s="130">
        <f t="shared" si="2"/>
        <v>0.85034370027387318</v>
      </c>
      <c r="J43" s="24"/>
      <c r="K43" s="24"/>
    </row>
    <row r="44" spans="1:11" s="12" customFormat="1" ht="108.55" x14ac:dyDescent="0.3">
      <c r="A44" s="3" t="s">
        <v>389</v>
      </c>
      <c r="B44" s="4" t="s">
        <v>8</v>
      </c>
      <c r="C44" s="4" t="s">
        <v>683</v>
      </c>
      <c r="D44" s="4" t="s">
        <v>460</v>
      </c>
      <c r="E44" s="4" t="s">
        <v>781</v>
      </c>
      <c r="F44" s="53">
        <v>100</v>
      </c>
      <c r="G44" s="27">
        <f>97973.33+85000-28514.84-44236</f>
        <v>110222.49000000002</v>
      </c>
      <c r="H44" s="56">
        <v>93727</v>
      </c>
      <c r="I44" s="130">
        <f t="shared" si="2"/>
        <v>0.85034370027387318</v>
      </c>
      <c r="J44" s="24"/>
      <c r="K44" s="24"/>
    </row>
    <row r="45" spans="1:11" s="12" customFormat="1" x14ac:dyDescent="0.3">
      <c r="A45" s="1" t="s">
        <v>33</v>
      </c>
      <c r="B45" s="2" t="s">
        <v>8</v>
      </c>
      <c r="C45" s="2" t="s">
        <v>22</v>
      </c>
      <c r="D45" s="2"/>
      <c r="E45" s="2"/>
      <c r="F45" s="2"/>
      <c r="G45" s="31">
        <f t="shared" ref="G45:H50" si="3">SUM(G46)</f>
        <v>281558</v>
      </c>
      <c r="H45" s="57">
        <f t="shared" si="3"/>
        <v>281557.96999999997</v>
      </c>
      <c r="I45" s="129">
        <f t="shared" si="2"/>
        <v>0.99999989345001727</v>
      </c>
      <c r="J45" s="24"/>
      <c r="K45" s="24"/>
    </row>
    <row r="46" spans="1:11" s="12" customFormat="1" x14ac:dyDescent="0.3">
      <c r="A46" s="3" t="s">
        <v>456</v>
      </c>
      <c r="B46" s="4" t="s">
        <v>8</v>
      </c>
      <c r="C46" s="4" t="s">
        <v>22</v>
      </c>
      <c r="D46" s="4" t="s">
        <v>20</v>
      </c>
      <c r="E46" s="4"/>
      <c r="F46" s="4"/>
      <c r="G46" s="31">
        <f t="shared" si="3"/>
        <v>281558</v>
      </c>
      <c r="H46" s="57">
        <f t="shared" si="3"/>
        <v>281557.96999999997</v>
      </c>
      <c r="I46" s="129">
        <f t="shared" si="2"/>
        <v>0.99999989345001727</v>
      </c>
      <c r="J46" s="24"/>
      <c r="K46" s="24"/>
    </row>
    <row r="47" spans="1:11" ht="46.55" x14ac:dyDescent="0.3">
      <c r="A47" s="1" t="s">
        <v>726</v>
      </c>
      <c r="B47" s="2" t="s">
        <v>8</v>
      </c>
      <c r="C47" s="2" t="s">
        <v>22</v>
      </c>
      <c r="D47" s="2" t="s">
        <v>20</v>
      </c>
      <c r="E47" s="2" t="s">
        <v>554</v>
      </c>
      <c r="F47" s="2"/>
      <c r="G47" s="31">
        <f t="shared" si="3"/>
        <v>281558</v>
      </c>
      <c r="H47" s="57">
        <f t="shared" si="3"/>
        <v>281557.96999999997</v>
      </c>
      <c r="I47" s="129">
        <f t="shared" si="2"/>
        <v>0.99999989345001727</v>
      </c>
    </row>
    <row r="48" spans="1:11" s="12" customFormat="1" ht="62.05" x14ac:dyDescent="0.3">
      <c r="A48" s="3" t="s">
        <v>52</v>
      </c>
      <c r="B48" s="4" t="s">
        <v>8</v>
      </c>
      <c r="C48" s="4" t="s">
        <v>22</v>
      </c>
      <c r="D48" s="4" t="s">
        <v>20</v>
      </c>
      <c r="E48" s="4" t="s">
        <v>555</v>
      </c>
      <c r="F48" s="4"/>
      <c r="G48" s="27">
        <f>G55+G52</f>
        <v>281558</v>
      </c>
      <c r="H48" s="56">
        <f>H55+H52</f>
        <v>281557.96999999997</v>
      </c>
      <c r="I48" s="130">
        <f t="shared" si="2"/>
        <v>0.99999989345001727</v>
      </c>
      <c r="J48" s="24"/>
      <c r="K48" s="24"/>
    </row>
    <row r="49" spans="1:11" s="12" customFormat="1" ht="47.25" hidden="1" customHeight="1" x14ac:dyDescent="0.3">
      <c r="A49" s="3" t="s">
        <v>556</v>
      </c>
      <c r="B49" s="4" t="s">
        <v>8</v>
      </c>
      <c r="C49" s="4" t="s">
        <v>22</v>
      </c>
      <c r="D49" s="4" t="s">
        <v>20</v>
      </c>
      <c r="E49" s="4" t="s">
        <v>557</v>
      </c>
      <c r="F49" s="4"/>
      <c r="G49" s="27">
        <f t="shared" si="3"/>
        <v>0</v>
      </c>
      <c r="H49" s="56">
        <f t="shared" si="3"/>
        <v>0</v>
      </c>
      <c r="I49" s="130" t="e">
        <f t="shared" si="2"/>
        <v>#DIV/0!</v>
      </c>
      <c r="J49" s="24"/>
      <c r="K49" s="24"/>
    </row>
    <row r="50" spans="1:11" s="12" customFormat="1" ht="31.6" hidden="1" customHeight="1" x14ac:dyDescent="0.3">
      <c r="A50" s="3" t="s">
        <v>53</v>
      </c>
      <c r="B50" s="4" t="s">
        <v>8</v>
      </c>
      <c r="C50" s="4" t="s">
        <v>22</v>
      </c>
      <c r="D50" s="4" t="s">
        <v>20</v>
      </c>
      <c r="E50" s="4" t="s">
        <v>558</v>
      </c>
      <c r="F50" s="4"/>
      <c r="G50" s="27">
        <f t="shared" si="3"/>
        <v>0</v>
      </c>
      <c r="H50" s="56">
        <f t="shared" si="3"/>
        <v>0</v>
      </c>
      <c r="I50" s="130" t="e">
        <f t="shared" si="2"/>
        <v>#DIV/0!</v>
      </c>
      <c r="J50" s="24"/>
      <c r="K50" s="24"/>
    </row>
    <row r="51" spans="1:11" s="12" customFormat="1" ht="47.25" hidden="1" customHeight="1" x14ac:dyDescent="0.3">
      <c r="A51" s="6" t="s">
        <v>543</v>
      </c>
      <c r="B51" s="7" t="s">
        <v>8</v>
      </c>
      <c r="C51" s="7" t="s">
        <v>22</v>
      </c>
      <c r="D51" s="7" t="s">
        <v>20</v>
      </c>
      <c r="E51" s="7" t="s">
        <v>558</v>
      </c>
      <c r="F51" s="7" t="s">
        <v>463</v>
      </c>
      <c r="G51" s="29">
        <f>274558-274558</f>
        <v>0</v>
      </c>
      <c r="H51" s="134">
        <f>274558-274558</f>
        <v>0</v>
      </c>
      <c r="I51" s="130" t="e">
        <f t="shared" si="2"/>
        <v>#DIV/0!</v>
      </c>
      <c r="J51" s="24"/>
      <c r="K51" s="24"/>
    </row>
    <row r="52" spans="1:11" s="12" customFormat="1" ht="62.05" x14ac:dyDescent="0.3">
      <c r="A52" s="3" t="s">
        <v>216</v>
      </c>
      <c r="B52" s="4" t="s">
        <v>8</v>
      </c>
      <c r="C52" s="4" t="s">
        <v>22</v>
      </c>
      <c r="D52" s="4" t="s">
        <v>20</v>
      </c>
      <c r="E52" s="4" t="s">
        <v>217</v>
      </c>
      <c r="F52" s="4"/>
      <c r="G52" s="27">
        <f>G53</f>
        <v>40270</v>
      </c>
      <c r="H52" s="56">
        <f>H53</f>
        <v>40270</v>
      </c>
      <c r="I52" s="130">
        <f t="shared" si="2"/>
        <v>1</v>
      </c>
      <c r="J52" s="24"/>
      <c r="K52" s="24"/>
    </row>
    <row r="53" spans="1:11" s="12" customFormat="1" ht="31.05" x14ac:dyDescent="0.3">
      <c r="A53" s="3" t="s">
        <v>393</v>
      </c>
      <c r="B53" s="4" t="s">
        <v>8</v>
      </c>
      <c r="C53" s="4" t="s">
        <v>22</v>
      </c>
      <c r="D53" s="4" t="s">
        <v>20</v>
      </c>
      <c r="E53" s="4" t="s">
        <v>218</v>
      </c>
      <c r="F53" s="4"/>
      <c r="G53" s="27">
        <f>G54</f>
        <v>40270</v>
      </c>
      <c r="H53" s="56">
        <f>H54</f>
        <v>40270</v>
      </c>
      <c r="I53" s="130">
        <f t="shared" si="2"/>
        <v>1</v>
      </c>
      <c r="J53" s="24"/>
      <c r="K53" s="24"/>
    </row>
    <row r="54" spans="1:11" s="12" customFormat="1" ht="46.55" x14ac:dyDescent="0.3">
      <c r="A54" s="3" t="s">
        <v>543</v>
      </c>
      <c r="B54" s="4" t="s">
        <v>8</v>
      </c>
      <c r="C54" s="4" t="s">
        <v>22</v>
      </c>
      <c r="D54" s="4" t="s">
        <v>20</v>
      </c>
      <c r="E54" s="4" t="s">
        <v>218</v>
      </c>
      <c r="F54" s="53">
        <v>200</v>
      </c>
      <c r="G54" s="27">
        <f>40270</f>
        <v>40270</v>
      </c>
      <c r="H54" s="56">
        <f>40270</f>
        <v>40270</v>
      </c>
      <c r="I54" s="130">
        <f t="shared" si="2"/>
        <v>1</v>
      </c>
      <c r="J54" s="24"/>
      <c r="K54" s="24"/>
    </row>
    <row r="55" spans="1:11" s="12" customFormat="1" ht="46.55" x14ac:dyDescent="0.3">
      <c r="A55" s="3" t="s">
        <v>219</v>
      </c>
      <c r="B55" s="4" t="s">
        <v>8</v>
      </c>
      <c r="C55" s="4" t="s">
        <v>22</v>
      </c>
      <c r="D55" s="4" t="s">
        <v>20</v>
      </c>
      <c r="E55" s="4" t="s">
        <v>220</v>
      </c>
      <c r="F55" s="4"/>
      <c r="G55" s="27">
        <f>G56</f>
        <v>241288</v>
      </c>
      <c r="H55" s="56">
        <f>H56</f>
        <v>241287.97</v>
      </c>
      <c r="I55" s="130">
        <f t="shared" si="2"/>
        <v>0.99999987566725246</v>
      </c>
      <c r="J55" s="24"/>
      <c r="K55" s="24"/>
    </row>
    <row r="56" spans="1:11" s="12" customFormat="1" ht="31.05" x14ac:dyDescent="0.3">
      <c r="A56" s="3" t="s">
        <v>393</v>
      </c>
      <c r="B56" s="4" t="s">
        <v>8</v>
      </c>
      <c r="C56" s="4" t="s">
        <v>22</v>
      </c>
      <c r="D56" s="4" t="s">
        <v>20</v>
      </c>
      <c r="E56" s="4" t="s">
        <v>221</v>
      </c>
      <c r="F56" s="4"/>
      <c r="G56" s="27">
        <f>G57</f>
        <v>241288</v>
      </c>
      <c r="H56" s="56">
        <f>H57</f>
        <v>241287.97</v>
      </c>
      <c r="I56" s="130">
        <f t="shared" si="2"/>
        <v>0.99999987566725246</v>
      </c>
      <c r="J56" s="24"/>
      <c r="K56" s="24"/>
    </row>
    <row r="57" spans="1:11" s="12" customFormat="1" ht="46.55" x14ac:dyDescent="0.3">
      <c r="A57" s="3" t="s">
        <v>543</v>
      </c>
      <c r="B57" s="4" t="s">
        <v>8</v>
      </c>
      <c r="C57" s="4" t="s">
        <v>22</v>
      </c>
      <c r="D57" s="4" t="s">
        <v>20</v>
      </c>
      <c r="E57" s="4" t="s">
        <v>221</v>
      </c>
      <c r="F57" s="53">
        <v>200</v>
      </c>
      <c r="G57" s="27">
        <f>268258+6300-40270+7000</f>
        <v>241288</v>
      </c>
      <c r="H57" s="56">
        <v>241287.97</v>
      </c>
      <c r="I57" s="145">
        <f t="shared" si="2"/>
        <v>0.99999987566725246</v>
      </c>
      <c r="J57" s="24"/>
      <c r="K57" s="24"/>
    </row>
    <row r="58" spans="1:11" s="12" customFormat="1" ht="144" customHeight="1" x14ac:dyDescent="0.3">
      <c r="A58" s="10" t="s">
        <v>679</v>
      </c>
      <c r="B58" s="11" t="s">
        <v>9</v>
      </c>
      <c r="C58" s="11"/>
      <c r="D58" s="11"/>
      <c r="E58" s="11"/>
      <c r="F58" s="11"/>
      <c r="G58" s="33">
        <f>G59+G174+G198+G264+G280</f>
        <v>186385249.16999999</v>
      </c>
      <c r="H58" s="135">
        <f>H59+H174+H198+H264+H280</f>
        <v>175910018.76000005</v>
      </c>
      <c r="I58" s="130">
        <f t="shared" si="2"/>
        <v>0.94379796439553221</v>
      </c>
      <c r="J58" s="24"/>
      <c r="K58" s="24"/>
    </row>
    <row r="59" spans="1:11" s="12" customFormat="1" ht="17.2" x14ac:dyDescent="0.3">
      <c r="A59" s="1" t="s">
        <v>31</v>
      </c>
      <c r="B59" s="2" t="s">
        <v>9</v>
      </c>
      <c r="C59" s="2" t="s">
        <v>683</v>
      </c>
      <c r="D59" s="9"/>
      <c r="E59" s="9"/>
      <c r="F59" s="9"/>
      <c r="G59" s="34">
        <f>G60+G77+G85+G81</f>
        <v>96077380.890000001</v>
      </c>
      <c r="H59" s="136">
        <f>H60+H77+H85+H81</f>
        <v>94516620.310000017</v>
      </c>
      <c r="I59" s="130">
        <f t="shared" si="2"/>
        <v>0.98375517145094837</v>
      </c>
      <c r="J59" s="24"/>
      <c r="K59" s="24"/>
    </row>
    <row r="60" spans="1:11" s="12" customFormat="1" ht="108.55" x14ac:dyDescent="0.3">
      <c r="A60" s="1" t="s">
        <v>458</v>
      </c>
      <c r="B60" s="2" t="s">
        <v>9</v>
      </c>
      <c r="C60" s="2" t="s">
        <v>683</v>
      </c>
      <c r="D60" s="2" t="s">
        <v>22</v>
      </c>
      <c r="E60" s="2"/>
      <c r="F60" s="2"/>
      <c r="G60" s="31">
        <f t="shared" ref="G60:H62" si="4">G61</f>
        <v>30033203.969999999</v>
      </c>
      <c r="H60" s="57">
        <f t="shared" si="4"/>
        <v>29948804.210000005</v>
      </c>
      <c r="I60" s="130">
        <f t="shared" si="2"/>
        <v>0.99718978500980782</v>
      </c>
      <c r="J60" s="24"/>
      <c r="K60" s="24"/>
    </row>
    <row r="61" spans="1:11" ht="62.05" x14ac:dyDescent="0.3">
      <c r="A61" s="46" t="s">
        <v>62</v>
      </c>
      <c r="B61" s="2" t="s">
        <v>9</v>
      </c>
      <c r="C61" s="2" t="s">
        <v>683</v>
      </c>
      <c r="D61" s="2" t="s">
        <v>22</v>
      </c>
      <c r="E61" s="2" t="s">
        <v>547</v>
      </c>
      <c r="F61" s="2"/>
      <c r="G61" s="31">
        <f t="shared" si="4"/>
        <v>30033203.969999999</v>
      </c>
      <c r="H61" s="57">
        <f t="shared" si="4"/>
        <v>29948804.210000005</v>
      </c>
      <c r="I61" s="129">
        <f t="shared" si="2"/>
        <v>0.99718978500980782</v>
      </c>
    </row>
    <row r="62" spans="1:11" s="12" customFormat="1" ht="46.55" x14ac:dyDescent="0.3">
      <c r="A62" s="25" t="s">
        <v>54</v>
      </c>
      <c r="B62" s="4" t="s">
        <v>9</v>
      </c>
      <c r="C62" s="4" t="s">
        <v>683</v>
      </c>
      <c r="D62" s="4" t="s">
        <v>22</v>
      </c>
      <c r="E62" s="4" t="s">
        <v>559</v>
      </c>
      <c r="F62" s="4"/>
      <c r="G62" s="27">
        <f t="shared" si="4"/>
        <v>30033203.969999999</v>
      </c>
      <c r="H62" s="56">
        <f t="shared" si="4"/>
        <v>29948804.210000005</v>
      </c>
      <c r="I62" s="130">
        <f t="shared" si="2"/>
        <v>0.99718978500980782</v>
      </c>
      <c r="J62" s="24"/>
      <c r="K62" s="24"/>
    </row>
    <row r="63" spans="1:11" s="12" customFormat="1" ht="108.55" x14ac:dyDescent="0.3">
      <c r="A63" s="25" t="s">
        <v>560</v>
      </c>
      <c r="B63" s="4" t="s">
        <v>9</v>
      </c>
      <c r="C63" s="4" t="s">
        <v>683</v>
      </c>
      <c r="D63" s="4" t="s">
        <v>22</v>
      </c>
      <c r="E63" s="4" t="s">
        <v>561</v>
      </c>
      <c r="F63" s="4"/>
      <c r="G63" s="27">
        <f>G64+G66+G69+G75+G73+G71</f>
        <v>30033203.969999999</v>
      </c>
      <c r="H63" s="56">
        <f>H64+H66+H69+H75+H73+H71</f>
        <v>29948804.210000005</v>
      </c>
      <c r="I63" s="130">
        <f t="shared" si="2"/>
        <v>0.99718978500980782</v>
      </c>
      <c r="J63" s="24"/>
      <c r="K63" s="24"/>
    </row>
    <row r="64" spans="1:11" s="12" customFormat="1" ht="46.55" x14ac:dyDescent="0.3">
      <c r="A64" s="25" t="s">
        <v>452</v>
      </c>
      <c r="B64" s="4" t="s">
        <v>9</v>
      </c>
      <c r="C64" s="4" t="s">
        <v>683</v>
      </c>
      <c r="D64" s="4" t="s">
        <v>22</v>
      </c>
      <c r="E64" s="4" t="s">
        <v>562</v>
      </c>
      <c r="F64" s="4"/>
      <c r="G64" s="27">
        <f>G65</f>
        <v>1940779</v>
      </c>
      <c r="H64" s="56">
        <f>H65</f>
        <v>1939983.26</v>
      </c>
      <c r="I64" s="130">
        <f t="shared" si="2"/>
        <v>0.99958998938055288</v>
      </c>
      <c r="J64" s="24"/>
      <c r="K64" s="24"/>
    </row>
    <row r="65" spans="1:11" s="12" customFormat="1" ht="108.55" x14ac:dyDescent="0.3">
      <c r="A65" s="25" t="s">
        <v>389</v>
      </c>
      <c r="B65" s="4" t="s">
        <v>9</v>
      </c>
      <c r="C65" s="4" t="s">
        <v>683</v>
      </c>
      <c r="D65" s="4" t="s">
        <v>22</v>
      </c>
      <c r="E65" s="4" t="s">
        <v>562</v>
      </c>
      <c r="F65" s="4" t="s">
        <v>462</v>
      </c>
      <c r="G65" s="27">
        <v>1940779</v>
      </c>
      <c r="H65" s="56">
        <v>1939983.26</v>
      </c>
      <c r="I65" s="130">
        <f t="shared" si="2"/>
        <v>0.99958998938055288</v>
      </c>
      <c r="J65" s="24"/>
      <c r="K65" s="24"/>
    </row>
    <row r="66" spans="1:11" s="12" customFormat="1" ht="46.55" x14ac:dyDescent="0.3">
      <c r="A66" s="25" t="s">
        <v>450</v>
      </c>
      <c r="B66" s="4" t="s">
        <v>9</v>
      </c>
      <c r="C66" s="4" t="s">
        <v>683</v>
      </c>
      <c r="D66" s="4" t="s">
        <v>22</v>
      </c>
      <c r="E66" s="4" t="s">
        <v>563</v>
      </c>
      <c r="F66" s="4"/>
      <c r="G66" s="27">
        <f>G67+G68</f>
        <v>26033359.030000001</v>
      </c>
      <c r="H66" s="56">
        <f>H67+H68</f>
        <v>25956114.270000003</v>
      </c>
      <c r="I66" s="130">
        <f t="shared" si="2"/>
        <v>0.99703285465732705</v>
      </c>
      <c r="J66" s="24"/>
      <c r="K66" s="24"/>
    </row>
    <row r="67" spans="1:11" s="12" customFormat="1" ht="108.55" x14ac:dyDescent="0.3">
      <c r="A67" s="25" t="s">
        <v>389</v>
      </c>
      <c r="B67" s="4" t="s">
        <v>9</v>
      </c>
      <c r="C67" s="4" t="s">
        <v>683</v>
      </c>
      <c r="D67" s="4" t="s">
        <v>22</v>
      </c>
      <c r="E67" s="4" t="s">
        <v>563</v>
      </c>
      <c r="F67" s="4" t="s">
        <v>462</v>
      </c>
      <c r="G67" s="27">
        <f>25304641-221398.45-341655.13-103179.85+341655.15+103179.85+170044.89+51353.56+363287.25+109712.75</f>
        <v>25777641.02</v>
      </c>
      <c r="H67" s="56">
        <v>25700396.260000002</v>
      </c>
      <c r="I67" s="130">
        <f t="shared" si="2"/>
        <v>0.99700342013685173</v>
      </c>
      <c r="J67" s="24"/>
      <c r="K67" s="24"/>
    </row>
    <row r="68" spans="1:11" s="12" customFormat="1" ht="31.05" x14ac:dyDescent="0.3">
      <c r="A68" s="102" t="s">
        <v>430</v>
      </c>
      <c r="B68" s="4" t="s">
        <v>9</v>
      </c>
      <c r="C68" s="4" t="s">
        <v>683</v>
      </c>
      <c r="D68" s="4" t="s">
        <v>22</v>
      </c>
      <c r="E68" s="4" t="s">
        <v>563</v>
      </c>
      <c r="F68" s="4" t="s">
        <v>431</v>
      </c>
      <c r="G68" s="27">
        <f>221398.45+34319.56</f>
        <v>255718.01</v>
      </c>
      <c r="H68" s="56">
        <f>221398.45+34319.56</f>
        <v>255718.01</v>
      </c>
      <c r="I68" s="130">
        <f t="shared" si="2"/>
        <v>1</v>
      </c>
      <c r="J68" s="24"/>
      <c r="K68" s="24"/>
    </row>
    <row r="69" spans="1:11" s="12" customFormat="1" ht="46.55" x14ac:dyDescent="0.3">
      <c r="A69" s="25" t="s">
        <v>451</v>
      </c>
      <c r="B69" s="4" t="s">
        <v>9</v>
      </c>
      <c r="C69" s="4" t="s">
        <v>683</v>
      </c>
      <c r="D69" s="4" t="s">
        <v>22</v>
      </c>
      <c r="E69" s="4" t="s">
        <v>564</v>
      </c>
      <c r="F69" s="4"/>
      <c r="G69" s="27">
        <f>G70</f>
        <v>3360</v>
      </c>
      <c r="H69" s="56">
        <f>H70</f>
        <v>3015.39</v>
      </c>
      <c r="I69" s="130">
        <f t="shared" si="2"/>
        <v>0.8974375</v>
      </c>
      <c r="J69" s="24"/>
      <c r="K69" s="24"/>
    </row>
    <row r="70" spans="1:11" s="12" customFormat="1" ht="108.55" x14ac:dyDescent="0.3">
      <c r="A70" s="25" t="s">
        <v>389</v>
      </c>
      <c r="B70" s="4" t="s">
        <v>9</v>
      </c>
      <c r="C70" s="4" t="s">
        <v>683</v>
      </c>
      <c r="D70" s="4" t="s">
        <v>22</v>
      </c>
      <c r="E70" s="4" t="s">
        <v>564</v>
      </c>
      <c r="F70" s="4" t="s">
        <v>462</v>
      </c>
      <c r="G70" s="27">
        <v>3360</v>
      </c>
      <c r="H70" s="56">
        <v>3015.39</v>
      </c>
      <c r="I70" s="130">
        <f t="shared" si="2"/>
        <v>0.8974375</v>
      </c>
      <c r="J70" s="24"/>
      <c r="K70" s="24"/>
    </row>
    <row r="71" spans="1:11" s="12" customFormat="1" ht="62.05" x14ac:dyDescent="0.3">
      <c r="A71" s="25" t="s">
        <v>870</v>
      </c>
      <c r="B71" s="4" t="s">
        <v>9</v>
      </c>
      <c r="C71" s="4" t="s">
        <v>683</v>
      </c>
      <c r="D71" s="4" t="s">
        <v>22</v>
      </c>
      <c r="E71" s="4" t="s">
        <v>871</v>
      </c>
      <c r="F71" s="4"/>
      <c r="G71" s="27">
        <f>G72</f>
        <v>236614.33</v>
      </c>
      <c r="H71" s="56">
        <f>H72</f>
        <v>236614.33</v>
      </c>
      <c r="I71" s="130">
        <f t="shared" si="2"/>
        <v>1</v>
      </c>
      <c r="J71" s="24"/>
      <c r="K71" s="24"/>
    </row>
    <row r="72" spans="1:11" s="12" customFormat="1" ht="108.55" x14ac:dyDescent="0.3">
      <c r="A72" s="25" t="s">
        <v>389</v>
      </c>
      <c r="B72" s="4" t="s">
        <v>9</v>
      </c>
      <c r="C72" s="4" t="s">
        <v>683</v>
      </c>
      <c r="D72" s="4" t="s">
        <v>22</v>
      </c>
      <c r="E72" s="4" t="s">
        <v>871</v>
      </c>
      <c r="F72" s="4" t="s">
        <v>462</v>
      </c>
      <c r="G72" s="27">
        <f>181731.46+54882.87</f>
        <v>236614.33</v>
      </c>
      <c r="H72" s="56">
        <f>181731.46+54882.87</f>
        <v>236614.33</v>
      </c>
      <c r="I72" s="130">
        <f t="shared" si="2"/>
        <v>1</v>
      </c>
      <c r="J72" s="24"/>
      <c r="K72" s="24"/>
    </row>
    <row r="73" spans="1:11" s="12" customFormat="1" ht="77.55" x14ac:dyDescent="0.3">
      <c r="A73" s="25" t="s">
        <v>833</v>
      </c>
      <c r="B73" s="4" t="s">
        <v>9</v>
      </c>
      <c r="C73" s="4" t="s">
        <v>683</v>
      </c>
      <c r="D73" s="4" t="s">
        <v>22</v>
      </c>
      <c r="E73" s="4" t="s">
        <v>834</v>
      </c>
      <c r="F73" s="4"/>
      <c r="G73" s="27">
        <f>G74</f>
        <v>1455763.17</v>
      </c>
      <c r="H73" s="56">
        <f>H74</f>
        <v>1455763.1199999999</v>
      </c>
      <c r="I73" s="130">
        <f t="shared" si="2"/>
        <v>0.99999996565375393</v>
      </c>
      <c r="J73" s="24"/>
      <c r="K73" s="24"/>
    </row>
    <row r="74" spans="1:11" s="12" customFormat="1" ht="108.55" x14ac:dyDescent="0.3">
      <c r="A74" s="25" t="s">
        <v>389</v>
      </c>
      <c r="B74" s="4" t="s">
        <v>9</v>
      </c>
      <c r="C74" s="4" t="s">
        <v>683</v>
      </c>
      <c r="D74" s="4" t="s">
        <v>22</v>
      </c>
      <c r="E74" s="4" t="s">
        <v>834</v>
      </c>
      <c r="F74" s="4" t="s">
        <v>462</v>
      </c>
      <c r="G74" s="27">
        <f>341655.13+103179.85+776442.54+234485.65</f>
        <v>1455763.17</v>
      </c>
      <c r="H74" s="56">
        <f>341655.13+103179.85+776442.54+234485.65-0.05</f>
        <v>1455763.1199999999</v>
      </c>
      <c r="I74" s="130">
        <f t="shared" si="2"/>
        <v>0.99999996565375393</v>
      </c>
      <c r="J74" s="24"/>
      <c r="K74" s="24"/>
    </row>
    <row r="75" spans="1:11" s="12" customFormat="1" ht="93.05" x14ac:dyDescent="0.3">
      <c r="A75" s="25" t="s">
        <v>448</v>
      </c>
      <c r="B75" s="4" t="s">
        <v>9</v>
      </c>
      <c r="C75" s="4" t="s">
        <v>683</v>
      </c>
      <c r="D75" s="4" t="s">
        <v>22</v>
      </c>
      <c r="E75" s="4" t="s">
        <v>565</v>
      </c>
      <c r="F75" s="4"/>
      <c r="G75" s="27">
        <f>G76</f>
        <v>363328.44</v>
      </c>
      <c r="H75" s="56">
        <f>H76</f>
        <v>357313.84</v>
      </c>
      <c r="I75" s="130">
        <f t="shared" si="2"/>
        <v>0.98344583209616077</v>
      </c>
      <c r="J75" s="24"/>
      <c r="K75" s="24"/>
    </row>
    <row r="76" spans="1:11" s="12" customFormat="1" ht="108.55" x14ac:dyDescent="0.3">
      <c r="A76" s="99" t="s">
        <v>389</v>
      </c>
      <c r="B76" s="7" t="s">
        <v>9</v>
      </c>
      <c r="C76" s="7" t="s">
        <v>683</v>
      </c>
      <c r="D76" s="7" t="s">
        <v>22</v>
      </c>
      <c r="E76" s="7" t="s">
        <v>565</v>
      </c>
      <c r="F76" s="7" t="s">
        <v>462</v>
      </c>
      <c r="G76" s="29">
        <f>397648-34319.56</f>
        <v>363328.44</v>
      </c>
      <c r="H76" s="134">
        <v>357313.84</v>
      </c>
      <c r="I76" s="130">
        <f t="shared" si="2"/>
        <v>0.98344583209616077</v>
      </c>
      <c r="J76" s="24"/>
      <c r="K76" s="24"/>
    </row>
    <row r="77" spans="1:11" s="12" customFormat="1" x14ac:dyDescent="0.3">
      <c r="A77" s="46" t="s">
        <v>598</v>
      </c>
      <c r="B77" s="5" t="s">
        <v>9</v>
      </c>
      <c r="C77" s="5" t="s">
        <v>683</v>
      </c>
      <c r="D77" s="5" t="s">
        <v>14</v>
      </c>
      <c r="E77" s="4"/>
      <c r="F77" s="4"/>
      <c r="G77" s="31">
        <f>G79</f>
        <v>38000</v>
      </c>
      <c r="H77" s="57">
        <f>H79</f>
        <v>21684.33</v>
      </c>
      <c r="I77" s="131">
        <f t="shared" si="2"/>
        <v>0.57064026315789473</v>
      </c>
      <c r="J77" s="24"/>
      <c r="K77" s="24"/>
    </row>
    <row r="78" spans="1:11" x14ac:dyDescent="0.3">
      <c r="A78" s="1" t="s">
        <v>49</v>
      </c>
      <c r="B78" s="2" t="s">
        <v>9</v>
      </c>
      <c r="C78" s="2" t="s">
        <v>683</v>
      </c>
      <c r="D78" s="2" t="s">
        <v>14</v>
      </c>
      <c r="E78" s="2" t="s">
        <v>575</v>
      </c>
      <c r="F78" s="2"/>
      <c r="G78" s="31">
        <f>G79</f>
        <v>38000</v>
      </c>
      <c r="H78" s="57">
        <f>H79</f>
        <v>21684.33</v>
      </c>
      <c r="I78" s="129">
        <f t="shared" si="2"/>
        <v>0.57064026315789473</v>
      </c>
    </row>
    <row r="79" spans="1:11" s="12" customFormat="1" ht="93.05" x14ac:dyDescent="0.3">
      <c r="A79" s="3" t="s">
        <v>59</v>
      </c>
      <c r="B79" s="4" t="s">
        <v>9</v>
      </c>
      <c r="C79" s="4" t="s">
        <v>683</v>
      </c>
      <c r="D79" s="4" t="s">
        <v>14</v>
      </c>
      <c r="E79" s="4" t="s">
        <v>139</v>
      </c>
      <c r="F79" s="4"/>
      <c r="G79" s="27">
        <f>G80</f>
        <v>38000</v>
      </c>
      <c r="H79" s="56">
        <f>H80</f>
        <v>21684.33</v>
      </c>
      <c r="I79" s="130">
        <f t="shared" si="2"/>
        <v>0.57064026315789473</v>
      </c>
      <c r="J79" s="24"/>
      <c r="K79" s="24"/>
    </row>
    <row r="80" spans="1:11" s="12" customFormat="1" ht="46.55" x14ac:dyDescent="0.3">
      <c r="A80" s="3" t="s">
        <v>543</v>
      </c>
      <c r="B80" s="4" t="s">
        <v>9</v>
      </c>
      <c r="C80" s="4" t="s">
        <v>683</v>
      </c>
      <c r="D80" s="4" t="s">
        <v>14</v>
      </c>
      <c r="E80" s="4" t="s">
        <v>139</v>
      </c>
      <c r="F80" s="4" t="s">
        <v>463</v>
      </c>
      <c r="G80" s="27">
        <v>38000</v>
      </c>
      <c r="H80" s="56">
        <v>21684.33</v>
      </c>
      <c r="I80" s="130">
        <f t="shared" si="2"/>
        <v>0.57064026315789473</v>
      </c>
      <c r="J80" s="24"/>
      <c r="K80" s="24"/>
    </row>
    <row r="81" spans="1:11" s="12" customFormat="1" ht="31.05" x14ac:dyDescent="0.3">
      <c r="A81" s="13" t="s">
        <v>746</v>
      </c>
      <c r="B81" s="5" t="s">
        <v>9</v>
      </c>
      <c r="C81" s="5" t="s">
        <v>683</v>
      </c>
      <c r="D81" s="5" t="s">
        <v>15</v>
      </c>
      <c r="E81" s="5"/>
      <c r="F81" s="5"/>
      <c r="G81" s="26">
        <f t="shared" ref="G81:H83" si="5">G82</f>
        <v>562092</v>
      </c>
      <c r="H81" s="137">
        <f t="shared" si="5"/>
        <v>562000</v>
      </c>
      <c r="I81" s="131">
        <f t="shared" si="2"/>
        <v>0.99983632572603776</v>
      </c>
      <c r="J81" s="24"/>
      <c r="K81" s="24"/>
    </row>
    <row r="82" spans="1:11" x14ac:dyDescent="0.3">
      <c r="A82" s="1" t="s">
        <v>49</v>
      </c>
      <c r="B82" s="2" t="s">
        <v>9</v>
      </c>
      <c r="C82" s="2" t="s">
        <v>683</v>
      </c>
      <c r="D82" s="2" t="s">
        <v>15</v>
      </c>
      <c r="E82" s="2" t="s">
        <v>575</v>
      </c>
      <c r="F82" s="2"/>
      <c r="G82" s="31">
        <f t="shared" si="5"/>
        <v>562092</v>
      </c>
      <c r="H82" s="57">
        <f t="shared" si="5"/>
        <v>562000</v>
      </c>
      <c r="I82" s="129">
        <f t="shared" si="2"/>
        <v>0.99983632572603776</v>
      </c>
    </row>
    <row r="83" spans="1:11" s="12" customFormat="1" ht="46.55" x14ac:dyDescent="0.3">
      <c r="A83" s="3" t="s">
        <v>747</v>
      </c>
      <c r="B83" s="4" t="s">
        <v>9</v>
      </c>
      <c r="C83" s="4" t="s">
        <v>683</v>
      </c>
      <c r="D83" s="4" t="s">
        <v>15</v>
      </c>
      <c r="E83" s="4" t="s">
        <v>748</v>
      </c>
      <c r="F83" s="4"/>
      <c r="G83" s="27">
        <f t="shared" si="5"/>
        <v>562092</v>
      </c>
      <c r="H83" s="56">
        <f t="shared" si="5"/>
        <v>562000</v>
      </c>
      <c r="I83" s="130">
        <f t="shared" si="2"/>
        <v>0.99983632572603776</v>
      </c>
      <c r="J83" s="24"/>
      <c r="K83" s="24"/>
    </row>
    <row r="84" spans="1:11" s="12" customFormat="1" ht="46.55" x14ac:dyDescent="0.3">
      <c r="A84" s="3" t="s">
        <v>543</v>
      </c>
      <c r="B84" s="4" t="s">
        <v>9</v>
      </c>
      <c r="C84" s="4" t="s">
        <v>683</v>
      </c>
      <c r="D84" s="4" t="s">
        <v>15</v>
      </c>
      <c r="E84" s="4" t="s">
        <v>748</v>
      </c>
      <c r="F84" s="4" t="s">
        <v>463</v>
      </c>
      <c r="G84" s="27">
        <f>650000-87908</f>
        <v>562092</v>
      </c>
      <c r="H84" s="56">
        <v>562000</v>
      </c>
      <c r="I84" s="145">
        <f t="shared" si="2"/>
        <v>0.99983632572603776</v>
      </c>
      <c r="J84" s="24"/>
      <c r="K84" s="24"/>
    </row>
    <row r="85" spans="1:11" s="12" customFormat="1" ht="31.05" x14ac:dyDescent="0.3">
      <c r="A85" s="13" t="s">
        <v>582</v>
      </c>
      <c r="B85" s="5" t="s">
        <v>9</v>
      </c>
      <c r="C85" s="5" t="s">
        <v>683</v>
      </c>
      <c r="D85" s="5" t="s">
        <v>460</v>
      </c>
      <c r="E85" s="21"/>
      <c r="F85" s="21"/>
      <c r="G85" s="26">
        <f>G86+G110+G115+G166+G94+G99+G104</f>
        <v>65444084.920000002</v>
      </c>
      <c r="H85" s="137">
        <f>H86+H110+H115+H166+H94+H99+H104</f>
        <v>63984131.770000011</v>
      </c>
      <c r="I85" s="129">
        <f t="shared" si="2"/>
        <v>0.97769159501909664</v>
      </c>
      <c r="J85" s="24"/>
      <c r="K85" s="24"/>
    </row>
    <row r="86" spans="1:11" ht="77.55" x14ac:dyDescent="0.3">
      <c r="A86" s="1" t="s">
        <v>63</v>
      </c>
      <c r="B86" s="2" t="s">
        <v>9</v>
      </c>
      <c r="C86" s="2" t="s">
        <v>683</v>
      </c>
      <c r="D86" s="2" t="s">
        <v>460</v>
      </c>
      <c r="E86" s="2" t="s">
        <v>566</v>
      </c>
      <c r="F86" s="2"/>
      <c r="G86" s="31">
        <f>G87+G91</f>
        <v>1038000</v>
      </c>
      <c r="H86" s="57">
        <f>H87+H91</f>
        <v>1026390</v>
      </c>
      <c r="I86" s="129">
        <f t="shared" si="2"/>
        <v>0.98881502890173412</v>
      </c>
    </row>
    <row r="87" spans="1:11" s="12" customFormat="1" ht="31.05" x14ac:dyDescent="0.3">
      <c r="A87" s="3" t="s">
        <v>140</v>
      </c>
      <c r="B87" s="4" t="s">
        <v>9</v>
      </c>
      <c r="C87" s="4" t="s">
        <v>683</v>
      </c>
      <c r="D87" s="4" t="s">
        <v>460</v>
      </c>
      <c r="E87" s="4" t="s">
        <v>141</v>
      </c>
      <c r="F87" s="4"/>
      <c r="G87" s="27">
        <f>G88</f>
        <v>738000</v>
      </c>
      <c r="H87" s="56">
        <f>H88</f>
        <v>726390</v>
      </c>
      <c r="I87" s="130">
        <f t="shared" si="2"/>
        <v>0.98426829268292682</v>
      </c>
      <c r="J87" s="24"/>
      <c r="K87" s="24"/>
    </row>
    <row r="88" spans="1:11" s="12" customFormat="1" ht="31.05" x14ac:dyDescent="0.3">
      <c r="A88" s="3" t="s">
        <v>393</v>
      </c>
      <c r="B88" s="4" t="s">
        <v>9</v>
      </c>
      <c r="C88" s="4" t="s">
        <v>683</v>
      </c>
      <c r="D88" s="4" t="s">
        <v>460</v>
      </c>
      <c r="E88" s="4" t="s">
        <v>142</v>
      </c>
      <c r="F88" s="4"/>
      <c r="G88" s="27">
        <f>G89+G90</f>
        <v>738000</v>
      </c>
      <c r="H88" s="56">
        <f>H89+H90</f>
        <v>726390</v>
      </c>
      <c r="I88" s="130">
        <f t="shared" si="2"/>
        <v>0.98426829268292682</v>
      </c>
      <c r="J88" s="24"/>
      <c r="K88" s="24"/>
    </row>
    <row r="89" spans="1:11" s="12" customFormat="1" ht="46.55" x14ac:dyDescent="0.3">
      <c r="A89" s="3" t="s">
        <v>543</v>
      </c>
      <c r="B89" s="4" t="s">
        <v>9</v>
      </c>
      <c r="C89" s="4" t="s">
        <v>683</v>
      </c>
      <c r="D89" s="4" t="s">
        <v>460</v>
      </c>
      <c r="E89" s="4" t="s">
        <v>142</v>
      </c>
      <c r="F89" s="4" t="s">
        <v>463</v>
      </c>
      <c r="G89" s="27">
        <f>57000+6000</f>
        <v>63000</v>
      </c>
      <c r="H89" s="56">
        <f>57000+6000</f>
        <v>63000</v>
      </c>
      <c r="I89" s="130">
        <f t="shared" si="2"/>
        <v>1</v>
      </c>
      <c r="J89" s="24"/>
      <c r="K89" s="24"/>
    </row>
    <row r="90" spans="1:11" s="12" customFormat="1" ht="31.05" x14ac:dyDescent="0.3">
      <c r="A90" s="3" t="s">
        <v>430</v>
      </c>
      <c r="B90" s="4" t="s">
        <v>9</v>
      </c>
      <c r="C90" s="4" t="s">
        <v>683</v>
      </c>
      <c r="D90" s="4" t="s">
        <v>460</v>
      </c>
      <c r="E90" s="4" t="s">
        <v>142</v>
      </c>
      <c r="F90" s="4" t="s">
        <v>431</v>
      </c>
      <c r="G90" s="27">
        <f>613000+493000-6000-425000</f>
        <v>675000</v>
      </c>
      <c r="H90" s="56">
        <v>663390</v>
      </c>
      <c r="I90" s="130">
        <f>H90/G90</f>
        <v>0.98280000000000001</v>
      </c>
      <c r="J90" s="24"/>
      <c r="K90" s="24"/>
    </row>
    <row r="91" spans="1:11" s="12" customFormat="1" ht="77.55" x14ac:dyDescent="0.3">
      <c r="A91" s="3" t="s">
        <v>143</v>
      </c>
      <c r="B91" s="4" t="s">
        <v>9</v>
      </c>
      <c r="C91" s="4" t="s">
        <v>683</v>
      </c>
      <c r="D91" s="4" t="s">
        <v>460</v>
      </c>
      <c r="E91" s="4" t="s">
        <v>144</v>
      </c>
      <c r="F91" s="4"/>
      <c r="G91" s="27">
        <f>G92</f>
        <v>300000</v>
      </c>
      <c r="H91" s="56">
        <f>H92</f>
        <v>300000</v>
      </c>
      <c r="I91" s="130">
        <f t="shared" ref="I91:I129" si="6">H91/G91</f>
        <v>1</v>
      </c>
      <c r="J91" s="24"/>
      <c r="K91" s="24"/>
    </row>
    <row r="92" spans="1:11" s="12" customFormat="1" ht="46.55" x14ac:dyDescent="0.3">
      <c r="A92" s="52" t="s">
        <v>145</v>
      </c>
      <c r="B92" s="4" t="s">
        <v>9</v>
      </c>
      <c r="C92" s="4" t="s">
        <v>683</v>
      </c>
      <c r="D92" s="4" t="s">
        <v>460</v>
      </c>
      <c r="E92" s="4" t="s">
        <v>146</v>
      </c>
      <c r="F92" s="4"/>
      <c r="G92" s="27">
        <f>G93</f>
        <v>300000</v>
      </c>
      <c r="H92" s="56">
        <f>H93</f>
        <v>300000</v>
      </c>
      <c r="I92" s="130">
        <f t="shared" si="6"/>
        <v>1</v>
      </c>
      <c r="J92" s="24"/>
      <c r="K92" s="24"/>
    </row>
    <row r="93" spans="1:11" s="12" customFormat="1" ht="62.05" x14ac:dyDescent="0.3">
      <c r="A93" s="3" t="s">
        <v>394</v>
      </c>
      <c r="B93" s="4" t="s">
        <v>9</v>
      </c>
      <c r="C93" s="4" t="s">
        <v>683</v>
      </c>
      <c r="D93" s="4" t="s">
        <v>460</v>
      </c>
      <c r="E93" s="4" t="s">
        <v>146</v>
      </c>
      <c r="F93" s="4" t="s">
        <v>467</v>
      </c>
      <c r="G93" s="27">
        <v>300000</v>
      </c>
      <c r="H93" s="56">
        <v>300000</v>
      </c>
      <c r="I93" s="130">
        <f t="shared" si="6"/>
        <v>1</v>
      </c>
      <c r="J93" s="24"/>
      <c r="K93" s="24"/>
    </row>
    <row r="94" spans="1:11" ht="77.55" x14ac:dyDescent="0.3">
      <c r="A94" s="1" t="s">
        <v>66</v>
      </c>
      <c r="B94" s="2" t="s">
        <v>9</v>
      </c>
      <c r="C94" s="2" t="s">
        <v>683</v>
      </c>
      <c r="D94" s="2" t="s">
        <v>460</v>
      </c>
      <c r="E94" s="2" t="s">
        <v>487</v>
      </c>
      <c r="F94" s="2"/>
      <c r="G94" s="31">
        <f t="shared" ref="G94:H97" si="7">G95</f>
        <v>199735</v>
      </c>
      <c r="H94" s="57">
        <f t="shared" si="7"/>
        <v>192100</v>
      </c>
      <c r="I94" s="129">
        <f t="shared" si="6"/>
        <v>0.96177435101509501</v>
      </c>
    </row>
    <row r="95" spans="1:11" s="12" customFormat="1" ht="46.55" x14ac:dyDescent="0.3">
      <c r="A95" s="3" t="s">
        <v>796</v>
      </c>
      <c r="B95" s="4" t="s">
        <v>9</v>
      </c>
      <c r="C95" s="4" t="s">
        <v>683</v>
      </c>
      <c r="D95" s="4" t="s">
        <v>460</v>
      </c>
      <c r="E95" s="4" t="s">
        <v>797</v>
      </c>
      <c r="F95" s="4"/>
      <c r="G95" s="27">
        <f t="shared" si="7"/>
        <v>199735</v>
      </c>
      <c r="H95" s="56">
        <f t="shared" si="7"/>
        <v>192100</v>
      </c>
      <c r="I95" s="130">
        <f t="shared" si="6"/>
        <v>0.96177435101509501</v>
      </c>
      <c r="J95" s="24"/>
      <c r="K95" s="24"/>
    </row>
    <row r="96" spans="1:11" s="12" customFormat="1" ht="62.05" x14ac:dyDescent="0.3">
      <c r="A96" s="3" t="s">
        <v>798</v>
      </c>
      <c r="B96" s="4" t="s">
        <v>9</v>
      </c>
      <c r="C96" s="4" t="s">
        <v>683</v>
      </c>
      <c r="D96" s="4" t="s">
        <v>460</v>
      </c>
      <c r="E96" s="4" t="s">
        <v>799</v>
      </c>
      <c r="F96" s="4"/>
      <c r="G96" s="27">
        <f t="shared" si="7"/>
        <v>199735</v>
      </c>
      <c r="H96" s="56">
        <f t="shared" si="7"/>
        <v>192100</v>
      </c>
      <c r="I96" s="130">
        <f t="shared" si="6"/>
        <v>0.96177435101509501</v>
      </c>
      <c r="J96" s="24"/>
      <c r="K96" s="24"/>
    </row>
    <row r="97" spans="1:11" s="12" customFormat="1" ht="31.05" x14ac:dyDescent="0.3">
      <c r="A97" s="3" t="s">
        <v>393</v>
      </c>
      <c r="B97" s="4" t="s">
        <v>9</v>
      </c>
      <c r="C97" s="4" t="s">
        <v>683</v>
      </c>
      <c r="D97" s="4" t="s">
        <v>460</v>
      </c>
      <c r="E97" s="4" t="s">
        <v>800</v>
      </c>
      <c r="F97" s="4"/>
      <c r="G97" s="27">
        <f t="shared" si="7"/>
        <v>199735</v>
      </c>
      <c r="H97" s="56">
        <f t="shared" si="7"/>
        <v>192100</v>
      </c>
      <c r="I97" s="130">
        <f t="shared" si="6"/>
        <v>0.96177435101509501</v>
      </c>
      <c r="J97" s="24"/>
      <c r="K97" s="24"/>
    </row>
    <row r="98" spans="1:11" s="12" customFormat="1" ht="46.55" x14ac:dyDescent="0.3">
      <c r="A98" s="3" t="s">
        <v>543</v>
      </c>
      <c r="B98" s="4" t="s">
        <v>9</v>
      </c>
      <c r="C98" s="4" t="s">
        <v>683</v>
      </c>
      <c r="D98" s="4" t="s">
        <v>460</v>
      </c>
      <c r="E98" s="4" t="s">
        <v>800</v>
      </c>
      <c r="F98" s="4" t="s">
        <v>463</v>
      </c>
      <c r="G98" s="27">
        <f>199735</f>
        <v>199735</v>
      </c>
      <c r="H98" s="56">
        <v>192100</v>
      </c>
      <c r="I98" s="130">
        <f t="shared" si="6"/>
        <v>0.96177435101509501</v>
      </c>
      <c r="J98" s="24"/>
      <c r="K98" s="24"/>
    </row>
    <row r="99" spans="1:11" ht="62.05" x14ac:dyDescent="0.3">
      <c r="A99" s="1" t="s">
        <v>47</v>
      </c>
      <c r="B99" s="2" t="s">
        <v>9</v>
      </c>
      <c r="C99" s="2" t="s">
        <v>683</v>
      </c>
      <c r="D99" s="2" t="s">
        <v>460</v>
      </c>
      <c r="E99" s="2" t="s">
        <v>622</v>
      </c>
      <c r="F99" s="2"/>
      <c r="G99" s="31">
        <f>G100</f>
        <v>175000</v>
      </c>
      <c r="H99" s="57">
        <f>H100</f>
        <v>175000</v>
      </c>
      <c r="I99" s="129">
        <f t="shared" si="6"/>
        <v>1</v>
      </c>
    </row>
    <row r="100" spans="1:11" s="12" customFormat="1" ht="77.55" x14ac:dyDescent="0.3">
      <c r="A100" s="3" t="s">
        <v>835</v>
      </c>
      <c r="B100" s="248" t="s">
        <v>9</v>
      </c>
      <c r="C100" s="248" t="s">
        <v>683</v>
      </c>
      <c r="D100" s="248" t="s">
        <v>460</v>
      </c>
      <c r="E100" s="248" t="s">
        <v>831</v>
      </c>
      <c r="F100" s="248"/>
      <c r="G100" s="254">
        <f>G102</f>
        <v>175000</v>
      </c>
      <c r="H100" s="254">
        <f>H102</f>
        <v>175000</v>
      </c>
      <c r="I100" s="246">
        <f t="shared" si="6"/>
        <v>1</v>
      </c>
      <c r="J100" s="24"/>
      <c r="K100" s="24"/>
    </row>
    <row r="101" spans="1:11" s="12" customFormat="1" ht="62.05" x14ac:dyDescent="0.3">
      <c r="A101" s="3" t="s">
        <v>830</v>
      </c>
      <c r="B101" s="248"/>
      <c r="C101" s="248"/>
      <c r="D101" s="248"/>
      <c r="E101" s="248"/>
      <c r="F101" s="248"/>
      <c r="G101" s="254"/>
      <c r="H101" s="254"/>
      <c r="I101" s="246"/>
      <c r="J101" s="24"/>
      <c r="K101" s="24"/>
    </row>
    <row r="102" spans="1:11" s="12" customFormat="1" ht="31.05" x14ac:dyDescent="0.3">
      <c r="A102" s="3" t="s">
        <v>393</v>
      </c>
      <c r="B102" s="4" t="s">
        <v>9</v>
      </c>
      <c r="C102" s="4" t="s">
        <v>683</v>
      </c>
      <c r="D102" s="4" t="s">
        <v>460</v>
      </c>
      <c r="E102" s="4" t="s">
        <v>832</v>
      </c>
      <c r="F102" s="4"/>
      <c r="G102" s="27">
        <f>G103</f>
        <v>175000</v>
      </c>
      <c r="H102" s="56">
        <f>H103</f>
        <v>175000</v>
      </c>
      <c r="I102" s="130">
        <f t="shared" si="6"/>
        <v>1</v>
      </c>
      <c r="J102" s="24"/>
      <c r="K102" s="24"/>
    </row>
    <row r="103" spans="1:11" s="12" customFormat="1" ht="46.55" x14ac:dyDescent="0.3">
      <c r="A103" s="3" t="s">
        <v>543</v>
      </c>
      <c r="B103" s="4" t="s">
        <v>9</v>
      </c>
      <c r="C103" s="4" t="s">
        <v>683</v>
      </c>
      <c r="D103" s="4" t="s">
        <v>460</v>
      </c>
      <c r="E103" s="4" t="s">
        <v>832</v>
      </c>
      <c r="F103" s="4" t="s">
        <v>463</v>
      </c>
      <c r="G103" s="27">
        <f>260000-85000</f>
        <v>175000</v>
      </c>
      <c r="H103" s="56">
        <f>260000-85000</f>
        <v>175000</v>
      </c>
      <c r="I103" s="130">
        <f t="shared" si="6"/>
        <v>1</v>
      </c>
      <c r="J103" s="24"/>
      <c r="K103" s="24"/>
    </row>
    <row r="104" spans="1:11" ht="93.05" x14ac:dyDescent="0.3">
      <c r="A104" s="1" t="s">
        <v>48</v>
      </c>
      <c r="B104" s="2" t="s">
        <v>9</v>
      </c>
      <c r="C104" s="2" t="s">
        <v>683</v>
      </c>
      <c r="D104" s="2" t="s">
        <v>460</v>
      </c>
      <c r="E104" s="2" t="s">
        <v>133</v>
      </c>
      <c r="F104" s="2"/>
      <c r="G104" s="31">
        <f>G105</f>
        <v>500000</v>
      </c>
      <c r="H104" s="57">
        <f>H105</f>
        <v>500000</v>
      </c>
      <c r="I104" s="129">
        <f t="shared" si="6"/>
        <v>1</v>
      </c>
    </row>
    <row r="105" spans="1:11" s="12" customFormat="1" ht="77.55" x14ac:dyDescent="0.3">
      <c r="A105" s="3" t="s">
        <v>852</v>
      </c>
      <c r="B105" s="4" t="s">
        <v>9</v>
      </c>
      <c r="C105" s="4" t="s">
        <v>683</v>
      </c>
      <c r="D105" s="4" t="s">
        <v>460</v>
      </c>
      <c r="E105" s="4" t="s">
        <v>159</v>
      </c>
      <c r="F105" s="4"/>
      <c r="G105" s="27">
        <f>G106+G108</f>
        <v>500000</v>
      </c>
      <c r="H105" s="56">
        <f>H106+H108</f>
        <v>500000</v>
      </c>
      <c r="I105" s="130">
        <f t="shared" si="6"/>
        <v>1</v>
      </c>
      <c r="J105" s="24"/>
      <c r="K105" s="24"/>
    </row>
    <row r="106" spans="1:11" s="12" customFormat="1" ht="225.7" customHeight="1" x14ac:dyDescent="0.3">
      <c r="A106" s="3" t="s">
        <v>875</v>
      </c>
      <c r="B106" s="4" t="s">
        <v>9</v>
      </c>
      <c r="C106" s="4" t="s">
        <v>683</v>
      </c>
      <c r="D106" s="4" t="s">
        <v>460</v>
      </c>
      <c r="E106" s="4" t="s">
        <v>862</v>
      </c>
      <c r="F106" s="4"/>
      <c r="G106" s="27">
        <f>G107</f>
        <v>452500</v>
      </c>
      <c r="H106" s="56">
        <f>H107</f>
        <v>452500</v>
      </c>
      <c r="I106" s="130">
        <f t="shared" si="6"/>
        <v>1</v>
      </c>
      <c r="J106" s="24"/>
      <c r="K106" s="24"/>
    </row>
    <row r="107" spans="1:11" s="12" customFormat="1" x14ac:dyDescent="0.3">
      <c r="A107" s="3" t="s">
        <v>732</v>
      </c>
      <c r="B107" s="4" t="s">
        <v>9</v>
      </c>
      <c r="C107" s="4" t="s">
        <v>683</v>
      </c>
      <c r="D107" s="4" t="s">
        <v>460</v>
      </c>
      <c r="E107" s="4" t="s">
        <v>862</v>
      </c>
      <c r="F107" s="4" t="s">
        <v>466</v>
      </c>
      <c r="G107" s="27">
        <v>452500</v>
      </c>
      <c r="H107" s="56">
        <v>452500</v>
      </c>
      <c r="I107" s="130">
        <f t="shared" si="6"/>
        <v>1</v>
      </c>
      <c r="J107" s="24"/>
      <c r="K107" s="24"/>
    </row>
    <row r="108" spans="1:11" s="12" customFormat="1" ht="214.5" customHeight="1" x14ac:dyDescent="0.3">
      <c r="A108" s="3" t="s">
        <v>875</v>
      </c>
      <c r="B108" s="4" t="s">
        <v>9</v>
      </c>
      <c r="C108" s="4" t="s">
        <v>683</v>
      </c>
      <c r="D108" s="4" t="s">
        <v>460</v>
      </c>
      <c r="E108" s="4" t="s">
        <v>876</v>
      </c>
      <c r="F108" s="4"/>
      <c r="G108" s="27">
        <f>G109</f>
        <v>47500</v>
      </c>
      <c r="H108" s="56">
        <f>H109</f>
        <v>47500</v>
      </c>
      <c r="I108" s="130">
        <f t="shared" si="6"/>
        <v>1</v>
      </c>
      <c r="J108" s="24"/>
      <c r="K108" s="24"/>
    </row>
    <row r="109" spans="1:11" s="12" customFormat="1" x14ac:dyDescent="0.3">
      <c r="A109" s="3" t="s">
        <v>732</v>
      </c>
      <c r="B109" s="4" t="s">
        <v>9</v>
      </c>
      <c r="C109" s="4" t="s">
        <v>683</v>
      </c>
      <c r="D109" s="4" t="s">
        <v>460</v>
      </c>
      <c r="E109" s="4" t="s">
        <v>876</v>
      </c>
      <c r="F109" s="4" t="s">
        <v>466</v>
      </c>
      <c r="G109" s="27">
        <v>47500</v>
      </c>
      <c r="H109" s="56">
        <v>47500</v>
      </c>
      <c r="I109" s="130">
        <f t="shared" si="6"/>
        <v>1</v>
      </c>
      <c r="J109" s="24"/>
      <c r="K109" s="24"/>
    </row>
    <row r="110" spans="1:11" ht="46.55" x14ac:dyDescent="0.3">
      <c r="A110" s="1" t="s">
        <v>726</v>
      </c>
      <c r="B110" s="2" t="s">
        <v>9</v>
      </c>
      <c r="C110" s="2" t="s">
        <v>683</v>
      </c>
      <c r="D110" s="2" t="s">
        <v>460</v>
      </c>
      <c r="E110" s="2" t="s">
        <v>554</v>
      </c>
      <c r="F110" s="2"/>
      <c r="G110" s="31">
        <f t="shared" ref="G110:H113" si="8">G111</f>
        <v>20608670.02</v>
      </c>
      <c r="H110" s="57">
        <f t="shared" si="8"/>
        <v>20608670.02</v>
      </c>
      <c r="I110" s="129">
        <f t="shared" si="6"/>
        <v>1</v>
      </c>
    </row>
    <row r="111" spans="1:11" s="12" customFormat="1" ht="77.55" x14ac:dyDescent="0.3">
      <c r="A111" s="52" t="s">
        <v>396</v>
      </c>
      <c r="B111" s="4" t="s">
        <v>9</v>
      </c>
      <c r="C111" s="4" t="s">
        <v>683</v>
      </c>
      <c r="D111" s="4" t="s">
        <v>460</v>
      </c>
      <c r="E111" s="4" t="s">
        <v>568</v>
      </c>
      <c r="F111" s="4"/>
      <c r="G111" s="27">
        <f t="shared" si="8"/>
        <v>20608670.02</v>
      </c>
      <c r="H111" s="56">
        <f t="shared" si="8"/>
        <v>20608670.02</v>
      </c>
      <c r="I111" s="130">
        <f t="shared" si="6"/>
        <v>1</v>
      </c>
      <c r="J111" s="24"/>
      <c r="K111" s="24"/>
    </row>
    <row r="112" spans="1:11" s="12" customFormat="1" ht="46.55" x14ac:dyDescent="0.3">
      <c r="A112" s="52" t="s">
        <v>569</v>
      </c>
      <c r="B112" s="4" t="s">
        <v>9</v>
      </c>
      <c r="C112" s="4" t="s">
        <v>683</v>
      </c>
      <c r="D112" s="4" t="s">
        <v>460</v>
      </c>
      <c r="E112" s="4" t="s">
        <v>836</v>
      </c>
      <c r="F112" s="4"/>
      <c r="G112" s="27">
        <f t="shared" si="8"/>
        <v>20608670.02</v>
      </c>
      <c r="H112" s="56">
        <f t="shared" si="8"/>
        <v>20608670.02</v>
      </c>
      <c r="I112" s="130">
        <f t="shared" si="6"/>
        <v>1</v>
      </c>
      <c r="J112" s="24"/>
      <c r="K112" s="24"/>
    </row>
    <row r="113" spans="1:11" s="12" customFormat="1" ht="93.05" x14ac:dyDescent="0.3">
      <c r="A113" s="3" t="s">
        <v>589</v>
      </c>
      <c r="B113" s="4" t="s">
        <v>9</v>
      </c>
      <c r="C113" s="4" t="s">
        <v>683</v>
      </c>
      <c r="D113" s="4" t="s">
        <v>460</v>
      </c>
      <c r="E113" s="4" t="s">
        <v>837</v>
      </c>
      <c r="F113" s="4"/>
      <c r="G113" s="27">
        <f t="shared" si="8"/>
        <v>20608670.02</v>
      </c>
      <c r="H113" s="56">
        <f t="shared" si="8"/>
        <v>20608670.02</v>
      </c>
      <c r="I113" s="130">
        <f t="shared" si="6"/>
        <v>1</v>
      </c>
      <c r="J113" s="24"/>
      <c r="K113" s="24"/>
    </row>
    <row r="114" spans="1:11" s="12" customFormat="1" ht="62.05" x14ac:dyDescent="0.3">
      <c r="A114" s="3" t="s">
        <v>394</v>
      </c>
      <c r="B114" s="4" t="s">
        <v>9</v>
      </c>
      <c r="C114" s="4" t="s">
        <v>683</v>
      </c>
      <c r="D114" s="4" t="s">
        <v>460</v>
      </c>
      <c r="E114" s="4" t="s">
        <v>837</v>
      </c>
      <c r="F114" s="4" t="s">
        <v>467</v>
      </c>
      <c r="G114" s="27">
        <f>19815186+96096+93460.5+624696.34-20768.82</f>
        <v>20608670.02</v>
      </c>
      <c r="H114" s="56">
        <f>19815186+96096+93460.5+624696.34-20768.82</f>
        <v>20608670.02</v>
      </c>
      <c r="I114" s="130">
        <f t="shared" si="6"/>
        <v>1</v>
      </c>
      <c r="J114" s="24"/>
      <c r="K114" s="24"/>
    </row>
    <row r="115" spans="1:11" ht="62.05" x14ac:dyDescent="0.3">
      <c r="A115" s="46" t="s">
        <v>62</v>
      </c>
      <c r="B115" s="2" t="s">
        <v>9</v>
      </c>
      <c r="C115" s="2" t="s">
        <v>683</v>
      </c>
      <c r="D115" s="2" t="s">
        <v>460</v>
      </c>
      <c r="E115" s="2" t="s">
        <v>547</v>
      </c>
      <c r="F115" s="2"/>
      <c r="G115" s="31">
        <f>G116+G123+G130+G154</f>
        <v>41889610.700000003</v>
      </c>
      <c r="H115" s="57">
        <f>H116+H123+H130+H154</f>
        <v>40448902.550000004</v>
      </c>
      <c r="I115" s="129">
        <f t="shared" si="6"/>
        <v>0.96560702938210885</v>
      </c>
    </row>
    <row r="116" spans="1:11" s="12" customFormat="1" ht="46.55" x14ac:dyDescent="0.3">
      <c r="A116" s="25" t="s">
        <v>54</v>
      </c>
      <c r="B116" s="4" t="s">
        <v>9</v>
      </c>
      <c r="C116" s="4" t="s">
        <v>683</v>
      </c>
      <c r="D116" s="4" t="s">
        <v>460</v>
      </c>
      <c r="E116" s="4" t="s">
        <v>559</v>
      </c>
      <c r="F116" s="4"/>
      <c r="G116" s="27">
        <f>G117</f>
        <v>1020000</v>
      </c>
      <c r="H116" s="56">
        <f>H117</f>
        <v>713851.62</v>
      </c>
      <c r="I116" s="130">
        <f t="shared" si="6"/>
        <v>0.69985452941176474</v>
      </c>
      <c r="J116" s="24"/>
      <c r="K116" s="24"/>
    </row>
    <row r="117" spans="1:11" s="12" customFormat="1" ht="46.55" x14ac:dyDescent="0.3">
      <c r="A117" s="3" t="s">
        <v>570</v>
      </c>
      <c r="B117" s="4" t="s">
        <v>9</v>
      </c>
      <c r="C117" s="4" t="s">
        <v>683</v>
      </c>
      <c r="D117" s="4" t="s">
        <v>460</v>
      </c>
      <c r="E117" s="4" t="s">
        <v>571</v>
      </c>
      <c r="F117" s="4"/>
      <c r="G117" s="27">
        <f>G118+G120</f>
        <v>1020000</v>
      </c>
      <c r="H117" s="56">
        <f>H118+H120</f>
        <v>713851.62</v>
      </c>
      <c r="I117" s="130">
        <f t="shared" si="6"/>
        <v>0.69985452941176474</v>
      </c>
      <c r="J117" s="24"/>
      <c r="K117" s="24"/>
    </row>
    <row r="118" spans="1:11" s="12" customFormat="1" ht="186.1" x14ac:dyDescent="0.3">
      <c r="A118" s="3" t="s">
        <v>0</v>
      </c>
      <c r="B118" s="4" t="s">
        <v>9</v>
      </c>
      <c r="C118" s="4" t="s">
        <v>683</v>
      </c>
      <c r="D118" s="4" t="s">
        <v>460</v>
      </c>
      <c r="E118" s="4" t="s">
        <v>572</v>
      </c>
      <c r="F118" s="4"/>
      <c r="G118" s="27">
        <f>G119</f>
        <v>6000</v>
      </c>
      <c r="H118" s="56">
        <f>H119</f>
        <v>0</v>
      </c>
      <c r="I118" s="130">
        <f t="shared" si="6"/>
        <v>0</v>
      </c>
      <c r="J118" s="24"/>
      <c r="K118" s="24"/>
    </row>
    <row r="119" spans="1:11" s="12" customFormat="1" ht="46.55" x14ac:dyDescent="0.3">
      <c r="A119" s="3" t="s">
        <v>543</v>
      </c>
      <c r="B119" s="4" t="s">
        <v>9</v>
      </c>
      <c r="C119" s="4" t="s">
        <v>683</v>
      </c>
      <c r="D119" s="4" t="s">
        <v>460</v>
      </c>
      <c r="E119" s="4" t="s">
        <v>572</v>
      </c>
      <c r="F119" s="4" t="s">
        <v>463</v>
      </c>
      <c r="G119" s="27">
        <v>6000</v>
      </c>
      <c r="H119" s="56">
        <v>0</v>
      </c>
      <c r="I119" s="130">
        <f t="shared" si="6"/>
        <v>0</v>
      </c>
      <c r="J119" s="24"/>
      <c r="K119" s="24"/>
    </row>
    <row r="120" spans="1:11" s="12" customFormat="1" ht="46.55" x14ac:dyDescent="0.3">
      <c r="A120" s="3" t="s">
        <v>573</v>
      </c>
      <c r="B120" s="4" t="s">
        <v>9</v>
      </c>
      <c r="C120" s="4" t="s">
        <v>683</v>
      </c>
      <c r="D120" s="4" t="s">
        <v>460</v>
      </c>
      <c r="E120" s="4" t="s">
        <v>574</v>
      </c>
      <c r="F120" s="4"/>
      <c r="G120" s="27">
        <f>G121+G122</f>
        <v>1014000</v>
      </c>
      <c r="H120" s="56">
        <f>H121+H122</f>
        <v>713851.62</v>
      </c>
      <c r="I120" s="130">
        <f t="shared" si="6"/>
        <v>0.7039956804733728</v>
      </c>
      <c r="J120" s="24"/>
      <c r="K120" s="24"/>
    </row>
    <row r="121" spans="1:11" s="12" customFormat="1" ht="108.55" x14ac:dyDescent="0.3">
      <c r="A121" s="3" t="s">
        <v>50</v>
      </c>
      <c r="B121" s="4" t="s">
        <v>9</v>
      </c>
      <c r="C121" s="4" t="s">
        <v>683</v>
      </c>
      <c r="D121" s="4" t="s">
        <v>460</v>
      </c>
      <c r="E121" s="4" t="s">
        <v>574</v>
      </c>
      <c r="F121" s="4" t="s">
        <v>462</v>
      </c>
      <c r="G121" s="27">
        <v>849376.4</v>
      </c>
      <c r="H121" s="56">
        <v>661429.89</v>
      </c>
      <c r="I121" s="130">
        <f t="shared" si="6"/>
        <v>0.77872412042529082</v>
      </c>
      <c r="J121" s="24"/>
      <c r="K121" s="24"/>
    </row>
    <row r="122" spans="1:11" s="12" customFormat="1" ht="46.55" x14ac:dyDescent="0.3">
      <c r="A122" s="3" t="s">
        <v>543</v>
      </c>
      <c r="B122" s="4" t="s">
        <v>9</v>
      </c>
      <c r="C122" s="4" t="s">
        <v>683</v>
      </c>
      <c r="D122" s="4" t="s">
        <v>460</v>
      </c>
      <c r="E122" s="4" t="s">
        <v>574</v>
      </c>
      <c r="F122" s="4" t="s">
        <v>463</v>
      </c>
      <c r="G122" s="27">
        <v>164623.6</v>
      </c>
      <c r="H122" s="56">
        <v>52421.73</v>
      </c>
      <c r="I122" s="130">
        <f t="shared" si="6"/>
        <v>0.31843386974893029</v>
      </c>
      <c r="J122" s="24"/>
      <c r="K122" s="24"/>
    </row>
    <row r="123" spans="1:11" s="12" customFormat="1" ht="31.05" x14ac:dyDescent="0.3">
      <c r="A123" s="3" t="s">
        <v>80</v>
      </c>
      <c r="B123" s="4" t="s">
        <v>9</v>
      </c>
      <c r="C123" s="4" t="s">
        <v>683</v>
      </c>
      <c r="D123" s="4" t="s">
        <v>460</v>
      </c>
      <c r="E123" s="4" t="s">
        <v>515</v>
      </c>
      <c r="F123" s="4"/>
      <c r="G123" s="27">
        <f>G124</f>
        <v>7486864.9999999991</v>
      </c>
      <c r="H123" s="56">
        <f>H124</f>
        <v>7460492.9099999992</v>
      </c>
      <c r="I123" s="130">
        <f t="shared" si="6"/>
        <v>0.99647755235335489</v>
      </c>
      <c r="J123" s="24"/>
      <c r="K123" s="24"/>
    </row>
    <row r="124" spans="1:11" s="12" customFormat="1" ht="62.05" x14ac:dyDescent="0.3">
      <c r="A124" s="3" t="s">
        <v>516</v>
      </c>
      <c r="B124" s="4" t="s">
        <v>9</v>
      </c>
      <c r="C124" s="4" t="s">
        <v>683</v>
      </c>
      <c r="D124" s="4" t="s">
        <v>460</v>
      </c>
      <c r="E124" s="4" t="s">
        <v>517</v>
      </c>
      <c r="F124" s="4"/>
      <c r="G124" s="27">
        <f>G125+G128</f>
        <v>7486864.9999999991</v>
      </c>
      <c r="H124" s="56">
        <f>H125+H128</f>
        <v>7460492.9099999992</v>
      </c>
      <c r="I124" s="130">
        <f t="shared" si="6"/>
        <v>0.99647755235335489</v>
      </c>
      <c r="J124" s="24"/>
      <c r="K124" s="24"/>
    </row>
    <row r="125" spans="1:11" s="12" customFormat="1" ht="93.05" x14ac:dyDescent="0.3">
      <c r="A125" s="3" t="s">
        <v>589</v>
      </c>
      <c r="B125" s="4" t="s">
        <v>9</v>
      </c>
      <c r="C125" s="4" t="s">
        <v>683</v>
      </c>
      <c r="D125" s="4" t="s">
        <v>460</v>
      </c>
      <c r="E125" s="4" t="s">
        <v>518</v>
      </c>
      <c r="F125" s="4"/>
      <c r="G125" s="27">
        <f>G126+G127</f>
        <v>7344513.3699999992</v>
      </c>
      <c r="H125" s="56">
        <f>H126+H127</f>
        <v>7318141.2799999993</v>
      </c>
      <c r="I125" s="130">
        <f t="shared" si="6"/>
        <v>0.9964092801426816</v>
      </c>
      <c r="J125" s="24"/>
      <c r="K125" s="24"/>
    </row>
    <row r="126" spans="1:11" s="12" customFormat="1" ht="108.55" x14ac:dyDescent="0.3">
      <c r="A126" s="3" t="s">
        <v>50</v>
      </c>
      <c r="B126" s="4" t="s">
        <v>9</v>
      </c>
      <c r="C126" s="4" t="s">
        <v>683</v>
      </c>
      <c r="D126" s="4" t="s">
        <v>460</v>
      </c>
      <c r="E126" s="4" t="s">
        <v>518</v>
      </c>
      <c r="F126" s="4" t="s">
        <v>462</v>
      </c>
      <c r="G126" s="27">
        <f>5159339.18+1800+890125-44645-16845.33</f>
        <v>5989773.8499999996</v>
      </c>
      <c r="H126" s="56">
        <v>5988511.0099999998</v>
      </c>
      <c r="I126" s="130">
        <f t="shared" si="6"/>
        <v>0.99978916733225243</v>
      </c>
      <c r="J126" s="24"/>
      <c r="K126" s="24"/>
    </row>
    <row r="127" spans="1:11" s="12" customFormat="1" ht="46.55" x14ac:dyDescent="0.3">
      <c r="A127" s="3" t="s">
        <v>543</v>
      </c>
      <c r="B127" s="4" t="s">
        <v>9</v>
      </c>
      <c r="C127" s="4" t="s">
        <v>683</v>
      </c>
      <c r="D127" s="4" t="s">
        <v>460</v>
      </c>
      <c r="E127" s="4" t="s">
        <v>518</v>
      </c>
      <c r="F127" s="4" t="s">
        <v>463</v>
      </c>
      <c r="G127" s="27">
        <f>1267304.82+90895-3460.3</f>
        <v>1354739.52</v>
      </c>
      <c r="H127" s="56">
        <v>1329630.27</v>
      </c>
      <c r="I127" s="130">
        <f t="shared" si="6"/>
        <v>0.98146562521480141</v>
      </c>
      <c r="J127" s="24"/>
      <c r="K127" s="24"/>
    </row>
    <row r="128" spans="1:11" s="12" customFormat="1" ht="93.05" x14ac:dyDescent="0.3">
      <c r="A128" s="3" t="s">
        <v>448</v>
      </c>
      <c r="B128" s="4" t="s">
        <v>9</v>
      </c>
      <c r="C128" s="4" t="s">
        <v>683</v>
      </c>
      <c r="D128" s="4" t="s">
        <v>460</v>
      </c>
      <c r="E128" s="4" t="s">
        <v>519</v>
      </c>
      <c r="F128" s="4"/>
      <c r="G128" s="27">
        <f>G129</f>
        <v>142351.63</v>
      </c>
      <c r="H128" s="56">
        <f>H129</f>
        <v>142351.63</v>
      </c>
      <c r="I128" s="130">
        <f t="shared" si="6"/>
        <v>1</v>
      </c>
      <c r="J128" s="24"/>
      <c r="K128" s="24"/>
    </row>
    <row r="129" spans="1:11" s="12" customFormat="1" ht="108.55" x14ac:dyDescent="0.3">
      <c r="A129" s="3" t="s">
        <v>389</v>
      </c>
      <c r="B129" s="4" t="s">
        <v>9</v>
      </c>
      <c r="C129" s="4" t="s">
        <v>683</v>
      </c>
      <c r="D129" s="4" t="s">
        <v>460</v>
      </c>
      <c r="E129" s="4" t="s">
        <v>519</v>
      </c>
      <c r="F129" s="4" t="s">
        <v>462</v>
      </c>
      <c r="G129" s="27">
        <f>94910+27136+20305.63</f>
        <v>142351.63</v>
      </c>
      <c r="H129" s="56">
        <f>94910+27136+20305.63</f>
        <v>142351.63</v>
      </c>
      <c r="I129" s="130">
        <f t="shared" si="6"/>
        <v>1</v>
      </c>
      <c r="J129" s="24"/>
      <c r="K129" s="24"/>
    </row>
    <row r="130" spans="1:11" s="12" customFormat="1" ht="46.55" x14ac:dyDescent="0.3">
      <c r="A130" s="3" t="s">
        <v>81</v>
      </c>
      <c r="B130" s="4" t="s">
        <v>9</v>
      </c>
      <c r="C130" s="4" t="s">
        <v>683</v>
      </c>
      <c r="D130" s="4" t="s">
        <v>460</v>
      </c>
      <c r="E130" s="4" t="s">
        <v>548</v>
      </c>
      <c r="F130" s="4"/>
      <c r="G130" s="27">
        <f>G131+G138+G145+G151</f>
        <v>32630835.699999999</v>
      </c>
      <c r="H130" s="56">
        <f>H131+H138+H145+H151</f>
        <v>31739266.82</v>
      </c>
      <c r="I130" s="130">
        <f>H130/G130</f>
        <v>0.97267710553916342</v>
      </c>
      <c r="J130" s="24"/>
      <c r="K130" s="24"/>
    </row>
    <row r="131" spans="1:11" s="12" customFormat="1" ht="46.55" x14ac:dyDescent="0.3">
      <c r="A131" s="3" t="s">
        <v>520</v>
      </c>
      <c r="B131" s="4" t="s">
        <v>9</v>
      </c>
      <c r="C131" s="4" t="s">
        <v>683</v>
      </c>
      <c r="D131" s="4" t="s">
        <v>460</v>
      </c>
      <c r="E131" s="4" t="s">
        <v>521</v>
      </c>
      <c r="F131" s="4"/>
      <c r="G131" s="27">
        <f>G132+G136</f>
        <v>9876108.2899999991</v>
      </c>
      <c r="H131" s="56">
        <f>H132+H136</f>
        <v>9497382.2999999989</v>
      </c>
      <c r="I131" s="130">
        <f t="shared" ref="I131:I167" si="9">H131/G131</f>
        <v>0.96165230484729725</v>
      </c>
      <c r="J131" s="24"/>
      <c r="K131" s="24"/>
    </row>
    <row r="132" spans="1:11" s="12" customFormat="1" ht="93.05" x14ac:dyDescent="0.3">
      <c r="A132" s="3" t="s">
        <v>589</v>
      </c>
      <c r="B132" s="4" t="s">
        <v>9</v>
      </c>
      <c r="C132" s="4" t="s">
        <v>683</v>
      </c>
      <c r="D132" s="4" t="s">
        <v>460</v>
      </c>
      <c r="E132" s="4" t="s">
        <v>522</v>
      </c>
      <c r="F132" s="4"/>
      <c r="G132" s="27">
        <f>G133+G134+G135</f>
        <v>9864894.6899999995</v>
      </c>
      <c r="H132" s="56">
        <f>H133+H134+H135</f>
        <v>9486168.6999999993</v>
      </c>
      <c r="I132" s="130">
        <f t="shared" si="9"/>
        <v>0.96160871434502859</v>
      </c>
      <c r="J132" s="24"/>
      <c r="K132" s="24"/>
    </row>
    <row r="133" spans="1:11" s="12" customFormat="1" ht="108.55" x14ac:dyDescent="0.3">
      <c r="A133" s="3" t="s">
        <v>50</v>
      </c>
      <c r="B133" s="4" t="s">
        <v>9</v>
      </c>
      <c r="C133" s="4" t="s">
        <v>683</v>
      </c>
      <c r="D133" s="4" t="s">
        <v>460</v>
      </c>
      <c r="E133" s="4" t="s">
        <v>522</v>
      </c>
      <c r="F133" s="4" t="s">
        <v>462</v>
      </c>
      <c r="G133" s="27">
        <f>6334496.89+106408.5+32135+452974+170967.75+49168.86</f>
        <v>7146151</v>
      </c>
      <c r="H133" s="56">
        <f>6334496.89+106408.5+32135+452974+170967.75+49168.86</f>
        <v>7146151</v>
      </c>
      <c r="I133" s="130">
        <f t="shared" si="9"/>
        <v>1</v>
      </c>
      <c r="J133" s="24"/>
      <c r="K133" s="24"/>
    </row>
    <row r="134" spans="1:11" s="12" customFormat="1" ht="46.55" x14ac:dyDescent="0.3">
      <c r="A134" s="3" t="s">
        <v>543</v>
      </c>
      <c r="B134" s="4" t="s">
        <v>9</v>
      </c>
      <c r="C134" s="4" t="s">
        <v>683</v>
      </c>
      <c r="D134" s="4" t="s">
        <v>460</v>
      </c>
      <c r="E134" s="4" t="s">
        <v>522</v>
      </c>
      <c r="F134" s="4" t="s">
        <v>463</v>
      </c>
      <c r="G134" s="27">
        <f>26400+2744470-5043.28+72581.55-12563.38-840-137703.5-12356.7</f>
        <v>2674944.69</v>
      </c>
      <c r="H134" s="56">
        <v>2296218.7000000002</v>
      </c>
      <c r="I134" s="130">
        <f t="shared" si="9"/>
        <v>0.8584172631995618</v>
      </c>
      <c r="J134" s="24"/>
      <c r="K134" s="24"/>
    </row>
    <row r="135" spans="1:11" s="12" customFormat="1" x14ac:dyDescent="0.3">
      <c r="A135" s="3" t="s">
        <v>732</v>
      </c>
      <c r="B135" s="4" t="s">
        <v>9</v>
      </c>
      <c r="C135" s="4" t="s">
        <v>683</v>
      </c>
      <c r="D135" s="4" t="s">
        <v>460</v>
      </c>
      <c r="E135" s="4" t="s">
        <v>522</v>
      </c>
      <c r="F135" s="53">
        <v>800</v>
      </c>
      <c r="G135" s="27">
        <v>43799</v>
      </c>
      <c r="H135" s="56">
        <v>43799</v>
      </c>
      <c r="I135" s="130">
        <f t="shared" si="9"/>
        <v>1</v>
      </c>
      <c r="J135" s="24"/>
      <c r="K135" s="24"/>
    </row>
    <row r="136" spans="1:11" s="12" customFormat="1" ht="93.05" x14ac:dyDescent="0.3">
      <c r="A136" s="3" t="s">
        <v>448</v>
      </c>
      <c r="B136" s="4" t="s">
        <v>9</v>
      </c>
      <c r="C136" s="4" t="s">
        <v>683</v>
      </c>
      <c r="D136" s="4" t="s">
        <v>460</v>
      </c>
      <c r="E136" s="4" t="s">
        <v>147</v>
      </c>
      <c r="F136" s="4"/>
      <c r="G136" s="27">
        <f>G137</f>
        <v>11213.599999999999</v>
      </c>
      <c r="H136" s="56">
        <f>H137</f>
        <v>11213.599999999999</v>
      </c>
      <c r="I136" s="130">
        <f t="shared" si="9"/>
        <v>1</v>
      </c>
      <c r="J136" s="24"/>
      <c r="K136" s="24"/>
    </row>
    <row r="137" spans="1:11" s="12" customFormat="1" ht="108.55" x14ac:dyDescent="0.3">
      <c r="A137" s="3" t="s">
        <v>389</v>
      </c>
      <c r="B137" s="4" t="s">
        <v>9</v>
      </c>
      <c r="C137" s="4" t="s">
        <v>683</v>
      </c>
      <c r="D137" s="4" t="s">
        <v>460</v>
      </c>
      <c r="E137" s="4" t="s">
        <v>147</v>
      </c>
      <c r="F137" s="4" t="s">
        <v>462</v>
      </c>
      <c r="G137" s="27">
        <f>82500-22117.54-49168.86</f>
        <v>11213.599999999999</v>
      </c>
      <c r="H137" s="56">
        <f>82500-22117.54-49168.86</f>
        <v>11213.599999999999</v>
      </c>
      <c r="I137" s="130">
        <f t="shared" si="9"/>
        <v>1</v>
      </c>
      <c r="J137" s="24"/>
      <c r="K137" s="24"/>
    </row>
    <row r="138" spans="1:11" s="12" customFormat="1" ht="62.05" x14ac:dyDescent="0.3">
      <c r="A138" s="3" t="s">
        <v>148</v>
      </c>
      <c r="B138" s="4" t="s">
        <v>9</v>
      </c>
      <c r="C138" s="4" t="s">
        <v>683</v>
      </c>
      <c r="D138" s="4" t="s">
        <v>460</v>
      </c>
      <c r="E138" s="4" t="s">
        <v>149</v>
      </c>
      <c r="F138" s="4"/>
      <c r="G138" s="27">
        <f>G139+G143</f>
        <v>20161351.82</v>
      </c>
      <c r="H138" s="56">
        <f>H139+H143</f>
        <v>20010195.41</v>
      </c>
      <c r="I138" s="130">
        <f t="shared" si="9"/>
        <v>0.99250266493291117</v>
      </c>
      <c r="J138" s="24"/>
      <c r="K138" s="24"/>
    </row>
    <row r="139" spans="1:11" s="12" customFormat="1" ht="93.05" x14ac:dyDescent="0.3">
      <c r="A139" s="3" t="s">
        <v>589</v>
      </c>
      <c r="B139" s="4" t="s">
        <v>9</v>
      </c>
      <c r="C139" s="4" t="s">
        <v>683</v>
      </c>
      <c r="D139" s="4" t="s">
        <v>460</v>
      </c>
      <c r="E139" s="4" t="s">
        <v>150</v>
      </c>
      <c r="F139" s="4"/>
      <c r="G139" s="27">
        <f>G140+G141+G142</f>
        <v>20064687.460000001</v>
      </c>
      <c r="H139" s="56">
        <f>H140+H141+H142</f>
        <v>19915929.359999999</v>
      </c>
      <c r="I139" s="130">
        <f t="shared" si="9"/>
        <v>0.99258607440078206</v>
      </c>
      <c r="J139" s="24"/>
      <c r="K139" s="24"/>
    </row>
    <row r="140" spans="1:11" s="12" customFormat="1" ht="108.55" x14ac:dyDescent="0.3">
      <c r="A140" s="3" t="s">
        <v>50</v>
      </c>
      <c r="B140" s="4" t="s">
        <v>9</v>
      </c>
      <c r="C140" s="4" t="s">
        <v>683</v>
      </c>
      <c r="D140" s="4" t="s">
        <v>460</v>
      </c>
      <c r="E140" s="4" t="s">
        <v>150</v>
      </c>
      <c r="F140" s="4" t="s">
        <v>462</v>
      </c>
      <c r="G140" s="27">
        <f>9866082.53+9420+254972.64+76708-260000+381510.9+115510.02+372148.6+112388+728563.73-436420.9+59708.42+59866.64+10969</f>
        <v>11351427.58</v>
      </c>
      <c r="H140" s="56">
        <v>11249369.73</v>
      </c>
      <c r="I140" s="130">
        <f t="shared" si="9"/>
        <v>0.99100924978107474</v>
      </c>
      <c r="J140" s="24"/>
      <c r="K140" s="24"/>
    </row>
    <row r="141" spans="1:11" s="12" customFormat="1" ht="46.55" x14ac:dyDescent="0.3">
      <c r="A141" s="3" t="s">
        <v>543</v>
      </c>
      <c r="B141" s="4" t="s">
        <v>9</v>
      </c>
      <c r="C141" s="4" t="s">
        <v>683</v>
      </c>
      <c r="D141" s="4" t="s">
        <v>460</v>
      </c>
      <c r="E141" s="4" t="s">
        <v>150</v>
      </c>
      <c r="F141" s="4" t="s">
        <v>463</v>
      </c>
      <c r="G141" s="27">
        <f>92950+9597781.97-79501.65-267560.2-1900-37581.55+12563.38-5007.5-479529.1-279943.47+132000</f>
        <v>8684271.8800000008</v>
      </c>
      <c r="H141" s="56">
        <v>8637571.6300000008</v>
      </c>
      <c r="I141" s="130">
        <f t="shared" si="9"/>
        <v>0.99462243344689016</v>
      </c>
      <c r="J141" s="24"/>
      <c r="K141" s="24"/>
    </row>
    <row r="142" spans="1:11" s="12" customFormat="1" x14ac:dyDescent="0.3">
      <c r="A142" s="3" t="s">
        <v>732</v>
      </c>
      <c r="B142" s="4" t="s">
        <v>9</v>
      </c>
      <c r="C142" s="4" t="s">
        <v>683</v>
      </c>
      <c r="D142" s="4" t="s">
        <v>460</v>
      </c>
      <c r="E142" s="4" t="s">
        <v>150</v>
      </c>
      <c r="F142" s="53">
        <v>800</v>
      </c>
      <c r="G142" s="27">
        <f>27088+1900</f>
        <v>28988</v>
      </c>
      <c r="H142" s="56">
        <f>27088+1900</f>
        <v>28988</v>
      </c>
      <c r="I142" s="130">
        <f t="shared" si="9"/>
        <v>1</v>
      </c>
      <c r="J142" s="24"/>
      <c r="K142" s="24"/>
    </row>
    <row r="143" spans="1:11" s="12" customFormat="1" ht="93.05" x14ac:dyDescent="0.3">
      <c r="A143" s="3" t="s">
        <v>448</v>
      </c>
      <c r="B143" s="4" t="s">
        <v>9</v>
      </c>
      <c r="C143" s="4" t="s">
        <v>683</v>
      </c>
      <c r="D143" s="4" t="s">
        <v>460</v>
      </c>
      <c r="E143" s="4" t="s">
        <v>523</v>
      </c>
      <c r="F143" s="4"/>
      <c r="G143" s="27">
        <f>G144</f>
        <v>96664.36</v>
      </c>
      <c r="H143" s="56">
        <f>H144</f>
        <v>94266.05</v>
      </c>
      <c r="I143" s="130">
        <f t="shared" si="9"/>
        <v>0.97518930451719743</v>
      </c>
      <c r="J143" s="24"/>
      <c r="K143" s="24"/>
    </row>
    <row r="144" spans="1:11" s="12" customFormat="1" ht="108.55" x14ac:dyDescent="0.3">
      <c r="A144" s="3" t="s">
        <v>389</v>
      </c>
      <c r="B144" s="4" t="s">
        <v>9</v>
      </c>
      <c r="C144" s="4" t="s">
        <v>683</v>
      </c>
      <c r="D144" s="4" t="s">
        <v>460</v>
      </c>
      <c r="E144" s="4" t="s">
        <v>523</v>
      </c>
      <c r="F144" s="4" t="s">
        <v>462</v>
      </c>
      <c r="G144" s="27">
        <f>167500-70835.64</f>
        <v>96664.36</v>
      </c>
      <c r="H144" s="56">
        <v>94266.05</v>
      </c>
      <c r="I144" s="130">
        <f t="shared" si="9"/>
        <v>0.97518930451719743</v>
      </c>
      <c r="J144" s="24"/>
      <c r="K144" s="24"/>
    </row>
    <row r="145" spans="1:11" s="12" customFormat="1" ht="78.8" customHeight="1" x14ac:dyDescent="0.3">
      <c r="A145" s="3" t="s">
        <v>777</v>
      </c>
      <c r="B145" s="4" t="s">
        <v>9</v>
      </c>
      <c r="C145" s="4" t="s">
        <v>683</v>
      </c>
      <c r="D145" s="4" t="s">
        <v>460</v>
      </c>
      <c r="E145" s="4" t="s">
        <v>151</v>
      </c>
      <c r="F145" s="4"/>
      <c r="G145" s="27">
        <f>G146+G149</f>
        <v>2593375.5900000003</v>
      </c>
      <c r="H145" s="56">
        <f>H146+H149</f>
        <v>2231689.1100000003</v>
      </c>
      <c r="I145" s="130">
        <f t="shared" si="9"/>
        <v>0.86053447815478212</v>
      </c>
      <c r="J145" s="24"/>
      <c r="K145" s="24"/>
    </row>
    <row r="146" spans="1:11" s="12" customFormat="1" ht="93.05" x14ac:dyDescent="0.3">
      <c r="A146" s="3" t="s">
        <v>589</v>
      </c>
      <c r="B146" s="4" t="s">
        <v>9</v>
      </c>
      <c r="C146" s="4" t="s">
        <v>683</v>
      </c>
      <c r="D146" s="4" t="s">
        <v>460</v>
      </c>
      <c r="E146" s="4" t="s">
        <v>152</v>
      </c>
      <c r="F146" s="4"/>
      <c r="G146" s="27">
        <f>G147+G148</f>
        <v>2132326.5100000002</v>
      </c>
      <c r="H146" s="56">
        <f>H147+H148</f>
        <v>1939178.5700000003</v>
      </c>
      <c r="I146" s="130">
        <f t="shared" si="9"/>
        <v>0.90941915363609116</v>
      </c>
      <c r="J146" s="24"/>
      <c r="K146" s="24"/>
    </row>
    <row r="147" spans="1:11" s="12" customFormat="1" ht="108.55" x14ac:dyDescent="0.3">
      <c r="A147" s="3" t="s">
        <v>50</v>
      </c>
      <c r="B147" s="4" t="s">
        <v>9</v>
      </c>
      <c r="C147" s="4" t="s">
        <v>683</v>
      </c>
      <c r="D147" s="4" t="s">
        <v>460</v>
      </c>
      <c r="E147" s="4" t="s">
        <v>152</v>
      </c>
      <c r="F147" s="4" t="s">
        <v>462</v>
      </c>
      <c r="G147" s="27">
        <f>1346590.31+31500+8071.5-70382.25-17006.88+4320.27+27375.06</f>
        <v>1330468.0100000002</v>
      </c>
      <c r="H147" s="56">
        <f>1346590.31+31500+8071.5-70382.25-17006.88+4320.27+27375.06</f>
        <v>1330468.0100000002</v>
      </c>
      <c r="I147" s="130">
        <f t="shared" si="9"/>
        <v>1</v>
      </c>
      <c r="J147" s="24"/>
      <c r="K147" s="24"/>
    </row>
    <row r="148" spans="1:11" s="12" customFormat="1" ht="46.55" x14ac:dyDescent="0.3">
      <c r="A148" s="3" t="s">
        <v>543</v>
      </c>
      <c r="B148" s="4" t="s">
        <v>9</v>
      </c>
      <c r="C148" s="4" t="s">
        <v>683</v>
      </c>
      <c r="D148" s="4" t="s">
        <v>460</v>
      </c>
      <c r="E148" s="4" t="s">
        <v>152</v>
      </c>
      <c r="F148" s="4" t="s">
        <v>463</v>
      </c>
      <c r="G148" s="27">
        <f>791430+50000-120-39451.5</f>
        <v>801858.5</v>
      </c>
      <c r="H148" s="56">
        <v>608710.56000000006</v>
      </c>
      <c r="I148" s="130">
        <f t="shared" si="9"/>
        <v>0.75912465852765798</v>
      </c>
      <c r="J148" s="24"/>
      <c r="K148" s="24"/>
    </row>
    <row r="149" spans="1:11" s="12" customFormat="1" ht="31.05" x14ac:dyDescent="0.3">
      <c r="A149" s="3" t="s">
        <v>393</v>
      </c>
      <c r="B149" s="4" t="s">
        <v>9</v>
      </c>
      <c r="C149" s="4" t="s">
        <v>683</v>
      </c>
      <c r="D149" s="4" t="s">
        <v>460</v>
      </c>
      <c r="E149" s="4" t="s">
        <v>778</v>
      </c>
      <c r="F149" s="4"/>
      <c r="G149" s="27">
        <f>G150</f>
        <v>461049.08</v>
      </c>
      <c r="H149" s="56">
        <f>H150</f>
        <v>292510.53999999998</v>
      </c>
      <c r="I149" s="130">
        <f t="shared" si="9"/>
        <v>0.63444555620846255</v>
      </c>
      <c r="J149" s="24"/>
      <c r="K149" s="24"/>
    </row>
    <row r="150" spans="1:11" s="12" customFormat="1" ht="46.55" x14ac:dyDescent="0.3">
      <c r="A150" s="3" t="s">
        <v>543</v>
      </c>
      <c r="B150" s="4" t="s">
        <v>9</v>
      </c>
      <c r="C150" s="4" t="s">
        <v>683</v>
      </c>
      <c r="D150" s="4" t="s">
        <v>460</v>
      </c>
      <c r="E150" s="4" t="s">
        <v>778</v>
      </c>
      <c r="F150" s="4" t="s">
        <v>463</v>
      </c>
      <c r="G150" s="27">
        <f>547501.3-59077.16-27375.06</f>
        <v>461049.08</v>
      </c>
      <c r="H150" s="56">
        <v>292510.53999999998</v>
      </c>
      <c r="I150" s="130">
        <f t="shared" si="9"/>
        <v>0.63444555620846255</v>
      </c>
      <c r="J150" s="24"/>
      <c r="K150" s="24"/>
    </row>
    <row r="151" spans="1:11" s="12" customFormat="1" ht="63" hidden="1" customHeight="1" x14ac:dyDescent="0.3">
      <c r="A151" s="3" t="s">
        <v>551</v>
      </c>
      <c r="B151" s="4" t="s">
        <v>9</v>
      </c>
      <c r="C151" s="4" t="s">
        <v>683</v>
      </c>
      <c r="D151" s="4" t="s">
        <v>460</v>
      </c>
      <c r="E151" s="4" t="s">
        <v>552</v>
      </c>
      <c r="F151" s="4"/>
      <c r="G151" s="27">
        <f>G153</f>
        <v>0</v>
      </c>
      <c r="H151" s="56">
        <f>H153</f>
        <v>0</v>
      </c>
      <c r="I151" s="130" t="e">
        <f t="shared" si="9"/>
        <v>#DIV/0!</v>
      </c>
      <c r="J151" s="24"/>
      <c r="K151" s="24"/>
    </row>
    <row r="152" spans="1:11" s="12" customFormat="1" ht="31.6" hidden="1" customHeight="1" x14ac:dyDescent="0.3">
      <c r="A152" s="3" t="s">
        <v>393</v>
      </c>
      <c r="B152" s="4" t="s">
        <v>9</v>
      </c>
      <c r="C152" s="4" t="s">
        <v>683</v>
      </c>
      <c r="D152" s="4" t="s">
        <v>460</v>
      </c>
      <c r="E152" s="4" t="s">
        <v>549</v>
      </c>
      <c r="F152" s="4"/>
      <c r="G152" s="27">
        <f>G153</f>
        <v>0</v>
      </c>
      <c r="H152" s="56">
        <f>H153</f>
        <v>0</v>
      </c>
      <c r="I152" s="130" t="e">
        <f t="shared" si="9"/>
        <v>#DIV/0!</v>
      </c>
      <c r="J152" s="24"/>
      <c r="K152" s="24"/>
    </row>
    <row r="153" spans="1:11" s="12" customFormat="1" ht="47.25" hidden="1" customHeight="1" x14ac:dyDescent="0.3">
      <c r="A153" s="3" t="s">
        <v>543</v>
      </c>
      <c r="B153" s="4" t="s">
        <v>9</v>
      </c>
      <c r="C153" s="4" t="s">
        <v>683</v>
      </c>
      <c r="D153" s="4" t="s">
        <v>460</v>
      </c>
      <c r="E153" s="4" t="s">
        <v>549</v>
      </c>
      <c r="F153" s="4" t="s">
        <v>463</v>
      </c>
      <c r="G153" s="27">
        <f>547501.3-547501.3</f>
        <v>0</v>
      </c>
      <c r="H153" s="56">
        <f>547501.3-547501.3</f>
        <v>0</v>
      </c>
      <c r="I153" s="130" t="e">
        <f t="shared" si="9"/>
        <v>#DIV/0!</v>
      </c>
      <c r="J153" s="24"/>
      <c r="K153" s="24"/>
    </row>
    <row r="154" spans="1:11" s="12" customFormat="1" ht="46.55" x14ac:dyDescent="0.3">
      <c r="A154" s="3" t="s">
        <v>91</v>
      </c>
      <c r="B154" s="4" t="s">
        <v>9</v>
      </c>
      <c r="C154" s="4" t="s">
        <v>683</v>
      </c>
      <c r="D154" s="4" t="s">
        <v>460</v>
      </c>
      <c r="E154" s="4" t="s">
        <v>550</v>
      </c>
      <c r="F154" s="53"/>
      <c r="G154" s="27">
        <f>G155+G159+G162</f>
        <v>751910</v>
      </c>
      <c r="H154" s="56">
        <f>H155+H159+H162</f>
        <v>535291.19999999995</v>
      </c>
      <c r="I154" s="130">
        <f t="shared" si="9"/>
        <v>0.71190860608317474</v>
      </c>
      <c r="J154" s="24"/>
      <c r="K154" s="24"/>
    </row>
    <row r="155" spans="1:11" s="12" customFormat="1" ht="77.55" x14ac:dyDescent="0.3">
      <c r="A155" s="3" t="s">
        <v>553</v>
      </c>
      <c r="B155" s="4" t="s">
        <v>9</v>
      </c>
      <c r="C155" s="4" t="s">
        <v>683</v>
      </c>
      <c r="D155" s="4" t="s">
        <v>460</v>
      </c>
      <c r="E155" s="4" t="s">
        <v>524</v>
      </c>
      <c r="F155" s="53"/>
      <c r="G155" s="27">
        <f>G156</f>
        <v>153448.5</v>
      </c>
      <c r="H155" s="56">
        <f>H156</f>
        <v>100305</v>
      </c>
      <c r="I155" s="130">
        <f t="shared" si="9"/>
        <v>0.65367207890595214</v>
      </c>
      <c r="J155" s="24"/>
      <c r="K155" s="24"/>
    </row>
    <row r="156" spans="1:11" s="12" customFormat="1" ht="55.55" customHeight="1" x14ac:dyDescent="0.3">
      <c r="A156" s="3" t="s">
        <v>451</v>
      </c>
      <c r="B156" s="4" t="s">
        <v>9</v>
      </c>
      <c r="C156" s="4" t="s">
        <v>683</v>
      </c>
      <c r="D156" s="4" t="s">
        <v>460</v>
      </c>
      <c r="E156" s="4" t="s">
        <v>782</v>
      </c>
      <c r="F156" s="53"/>
      <c r="G156" s="27">
        <f>G157+G158</f>
        <v>153448.5</v>
      </c>
      <c r="H156" s="56">
        <f>H157+H158</f>
        <v>100305</v>
      </c>
      <c r="I156" s="130">
        <f t="shared" si="9"/>
        <v>0.65367207890595214</v>
      </c>
      <c r="J156" s="24"/>
      <c r="K156" s="24"/>
    </row>
    <row r="157" spans="1:11" s="12" customFormat="1" ht="108.55" x14ac:dyDescent="0.3">
      <c r="A157" s="3" t="s">
        <v>389</v>
      </c>
      <c r="B157" s="4" t="s">
        <v>9</v>
      </c>
      <c r="C157" s="4" t="s">
        <v>683</v>
      </c>
      <c r="D157" s="4" t="s">
        <v>460</v>
      </c>
      <c r="E157" s="4" t="s">
        <v>782</v>
      </c>
      <c r="F157" s="53">
        <v>100</v>
      </c>
      <c r="G157" s="27">
        <f>42000+12700-25600</f>
        <v>29100</v>
      </c>
      <c r="H157" s="56">
        <v>28735</v>
      </c>
      <c r="I157" s="130">
        <f t="shared" si="9"/>
        <v>0.98745704467353956</v>
      </c>
      <c r="J157" s="24"/>
      <c r="K157" s="24"/>
    </row>
    <row r="158" spans="1:11" s="12" customFormat="1" ht="46.55" x14ac:dyDescent="0.3">
      <c r="A158" s="3" t="s">
        <v>543</v>
      </c>
      <c r="B158" s="4" t="s">
        <v>9</v>
      </c>
      <c r="C158" s="4" t="s">
        <v>683</v>
      </c>
      <c r="D158" s="4" t="s">
        <v>460</v>
      </c>
      <c r="E158" s="4" t="s">
        <v>782</v>
      </c>
      <c r="F158" s="53">
        <v>200</v>
      </c>
      <c r="G158" s="27">
        <f>55570+113578.5-44800</f>
        <v>124348.5</v>
      </c>
      <c r="H158" s="56">
        <v>71570</v>
      </c>
      <c r="I158" s="130">
        <f t="shared" si="9"/>
        <v>0.57555981777021836</v>
      </c>
      <c r="J158" s="24"/>
      <c r="K158" s="24"/>
    </row>
    <row r="159" spans="1:11" s="12" customFormat="1" ht="31.05" x14ac:dyDescent="0.3">
      <c r="A159" s="3" t="s">
        <v>153</v>
      </c>
      <c r="B159" s="4" t="s">
        <v>9</v>
      </c>
      <c r="C159" s="4" t="s">
        <v>683</v>
      </c>
      <c r="D159" s="4" t="s">
        <v>460</v>
      </c>
      <c r="E159" s="4" t="s">
        <v>154</v>
      </c>
      <c r="F159" s="53"/>
      <c r="G159" s="27">
        <f>G160</f>
        <v>143100</v>
      </c>
      <c r="H159" s="56">
        <f>H160</f>
        <v>141924</v>
      </c>
      <c r="I159" s="130">
        <f t="shared" si="9"/>
        <v>0.99178197064989515</v>
      </c>
      <c r="J159" s="24"/>
      <c r="K159" s="24"/>
    </row>
    <row r="160" spans="1:11" s="12" customFormat="1" ht="56.25" customHeight="1" x14ac:dyDescent="0.3">
      <c r="A160" s="3" t="s">
        <v>451</v>
      </c>
      <c r="B160" s="4" t="s">
        <v>9</v>
      </c>
      <c r="C160" s="4" t="s">
        <v>683</v>
      </c>
      <c r="D160" s="4" t="s">
        <v>460</v>
      </c>
      <c r="E160" s="4" t="s">
        <v>783</v>
      </c>
      <c r="F160" s="53"/>
      <c r="G160" s="27">
        <f>G161</f>
        <v>143100</v>
      </c>
      <c r="H160" s="56">
        <f>H161</f>
        <v>141924</v>
      </c>
      <c r="I160" s="130">
        <f t="shared" si="9"/>
        <v>0.99178197064989515</v>
      </c>
      <c r="J160" s="24"/>
      <c r="K160" s="24"/>
    </row>
    <row r="161" spans="1:11" s="12" customFormat="1" ht="46.55" x14ac:dyDescent="0.3">
      <c r="A161" s="3" t="s">
        <v>543</v>
      </c>
      <c r="B161" s="4" t="s">
        <v>9</v>
      </c>
      <c r="C161" s="4" t="s">
        <v>683</v>
      </c>
      <c r="D161" s="4" t="s">
        <v>460</v>
      </c>
      <c r="E161" s="4" t="s">
        <v>783</v>
      </c>
      <c r="F161" s="53">
        <v>200</v>
      </c>
      <c r="G161" s="27">
        <v>143100</v>
      </c>
      <c r="H161" s="56">
        <v>141924</v>
      </c>
      <c r="I161" s="130">
        <f t="shared" si="9"/>
        <v>0.99178197064989515</v>
      </c>
      <c r="J161" s="24"/>
      <c r="K161" s="24"/>
    </row>
    <row r="162" spans="1:11" s="12" customFormat="1" ht="62.05" x14ac:dyDescent="0.3">
      <c r="A162" s="3" t="s">
        <v>155</v>
      </c>
      <c r="B162" s="4" t="s">
        <v>9</v>
      </c>
      <c r="C162" s="4" t="s">
        <v>683</v>
      </c>
      <c r="D162" s="4" t="s">
        <v>460</v>
      </c>
      <c r="E162" s="4" t="s">
        <v>156</v>
      </c>
      <c r="F162" s="53"/>
      <c r="G162" s="27">
        <f>G163</f>
        <v>455361.5</v>
      </c>
      <c r="H162" s="56">
        <f>H163</f>
        <v>293062.2</v>
      </c>
      <c r="I162" s="130">
        <f t="shared" si="9"/>
        <v>0.64358141827976234</v>
      </c>
      <c r="J162" s="24"/>
      <c r="K162" s="24"/>
    </row>
    <row r="163" spans="1:11" s="12" customFormat="1" ht="46.55" x14ac:dyDescent="0.3">
      <c r="A163" s="3" t="s">
        <v>451</v>
      </c>
      <c r="B163" s="4" t="s">
        <v>9</v>
      </c>
      <c r="C163" s="4" t="s">
        <v>683</v>
      </c>
      <c r="D163" s="4" t="s">
        <v>460</v>
      </c>
      <c r="E163" s="4" t="s">
        <v>781</v>
      </c>
      <c r="F163" s="53"/>
      <c r="G163" s="27">
        <f>G164+G165</f>
        <v>455361.5</v>
      </c>
      <c r="H163" s="56">
        <f>H164+H165</f>
        <v>293062.2</v>
      </c>
      <c r="I163" s="130">
        <f t="shared" si="9"/>
        <v>0.64358141827976234</v>
      </c>
      <c r="J163" s="24"/>
      <c r="K163" s="24"/>
    </row>
    <row r="164" spans="1:11" s="12" customFormat="1" ht="108.55" x14ac:dyDescent="0.3">
      <c r="A164" s="3" t="s">
        <v>389</v>
      </c>
      <c r="B164" s="4" t="s">
        <v>9</v>
      </c>
      <c r="C164" s="4" t="s">
        <v>683</v>
      </c>
      <c r="D164" s="4" t="s">
        <v>460</v>
      </c>
      <c r="E164" s="4" t="s">
        <v>781</v>
      </c>
      <c r="F164" s="53">
        <v>100</v>
      </c>
      <c r="G164" s="27">
        <f>249357</f>
        <v>249357</v>
      </c>
      <c r="H164" s="56">
        <v>169842.2</v>
      </c>
      <c r="I164" s="130">
        <f t="shared" si="9"/>
        <v>0.681120642291975</v>
      </c>
      <c r="J164" s="24"/>
      <c r="K164" s="24"/>
    </row>
    <row r="165" spans="1:11" s="12" customFormat="1" ht="46.55" x14ac:dyDescent="0.3">
      <c r="A165" s="3" t="s">
        <v>543</v>
      </c>
      <c r="B165" s="4" t="s">
        <v>9</v>
      </c>
      <c r="C165" s="4" t="s">
        <v>683</v>
      </c>
      <c r="D165" s="4" t="s">
        <v>460</v>
      </c>
      <c r="E165" s="4" t="s">
        <v>781</v>
      </c>
      <c r="F165" s="53">
        <v>200</v>
      </c>
      <c r="G165" s="27">
        <f>332283-126278.5</f>
        <v>206004.5</v>
      </c>
      <c r="H165" s="56">
        <v>123220</v>
      </c>
      <c r="I165" s="130">
        <f t="shared" si="9"/>
        <v>0.59814227359111083</v>
      </c>
      <c r="J165" s="24"/>
      <c r="K165" s="24"/>
    </row>
    <row r="166" spans="1:11" x14ac:dyDescent="0.3">
      <c r="A166" s="1" t="s">
        <v>49</v>
      </c>
      <c r="B166" s="2" t="s">
        <v>9</v>
      </c>
      <c r="C166" s="2" t="s">
        <v>683</v>
      </c>
      <c r="D166" s="2" t="s">
        <v>460</v>
      </c>
      <c r="E166" s="2" t="s">
        <v>575</v>
      </c>
      <c r="F166" s="2"/>
      <c r="G166" s="31">
        <f>G169+G171+G167</f>
        <v>1033069.2</v>
      </c>
      <c r="H166" s="57">
        <f>H169+H171+H167</f>
        <v>1033069.2</v>
      </c>
      <c r="I166" s="129">
        <f t="shared" si="9"/>
        <v>1</v>
      </c>
    </row>
    <row r="167" spans="1:11" s="12" customFormat="1" ht="46.55" x14ac:dyDescent="0.3">
      <c r="A167" s="3" t="s">
        <v>596</v>
      </c>
      <c r="B167" s="4" t="s">
        <v>9</v>
      </c>
      <c r="C167" s="4" t="s">
        <v>683</v>
      </c>
      <c r="D167" s="4" t="s">
        <v>460</v>
      </c>
      <c r="E167" s="4" t="s">
        <v>801</v>
      </c>
      <c r="F167" s="4"/>
      <c r="G167" s="27">
        <f>G168</f>
        <v>369269</v>
      </c>
      <c r="H167" s="56">
        <f>H168</f>
        <v>369269</v>
      </c>
      <c r="I167" s="130">
        <f t="shared" si="9"/>
        <v>1</v>
      </c>
      <c r="J167" s="24"/>
      <c r="K167" s="24"/>
    </row>
    <row r="168" spans="1:11" s="12" customFormat="1" ht="46.55" x14ac:dyDescent="0.3">
      <c r="A168" s="3" t="s">
        <v>543</v>
      </c>
      <c r="B168" s="4" t="s">
        <v>9</v>
      </c>
      <c r="C168" s="4" t="s">
        <v>683</v>
      </c>
      <c r="D168" s="4" t="s">
        <v>460</v>
      </c>
      <c r="E168" s="4" t="s">
        <v>801</v>
      </c>
      <c r="F168" s="4" t="s">
        <v>463</v>
      </c>
      <c r="G168" s="27">
        <v>369269</v>
      </c>
      <c r="H168" s="56">
        <v>369269</v>
      </c>
      <c r="I168" s="130">
        <f>H168/G168</f>
        <v>1</v>
      </c>
      <c r="J168" s="24"/>
      <c r="K168" s="24"/>
    </row>
    <row r="169" spans="1:11" s="12" customFormat="1" ht="31.05" x14ac:dyDescent="0.3">
      <c r="A169" s="3" t="s">
        <v>587</v>
      </c>
      <c r="B169" s="4" t="s">
        <v>9</v>
      </c>
      <c r="C169" s="4" t="s">
        <v>683</v>
      </c>
      <c r="D169" s="4" t="s">
        <v>460</v>
      </c>
      <c r="E169" s="4" t="s">
        <v>525</v>
      </c>
      <c r="F169" s="4"/>
      <c r="G169" s="27">
        <f>G170</f>
        <v>481798</v>
      </c>
      <c r="H169" s="56">
        <f>H170</f>
        <v>481798</v>
      </c>
      <c r="I169" s="130">
        <f>H169/G169</f>
        <v>1</v>
      </c>
      <c r="J169" s="24"/>
      <c r="K169" s="24"/>
    </row>
    <row r="170" spans="1:11" s="12" customFormat="1" x14ac:dyDescent="0.3">
      <c r="A170" s="3" t="s">
        <v>732</v>
      </c>
      <c r="B170" s="4" t="s">
        <v>9</v>
      </c>
      <c r="C170" s="4" t="s">
        <v>683</v>
      </c>
      <c r="D170" s="4" t="s">
        <v>460</v>
      </c>
      <c r="E170" s="4" t="s">
        <v>525</v>
      </c>
      <c r="F170" s="53">
        <v>800</v>
      </c>
      <c r="G170" s="27">
        <f>438890+42908</f>
        <v>481798</v>
      </c>
      <c r="H170" s="56">
        <f>438890+42908</f>
        <v>481798</v>
      </c>
      <c r="I170" s="130">
        <f>H170/G170</f>
        <v>1</v>
      </c>
      <c r="J170" s="24"/>
      <c r="K170" s="24"/>
    </row>
    <row r="171" spans="1:11" s="12" customFormat="1" ht="31.05" x14ac:dyDescent="0.3">
      <c r="A171" s="3" t="s">
        <v>685</v>
      </c>
      <c r="B171" s="4" t="s">
        <v>9</v>
      </c>
      <c r="C171" s="4" t="s">
        <v>683</v>
      </c>
      <c r="D171" s="4" t="s">
        <v>460</v>
      </c>
      <c r="E171" s="4" t="s">
        <v>686</v>
      </c>
      <c r="F171" s="53"/>
      <c r="G171" s="27">
        <f>G172+G173</f>
        <v>182002.2</v>
      </c>
      <c r="H171" s="56">
        <f>H172+H173</f>
        <v>182002.2</v>
      </c>
      <c r="I171" s="130">
        <f t="shared" ref="I171:I199" si="10">H171/G171</f>
        <v>1</v>
      </c>
      <c r="J171" s="24"/>
      <c r="K171" s="24"/>
    </row>
    <row r="172" spans="1:11" s="12" customFormat="1" ht="46.55" x14ac:dyDescent="0.3">
      <c r="A172" s="3" t="s">
        <v>543</v>
      </c>
      <c r="B172" s="4" t="s">
        <v>9</v>
      </c>
      <c r="C172" s="4" t="s">
        <v>683</v>
      </c>
      <c r="D172" s="4" t="s">
        <v>460</v>
      </c>
      <c r="E172" s="4" t="s">
        <v>686</v>
      </c>
      <c r="F172" s="53">
        <v>200</v>
      </c>
      <c r="G172" s="27">
        <f>32501.65+467.71</f>
        <v>32969.360000000001</v>
      </c>
      <c r="H172" s="56">
        <f>32501.65+467.71</f>
        <v>32969.360000000001</v>
      </c>
      <c r="I172" s="130">
        <f t="shared" si="10"/>
        <v>1</v>
      </c>
      <c r="J172" s="24"/>
      <c r="K172" s="24"/>
    </row>
    <row r="173" spans="1:11" s="12" customFormat="1" x14ac:dyDescent="0.3">
      <c r="A173" s="3" t="s">
        <v>732</v>
      </c>
      <c r="B173" s="4" t="s">
        <v>9</v>
      </c>
      <c r="C173" s="4" t="s">
        <v>683</v>
      </c>
      <c r="D173" s="4" t="s">
        <v>460</v>
      </c>
      <c r="E173" s="4" t="s">
        <v>686</v>
      </c>
      <c r="F173" s="53">
        <v>800</v>
      </c>
      <c r="G173" s="27">
        <f>47000+90000+32.84+12000</f>
        <v>149032.84</v>
      </c>
      <c r="H173" s="56">
        <f>47000+90000+32.84+12000</f>
        <v>149032.84</v>
      </c>
      <c r="I173" s="145">
        <f t="shared" si="10"/>
        <v>1</v>
      </c>
      <c r="J173" s="24"/>
      <c r="K173" s="24"/>
    </row>
    <row r="174" spans="1:11" s="12" customFormat="1" ht="51.55" x14ac:dyDescent="0.3">
      <c r="A174" s="10" t="s">
        <v>32</v>
      </c>
      <c r="B174" s="11" t="s">
        <v>9</v>
      </c>
      <c r="C174" s="11" t="s">
        <v>19</v>
      </c>
      <c r="D174" s="11"/>
      <c r="E174" s="11"/>
      <c r="F174" s="21"/>
      <c r="G174" s="26">
        <f>G176+G182</f>
        <v>37721279.499999993</v>
      </c>
      <c r="H174" s="137">
        <f>H176+H182</f>
        <v>37257045.039999999</v>
      </c>
      <c r="I174" s="129">
        <f t="shared" si="10"/>
        <v>0.98769303517395279</v>
      </c>
      <c r="J174" s="24"/>
      <c r="K174" s="24"/>
    </row>
    <row r="175" spans="1:11" s="12" customFormat="1" ht="17.2" x14ac:dyDescent="0.3">
      <c r="A175" s="8" t="s">
        <v>461</v>
      </c>
      <c r="B175" s="9" t="s">
        <v>9</v>
      </c>
      <c r="C175" s="9" t="s">
        <v>19</v>
      </c>
      <c r="D175" s="9" t="s">
        <v>22</v>
      </c>
      <c r="E175" s="9"/>
      <c r="F175" s="4"/>
      <c r="G175" s="31">
        <f t="shared" ref="G175:H178" si="11">G176</f>
        <v>1758900</v>
      </c>
      <c r="H175" s="57">
        <f t="shared" si="11"/>
        <v>1758896.11</v>
      </c>
      <c r="I175" s="129">
        <f t="shared" si="10"/>
        <v>0.99999778839047138</v>
      </c>
      <c r="J175" s="24"/>
      <c r="K175" s="24"/>
    </row>
    <row r="176" spans="1:11" ht="62.05" x14ac:dyDescent="0.3">
      <c r="A176" s="46" t="s">
        <v>62</v>
      </c>
      <c r="B176" s="2" t="s">
        <v>9</v>
      </c>
      <c r="C176" s="2" t="s">
        <v>19</v>
      </c>
      <c r="D176" s="2" t="s">
        <v>22</v>
      </c>
      <c r="E176" s="2" t="s">
        <v>547</v>
      </c>
      <c r="F176" s="2"/>
      <c r="G176" s="31">
        <f t="shared" si="11"/>
        <v>1758900</v>
      </c>
      <c r="H176" s="57">
        <f t="shared" si="11"/>
        <v>1758896.11</v>
      </c>
      <c r="I176" s="129">
        <f t="shared" si="10"/>
        <v>0.99999778839047138</v>
      </c>
    </row>
    <row r="177" spans="1:11" s="12" customFormat="1" ht="46.55" x14ac:dyDescent="0.3">
      <c r="A177" s="25" t="s">
        <v>54</v>
      </c>
      <c r="B177" s="4" t="s">
        <v>9</v>
      </c>
      <c r="C177" s="4" t="s">
        <v>19</v>
      </c>
      <c r="D177" s="4" t="s">
        <v>22</v>
      </c>
      <c r="E177" s="4" t="s">
        <v>559</v>
      </c>
      <c r="F177" s="4"/>
      <c r="G177" s="27">
        <f t="shared" si="11"/>
        <v>1758900</v>
      </c>
      <c r="H177" s="56">
        <f t="shared" si="11"/>
        <v>1758896.11</v>
      </c>
      <c r="I177" s="130">
        <f t="shared" si="10"/>
        <v>0.99999778839047138</v>
      </c>
      <c r="J177" s="24"/>
      <c r="K177" s="24"/>
    </row>
    <row r="178" spans="1:11" s="12" customFormat="1" ht="62.05" x14ac:dyDescent="0.3">
      <c r="A178" s="25" t="s">
        <v>362</v>
      </c>
      <c r="B178" s="4" t="s">
        <v>9</v>
      </c>
      <c r="C178" s="4" t="s">
        <v>19</v>
      </c>
      <c r="D178" s="4" t="s">
        <v>22</v>
      </c>
      <c r="E178" s="4" t="s">
        <v>363</v>
      </c>
      <c r="F178" s="4"/>
      <c r="G178" s="27">
        <f t="shared" si="11"/>
        <v>1758900</v>
      </c>
      <c r="H178" s="56">
        <f t="shared" si="11"/>
        <v>1758896.11</v>
      </c>
      <c r="I178" s="130">
        <f t="shared" si="10"/>
        <v>0.99999778839047138</v>
      </c>
      <c r="J178" s="24"/>
      <c r="K178" s="24"/>
    </row>
    <row r="179" spans="1:11" s="12" customFormat="1" ht="139.6" x14ac:dyDescent="0.3">
      <c r="A179" s="3" t="s">
        <v>364</v>
      </c>
      <c r="B179" s="4" t="s">
        <v>9</v>
      </c>
      <c r="C179" s="4" t="s">
        <v>19</v>
      </c>
      <c r="D179" s="4" t="s">
        <v>22</v>
      </c>
      <c r="E179" s="4" t="s">
        <v>365</v>
      </c>
      <c r="F179" s="4"/>
      <c r="G179" s="27">
        <f>G180+G181</f>
        <v>1758900</v>
      </c>
      <c r="H179" s="56">
        <f>H180+H181</f>
        <v>1758896.11</v>
      </c>
      <c r="I179" s="130">
        <f t="shared" si="10"/>
        <v>0.99999778839047138</v>
      </c>
      <c r="J179" s="24"/>
      <c r="K179" s="24"/>
    </row>
    <row r="180" spans="1:11" s="12" customFormat="1" ht="108.55" x14ac:dyDescent="0.3">
      <c r="A180" s="3" t="s">
        <v>50</v>
      </c>
      <c r="B180" s="4" t="s">
        <v>9</v>
      </c>
      <c r="C180" s="4" t="s">
        <v>19</v>
      </c>
      <c r="D180" s="4" t="s">
        <v>22</v>
      </c>
      <c r="E180" s="4" t="s">
        <v>365</v>
      </c>
      <c r="F180" s="4" t="s">
        <v>462</v>
      </c>
      <c r="G180" s="27">
        <f>1659283.14-89455.02-28448.22-29431.43</f>
        <v>1511948.47</v>
      </c>
      <c r="H180" s="56">
        <v>1511944.58</v>
      </c>
      <c r="I180" s="130">
        <f t="shared" si="10"/>
        <v>0.99999742716099316</v>
      </c>
      <c r="J180" s="24"/>
      <c r="K180" s="24"/>
    </row>
    <row r="181" spans="1:11" s="12" customFormat="1" ht="46.55" x14ac:dyDescent="0.3">
      <c r="A181" s="3" t="s">
        <v>543</v>
      </c>
      <c r="B181" s="4" t="s">
        <v>9</v>
      </c>
      <c r="C181" s="4" t="s">
        <v>19</v>
      </c>
      <c r="D181" s="4" t="s">
        <v>22</v>
      </c>
      <c r="E181" s="4" t="s">
        <v>365</v>
      </c>
      <c r="F181" s="4" t="s">
        <v>463</v>
      </c>
      <c r="G181" s="27">
        <f>99616.86+40475.29+106859.38</f>
        <v>246951.53</v>
      </c>
      <c r="H181" s="56">
        <v>246951.53</v>
      </c>
      <c r="I181" s="130">
        <f t="shared" si="10"/>
        <v>1</v>
      </c>
      <c r="J181" s="24"/>
      <c r="K181" s="24"/>
    </row>
    <row r="182" spans="1:11" s="12" customFormat="1" ht="85.85" x14ac:dyDescent="0.3">
      <c r="A182" s="8" t="s">
        <v>5</v>
      </c>
      <c r="B182" s="9" t="s">
        <v>9</v>
      </c>
      <c r="C182" s="9" t="s">
        <v>19</v>
      </c>
      <c r="D182" s="9" t="s">
        <v>18</v>
      </c>
      <c r="E182" s="9"/>
      <c r="F182" s="9"/>
      <c r="G182" s="34">
        <f>G183</f>
        <v>35962379.499999993</v>
      </c>
      <c r="H182" s="136">
        <f>H183</f>
        <v>35498148.93</v>
      </c>
      <c r="I182" s="129">
        <f t="shared" si="10"/>
        <v>0.98709121653087517</v>
      </c>
      <c r="J182" s="24"/>
      <c r="K182" s="24"/>
    </row>
    <row r="183" spans="1:11" ht="77.55" x14ac:dyDescent="0.3">
      <c r="A183" s="1" t="s">
        <v>66</v>
      </c>
      <c r="B183" s="2" t="s">
        <v>9</v>
      </c>
      <c r="C183" s="2" t="s">
        <v>19</v>
      </c>
      <c r="D183" s="2" t="s">
        <v>18</v>
      </c>
      <c r="E183" s="2" t="s">
        <v>487</v>
      </c>
      <c r="F183" s="2"/>
      <c r="G183" s="31">
        <f>G184</f>
        <v>35962379.499999993</v>
      </c>
      <c r="H183" s="57">
        <f>H184</f>
        <v>35498148.93</v>
      </c>
      <c r="I183" s="129">
        <f t="shared" si="10"/>
        <v>0.98709121653087517</v>
      </c>
    </row>
    <row r="184" spans="1:11" s="12" customFormat="1" ht="77.55" x14ac:dyDescent="0.3">
      <c r="A184" s="3" t="s">
        <v>90</v>
      </c>
      <c r="B184" s="4" t="s">
        <v>9</v>
      </c>
      <c r="C184" s="4" t="s">
        <v>19</v>
      </c>
      <c r="D184" s="4" t="s">
        <v>18</v>
      </c>
      <c r="E184" s="4" t="s">
        <v>366</v>
      </c>
      <c r="F184" s="4"/>
      <c r="G184" s="27">
        <f>G185+G188+G195</f>
        <v>35962379.499999993</v>
      </c>
      <c r="H184" s="56">
        <f>H185+H188+H195</f>
        <v>35498148.93</v>
      </c>
      <c r="I184" s="130">
        <f t="shared" si="10"/>
        <v>0.98709121653087517</v>
      </c>
      <c r="J184" s="24"/>
      <c r="K184" s="24"/>
    </row>
    <row r="185" spans="1:11" s="12" customFormat="1" ht="62.05" x14ac:dyDescent="0.3">
      <c r="A185" s="3" t="s">
        <v>367</v>
      </c>
      <c r="B185" s="4" t="s">
        <v>9</v>
      </c>
      <c r="C185" s="4" t="s">
        <v>19</v>
      </c>
      <c r="D185" s="4" t="s">
        <v>18</v>
      </c>
      <c r="E185" s="4" t="s">
        <v>67</v>
      </c>
      <c r="F185" s="4"/>
      <c r="G185" s="27">
        <f>G186</f>
        <v>190060.79999999999</v>
      </c>
      <c r="H185" s="56">
        <f>H186</f>
        <v>186122.8</v>
      </c>
      <c r="I185" s="130">
        <f t="shared" si="10"/>
        <v>0.97928031450988318</v>
      </c>
      <c r="J185" s="24"/>
      <c r="K185" s="24"/>
    </row>
    <row r="186" spans="1:11" s="12" customFormat="1" ht="31.05" x14ac:dyDescent="0.3">
      <c r="A186" s="3" t="s">
        <v>393</v>
      </c>
      <c r="B186" s="4" t="s">
        <v>9</v>
      </c>
      <c r="C186" s="4" t="s">
        <v>19</v>
      </c>
      <c r="D186" s="4" t="s">
        <v>18</v>
      </c>
      <c r="E186" s="4" t="s">
        <v>68</v>
      </c>
      <c r="F186" s="4"/>
      <c r="G186" s="27">
        <f>G187</f>
        <v>190060.79999999999</v>
      </c>
      <c r="H186" s="56">
        <f>H187</f>
        <v>186122.8</v>
      </c>
      <c r="I186" s="130">
        <f t="shared" si="10"/>
        <v>0.97928031450988318</v>
      </c>
      <c r="J186" s="24"/>
      <c r="K186" s="24"/>
    </row>
    <row r="187" spans="1:11" s="12" customFormat="1" ht="46.55" x14ac:dyDescent="0.3">
      <c r="A187" s="3" t="s">
        <v>543</v>
      </c>
      <c r="B187" s="4" t="s">
        <v>9</v>
      </c>
      <c r="C187" s="4" t="s">
        <v>19</v>
      </c>
      <c r="D187" s="4" t="s">
        <v>18</v>
      </c>
      <c r="E187" s="4" t="s">
        <v>68</v>
      </c>
      <c r="F187" s="4" t="s">
        <v>463</v>
      </c>
      <c r="G187" s="27">
        <v>190060.79999999999</v>
      </c>
      <c r="H187" s="56">
        <v>186122.8</v>
      </c>
      <c r="I187" s="130">
        <f t="shared" si="10"/>
        <v>0.97928031450988318</v>
      </c>
      <c r="J187" s="24"/>
      <c r="K187" s="24"/>
    </row>
    <row r="188" spans="1:11" s="12" customFormat="1" ht="62.05" x14ac:dyDescent="0.3">
      <c r="A188" s="3" t="s">
        <v>69</v>
      </c>
      <c r="B188" s="4" t="s">
        <v>9</v>
      </c>
      <c r="C188" s="4" t="s">
        <v>19</v>
      </c>
      <c r="D188" s="4" t="s">
        <v>18</v>
      </c>
      <c r="E188" s="4" t="s">
        <v>70</v>
      </c>
      <c r="F188" s="4"/>
      <c r="G188" s="27">
        <f>G189+G193</f>
        <v>34631972.459999993</v>
      </c>
      <c r="H188" s="56">
        <f>H189+H193</f>
        <v>34172643.170000002</v>
      </c>
      <c r="I188" s="130">
        <f t="shared" si="10"/>
        <v>0.98673684294099862</v>
      </c>
      <c r="J188" s="24"/>
      <c r="K188" s="24"/>
    </row>
    <row r="189" spans="1:11" s="12" customFormat="1" ht="93.05" x14ac:dyDescent="0.3">
      <c r="A189" s="3" t="s">
        <v>589</v>
      </c>
      <c r="B189" s="4" t="s">
        <v>9</v>
      </c>
      <c r="C189" s="4" t="s">
        <v>19</v>
      </c>
      <c r="D189" s="4" t="s">
        <v>18</v>
      </c>
      <c r="E189" s="4" t="s">
        <v>57</v>
      </c>
      <c r="F189" s="4"/>
      <c r="G189" s="27">
        <f>G190+G191+G192</f>
        <v>34133462.459999993</v>
      </c>
      <c r="H189" s="56">
        <f>H190+H191+H192</f>
        <v>33744759.82</v>
      </c>
      <c r="I189" s="130">
        <f t="shared" si="10"/>
        <v>0.9886122704236201</v>
      </c>
      <c r="J189" s="24"/>
      <c r="K189" s="24"/>
    </row>
    <row r="190" spans="1:11" s="12" customFormat="1" ht="108.55" x14ac:dyDescent="0.3">
      <c r="A190" s="3" t="s">
        <v>50</v>
      </c>
      <c r="B190" s="4" t="s">
        <v>9</v>
      </c>
      <c r="C190" s="4" t="s">
        <v>19</v>
      </c>
      <c r="D190" s="4" t="s">
        <v>18</v>
      </c>
      <c r="E190" s="4" t="s">
        <v>57</v>
      </c>
      <c r="F190" s="4" t="s">
        <v>462</v>
      </c>
      <c r="G190" s="27">
        <f>29047439.5+395552-100000-90000</f>
        <v>29252991.5</v>
      </c>
      <c r="H190" s="56">
        <v>29211418.789999999</v>
      </c>
      <c r="I190" s="130">
        <f t="shared" si="10"/>
        <v>0.99857885611459596</v>
      </c>
      <c r="J190" s="24"/>
      <c r="K190" s="24"/>
    </row>
    <row r="191" spans="1:11" s="12" customFormat="1" ht="46.55" x14ac:dyDescent="0.3">
      <c r="A191" s="3" t="s">
        <v>543</v>
      </c>
      <c r="B191" s="4" t="s">
        <v>9</v>
      </c>
      <c r="C191" s="4" t="s">
        <v>19</v>
      </c>
      <c r="D191" s="4" t="s">
        <v>18</v>
      </c>
      <c r="E191" s="4" t="s">
        <v>57</v>
      </c>
      <c r="F191" s="4" t="s">
        <v>463</v>
      </c>
      <c r="G191" s="27">
        <f>1301907.57+209407.68+3665291.28-200290.18+45970.38-3603.72-73386-240872.35</f>
        <v>4704424.66</v>
      </c>
      <c r="H191" s="56">
        <v>4358473.03</v>
      </c>
      <c r="I191" s="130">
        <f t="shared" si="10"/>
        <v>0.92646249966728134</v>
      </c>
      <c r="J191" s="24"/>
      <c r="K191" s="24"/>
    </row>
    <row r="192" spans="1:11" s="12" customFormat="1" x14ac:dyDescent="0.3">
      <c r="A192" s="3" t="s">
        <v>732</v>
      </c>
      <c r="B192" s="4" t="s">
        <v>9</v>
      </c>
      <c r="C192" s="4" t="s">
        <v>19</v>
      </c>
      <c r="D192" s="4" t="s">
        <v>18</v>
      </c>
      <c r="E192" s="4" t="s">
        <v>57</v>
      </c>
      <c r="F192" s="4" t="s">
        <v>466</v>
      </c>
      <c r="G192" s="27">
        <f>21726.5+141679+12640.8</f>
        <v>176046.3</v>
      </c>
      <c r="H192" s="56">
        <v>174868</v>
      </c>
      <c r="I192" s="130">
        <f t="shared" si="10"/>
        <v>0.99330687438474996</v>
      </c>
      <c r="J192" s="24"/>
      <c r="K192" s="24"/>
    </row>
    <row r="193" spans="1:11" s="12" customFormat="1" ht="93.05" x14ac:dyDescent="0.3">
      <c r="A193" s="3" t="s">
        <v>448</v>
      </c>
      <c r="B193" s="4" t="s">
        <v>9</v>
      </c>
      <c r="C193" s="4" t="s">
        <v>19</v>
      </c>
      <c r="D193" s="4" t="s">
        <v>18</v>
      </c>
      <c r="E193" s="4" t="s">
        <v>71</v>
      </c>
      <c r="F193" s="4"/>
      <c r="G193" s="27">
        <f>G194</f>
        <v>498510</v>
      </c>
      <c r="H193" s="56">
        <f>H194</f>
        <v>427883.35</v>
      </c>
      <c r="I193" s="130">
        <f t="shared" si="10"/>
        <v>0.8583245070309522</v>
      </c>
      <c r="J193" s="24"/>
      <c r="K193" s="24"/>
    </row>
    <row r="194" spans="1:11" s="12" customFormat="1" ht="108.55" x14ac:dyDescent="0.3">
      <c r="A194" s="3" t="s">
        <v>389</v>
      </c>
      <c r="B194" s="4" t="s">
        <v>9</v>
      </c>
      <c r="C194" s="4" t="s">
        <v>19</v>
      </c>
      <c r="D194" s="4" t="s">
        <v>18</v>
      </c>
      <c r="E194" s="4" t="s">
        <v>71</v>
      </c>
      <c r="F194" s="4" t="s">
        <v>462</v>
      </c>
      <c r="G194" s="27">
        <f>688510-100000-90000</f>
        <v>498510</v>
      </c>
      <c r="H194" s="56">
        <v>427883.35</v>
      </c>
      <c r="I194" s="130">
        <f t="shared" si="10"/>
        <v>0.8583245070309522</v>
      </c>
      <c r="J194" s="24"/>
      <c r="K194" s="24"/>
    </row>
    <row r="195" spans="1:11" s="12" customFormat="1" ht="31.05" x14ac:dyDescent="0.3">
      <c r="A195" s="3" t="s">
        <v>72</v>
      </c>
      <c r="B195" s="4" t="s">
        <v>9</v>
      </c>
      <c r="C195" s="4" t="s">
        <v>19</v>
      </c>
      <c r="D195" s="4" t="s">
        <v>18</v>
      </c>
      <c r="E195" s="4" t="s">
        <v>73</v>
      </c>
      <c r="F195" s="4"/>
      <c r="G195" s="27">
        <f>G196</f>
        <v>1140346.24</v>
      </c>
      <c r="H195" s="56">
        <f>H196</f>
        <v>1139382.96</v>
      </c>
      <c r="I195" s="130">
        <f t="shared" si="10"/>
        <v>0.99915527410341609</v>
      </c>
      <c r="J195" s="24"/>
      <c r="K195" s="24"/>
    </row>
    <row r="196" spans="1:11" s="12" customFormat="1" ht="31.05" x14ac:dyDescent="0.3">
      <c r="A196" s="3" t="s">
        <v>393</v>
      </c>
      <c r="B196" s="4" t="s">
        <v>9</v>
      </c>
      <c r="C196" s="4" t="s">
        <v>19</v>
      </c>
      <c r="D196" s="4" t="s">
        <v>18</v>
      </c>
      <c r="E196" s="4" t="s">
        <v>74</v>
      </c>
      <c r="F196" s="4"/>
      <c r="G196" s="27">
        <f>G197</f>
        <v>1140346.24</v>
      </c>
      <c r="H196" s="56">
        <f>H197</f>
        <v>1139382.96</v>
      </c>
      <c r="I196" s="130">
        <f t="shared" si="10"/>
        <v>0.99915527410341609</v>
      </c>
      <c r="J196" s="24"/>
      <c r="K196" s="24"/>
    </row>
    <row r="197" spans="1:11" s="12" customFormat="1" ht="46.55" x14ac:dyDescent="0.3">
      <c r="A197" s="3" t="s">
        <v>543</v>
      </c>
      <c r="B197" s="4" t="s">
        <v>9</v>
      </c>
      <c r="C197" s="4" t="s">
        <v>19</v>
      </c>
      <c r="D197" s="4" t="s">
        <v>18</v>
      </c>
      <c r="E197" s="4" t="s">
        <v>74</v>
      </c>
      <c r="F197" s="4" t="s">
        <v>463</v>
      </c>
      <c r="G197" s="27">
        <f>393068.16+786608.51-39330.43</f>
        <v>1140346.24</v>
      </c>
      <c r="H197" s="134">
        <v>1139382.96</v>
      </c>
      <c r="I197" s="145">
        <f>H197/G197</f>
        <v>0.99915527410341609</v>
      </c>
      <c r="J197" s="24"/>
      <c r="K197" s="24"/>
    </row>
    <row r="198" spans="1:11" s="12" customFormat="1" ht="17.75" x14ac:dyDescent="0.3">
      <c r="A198" s="10" t="s">
        <v>33</v>
      </c>
      <c r="B198" s="11" t="s">
        <v>9</v>
      </c>
      <c r="C198" s="11" t="s">
        <v>22</v>
      </c>
      <c r="D198" s="50"/>
      <c r="E198" s="21"/>
      <c r="F198" s="21"/>
      <c r="G198" s="26">
        <f>G199+G214+G258</f>
        <v>42224117.879999995</v>
      </c>
      <c r="H198" s="57">
        <f>H199+H214+H258</f>
        <v>33844386.359999999</v>
      </c>
      <c r="I198" s="131">
        <f t="shared" si="10"/>
        <v>0.80154158474512105</v>
      </c>
      <c r="J198" s="24"/>
      <c r="K198" s="24"/>
    </row>
    <row r="199" spans="1:11" s="12" customFormat="1" x14ac:dyDescent="0.3">
      <c r="A199" s="19" t="s">
        <v>34</v>
      </c>
      <c r="B199" s="2" t="s">
        <v>9</v>
      </c>
      <c r="C199" s="2" t="s">
        <v>22</v>
      </c>
      <c r="D199" s="2" t="s">
        <v>16</v>
      </c>
      <c r="E199" s="4"/>
      <c r="F199" s="4"/>
      <c r="G199" s="31">
        <f>G200</f>
        <v>29228832</v>
      </c>
      <c r="H199" s="57">
        <f>H200</f>
        <v>21095353.960000001</v>
      </c>
      <c r="I199" s="129">
        <f t="shared" si="10"/>
        <v>0.721730993561426</v>
      </c>
      <c r="J199" s="24"/>
      <c r="K199" s="24"/>
    </row>
    <row r="200" spans="1:11" ht="77.55" x14ac:dyDescent="0.3">
      <c r="A200" s="1" t="s">
        <v>727</v>
      </c>
      <c r="B200" s="2" t="s">
        <v>9</v>
      </c>
      <c r="C200" s="2" t="s">
        <v>22</v>
      </c>
      <c r="D200" s="2" t="s">
        <v>16</v>
      </c>
      <c r="E200" s="2" t="s">
        <v>709</v>
      </c>
      <c r="F200" s="2"/>
      <c r="G200" s="31">
        <f>G201</f>
        <v>29228832</v>
      </c>
      <c r="H200" s="57">
        <f>H201</f>
        <v>21095353.960000001</v>
      </c>
      <c r="I200" s="129">
        <f>H200/G200</f>
        <v>0.721730993561426</v>
      </c>
    </row>
    <row r="201" spans="1:11" s="12" customFormat="1" ht="46.55" x14ac:dyDescent="0.3">
      <c r="A201" s="3" t="s">
        <v>1</v>
      </c>
      <c r="B201" s="4" t="s">
        <v>9</v>
      </c>
      <c r="C201" s="4" t="s">
        <v>22</v>
      </c>
      <c r="D201" s="4" t="s">
        <v>16</v>
      </c>
      <c r="E201" s="4" t="s">
        <v>710</v>
      </c>
      <c r="F201" s="4"/>
      <c r="G201" s="27">
        <f>G202+G208+G211+G205</f>
        <v>29228832</v>
      </c>
      <c r="H201" s="56">
        <f>H202+H208+H211+H205</f>
        <v>21095353.960000001</v>
      </c>
      <c r="I201" s="130">
        <f>H201/G201</f>
        <v>0.721730993561426</v>
      </c>
      <c r="J201" s="24"/>
      <c r="K201" s="24"/>
    </row>
    <row r="202" spans="1:11" s="12" customFormat="1" ht="93.05" x14ac:dyDescent="0.3">
      <c r="A202" s="3" t="s">
        <v>711</v>
      </c>
      <c r="B202" s="4" t="s">
        <v>9</v>
      </c>
      <c r="C202" s="4" t="s">
        <v>22</v>
      </c>
      <c r="D202" s="4" t="s">
        <v>16</v>
      </c>
      <c r="E202" s="4" t="s">
        <v>712</v>
      </c>
      <c r="F202" s="4"/>
      <c r="G202" s="27">
        <f>G203</f>
        <v>20256732</v>
      </c>
      <c r="H202" s="56">
        <f>H203</f>
        <v>20152719.16</v>
      </c>
      <c r="I202" s="130">
        <f t="shared" ref="I202:I206" si="12">H202/G202</f>
        <v>0.99486527046909645</v>
      </c>
      <c r="J202" s="24"/>
      <c r="K202" s="24"/>
    </row>
    <row r="203" spans="1:11" s="12" customFormat="1" ht="62.05" x14ac:dyDescent="0.3">
      <c r="A203" s="3" t="s">
        <v>594</v>
      </c>
      <c r="B203" s="4" t="s">
        <v>9</v>
      </c>
      <c r="C203" s="4" t="s">
        <v>22</v>
      </c>
      <c r="D203" s="4" t="s">
        <v>16</v>
      </c>
      <c r="E203" s="4" t="s">
        <v>713</v>
      </c>
      <c r="F203" s="4"/>
      <c r="G203" s="27">
        <f>G204</f>
        <v>20256732</v>
      </c>
      <c r="H203" s="56">
        <f>H204</f>
        <v>20152719.16</v>
      </c>
      <c r="I203" s="130">
        <f t="shared" si="12"/>
        <v>0.99486527046909645</v>
      </c>
      <c r="J203" s="24"/>
      <c r="K203" s="24"/>
    </row>
    <row r="204" spans="1:11" s="12" customFormat="1" x14ac:dyDescent="0.3">
      <c r="A204" s="3" t="s">
        <v>732</v>
      </c>
      <c r="B204" s="4" t="s">
        <v>9</v>
      </c>
      <c r="C204" s="4" t="s">
        <v>22</v>
      </c>
      <c r="D204" s="4" t="s">
        <v>16</v>
      </c>
      <c r="E204" s="4" t="s">
        <v>713</v>
      </c>
      <c r="F204" s="4" t="s">
        <v>466</v>
      </c>
      <c r="G204" s="27">
        <f>29450504-890125-8000000-30000-273647</f>
        <v>20256732</v>
      </c>
      <c r="H204" s="56">
        <v>20152719.16</v>
      </c>
      <c r="I204" s="130">
        <f t="shared" si="12"/>
        <v>0.99486527046909645</v>
      </c>
      <c r="J204" s="24"/>
      <c r="K204" s="24"/>
    </row>
    <row r="205" spans="1:11" s="12" customFormat="1" ht="46.55" x14ac:dyDescent="0.3">
      <c r="A205" s="3" t="s">
        <v>849</v>
      </c>
      <c r="B205" s="4" t="s">
        <v>9</v>
      </c>
      <c r="C205" s="4" t="s">
        <v>22</v>
      </c>
      <c r="D205" s="4" t="s">
        <v>16</v>
      </c>
      <c r="E205" s="4" t="s">
        <v>850</v>
      </c>
      <c r="F205" s="4"/>
      <c r="G205" s="27">
        <f>G206</f>
        <v>30000</v>
      </c>
      <c r="H205" s="56">
        <f>H206</f>
        <v>30000</v>
      </c>
      <c r="I205" s="130">
        <f t="shared" si="12"/>
        <v>1</v>
      </c>
      <c r="J205" s="24"/>
      <c r="K205" s="24"/>
    </row>
    <row r="206" spans="1:11" s="12" customFormat="1" ht="31.05" x14ac:dyDescent="0.3">
      <c r="A206" s="3" t="s">
        <v>393</v>
      </c>
      <c r="B206" s="4" t="s">
        <v>9</v>
      </c>
      <c r="C206" s="4" t="s">
        <v>22</v>
      </c>
      <c r="D206" s="4" t="s">
        <v>16</v>
      </c>
      <c r="E206" s="4" t="s">
        <v>851</v>
      </c>
      <c r="F206" s="4"/>
      <c r="G206" s="27">
        <f>G207</f>
        <v>30000</v>
      </c>
      <c r="H206" s="56">
        <f>H207</f>
        <v>30000</v>
      </c>
      <c r="I206" s="130">
        <f t="shared" si="12"/>
        <v>1</v>
      </c>
      <c r="J206" s="24"/>
      <c r="K206" s="24"/>
    </row>
    <row r="207" spans="1:11" s="12" customFormat="1" ht="46.55" x14ac:dyDescent="0.3">
      <c r="A207" s="3" t="s">
        <v>543</v>
      </c>
      <c r="B207" s="4" t="s">
        <v>9</v>
      </c>
      <c r="C207" s="4" t="s">
        <v>22</v>
      </c>
      <c r="D207" s="4" t="s">
        <v>16</v>
      </c>
      <c r="E207" s="4" t="s">
        <v>851</v>
      </c>
      <c r="F207" s="4" t="s">
        <v>463</v>
      </c>
      <c r="G207" s="27">
        <f>30000</f>
        <v>30000</v>
      </c>
      <c r="H207" s="56">
        <f>30000</f>
        <v>30000</v>
      </c>
      <c r="I207" s="130">
        <f t="shared" ref="I207:I225" si="13">H207/G207</f>
        <v>1</v>
      </c>
      <c r="J207" s="24"/>
      <c r="K207" s="24"/>
    </row>
    <row r="208" spans="1:11" s="12" customFormat="1" ht="108.55" x14ac:dyDescent="0.3">
      <c r="A208" s="3" t="s">
        <v>714</v>
      </c>
      <c r="B208" s="4" t="s">
        <v>9</v>
      </c>
      <c r="C208" s="4" t="s">
        <v>22</v>
      </c>
      <c r="D208" s="4" t="s">
        <v>16</v>
      </c>
      <c r="E208" s="4" t="s">
        <v>715</v>
      </c>
      <c r="F208" s="4"/>
      <c r="G208" s="27">
        <f>G209</f>
        <v>942100</v>
      </c>
      <c r="H208" s="56">
        <f>H209</f>
        <v>912634.8</v>
      </c>
      <c r="I208" s="130">
        <f t="shared" si="13"/>
        <v>0.96872391465874119</v>
      </c>
      <c r="J208" s="24"/>
      <c r="K208" s="24"/>
    </row>
    <row r="209" spans="1:11" s="12" customFormat="1" ht="155.1" x14ac:dyDescent="0.3">
      <c r="A209" s="3" t="s">
        <v>716</v>
      </c>
      <c r="B209" s="4" t="s">
        <v>9</v>
      </c>
      <c r="C209" s="4" t="s">
        <v>22</v>
      </c>
      <c r="D209" s="4" t="s">
        <v>16</v>
      </c>
      <c r="E209" s="4" t="s">
        <v>717</v>
      </c>
      <c r="F209" s="4"/>
      <c r="G209" s="27">
        <f>G210</f>
        <v>942100</v>
      </c>
      <c r="H209" s="56">
        <f>H210</f>
        <v>912634.8</v>
      </c>
      <c r="I209" s="130">
        <f t="shared" si="13"/>
        <v>0.96872391465874119</v>
      </c>
      <c r="J209" s="24"/>
      <c r="K209" s="24"/>
    </row>
    <row r="210" spans="1:11" s="12" customFormat="1" x14ac:dyDescent="0.3">
      <c r="A210" s="3" t="s">
        <v>732</v>
      </c>
      <c r="B210" s="4" t="s">
        <v>9</v>
      </c>
      <c r="C210" s="4" t="s">
        <v>22</v>
      </c>
      <c r="D210" s="4" t="s">
        <v>16</v>
      </c>
      <c r="E210" s="4" t="s">
        <v>717</v>
      </c>
      <c r="F210" s="4" t="s">
        <v>466</v>
      </c>
      <c r="G210" s="27">
        <v>942100</v>
      </c>
      <c r="H210" s="56">
        <v>912634.8</v>
      </c>
      <c r="I210" s="130">
        <f t="shared" si="13"/>
        <v>0.96872391465874119</v>
      </c>
      <c r="J210" s="24"/>
      <c r="K210" s="24"/>
    </row>
    <row r="211" spans="1:11" s="12" customFormat="1" x14ac:dyDescent="0.3">
      <c r="A211" s="3" t="s">
        <v>843</v>
      </c>
      <c r="B211" s="4" t="s">
        <v>9</v>
      </c>
      <c r="C211" s="4" t="s">
        <v>22</v>
      </c>
      <c r="D211" s="4" t="s">
        <v>16</v>
      </c>
      <c r="E211" s="4" t="s">
        <v>844</v>
      </c>
      <c r="F211" s="4"/>
      <c r="G211" s="27">
        <f>G212</f>
        <v>8000000</v>
      </c>
      <c r="H211" s="56">
        <f>H212</f>
        <v>0</v>
      </c>
      <c r="I211" s="130">
        <f t="shared" si="13"/>
        <v>0</v>
      </c>
      <c r="J211" s="24"/>
      <c r="K211" s="24"/>
    </row>
    <row r="212" spans="1:11" s="12" customFormat="1" ht="31.05" x14ac:dyDescent="0.3">
      <c r="A212" s="3" t="s">
        <v>393</v>
      </c>
      <c r="B212" s="4" t="s">
        <v>9</v>
      </c>
      <c r="C212" s="4" t="s">
        <v>22</v>
      </c>
      <c r="D212" s="4" t="s">
        <v>16</v>
      </c>
      <c r="E212" s="4" t="s">
        <v>845</v>
      </c>
      <c r="F212" s="4"/>
      <c r="G212" s="27">
        <f>G213</f>
        <v>8000000</v>
      </c>
      <c r="H212" s="56">
        <f>H213</f>
        <v>0</v>
      </c>
      <c r="I212" s="130">
        <f t="shared" si="13"/>
        <v>0</v>
      </c>
      <c r="J212" s="24"/>
      <c r="K212" s="24"/>
    </row>
    <row r="213" spans="1:11" s="12" customFormat="1" ht="46.55" x14ac:dyDescent="0.3">
      <c r="A213" s="3" t="s">
        <v>543</v>
      </c>
      <c r="B213" s="4" t="s">
        <v>9</v>
      </c>
      <c r="C213" s="4" t="s">
        <v>22</v>
      </c>
      <c r="D213" s="4" t="s">
        <v>16</v>
      </c>
      <c r="E213" s="4" t="s">
        <v>845</v>
      </c>
      <c r="F213" s="4" t="s">
        <v>463</v>
      </c>
      <c r="G213" s="27">
        <f>8000000</f>
        <v>8000000</v>
      </c>
      <c r="H213" s="56">
        <v>0</v>
      </c>
      <c r="I213" s="130">
        <f t="shared" si="13"/>
        <v>0</v>
      </c>
      <c r="J213" s="24"/>
      <c r="K213" s="24"/>
    </row>
    <row r="214" spans="1:11" s="12" customFormat="1" x14ac:dyDescent="0.3">
      <c r="A214" s="1" t="s">
        <v>456</v>
      </c>
      <c r="B214" s="2" t="s">
        <v>9</v>
      </c>
      <c r="C214" s="2" t="s">
        <v>22</v>
      </c>
      <c r="D214" s="2" t="s">
        <v>20</v>
      </c>
      <c r="E214" s="2"/>
      <c r="F214" s="2"/>
      <c r="G214" s="31">
        <f>G215</f>
        <v>12957085.879999999</v>
      </c>
      <c r="H214" s="57">
        <f>H215</f>
        <v>12722412.399999999</v>
      </c>
      <c r="I214" s="129">
        <f t="shared" si="13"/>
        <v>0.98188840591369142</v>
      </c>
      <c r="J214" s="24"/>
      <c r="K214" s="24"/>
    </row>
    <row r="215" spans="1:11" ht="46.55" x14ac:dyDescent="0.3">
      <c r="A215" s="1" t="s">
        <v>726</v>
      </c>
      <c r="B215" s="2" t="s">
        <v>9</v>
      </c>
      <c r="C215" s="2" t="s">
        <v>22</v>
      </c>
      <c r="D215" s="2" t="s">
        <v>20</v>
      </c>
      <c r="E215" s="2" t="s">
        <v>554</v>
      </c>
      <c r="F215" s="2"/>
      <c r="G215" s="31">
        <f>G216+G223</f>
        <v>12957085.879999999</v>
      </c>
      <c r="H215" s="57">
        <f>H216+H223</f>
        <v>12722412.399999999</v>
      </c>
      <c r="I215" s="129">
        <f t="shared" si="13"/>
        <v>0.98188840591369142</v>
      </c>
    </row>
    <row r="216" spans="1:11" s="12" customFormat="1" ht="62.05" x14ac:dyDescent="0.3">
      <c r="A216" s="3" t="s">
        <v>645</v>
      </c>
      <c r="B216" s="4" t="s">
        <v>9</v>
      </c>
      <c r="C216" s="4" t="s">
        <v>22</v>
      </c>
      <c r="D216" s="4" t="s">
        <v>20</v>
      </c>
      <c r="E216" s="4" t="s">
        <v>718</v>
      </c>
      <c r="F216" s="4"/>
      <c r="G216" s="27">
        <f>G217</f>
        <v>9899610.2299999986</v>
      </c>
      <c r="H216" s="56">
        <f>H217</f>
        <v>9848901.0599999987</v>
      </c>
      <c r="I216" s="130">
        <f t="shared" si="13"/>
        <v>0.99487765994601185</v>
      </c>
      <c r="J216" s="24"/>
      <c r="K216" s="24"/>
    </row>
    <row r="217" spans="1:11" s="12" customFormat="1" ht="108.55" x14ac:dyDescent="0.3">
      <c r="A217" s="3" t="s">
        <v>719</v>
      </c>
      <c r="B217" s="4" t="s">
        <v>9</v>
      </c>
      <c r="C217" s="4" t="s">
        <v>22</v>
      </c>
      <c r="D217" s="4" t="s">
        <v>20</v>
      </c>
      <c r="E217" s="4" t="s">
        <v>720</v>
      </c>
      <c r="F217" s="4"/>
      <c r="G217" s="27">
        <f>G218+G221</f>
        <v>9899610.2299999986</v>
      </c>
      <c r="H217" s="56">
        <f>H218+H221</f>
        <v>9848901.0599999987</v>
      </c>
      <c r="I217" s="130">
        <f t="shared" si="13"/>
        <v>0.99487765994601185</v>
      </c>
      <c r="J217" s="24"/>
      <c r="K217" s="24"/>
    </row>
    <row r="218" spans="1:11" s="12" customFormat="1" ht="93.05" x14ac:dyDescent="0.3">
      <c r="A218" s="3" t="s">
        <v>589</v>
      </c>
      <c r="B218" s="4" t="s">
        <v>9</v>
      </c>
      <c r="C218" s="4" t="s">
        <v>22</v>
      </c>
      <c r="D218" s="4" t="s">
        <v>20</v>
      </c>
      <c r="E218" s="4" t="s">
        <v>721</v>
      </c>
      <c r="F218" s="4"/>
      <c r="G218" s="27">
        <f>G219+G220</f>
        <v>9651937.6999999993</v>
      </c>
      <c r="H218" s="56">
        <f>H219+H220</f>
        <v>9626338.5299999993</v>
      </c>
      <c r="I218" s="130">
        <f t="shared" si="13"/>
        <v>0.99734776883195175</v>
      </c>
      <c r="J218" s="24"/>
      <c r="K218" s="24"/>
    </row>
    <row r="219" spans="1:11" s="12" customFormat="1" ht="108.55" x14ac:dyDescent="0.3">
      <c r="A219" s="3" t="s">
        <v>50</v>
      </c>
      <c r="B219" s="4" t="s">
        <v>9</v>
      </c>
      <c r="C219" s="4" t="s">
        <v>22</v>
      </c>
      <c r="D219" s="4" t="s">
        <v>20</v>
      </c>
      <c r="E219" s="4" t="s">
        <v>721</v>
      </c>
      <c r="F219" s="4" t="s">
        <v>462</v>
      </c>
      <c r="G219" s="27">
        <f>9660693.7+4404-26836-71023.1-19654</f>
        <v>9547584.5999999996</v>
      </c>
      <c r="H219" s="56">
        <v>9530863.8499999996</v>
      </c>
      <c r="I219" s="130">
        <f t="shared" si="13"/>
        <v>0.99824869318256682</v>
      </c>
      <c r="J219" s="24"/>
      <c r="K219" s="24"/>
    </row>
    <row r="220" spans="1:11" s="12" customFormat="1" ht="46.55" x14ac:dyDescent="0.3">
      <c r="A220" s="3" t="s">
        <v>543</v>
      </c>
      <c r="B220" s="4" t="s">
        <v>9</v>
      </c>
      <c r="C220" s="4" t="s">
        <v>22</v>
      </c>
      <c r="D220" s="4" t="s">
        <v>20</v>
      </c>
      <c r="E220" s="4" t="s">
        <v>721</v>
      </c>
      <c r="F220" s="4" t="s">
        <v>463</v>
      </c>
      <c r="G220" s="27">
        <f>37060+35704+26836+4753.1</f>
        <v>104353.1</v>
      </c>
      <c r="H220" s="56">
        <v>95474.68</v>
      </c>
      <c r="I220" s="130">
        <f t="shared" si="13"/>
        <v>0.91491944177987994</v>
      </c>
      <c r="J220" s="24"/>
      <c r="K220" s="24"/>
    </row>
    <row r="221" spans="1:11" s="12" customFormat="1" ht="93.05" x14ac:dyDescent="0.3">
      <c r="A221" s="3" t="s">
        <v>448</v>
      </c>
      <c r="B221" s="4" t="s">
        <v>9</v>
      </c>
      <c r="C221" s="4" t="s">
        <v>22</v>
      </c>
      <c r="D221" s="4" t="s">
        <v>20</v>
      </c>
      <c r="E221" s="4" t="s">
        <v>722</v>
      </c>
      <c r="F221" s="4"/>
      <c r="G221" s="27">
        <f>G222</f>
        <v>247672.53</v>
      </c>
      <c r="H221" s="56">
        <f>H222</f>
        <v>222562.53</v>
      </c>
      <c r="I221" s="130">
        <f t="shared" si="13"/>
        <v>0.89861612832073057</v>
      </c>
      <c r="J221" s="24"/>
      <c r="K221" s="24"/>
    </row>
    <row r="222" spans="1:11" s="12" customFormat="1" ht="108.55" x14ac:dyDescent="0.3">
      <c r="A222" s="3" t="s">
        <v>50</v>
      </c>
      <c r="B222" s="4" t="s">
        <v>9</v>
      </c>
      <c r="C222" s="4" t="s">
        <v>22</v>
      </c>
      <c r="D222" s="4" t="s">
        <v>20</v>
      </c>
      <c r="E222" s="4" t="s">
        <v>722</v>
      </c>
      <c r="F222" s="4" t="s">
        <v>462</v>
      </c>
      <c r="G222" s="27">
        <f>300000-52327.47</f>
        <v>247672.53</v>
      </c>
      <c r="H222" s="56">
        <v>222562.53</v>
      </c>
      <c r="I222" s="130">
        <f t="shared" si="13"/>
        <v>0.89861612832073057</v>
      </c>
      <c r="J222" s="24"/>
      <c r="K222" s="24"/>
    </row>
    <row r="223" spans="1:11" s="12" customFormat="1" ht="62.05" x14ac:dyDescent="0.3">
      <c r="A223" s="3" t="s">
        <v>52</v>
      </c>
      <c r="B223" s="4" t="s">
        <v>9</v>
      </c>
      <c r="C223" s="4" t="s">
        <v>22</v>
      </c>
      <c r="D223" s="4" t="s">
        <v>20</v>
      </c>
      <c r="E223" s="4" t="s">
        <v>555</v>
      </c>
      <c r="F223" s="4"/>
      <c r="G223" s="27">
        <f>G227+G231+G234+G244+G248+G251+G255+G241+G224</f>
        <v>3057475.65</v>
      </c>
      <c r="H223" s="56">
        <f>H227+H231+H234+H244+H248+H251+H255+H241+H224</f>
        <v>2873511.34</v>
      </c>
      <c r="I223" s="130">
        <f t="shared" si="13"/>
        <v>0.93983130822317418</v>
      </c>
      <c r="J223" s="24"/>
      <c r="K223" s="24"/>
    </row>
    <row r="224" spans="1:11" s="12" customFormat="1" ht="46.55" x14ac:dyDescent="0.3">
      <c r="A224" s="3" t="s">
        <v>556</v>
      </c>
      <c r="B224" s="4" t="s">
        <v>9</v>
      </c>
      <c r="C224" s="4" t="s">
        <v>22</v>
      </c>
      <c r="D224" s="4" t="s">
        <v>20</v>
      </c>
      <c r="E224" s="4" t="s">
        <v>557</v>
      </c>
      <c r="F224" s="4"/>
      <c r="G224" s="27">
        <f>G225</f>
        <v>118000</v>
      </c>
      <c r="H224" s="56">
        <f>H225</f>
        <v>118000</v>
      </c>
      <c r="I224" s="130">
        <f t="shared" si="13"/>
        <v>1</v>
      </c>
      <c r="J224" s="24"/>
      <c r="K224" s="24"/>
    </row>
    <row r="225" spans="1:11" s="12" customFormat="1" ht="31.05" x14ac:dyDescent="0.3">
      <c r="A225" s="3" t="s">
        <v>393</v>
      </c>
      <c r="B225" s="4" t="s">
        <v>9</v>
      </c>
      <c r="C225" s="4" t="s">
        <v>22</v>
      </c>
      <c r="D225" s="4" t="s">
        <v>20</v>
      </c>
      <c r="E225" s="4" t="s">
        <v>558</v>
      </c>
      <c r="F225" s="4"/>
      <c r="G225" s="27">
        <f>G226</f>
        <v>118000</v>
      </c>
      <c r="H225" s="56">
        <f>H226</f>
        <v>118000</v>
      </c>
      <c r="I225" s="130">
        <f t="shared" si="13"/>
        <v>1</v>
      </c>
      <c r="J225" s="24"/>
      <c r="K225" s="24"/>
    </row>
    <row r="226" spans="1:11" s="12" customFormat="1" ht="46.55" x14ac:dyDescent="0.3">
      <c r="A226" s="3" t="s">
        <v>543</v>
      </c>
      <c r="B226" s="4" t="s">
        <v>9</v>
      </c>
      <c r="C226" s="4" t="s">
        <v>22</v>
      </c>
      <c r="D226" s="4" t="s">
        <v>20</v>
      </c>
      <c r="E226" s="4" t="s">
        <v>558</v>
      </c>
      <c r="F226" s="4" t="s">
        <v>463</v>
      </c>
      <c r="G226" s="27">
        <f>120000-2000</f>
        <v>118000</v>
      </c>
      <c r="H226" s="56">
        <f>120000-2000</f>
        <v>118000</v>
      </c>
      <c r="I226" s="130">
        <f>H226/G226</f>
        <v>1</v>
      </c>
      <c r="J226" s="24"/>
      <c r="K226" s="24"/>
    </row>
    <row r="227" spans="1:11" s="12" customFormat="1" ht="31.05" x14ac:dyDescent="0.3">
      <c r="A227" s="3" t="s">
        <v>723</v>
      </c>
      <c r="B227" s="4" t="s">
        <v>9</v>
      </c>
      <c r="C227" s="4" t="s">
        <v>22</v>
      </c>
      <c r="D227" s="4" t="s">
        <v>20</v>
      </c>
      <c r="E227" s="4" t="s">
        <v>724</v>
      </c>
      <c r="F227" s="4"/>
      <c r="G227" s="27">
        <f>G228</f>
        <v>624685.79999999993</v>
      </c>
      <c r="H227" s="56">
        <f>H228</f>
        <v>613670.42999999993</v>
      </c>
      <c r="I227" s="130">
        <f t="shared" ref="I227:I232" si="14">H227/G227</f>
        <v>0.98236654330865214</v>
      </c>
      <c r="J227" s="24"/>
      <c r="K227" s="24"/>
    </row>
    <row r="228" spans="1:11" s="12" customFormat="1" ht="31.05" x14ac:dyDescent="0.3">
      <c r="A228" s="3" t="s">
        <v>393</v>
      </c>
      <c r="B228" s="4" t="s">
        <v>9</v>
      </c>
      <c r="C228" s="4" t="s">
        <v>22</v>
      </c>
      <c r="D228" s="4" t="s">
        <v>20</v>
      </c>
      <c r="E228" s="4" t="s">
        <v>725</v>
      </c>
      <c r="F228" s="4"/>
      <c r="G228" s="27">
        <f>G229+G230</f>
        <v>624685.79999999993</v>
      </c>
      <c r="H228" s="56">
        <f>H229+H230</f>
        <v>613670.42999999993</v>
      </c>
      <c r="I228" s="130">
        <f t="shared" si="14"/>
        <v>0.98236654330865214</v>
      </c>
      <c r="J228" s="24"/>
      <c r="K228" s="24"/>
    </row>
    <row r="229" spans="1:11" s="12" customFormat="1" ht="46.55" x14ac:dyDescent="0.3">
      <c r="A229" s="3" t="s">
        <v>543</v>
      </c>
      <c r="B229" s="4" t="s">
        <v>9</v>
      </c>
      <c r="C229" s="4" t="s">
        <v>22</v>
      </c>
      <c r="D229" s="4" t="s">
        <v>20</v>
      </c>
      <c r="E229" s="4" t="s">
        <v>725</v>
      </c>
      <c r="F229" s="4" t="s">
        <v>463</v>
      </c>
      <c r="G229" s="27">
        <f>261906.36+3603.72-3603.72+18259.44</f>
        <v>280165.79999999993</v>
      </c>
      <c r="H229" s="56">
        <v>269150.43</v>
      </c>
      <c r="I229" s="130">
        <f t="shared" si="14"/>
        <v>0.96068267433070009</v>
      </c>
      <c r="J229" s="24"/>
      <c r="K229" s="24"/>
    </row>
    <row r="230" spans="1:11" s="12" customFormat="1" ht="62.05" x14ac:dyDescent="0.3">
      <c r="A230" s="3" t="s">
        <v>394</v>
      </c>
      <c r="B230" s="4" t="s">
        <v>9</v>
      </c>
      <c r="C230" s="4" t="s">
        <v>22</v>
      </c>
      <c r="D230" s="4" t="s">
        <v>20</v>
      </c>
      <c r="E230" s="4" t="s">
        <v>725</v>
      </c>
      <c r="F230" s="4" t="s">
        <v>467</v>
      </c>
      <c r="G230" s="27">
        <v>344520</v>
      </c>
      <c r="H230" s="56">
        <v>344520</v>
      </c>
      <c r="I230" s="130">
        <f t="shared" si="14"/>
        <v>1</v>
      </c>
      <c r="J230" s="24"/>
      <c r="K230" s="24"/>
    </row>
    <row r="231" spans="1:11" s="12" customFormat="1" ht="62.05" x14ac:dyDescent="0.3">
      <c r="A231" s="3" t="s">
        <v>216</v>
      </c>
      <c r="B231" s="4" t="s">
        <v>9</v>
      </c>
      <c r="C231" s="4" t="s">
        <v>22</v>
      </c>
      <c r="D231" s="4" t="s">
        <v>20</v>
      </c>
      <c r="E231" s="4" t="s">
        <v>217</v>
      </c>
      <c r="F231" s="4"/>
      <c r="G231" s="27">
        <f>G232</f>
        <v>15325.600000000002</v>
      </c>
      <c r="H231" s="56">
        <f>H232</f>
        <v>15160.4</v>
      </c>
      <c r="I231" s="130">
        <f t="shared" si="14"/>
        <v>0.98922065041499174</v>
      </c>
      <c r="J231" s="24"/>
      <c r="K231" s="24"/>
    </row>
    <row r="232" spans="1:11" s="12" customFormat="1" ht="31.05" x14ac:dyDescent="0.3">
      <c r="A232" s="3" t="s">
        <v>393</v>
      </c>
      <c r="B232" s="4" t="s">
        <v>9</v>
      </c>
      <c r="C232" s="4" t="s">
        <v>22</v>
      </c>
      <c r="D232" s="4" t="s">
        <v>20</v>
      </c>
      <c r="E232" s="4" t="s">
        <v>218</v>
      </c>
      <c r="F232" s="4"/>
      <c r="G232" s="27">
        <f>G233</f>
        <v>15325.600000000002</v>
      </c>
      <c r="H232" s="56">
        <f>H233</f>
        <v>15160.4</v>
      </c>
      <c r="I232" s="130">
        <f t="shared" si="14"/>
        <v>0.98922065041499174</v>
      </c>
      <c r="J232" s="24"/>
      <c r="K232" s="24"/>
    </row>
    <row r="233" spans="1:11" s="12" customFormat="1" ht="46.55" x14ac:dyDescent="0.3">
      <c r="A233" s="3" t="s">
        <v>543</v>
      </c>
      <c r="B233" s="4" t="s">
        <v>9</v>
      </c>
      <c r="C233" s="4" t="s">
        <v>22</v>
      </c>
      <c r="D233" s="4" t="s">
        <v>20</v>
      </c>
      <c r="E233" s="4" t="s">
        <v>218</v>
      </c>
      <c r="F233" s="4" t="s">
        <v>463</v>
      </c>
      <c r="G233" s="27">
        <f>13214.03+1946.37+165.2</f>
        <v>15325.600000000002</v>
      </c>
      <c r="H233" s="56">
        <v>15160.4</v>
      </c>
      <c r="I233" s="130">
        <f>H233/G233</f>
        <v>0.98922065041499174</v>
      </c>
      <c r="J233" s="24"/>
      <c r="K233" s="24"/>
    </row>
    <row r="234" spans="1:11" s="12" customFormat="1" ht="46.55" x14ac:dyDescent="0.3">
      <c r="A234" s="3" t="s">
        <v>219</v>
      </c>
      <c r="B234" s="4" t="s">
        <v>9</v>
      </c>
      <c r="C234" s="4" t="s">
        <v>22</v>
      </c>
      <c r="D234" s="4" t="s">
        <v>20</v>
      </c>
      <c r="E234" s="4" t="s">
        <v>220</v>
      </c>
      <c r="F234" s="4"/>
      <c r="G234" s="27">
        <f>G235+G237+G239</f>
        <v>528868.25</v>
      </c>
      <c r="H234" s="56">
        <f>H235+H237+H239</f>
        <v>448094.13</v>
      </c>
      <c r="I234" s="130">
        <f t="shared" ref="I234:I297" si="15">H234/G234</f>
        <v>0.84726986352461131</v>
      </c>
      <c r="J234" s="24"/>
      <c r="K234" s="24"/>
    </row>
    <row r="235" spans="1:11" s="12" customFormat="1" ht="31.05" x14ac:dyDescent="0.3">
      <c r="A235" s="3" t="s">
        <v>393</v>
      </c>
      <c r="B235" s="4" t="s">
        <v>9</v>
      </c>
      <c r="C235" s="4" t="s">
        <v>22</v>
      </c>
      <c r="D235" s="4" t="s">
        <v>20</v>
      </c>
      <c r="E235" s="4" t="s">
        <v>221</v>
      </c>
      <c r="F235" s="4"/>
      <c r="G235" s="27">
        <f>G236</f>
        <v>515818.25</v>
      </c>
      <c r="H235" s="56">
        <f>H236</f>
        <v>435044.13</v>
      </c>
      <c r="I235" s="130">
        <f t="shared" si="15"/>
        <v>0.84340585080113006</v>
      </c>
      <c r="J235" s="24"/>
      <c r="K235" s="24"/>
    </row>
    <row r="236" spans="1:11" s="12" customFormat="1" ht="46.55" x14ac:dyDescent="0.3">
      <c r="A236" s="3" t="s">
        <v>543</v>
      </c>
      <c r="B236" s="4" t="s">
        <v>9</v>
      </c>
      <c r="C236" s="4" t="s">
        <v>22</v>
      </c>
      <c r="D236" s="4" t="s">
        <v>20</v>
      </c>
      <c r="E236" s="4" t="s">
        <v>221</v>
      </c>
      <c r="F236" s="4" t="s">
        <v>463</v>
      </c>
      <c r="G236" s="27">
        <f>510242.65+93408-600-500.55-72098.85-14633</f>
        <v>515818.25</v>
      </c>
      <c r="H236" s="56">
        <v>435044.13</v>
      </c>
      <c r="I236" s="130">
        <f t="shared" si="15"/>
        <v>0.84340585080113006</v>
      </c>
      <c r="J236" s="24"/>
      <c r="K236" s="24"/>
    </row>
    <row r="237" spans="1:11" s="12" customFormat="1" ht="77.55" x14ac:dyDescent="0.3">
      <c r="A237" s="3" t="s">
        <v>222</v>
      </c>
      <c r="B237" s="4" t="s">
        <v>9</v>
      </c>
      <c r="C237" s="4" t="s">
        <v>22</v>
      </c>
      <c r="D237" s="4" t="s">
        <v>20</v>
      </c>
      <c r="E237" s="4" t="s">
        <v>223</v>
      </c>
      <c r="F237" s="4"/>
      <c r="G237" s="27">
        <f>G238</f>
        <v>11400</v>
      </c>
      <c r="H237" s="56">
        <f>H238</f>
        <v>11400</v>
      </c>
      <c r="I237" s="130">
        <f t="shared" si="15"/>
        <v>1</v>
      </c>
      <c r="J237" s="24"/>
      <c r="K237" s="24"/>
    </row>
    <row r="238" spans="1:11" s="12" customFormat="1" ht="46.55" x14ac:dyDescent="0.3">
      <c r="A238" s="3" t="s">
        <v>543</v>
      </c>
      <c r="B238" s="4" t="s">
        <v>9</v>
      </c>
      <c r="C238" s="4" t="s">
        <v>22</v>
      </c>
      <c r="D238" s="4" t="s">
        <v>20</v>
      </c>
      <c r="E238" s="4" t="s">
        <v>223</v>
      </c>
      <c r="F238" s="4" t="s">
        <v>463</v>
      </c>
      <c r="G238" s="27">
        <f>11400</f>
        <v>11400</v>
      </c>
      <c r="H238" s="56">
        <f>11400</f>
        <v>11400</v>
      </c>
      <c r="I238" s="130">
        <f t="shared" si="15"/>
        <v>1</v>
      </c>
      <c r="J238" s="24"/>
      <c r="K238" s="24"/>
    </row>
    <row r="239" spans="1:11" s="12" customFormat="1" ht="77.55" x14ac:dyDescent="0.3">
      <c r="A239" s="3" t="s">
        <v>222</v>
      </c>
      <c r="B239" s="4" t="s">
        <v>9</v>
      </c>
      <c r="C239" s="4" t="s">
        <v>22</v>
      </c>
      <c r="D239" s="4" t="s">
        <v>20</v>
      </c>
      <c r="E239" s="4" t="s">
        <v>224</v>
      </c>
      <c r="F239" s="4"/>
      <c r="G239" s="27">
        <f>G240</f>
        <v>1650</v>
      </c>
      <c r="H239" s="56">
        <f>H240</f>
        <v>1650</v>
      </c>
      <c r="I239" s="130">
        <f t="shared" si="15"/>
        <v>1</v>
      </c>
      <c r="J239" s="24"/>
      <c r="K239" s="24"/>
    </row>
    <row r="240" spans="1:11" s="12" customFormat="1" ht="46.55" x14ac:dyDescent="0.3">
      <c r="A240" s="3" t="s">
        <v>543</v>
      </c>
      <c r="B240" s="4" t="s">
        <v>9</v>
      </c>
      <c r="C240" s="4" t="s">
        <v>22</v>
      </c>
      <c r="D240" s="4" t="s">
        <v>20</v>
      </c>
      <c r="E240" s="4" t="s">
        <v>224</v>
      </c>
      <c r="F240" s="4" t="s">
        <v>463</v>
      </c>
      <c r="G240" s="27">
        <f>600+1050</f>
        <v>1650</v>
      </c>
      <c r="H240" s="56">
        <f>600+1050</f>
        <v>1650</v>
      </c>
      <c r="I240" s="130">
        <f t="shared" si="15"/>
        <v>1</v>
      </c>
      <c r="J240" s="24"/>
      <c r="K240" s="24"/>
    </row>
    <row r="241" spans="1:11" s="12" customFormat="1" ht="62.05" x14ac:dyDescent="0.3">
      <c r="A241" s="3" t="s">
        <v>225</v>
      </c>
      <c r="B241" s="4" t="s">
        <v>9</v>
      </c>
      <c r="C241" s="4" t="s">
        <v>22</v>
      </c>
      <c r="D241" s="4" t="s">
        <v>20</v>
      </c>
      <c r="E241" s="4" t="s">
        <v>226</v>
      </c>
      <c r="F241" s="4"/>
      <c r="G241" s="27">
        <f>G242</f>
        <v>14000</v>
      </c>
      <c r="H241" s="56">
        <f>H242</f>
        <v>1962</v>
      </c>
      <c r="I241" s="130">
        <f t="shared" si="15"/>
        <v>0.14014285714285715</v>
      </c>
      <c r="J241" s="24"/>
      <c r="K241" s="24"/>
    </row>
    <row r="242" spans="1:11" s="12" customFormat="1" ht="31.05" x14ac:dyDescent="0.3">
      <c r="A242" s="3" t="s">
        <v>393</v>
      </c>
      <c r="B242" s="4" t="s">
        <v>9</v>
      </c>
      <c r="C242" s="4" t="s">
        <v>22</v>
      </c>
      <c r="D242" s="4" t="s">
        <v>20</v>
      </c>
      <c r="E242" s="4" t="s">
        <v>58</v>
      </c>
      <c r="F242" s="4"/>
      <c r="G242" s="27">
        <f>G243</f>
        <v>14000</v>
      </c>
      <c r="H242" s="56">
        <f>H243</f>
        <v>1962</v>
      </c>
      <c r="I242" s="130">
        <f t="shared" si="15"/>
        <v>0.14014285714285715</v>
      </c>
      <c r="J242" s="24"/>
      <c r="K242" s="24"/>
    </row>
    <row r="243" spans="1:11" s="12" customFormat="1" ht="46.55" x14ac:dyDescent="0.3">
      <c r="A243" s="3" t="s">
        <v>543</v>
      </c>
      <c r="B243" s="4" t="s">
        <v>9</v>
      </c>
      <c r="C243" s="4" t="s">
        <v>22</v>
      </c>
      <c r="D243" s="4" t="s">
        <v>20</v>
      </c>
      <c r="E243" s="4" t="s">
        <v>58</v>
      </c>
      <c r="F243" s="4" t="s">
        <v>463</v>
      </c>
      <c r="G243" s="27">
        <v>14000</v>
      </c>
      <c r="H243" s="56">
        <v>1962</v>
      </c>
      <c r="I243" s="130">
        <f t="shared" si="15"/>
        <v>0.14014285714285715</v>
      </c>
      <c r="J243" s="24"/>
      <c r="K243" s="24"/>
    </row>
    <row r="244" spans="1:11" s="12" customFormat="1" ht="46.55" x14ac:dyDescent="0.3">
      <c r="A244" s="3" t="s">
        <v>227</v>
      </c>
      <c r="B244" s="4" t="s">
        <v>9</v>
      </c>
      <c r="C244" s="4" t="s">
        <v>22</v>
      </c>
      <c r="D244" s="4" t="s">
        <v>20</v>
      </c>
      <c r="E244" s="4" t="s">
        <v>228</v>
      </c>
      <c r="F244" s="4"/>
      <c r="G244" s="27">
        <f>G245</f>
        <v>1492437.71</v>
      </c>
      <c r="H244" s="56">
        <f>H245</f>
        <v>1414184.38</v>
      </c>
      <c r="I244" s="130">
        <f t="shared" si="15"/>
        <v>0.94756676980508614</v>
      </c>
      <c r="J244" s="24"/>
      <c r="K244" s="24"/>
    </row>
    <row r="245" spans="1:11" s="12" customFormat="1" ht="31.05" x14ac:dyDescent="0.3">
      <c r="A245" s="3" t="s">
        <v>393</v>
      </c>
      <c r="B245" s="4" t="s">
        <v>9</v>
      </c>
      <c r="C245" s="4" t="s">
        <v>22</v>
      </c>
      <c r="D245" s="4" t="s">
        <v>20</v>
      </c>
      <c r="E245" s="4" t="s">
        <v>229</v>
      </c>
      <c r="F245" s="4"/>
      <c r="G245" s="27">
        <f>G246+G247</f>
        <v>1492437.71</v>
      </c>
      <c r="H245" s="56">
        <f>H246+H247</f>
        <v>1414184.38</v>
      </c>
      <c r="I245" s="130">
        <f t="shared" si="15"/>
        <v>0.94756676980508614</v>
      </c>
      <c r="J245" s="24"/>
      <c r="K245" s="24"/>
    </row>
    <row r="246" spans="1:11" s="12" customFormat="1" ht="46.55" x14ac:dyDescent="0.3">
      <c r="A246" s="3" t="s">
        <v>543</v>
      </c>
      <c r="B246" s="4" t="s">
        <v>9</v>
      </c>
      <c r="C246" s="4" t="s">
        <v>22</v>
      </c>
      <c r="D246" s="4" t="s">
        <v>20</v>
      </c>
      <c r="E246" s="4" t="s">
        <v>229</v>
      </c>
      <c r="F246" s="4" t="s">
        <v>463</v>
      </c>
      <c r="G246" s="27">
        <f>1122939.02+55670-41946.37-37588.78-25424.66</f>
        <v>1073649.21</v>
      </c>
      <c r="H246" s="56">
        <v>995395.88</v>
      </c>
      <c r="I246" s="130">
        <f t="shared" si="15"/>
        <v>0.92711462061244387</v>
      </c>
      <c r="J246" s="24"/>
      <c r="K246" s="24"/>
    </row>
    <row r="247" spans="1:11" s="12" customFormat="1" ht="62.05" x14ac:dyDescent="0.3">
      <c r="A247" s="3" t="s">
        <v>394</v>
      </c>
      <c r="B247" s="4" t="s">
        <v>9</v>
      </c>
      <c r="C247" s="4" t="s">
        <v>22</v>
      </c>
      <c r="D247" s="4" t="s">
        <v>20</v>
      </c>
      <c r="E247" s="4" t="s">
        <v>229</v>
      </c>
      <c r="F247" s="4" t="s">
        <v>467</v>
      </c>
      <c r="G247" s="27">
        <f>530480-96096-93460.5+77865</f>
        <v>418788.5</v>
      </c>
      <c r="H247" s="56">
        <f>530480-96096-93460.5+77865</f>
        <v>418788.5</v>
      </c>
      <c r="I247" s="130">
        <f t="shared" si="15"/>
        <v>1</v>
      </c>
      <c r="J247" s="24"/>
      <c r="K247" s="24"/>
    </row>
    <row r="248" spans="1:11" s="12" customFormat="1" ht="31.05" x14ac:dyDescent="0.3">
      <c r="A248" s="3" t="s">
        <v>230</v>
      </c>
      <c r="B248" s="4" t="s">
        <v>9</v>
      </c>
      <c r="C248" s="4" t="s">
        <v>22</v>
      </c>
      <c r="D248" s="4" t="s">
        <v>20</v>
      </c>
      <c r="E248" s="4" t="s">
        <v>231</v>
      </c>
      <c r="F248" s="4"/>
      <c r="G248" s="27">
        <f>G249</f>
        <v>135646.89000000001</v>
      </c>
      <c r="H248" s="56">
        <f>H249</f>
        <v>134520</v>
      </c>
      <c r="I248" s="130">
        <f t="shared" si="15"/>
        <v>0.99169247448282805</v>
      </c>
      <c r="J248" s="24"/>
      <c r="K248" s="24"/>
    </row>
    <row r="249" spans="1:11" s="12" customFormat="1" ht="31.05" x14ac:dyDescent="0.3">
      <c r="A249" s="3" t="s">
        <v>393</v>
      </c>
      <c r="B249" s="4" t="s">
        <v>9</v>
      </c>
      <c r="C249" s="4" t="s">
        <v>22</v>
      </c>
      <c r="D249" s="4" t="s">
        <v>20</v>
      </c>
      <c r="E249" s="4" t="s">
        <v>232</v>
      </c>
      <c r="F249" s="4"/>
      <c r="G249" s="27">
        <f>G250</f>
        <v>135646.89000000001</v>
      </c>
      <c r="H249" s="56">
        <f>H250</f>
        <v>134520</v>
      </c>
      <c r="I249" s="130">
        <f t="shared" si="15"/>
        <v>0.99169247448282805</v>
      </c>
      <c r="J249" s="24"/>
      <c r="K249" s="24"/>
    </row>
    <row r="250" spans="1:11" s="12" customFormat="1" ht="46.55" x14ac:dyDescent="0.3">
      <c r="A250" s="3" t="s">
        <v>543</v>
      </c>
      <c r="B250" s="4" t="s">
        <v>9</v>
      </c>
      <c r="C250" s="4" t="s">
        <v>22</v>
      </c>
      <c r="D250" s="4" t="s">
        <v>20</v>
      </c>
      <c r="E250" s="4" t="s">
        <v>232</v>
      </c>
      <c r="F250" s="4" t="s">
        <v>463</v>
      </c>
      <c r="G250" s="27">
        <f>150646.89-15000</f>
        <v>135646.89000000001</v>
      </c>
      <c r="H250" s="56">
        <v>134520</v>
      </c>
      <c r="I250" s="130">
        <f t="shared" si="15"/>
        <v>0.99169247448282805</v>
      </c>
      <c r="J250" s="24"/>
      <c r="K250" s="24"/>
    </row>
    <row r="251" spans="1:11" s="12" customFormat="1" ht="31.05" x14ac:dyDescent="0.3">
      <c r="A251" s="3" t="s">
        <v>233</v>
      </c>
      <c r="B251" s="4" t="s">
        <v>9</v>
      </c>
      <c r="C251" s="4" t="s">
        <v>22</v>
      </c>
      <c r="D251" s="4" t="s">
        <v>20</v>
      </c>
      <c r="E251" s="4" t="s">
        <v>234</v>
      </c>
      <c r="F251" s="4"/>
      <c r="G251" s="27">
        <f>G252</f>
        <v>128511.4</v>
      </c>
      <c r="H251" s="56">
        <f>H252</f>
        <v>127920</v>
      </c>
      <c r="I251" s="130">
        <f t="shared" si="15"/>
        <v>0.99539807363393451</v>
      </c>
      <c r="J251" s="24"/>
      <c r="K251" s="24"/>
    </row>
    <row r="252" spans="1:11" s="12" customFormat="1" ht="31.05" x14ac:dyDescent="0.3">
      <c r="A252" s="3" t="s">
        <v>393</v>
      </c>
      <c r="B252" s="4" t="s">
        <v>9</v>
      </c>
      <c r="C252" s="4" t="s">
        <v>22</v>
      </c>
      <c r="D252" s="4" t="s">
        <v>20</v>
      </c>
      <c r="E252" s="4" t="s">
        <v>235</v>
      </c>
      <c r="F252" s="4"/>
      <c r="G252" s="27">
        <f>G254+G253</f>
        <v>128511.4</v>
      </c>
      <c r="H252" s="56">
        <f>H254+H253</f>
        <v>127920</v>
      </c>
      <c r="I252" s="130">
        <f t="shared" si="15"/>
        <v>0.99539807363393451</v>
      </c>
      <c r="J252" s="24"/>
      <c r="K252" s="24"/>
    </row>
    <row r="253" spans="1:11" s="12" customFormat="1" ht="126" hidden="1" customHeight="1" x14ac:dyDescent="0.3">
      <c r="A253" s="3" t="s">
        <v>50</v>
      </c>
      <c r="B253" s="4" t="s">
        <v>9</v>
      </c>
      <c r="C253" s="4" t="s">
        <v>22</v>
      </c>
      <c r="D253" s="4" t="s">
        <v>20</v>
      </c>
      <c r="E253" s="4" t="s">
        <v>235</v>
      </c>
      <c r="F253" s="4" t="s">
        <v>462</v>
      </c>
      <c r="G253" s="27">
        <f>5300-5300</f>
        <v>0</v>
      </c>
      <c r="H253" s="56">
        <f>5300-5300</f>
        <v>0</v>
      </c>
      <c r="I253" s="130" t="e">
        <f t="shared" si="15"/>
        <v>#DIV/0!</v>
      </c>
      <c r="J253" s="24"/>
      <c r="K253" s="24"/>
    </row>
    <row r="254" spans="1:11" s="12" customFormat="1" ht="46.55" x14ac:dyDescent="0.3">
      <c r="A254" s="3" t="s">
        <v>543</v>
      </c>
      <c r="B254" s="4" t="s">
        <v>9</v>
      </c>
      <c r="C254" s="4" t="s">
        <v>22</v>
      </c>
      <c r="D254" s="4" t="s">
        <v>20</v>
      </c>
      <c r="E254" s="4" t="s">
        <v>235</v>
      </c>
      <c r="F254" s="4" t="s">
        <v>463</v>
      </c>
      <c r="G254" s="27">
        <f>160000+44778-5300-45966.6-25000</f>
        <v>128511.4</v>
      </c>
      <c r="H254" s="56">
        <v>127920</v>
      </c>
      <c r="I254" s="130">
        <f t="shared" si="15"/>
        <v>0.99539807363393451</v>
      </c>
      <c r="J254" s="24"/>
      <c r="K254" s="24"/>
    </row>
    <row r="255" spans="1:11" s="12" customFormat="1" ht="31.6" hidden="1" customHeight="1" x14ac:dyDescent="0.3">
      <c r="A255" s="3" t="s">
        <v>236</v>
      </c>
      <c r="B255" s="4" t="s">
        <v>9</v>
      </c>
      <c r="C255" s="4" t="s">
        <v>22</v>
      </c>
      <c r="D255" s="4" t="s">
        <v>20</v>
      </c>
      <c r="E255" s="4" t="s">
        <v>237</v>
      </c>
      <c r="F255" s="4"/>
      <c r="G255" s="27">
        <f>G256</f>
        <v>0</v>
      </c>
      <c r="H255" s="56">
        <f>H256</f>
        <v>0</v>
      </c>
      <c r="I255" s="130" t="e">
        <f t="shared" si="15"/>
        <v>#DIV/0!</v>
      </c>
      <c r="J255" s="24"/>
      <c r="K255" s="24"/>
    </row>
    <row r="256" spans="1:11" s="12" customFormat="1" ht="31.6" hidden="1" customHeight="1" x14ac:dyDescent="0.3">
      <c r="A256" s="3" t="s">
        <v>393</v>
      </c>
      <c r="B256" s="4" t="s">
        <v>9</v>
      </c>
      <c r="C256" s="4" t="s">
        <v>22</v>
      </c>
      <c r="D256" s="4" t="s">
        <v>20</v>
      </c>
      <c r="E256" s="4" t="s">
        <v>405</v>
      </c>
      <c r="F256" s="4"/>
      <c r="G256" s="27">
        <f>G257</f>
        <v>0</v>
      </c>
      <c r="H256" s="56">
        <f>H257</f>
        <v>0</v>
      </c>
      <c r="I256" s="130" t="e">
        <f t="shared" si="15"/>
        <v>#DIV/0!</v>
      </c>
      <c r="J256" s="24"/>
      <c r="K256" s="24"/>
    </row>
    <row r="257" spans="1:11" s="12" customFormat="1" ht="47.25" hidden="1" customHeight="1" x14ac:dyDescent="0.3">
      <c r="A257" s="3" t="s">
        <v>543</v>
      </c>
      <c r="B257" s="4" t="s">
        <v>9</v>
      </c>
      <c r="C257" s="4" t="s">
        <v>22</v>
      </c>
      <c r="D257" s="4" t="s">
        <v>20</v>
      </c>
      <c r="E257" s="4" t="s">
        <v>405</v>
      </c>
      <c r="F257" s="4" t="s">
        <v>463</v>
      </c>
      <c r="G257" s="27">
        <f>45828-45828</f>
        <v>0</v>
      </c>
      <c r="H257" s="56">
        <f>45828-45828</f>
        <v>0</v>
      </c>
      <c r="I257" s="130" t="e">
        <f t="shared" si="15"/>
        <v>#DIV/0!</v>
      </c>
      <c r="J257" s="24"/>
      <c r="K257" s="24"/>
    </row>
    <row r="258" spans="1:11" s="12" customFormat="1" ht="31.05" x14ac:dyDescent="0.3">
      <c r="A258" s="1" t="s">
        <v>35</v>
      </c>
      <c r="B258" s="2" t="s">
        <v>9</v>
      </c>
      <c r="C258" s="2" t="s">
        <v>22</v>
      </c>
      <c r="D258" s="2" t="s">
        <v>459</v>
      </c>
      <c r="E258" s="4"/>
      <c r="F258" s="4"/>
      <c r="G258" s="31">
        <f t="shared" ref="G258:H262" si="16">G259</f>
        <v>38200</v>
      </c>
      <c r="H258" s="57">
        <f t="shared" si="16"/>
        <v>26620</v>
      </c>
      <c r="I258" s="129">
        <f t="shared" si="15"/>
        <v>0.69685863874345555</v>
      </c>
      <c r="J258" s="24"/>
      <c r="K258" s="24"/>
    </row>
    <row r="259" spans="1:11" ht="62.05" x14ac:dyDescent="0.3">
      <c r="A259" s="46" t="s">
        <v>62</v>
      </c>
      <c r="B259" s="2" t="s">
        <v>9</v>
      </c>
      <c r="C259" s="2" t="s">
        <v>22</v>
      </c>
      <c r="D259" s="2" t="s">
        <v>459</v>
      </c>
      <c r="E259" s="2" t="s">
        <v>547</v>
      </c>
      <c r="F259" s="2"/>
      <c r="G259" s="31">
        <f t="shared" si="16"/>
        <v>38200</v>
      </c>
      <c r="H259" s="57">
        <f t="shared" si="16"/>
        <v>26620</v>
      </c>
      <c r="I259" s="129">
        <f t="shared" si="15"/>
        <v>0.69685863874345555</v>
      </c>
    </row>
    <row r="260" spans="1:11" s="12" customFormat="1" ht="46.55" x14ac:dyDescent="0.3">
      <c r="A260" s="25" t="s">
        <v>54</v>
      </c>
      <c r="B260" s="4" t="s">
        <v>9</v>
      </c>
      <c r="C260" s="4" t="s">
        <v>22</v>
      </c>
      <c r="D260" s="4" t="s">
        <v>459</v>
      </c>
      <c r="E260" s="4" t="s">
        <v>559</v>
      </c>
      <c r="F260" s="4"/>
      <c r="G260" s="27">
        <f t="shared" si="16"/>
        <v>38200</v>
      </c>
      <c r="H260" s="56">
        <f t="shared" si="16"/>
        <v>26620</v>
      </c>
      <c r="I260" s="130">
        <f t="shared" si="15"/>
        <v>0.69685863874345555</v>
      </c>
      <c r="J260" s="24"/>
      <c r="K260" s="24"/>
    </row>
    <row r="261" spans="1:11" s="12" customFormat="1" ht="77.55" x14ac:dyDescent="0.3">
      <c r="A261" s="3" t="s">
        <v>238</v>
      </c>
      <c r="B261" s="4" t="s">
        <v>9</v>
      </c>
      <c r="C261" s="4" t="s">
        <v>22</v>
      </c>
      <c r="D261" s="4" t="s">
        <v>459</v>
      </c>
      <c r="E261" s="4" t="s">
        <v>239</v>
      </c>
      <c r="F261" s="4"/>
      <c r="G261" s="27">
        <f t="shared" si="16"/>
        <v>38200</v>
      </c>
      <c r="H261" s="56">
        <f t="shared" si="16"/>
        <v>26620</v>
      </c>
      <c r="I261" s="130">
        <f t="shared" si="15"/>
        <v>0.69685863874345555</v>
      </c>
      <c r="J261" s="24"/>
      <c r="K261" s="24"/>
    </row>
    <row r="262" spans="1:11" s="12" customFormat="1" ht="139.6" x14ac:dyDescent="0.3">
      <c r="A262" s="3" t="s">
        <v>730</v>
      </c>
      <c r="B262" s="4" t="s">
        <v>9</v>
      </c>
      <c r="C262" s="4" t="s">
        <v>22</v>
      </c>
      <c r="D262" s="4" t="s">
        <v>459</v>
      </c>
      <c r="E262" s="4" t="s">
        <v>240</v>
      </c>
      <c r="F262" s="4"/>
      <c r="G262" s="27">
        <f t="shared" si="16"/>
        <v>38200</v>
      </c>
      <c r="H262" s="56">
        <f t="shared" si="16"/>
        <v>26620</v>
      </c>
      <c r="I262" s="130">
        <f t="shared" si="15"/>
        <v>0.69685863874345555</v>
      </c>
      <c r="J262" s="24"/>
      <c r="K262" s="24"/>
    </row>
    <row r="263" spans="1:11" s="12" customFormat="1" ht="108.55" x14ac:dyDescent="0.3">
      <c r="A263" s="3" t="s">
        <v>50</v>
      </c>
      <c r="B263" s="4" t="s">
        <v>9</v>
      </c>
      <c r="C263" s="4" t="s">
        <v>22</v>
      </c>
      <c r="D263" s="4" t="s">
        <v>459</v>
      </c>
      <c r="E263" s="4" t="s">
        <v>240</v>
      </c>
      <c r="F263" s="4" t="s">
        <v>462</v>
      </c>
      <c r="G263" s="27">
        <v>38200</v>
      </c>
      <c r="H263" s="56">
        <v>26620</v>
      </c>
      <c r="I263" s="145">
        <f t="shared" si="15"/>
        <v>0.69685863874345555</v>
      </c>
      <c r="J263" s="24"/>
      <c r="K263" s="24"/>
    </row>
    <row r="264" spans="1:11" s="12" customFormat="1" ht="17.2" x14ac:dyDescent="0.3">
      <c r="A264" s="10" t="s">
        <v>26</v>
      </c>
      <c r="B264" s="11" t="s">
        <v>9</v>
      </c>
      <c r="C264" s="11" t="s">
        <v>20</v>
      </c>
      <c r="D264" s="5"/>
      <c r="E264" s="5"/>
      <c r="F264" s="21"/>
      <c r="G264" s="26">
        <f>G265+G269</f>
        <v>8937470.9000000004</v>
      </c>
      <c r="H264" s="137">
        <f>H265+H269</f>
        <v>8866967.0499999989</v>
      </c>
      <c r="I264" s="129">
        <f t="shared" si="15"/>
        <v>0.99211143165791993</v>
      </c>
      <c r="J264" s="24"/>
      <c r="K264" s="24"/>
    </row>
    <row r="265" spans="1:11" s="12" customFormat="1" x14ac:dyDescent="0.3">
      <c r="A265" s="1" t="s">
        <v>584</v>
      </c>
      <c r="B265" s="2" t="s">
        <v>9</v>
      </c>
      <c r="C265" s="2" t="s">
        <v>20</v>
      </c>
      <c r="D265" s="2" t="s">
        <v>683</v>
      </c>
      <c r="E265" s="2"/>
      <c r="F265" s="4"/>
      <c r="G265" s="31">
        <f t="shared" ref="G265:H267" si="17">G266</f>
        <v>7567670.9000000004</v>
      </c>
      <c r="H265" s="57">
        <f t="shared" si="17"/>
        <v>7566845.3099999996</v>
      </c>
      <c r="I265" s="129">
        <f t="shared" si="15"/>
        <v>0.99989090566821548</v>
      </c>
      <c r="J265" s="24"/>
      <c r="K265" s="24"/>
    </row>
    <row r="266" spans="1:11" x14ac:dyDescent="0.3">
      <c r="A266" s="1" t="s">
        <v>49</v>
      </c>
      <c r="B266" s="2" t="s">
        <v>9</v>
      </c>
      <c r="C266" s="2" t="s">
        <v>20</v>
      </c>
      <c r="D266" s="2" t="s">
        <v>683</v>
      </c>
      <c r="E266" s="2" t="s">
        <v>575</v>
      </c>
      <c r="F266" s="2"/>
      <c r="G266" s="31">
        <f t="shared" si="17"/>
        <v>7567670.9000000004</v>
      </c>
      <c r="H266" s="57">
        <f t="shared" si="17"/>
        <v>7566845.3099999996</v>
      </c>
      <c r="I266" s="129">
        <f t="shared" si="15"/>
        <v>0.99989090566821548</v>
      </c>
    </row>
    <row r="267" spans="1:11" s="12" customFormat="1" ht="124.1" x14ac:dyDescent="0.3">
      <c r="A267" s="3" t="s">
        <v>92</v>
      </c>
      <c r="B267" s="4" t="s">
        <v>9</v>
      </c>
      <c r="C267" s="4" t="s">
        <v>20</v>
      </c>
      <c r="D267" s="4" t="s">
        <v>683</v>
      </c>
      <c r="E267" s="4" t="s">
        <v>241</v>
      </c>
      <c r="F267" s="4"/>
      <c r="G267" s="27">
        <f t="shared" si="17"/>
        <v>7567670.9000000004</v>
      </c>
      <c r="H267" s="56">
        <f t="shared" si="17"/>
        <v>7566845.3099999996</v>
      </c>
      <c r="I267" s="130">
        <f t="shared" si="15"/>
        <v>0.99989090566821548</v>
      </c>
      <c r="J267" s="24"/>
      <c r="K267" s="24"/>
    </row>
    <row r="268" spans="1:11" s="12" customFormat="1" ht="31.05" x14ac:dyDescent="0.3">
      <c r="A268" s="3" t="s">
        <v>430</v>
      </c>
      <c r="B268" s="4" t="s">
        <v>9</v>
      </c>
      <c r="C268" s="4" t="s">
        <v>20</v>
      </c>
      <c r="D268" s="4" t="s">
        <v>683</v>
      </c>
      <c r="E268" s="4" t="s">
        <v>241</v>
      </c>
      <c r="F268" s="4" t="s">
        <v>431</v>
      </c>
      <c r="G268" s="27">
        <f>6583330.62-9143.72+1041484-48000</f>
        <v>7567670.9000000004</v>
      </c>
      <c r="H268" s="56">
        <v>7566845.3099999996</v>
      </c>
      <c r="I268" s="130">
        <f t="shared" si="15"/>
        <v>0.99989090566821548</v>
      </c>
      <c r="J268" s="24"/>
      <c r="K268" s="24"/>
    </row>
    <row r="269" spans="1:11" s="12" customFormat="1" x14ac:dyDescent="0.3">
      <c r="A269" s="1" t="s">
        <v>360</v>
      </c>
      <c r="B269" s="2" t="s">
        <v>9</v>
      </c>
      <c r="C269" s="2" t="s">
        <v>20</v>
      </c>
      <c r="D269" s="2" t="s">
        <v>22</v>
      </c>
      <c r="E269" s="2"/>
      <c r="F269" s="2"/>
      <c r="G269" s="31">
        <f>G270</f>
        <v>1369800</v>
      </c>
      <c r="H269" s="57">
        <f>H270</f>
        <v>1300121.74</v>
      </c>
      <c r="I269" s="129">
        <f t="shared" si="15"/>
        <v>0.94913253029639366</v>
      </c>
      <c r="J269" s="24"/>
      <c r="K269" s="24"/>
    </row>
    <row r="270" spans="1:11" ht="62.05" x14ac:dyDescent="0.3">
      <c r="A270" s="46" t="s">
        <v>62</v>
      </c>
      <c r="B270" s="2" t="s">
        <v>9</v>
      </c>
      <c r="C270" s="2" t="s">
        <v>20</v>
      </c>
      <c r="D270" s="2" t="s">
        <v>22</v>
      </c>
      <c r="E270" s="2" t="s">
        <v>547</v>
      </c>
      <c r="F270" s="2"/>
      <c r="G270" s="31">
        <f>G271</f>
        <v>1369800</v>
      </c>
      <c r="H270" s="57">
        <f>H271</f>
        <v>1300121.74</v>
      </c>
      <c r="I270" s="129">
        <f t="shared" si="15"/>
        <v>0.94913253029639366</v>
      </c>
    </row>
    <row r="271" spans="1:11" s="12" customFormat="1" ht="46.55" x14ac:dyDescent="0.3">
      <c r="A271" s="25" t="s">
        <v>54</v>
      </c>
      <c r="B271" s="4" t="s">
        <v>9</v>
      </c>
      <c r="C271" s="4" t="s">
        <v>20</v>
      </c>
      <c r="D271" s="4" t="s">
        <v>22</v>
      </c>
      <c r="E271" s="4" t="s">
        <v>559</v>
      </c>
      <c r="F271" s="4"/>
      <c r="G271" s="27">
        <f>G272+G276</f>
        <v>1369800</v>
      </c>
      <c r="H271" s="56">
        <f>H272+H276</f>
        <v>1300121.74</v>
      </c>
      <c r="I271" s="130">
        <f t="shared" si="15"/>
        <v>0.94913253029639366</v>
      </c>
      <c r="J271" s="24"/>
      <c r="K271" s="24"/>
    </row>
    <row r="272" spans="1:11" s="12" customFormat="1" ht="62.05" x14ac:dyDescent="0.3">
      <c r="A272" s="52" t="s">
        <v>359</v>
      </c>
      <c r="B272" s="4" t="s">
        <v>9</v>
      </c>
      <c r="C272" s="4" t="s">
        <v>20</v>
      </c>
      <c r="D272" s="4" t="s">
        <v>22</v>
      </c>
      <c r="E272" s="4" t="s">
        <v>243</v>
      </c>
      <c r="F272" s="4"/>
      <c r="G272" s="27">
        <f>G273</f>
        <v>1233400</v>
      </c>
      <c r="H272" s="56">
        <f>H273</f>
        <v>1182316.6299999999</v>
      </c>
      <c r="I272" s="130">
        <f t="shared" si="15"/>
        <v>0.95858329009242738</v>
      </c>
      <c r="J272" s="24"/>
      <c r="K272" s="24"/>
    </row>
    <row r="273" spans="1:11" s="12" customFormat="1" ht="77.55" x14ac:dyDescent="0.3">
      <c r="A273" s="52" t="s">
        <v>471</v>
      </c>
      <c r="B273" s="4" t="s">
        <v>9</v>
      </c>
      <c r="C273" s="4" t="s">
        <v>20</v>
      </c>
      <c r="D273" s="4" t="s">
        <v>22</v>
      </c>
      <c r="E273" s="4" t="s">
        <v>472</v>
      </c>
      <c r="F273" s="4"/>
      <c r="G273" s="27">
        <f>G274+G275</f>
        <v>1233400</v>
      </c>
      <c r="H273" s="56">
        <f>H274+H275</f>
        <v>1182316.6299999999</v>
      </c>
      <c r="I273" s="130">
        <f t="shared" si="15"/>
        <v>0.95858329009242738</v>
      </c>
      <c r="J273" s="24"/>
      <c r="K273" s="24"/>
    </row>
    <row r="274" spans="1:11" s="12" customFormat="1" ht="108.55" x14ac:dyDescent="0.3">
      <c r="A274" s="3" t="s">
        <v>50</v>
      </c>
      <c r="B274" s="4" t="s">
        <v>9</v>
      </c>
      <c r="C274" s="4" t="s">
        <v>20</v>
      </c>
      <c r="D274" s="4" t="s">
        <v>22</v>
      </c>
      <c r="E274" s="4" t="s">
        <v>472</v>
      </c>
      <c r="F274" s="4" t="s">
        <v>462</v>
      </c>
      <c r="G274" s="27">
        <f>1081469.03+13117.26</f>
        <v>1094586.29</v>
      </c>
      <c r="H274" s="56">
        <v>1081764.47</v>
      </c>
      <c r="I274" s="130">
        <f t="shared" si="15"/>
        <v>0.98828614964654815</v>
      </c>
      <c r="J274" s="24"/>
      <c r="K274" s="24"/>
    </row>
    <row r="275" spans="1:11" s="12" customFormat="1" ht="46.55" x14ac:dyDescent="0.3">
      <c r="A275" s="3" t="s">
        <v>543</v>
      </c>
      <c r="B275" s="4" t="s">
        <v>9</v>
      </c>
      <c r="C275" s="4" t="s">
        <v>20</v>
      </c>
      <c r="D275" s="4" t="s">
        <v>22</v>
      </c>
      <c r="E275" s="4" t="s">
        <v>472</v>
      </c>
      <c r="F275" s="4" t="s">
        <v>463</v>
      </c>
      <c r="G275" s="27">
        <f>151930.97-13117.26</f>
        <v>138813.71</v>
      </c>
      <c r="H275" s="56">
        <v>100552.16</v>
      </c>
      <c r="I275" s="130">
        <f t="shared" si="15"/>
        <v>0.72436764351302196</v>
      </c>
      <c r="J275" s="24"/>
      <c r="K275" s="24"/>
    </row>
    <row r="276" spans="1:11" s="12" customFormat="1" ht="155.1" x14ac:dyDescent="0.3">
      <c r="A276" s="3" t="s">
        <v>401</v>
      </c>
      <c r="B276" s="4" t="s">
        <v>9</v>
      </c>
      <c r="C276" s="4" t="s">
        <v>20</v>
      </c>
      <c r="D276" s="4" t="s">
        <v>22</v>
      </c>
      <c r="E276" s="4" t="s">
        <v>242</v>
      </c>
      <c r="F276" s="4"/>
      <c r="G276" s="27">
        <f>G277</f>
        <v>136400</v>
      </c>
      <c r="H276" s="56">
        <f>H277</f>
        <v>117805.11</v>
      </c>
      <c r="I276" s="130">
        <f t="shared" si="15"/>
        <v>0.86367382697947215</v>
      </c>
      <c r="J276" s="24"/>
      <c r="K276" s="24"/>
    </row>
    <row r="277" spans="1:11" s="12" customFormat="1" ht="155.1" x14ac:dyDescent="0.3">
      <c r="A277" s="3" t="s">
        <v>473</v>
      </c>
      <c r="B277" s="4" t="s">
        <v>9</v>
      </c>
      <c r="C277" s="4" t="s">
        <v>20</v>
      </c>
      <c r="D277" s="4" t="s">
        <v>22</v>
      </c>
      <c r="E277" s="4" t="s">
        <v>474</v>
      </c>
      <c r="F277" s="4"/>
      <c r="G277" s="27">
        <f>G278+G279</f>
        <v>136400</v>
      </c>
      <c r="H277" s="56">
        <f>H278+H279</f>
        <v>117805.11</v>
      </c>
      <c r="I277" s="130">
        <f t="shared" si="15"/>
        <v>0.86367382697947215</v>
      </c>
      <c r="J277" s="24"/>
      <c r="K277" s="24"/>
    </row>
    <row r="278" spans="1:11" s="12" customFormat="1" ht="108.55" x14ac:dyDescent="0.3">
      <c r="A278" s="3" t="s">
        <v>50</v>
      </c>
      <c r="B278" s="4" t="s">
        <v>9</v>
      </c>
      <c r="C278" s="4" t="s">
        <v>20</v>
      </c>
      <c r="D278" s="4" t="s">
        <v>22</v>
      </c>
      <c r="E278" s="4" t="s">
        <v>474</v>
      </c>
      <c r="F278" s="4" t="s">
        <v>462</v>
      </c>
      <c r="G278" s="27">
        <f>136400-4610-1390</f>
        <v>130400</v>
      </c>
      <c r="H278" s="56">
        <v>111818.21</v>
      </c>
      <c r="I278" s="130">
        <f t="shared" si="15"/>
        <v>0.85750161042944795</v>
      </c>
      <c r="J278" s="24"/>
      <c r="K278" s="24"/>
    </row>
    <row r="279" spans="1:11" s="12" customFormat="1" ht="46.55" x14ac:dyDescent="0.3">
      <c r="A279" s="3" t="s">
        <v>543</v>
      </c>
      <c r="B279" s="4" t="s">
        <v>9</v>
      </c>
      <c r="C279" s="4" t="s">
        <v>20</v>
      </c>
      <c r="D279" s="4" t="s">
        <v>22</v>
      </c>
      <c r="E279" s="4" t="s">
        <v>474</v>
      </c>
      <c r="F279" s="4" t="s">
        <v>463</v>
      </c>
      <c r="G279" s="27">
        <f>2000+4000</f>
        <v>6000</v>
      </c>
      <c r="H279" s="56">
        <v>5986.9</v>
      </c>
      <c r="I279" s="145">
        <f t="shared" si="15"/>
        <v>0.99781666666666657</v>
      </c>
      <c r="J279" s="24"/>
      <c r="K279" s="24"/>
    </row>
    <row r="280" spans="1:11" s="12" customFormat="1" x14ac:dyDescent="0.3">
      <c r="A280" s="13" t="s">
        <v>455</v>
      </c>
      <c r="B280" s="5" t="s">
        <v>9</v>
      </c>
      <c r="C280" s="5" t="s">
        <v>459</v>
      </c>
      <c r="D280" s="5" t="s">
        <v>583</v>
      </c>
      <c r="E280" s="5"/>
      <c r="F280" s="5"/>
      <c r="G280" s="26">
        <f t="shared" ref="G280:H285" si="18">G281</f>
        <v>1425000</v>
      </c>
      <c r="H280" s="137">
        <f t="shared" si="18"/>
        <v>1425000</v>
      </c>
      <c r="I280" s="129">
        <f t="shared" si="15"/>
        <v>1</v>
      </c>
      <c r="J280" s="24"/>
      <c r="K280" s="24"/>
    </row>
    <row r="281" spans="1:11" s="12" customFormat="1" ht="31.05" x14ac:dyDescent="0.3">
      <c r="A281" s="3" t="s">
        <v>99</v>
      </c>
      <c r="B281" s="4" t="s">
        <v>9</v>
      </c>
      <c r="C281" s="4" t="s">
        <v>459</v>
      </c>
      <c r="D281" s="4" t="s">
        <v>17</v>
      </c>
      <c r="E281" s="4"/>
      <c r="F281" s="4"/>
      <c r="G281" s="27">
        <f t="shared" si="18"/>
        <v>1425000</v>
      </c>
      <c r="H281" s="56">
        <f t="shared" si="18"/>
        <v>1425000</v>
      </c>
      <c r="I281" s="130">
        <f t="shared" si="15"/>
        <v>1</v>
      </c>
      <c r="J281" s="24"/>
      <c r="K281" s="24"/>
    </row>
    <row r="282" spans="1:11" ht="46.55" x14ac:dyDescent="0.3">
      <c r="A282" s="1" t="s">
        <v>726</v>
      </c>
      <c r="B282" s="2" t="s">
        <v>9</v>
      </c>
      <c r="C282" s="2" t="s">
        <v>459</v>
      </c>
      <c r="D282" s="2" t="s">
        <v>17</v>
      </c>
      <c r="E282" s="2" t="s">
        <v>554</v>
      </c>
      <c r="F282" s="2"/>
      <c r="G282" s="31">
        <f t="shared" si="18"/>
        <v>1425000</v>
      </c>
      <c r="H282" s="57">
        <f t="shared" si="18"/>
        <v>1425000</v>
      </c>
      <c r="I282" s="129">
        <f t="shared" si="15"/>
        <v>1</v>
      </c>
    </row>
    <row r="283" spans="1:11" s="12" customFormat="1" ht="108.55" x14ac:dyDescent="0.3">
      <c r="A283" s="3" t="s">
        <v>78</v>
      </c>
      <c r="B283" s="4" t="s">
        <v>9</v>
      </c>
      <c r="C283" s="4" t="s">
        <v>459</v>
      </c>
      <c r="D283" s="4" t="s">
        <v>17</v>
      </c>
      <c r="E283" s="4" t="s">
        <v>475</v>
      </c>
      <c r="F283" s="4"/>
      <c r="G283" s="27">
        <f>G284+G287</f>
        <v>1425000</v>
      </c>
      <c r="H283" s="56">
        <f>H284+H287</f>
        <v>1425000</v>
      </c>
      <c r="I283" s="130">
        <f t="shared" si="15"/>
        <v>1</v>
      </c>
      <c r="J283" s="24"/>
      <c r="K283" s="24"/>
    </row>
    <row r="284" spans="1:11" s="12" customFormat="1" ht="62.05" x14ac:dyDescent="0.3">
      <c r="A284" s="3" t="s">
        <v>476</v>
      </c>
      <c r="B284" s="4" t="s">
        <v>9</v>
      </c>
      <c r="C284" s="4" t="s">
        <v>459</v>
      </c>
      <c r="D284" s="4" t="s">
        <v>17</v>
      </c>
      <c r="E284" s="4" t="s">
        <v>838</v>
      </c>
      <c r="F284" s="4"/>
      <c r="G284" s="27">
        <f t="shared" si="18"/>
        <v>1425000</v>
      </c>
      <c r="H284" s="56">
        <f t="shared" si="18"/>
        <v>1425000</v>
      </c>
      <c r="I284" s="130">
        <f t="shared" si="15"/>
        <v>1</v>
      </c>
      <c r="J284" s="24"/>
      <c r="K284" s="24"/>
    </row>
    <row r="285" spans="1:11" s="12" customFormat="1" ht="46.55" x14ac:dyDescent="0.3">
      <c r="A285" s="3" t="s">
        <v>477</v>
      </c>
      <c r="B285" s="4" t="s">
        <v>9</v>
      </c>
      <c r="C285" s="4" t="s">
        <v>459</v>
      </c>
      <c r="D285" s="4" t="s">
        <v>17</v>
      </c>
      <c r="E285" s="4" t="s">
        <v>839</v>
      </c>
      <c r="F285" s="4"/>
      <c r="G285" s="27">
        <f t="shared" si="18"/>
        <v>1425000</v>
      </c>
      <c r="H285" s="56">
        <f t="shared" si="18"/>
        <v>1425000</v>
      </c>
      <c r="I285" s="130">
        <f t="shared" si="15"/>
        <v>1</v>
      </c>
      <c r="J285" s="24"/>
      <c r="K285" s="24"/>
    </row>
    <row r="286" spans="1:11" s="12" customFormat="1" x14ac:dyDescent="0.3">
      <c r="A286" s="3" t="s">
        <v>732</v>
      </c>
      <c r="B286" s="4" t="s">
        <v>9</v>
      </c>
      <c r="C286" s="4" t="s">
        <v>459</v>
      </c>
      <c r="D286" s="4" t="s">
        <v>17</v>
      </c>
      <c r="E286" s="4" t="s">
        <v>839</v>
      </c>
      <c r="F286" s="4" t="s">
        <v>466</v>
      </c>
      <c r="G286" s="27">
        <f>1425000-712500+712500</f>
        <v>1425000</v>
      </c>
      <c r="H286" s="56">
        <f>1425000-712500+712500</f>
        <v>1425000</v>
      </c>
      <c r="I286" s="145">
        <f t="shared" si="15"/>
        <v>1</v>
      </c>
      <c r="J286" s="24"/>
      <c r="K286" s="24"/>
    </row>
    <row r="287" spans="1:11" s="12" customFormat="1" ht="94.6" hidden="1" customHeight="1" x14ac:dyDescent="0.3">
      <c r="A287" s="3" t="s">
        <v>840</v>
      </c>
      <c r="B287" s="59" t="s">
        <v>9</v>
      </c>
      <c r="C287" s="4" t="s">
        <v>459</v>
      </c>
      <c r="D287" s="4" t="s">
        <v>17</v>
      </c>
      <c r="E287" s="4" t="s">
        <v>841</v>
      </c>
      <c r="F287" s="4"/>
      <c r="G287" s="27">
        <f>G288</f>
        <v>0</v>
      </c>
      <c r="H287" s="56">
        <f>H288</f>
        <v>0</v>
      </c>
      <c r="I287" s="130" t="e">
        <f t="shared" si="15"/>
        <v>#DIV/0!</v>
      </c>
      <c r="J287" s="24"/>
      <c r="K287" s="24"/>
    </row>
    <row r="288" spans="1:11" s="12" customFormat="1" ht="31.6" hidden="1" customHeight="1" x14ac:dyDescent="0.3">
      <c r="A288" s="3" t="s">
        <v>393</v>
      </c>
      <c r="B288" s="59" t="s">
        <v>9</v>
      </c>
      <c r="C288" s="4" t="s">
        <v>459</v>
      </c>
      <c r="D288" s="4" t="s">
        <v>17</v>
      </c>
      <c r="E288" s="4" t="s">
        <v>842</v>
      </c>
      <c r="F288" s="4"/>
      <c r="G288" s="27">
        <f>G289</f>
        <v>0</v>
      </c>
      <c r="H288" s="56">
        <f>H289</f>
        <v>0</v>
      </c>
      <c r="I288" s="130" t="e">
        <f t="shared" si="15"/>
        <v>#DIV/0!</v>
      </c>
      <c r="J288" s="24"/>
      <c r="K288" s="24"/>
    </row>
    <row r="289" spans="1:11" s="12" customFormat="1" ht="47.25" hidden="1" customHeight="1" x14ac:dyDescent="0.3">
      <c r="A289" s="3" t="s">
        <v>543</v>
      </c>
      <c r="B289" s="59" t="s">
        <v>9</v>
      </c>
      <c r="C289" s="4" t="s">
        <v>459</v>
      </c>
      <c r="D289" s="4" t="s">
        <v>17</v>
      </c>
      <c r="E289" s="4" t="s">
        <v>842</v>
      </c>
      <c r="F289" s="4" t="s">
        <v>463</v>
      </c>
      <c r="G289" s="27">
        <f>712500-712500</f>
        <v>0</v>
      </c>
      <c r="H289" s="56">
        <f>712500-712500</f>
        <v>0</v>
      </c>
      <c r="I289" s="130" t="e">
        <f t="shared" si="15"/>
        <v>#DIV/0!</v>
      </c>
      <c r="J289" s="24"/>
      <c r="K289" s="24"/>
    </row>
    <row r="290" spans="1:11" s="12" customFormat="1" ht="46.55" x14ac:dyDescent="0.3">
      <c r="A290" s="13" t="s">
        <v>680</v>
      </c>
      <c r="B290" s="100" t="s">
        <v>10</v>
      </c>
      <c r="C290" s="21"/>
      <c r="D290" s="21"/>
      <c r="E290" s="21"/>
      <c r="F290" s="21"/>
      <c r="G290" s="26">
        <f>G291+G388+G446+G532+G544+G594+G587</f>
        <v>412047031.35000002</v>
      </c>
      <c r="H290" s="137">
        <f>H291+H388+H446+H532+H544+H594+H587</f>
        <v>403954799.35999995</v>
      </c>
      <c r="I290" s="129">
        <f t="shared" si="15"/>
        <v>0.9803609020953572</v>
      </c>
      <c r="J290" s="24"/>
      <c r="K290" s="24"/>
    </row>
    <row r="291" spans="1:11" s="12" customFormat="1" x14ac:dyDescent="0.3">
      <c r="A291" s="1" t="s">
        <v>31</v>
      </c>
      <c r="B291" s="105" t="s">
        <v>10</v>
      </c>
      <c r="C291" s="2" t="s">
        <v>683</v>
      </c>
      <c r="D291" s="4"/>
      <c r="E291" s="4"/>
      <c r="F291" s="4"/>
      <c r="G291" s="31">
        <f>G292+G302</f>
        <v>40488508.75</v>
      </c>
      <c r="H291" s="57">
        <f>H292+H302</f>
        <v>40244802.810000002</v>
      </c>
      <c r="I291" s="129">
        <f t="shared" si="15"/>
        <v>0.99398086154506748</v>
      </c>
      <c r="J291" s="24"/>
      <c r="K291" s="24"/>
    </row>
    <row r="292" spans="1:11" s="12" customFormat="1" ht="108.55" x14ac:dyDescent="0.3">
      <c r="A292" s="1" t="s">
        <v>458</v>
      </c>
      <c r="B292" s="105" t="s">
        <v>10</v>
      </c>
      <c r="C292" s="2" t="s">
        <v>683</v>
      </c>
      <c r="D292" s="2" t="s">
        <v>22</v>
      </c>
      <c r="E292" s="2"/>
      <c r="F292" s="4"/>
      <c r="G292" s="31">
        <f t="shared" ref="G292:H294" si="19">G293</f>
        <v>11222635</v>
      </c>
      <c r="H292" s="57">
        <f t="shared" si="19"/>
        <v>11221813.640000001</v>
      </c>
      <c r="I292" s="129">
        <f t="shared" si="15"/>
        <v>0.99992681219695734</v>
      </c>
      <c r="J292" s="24"/>
      <c r="K292" s="24"/>
    </row>
    <row r="293" spans="1:11" ht="62.05" x14ac:dyDescent="0.3">
      <c r="A293" s="46" t="s">
        <v>62</v>
      </c>
      <c r="B293" s="105" t="s">
        <v>10</v>
      </c>
      <c r="C293" s="2" t="s">
        <v>683</v>
      </c>
      <c r="D293" s="2" t="s">
        <v>22</v>
      </c>
      <c r="E293" s="2" t="s">
        <v>547</v>
      </c>
      <c r="F293" s="2"/>
      <c r="G293" s="31">
        <f t="shared" si="19"/>
        <v>11222635</v>
      </c>
      <c r="H293" s="57">
        <f t="shared" si="19"/>
        <v>11221813.640000001</v>
      </c>
      <c r="I293" s="129">
        <f t="shared" si="15"/>
        <v>0.99992681219695734</v>
      </c>
    </row>
    <row r="294" spans="1:11" s="12" customFormat="1" ht="77.55" x14ac:dyDescent="0.3">
      <c r="A294" s="25" t="s">
        <v>79</v>
      </c>
      <c r="B294" s="59" t="s">
        <v>10</v>
      </c>
      <c r="C294" s="4" t="s">
        <v>683</v>
      </c>
      <c r="D294" s="4" t="s">
        <v>22</v>
      </c>
      <c r="E294" s="4" t="s">
        <v>478</v>
      </c>
      <c r="F294" s="4"/>
      <c r="G294" s="27">
        <f t="shared" si="19"/>
        <v>11222635</v>
      </c>
      <c r="H294" s="56">
        <f t="shared" si="19"/>
        <v>11221813.640000001</v>
      </c>
      <c r="I294" s="130">
        <f t="shared" si="15"/>
        <v>0.99992681219695734</v>
      </c>
      <c r="J294" s="24"/>
      <c r="K294" s="24"/>
    </row>
    <row r="295" spans="1:11" s="12" customFormat="1" ht="46.55" x14ac:dyDescent="0.3">
      <c r="A295" s="25" t="s">
        <v>479</v>
      </c>
      <c r="B295" s="59" t="s">
        <v>10</v>
      </c>
      <c r="C295" s="4" t="s">
        <v>683</v>
      </c>
      <c r="D295" s="4" t="s">
        <v>22</v>
      </c>
      <c r="E295" s="4" t="s">
        <v>480</v>
      </c>
      <c r="F295" s="4"/>
      <c r="G295" s="27">
        <f>G296+G298+G300</f>
        <v>11222635</v>
      </c>
      <c r="H295" s="56">
        <f>H296+H298+H300</f>
        <v>11221813.640000001</v>
      </c>
      <c r="I295" s="130">
        <f t="shared" si="15"/>
        <v>0.99992681219695734</v>
      </c>
      <c r="J295" s="24"/>
      <c r="K295" s="24"/>
    </row>
    <row r="296" spans="1:11" s="12" customFormat="1" ht="46.55" x14ac:dyDescent="0.3">
      <c r="A296" s="25" t="s">
        <v>450</v>
      </c>
      <c r="B296" s="59" t="s">
        <v>10</v>
      </c>
      <c r="C296" s="4" t="s">
        <v>683</v>
      </c>
      <c r="D296" s="4" t="s">
        <v>22</v>
      </c>
      <c r="E296" s="4" t="s">
        <v>481</v>
      </c>
      <c r="F296" s="4"/>
      <c r="G296" s="27">
        <f>G297</f>
        <v>10981918.869999999</v>
      </c>
      <c r="H296" s="56">
        <f>H297</f>
        <v>10981918.869999999</v>
      </c>
      <c r="I296" s="130">
        <f t="shared" si="15"/>
        <v>1</v>
      </c>
      <c r="J296" s="24"/>
      <c r="K296" s="24"/>
    </row>
    <row r="297" spans="1:11" s="12" customFormat="1" ht="108.55" x14ac:dyDescent="0.3">
      <c r="A297" s="25" t="s">
        <v>389</v>
      </c>
      <c r="B297" s="59" t="s">
        <v>10</v>
      </c>
      <c r="C297" s="4" t="s">
        <v>683</v>
      </c>
      <c r="D297" s="4" t="s">
        <v>22</v>
      </c>
      <c r="E297" s="4" t="s">
        <v>481</v>
      </c>
      <c r="F297" s="4" t="s">
        <v>462</v>
      </c>
      <c r="G297" s="27">
        <f>10799597+33.87+173323+8965</f>
        <v>10981918.869999999</v>
      </c>
      <c r="H297" s="56">
        <f>10799597+33.87+173323+8965</f>
        <v>10981918.869999999</v>
      </c>
      <c r="I297" s="130">
        <f t="shared" si="15"/>
        <v>1</v>
      </c>
      <c r="J297" s="24"/>
      <c r="K297" s="24"/>
    </row>
    <row r="298" spans="1:11" s="12" customFormat="1" ht="46.55" x14ac:dyDescent="0.3">
      <c r="A298" s="25" t="s">
        <v>451</v>
      </c>
      <c r="B298" s="59" t="s">
        <v>10</v>
      </c>
      <c r="C298" s="4" t="s">
        <v>683</v>
      </c>
      <c r="D298" s="4" t="s">
        <v>22</v>
      </c>
      <c r="E298" s="4" t="s">
        <v>482</v>
      </c>
      <c r="F298" s="4"/>
      <c r="G298" s="27">
        <f>G299</f>
        <v>716.13</v>
      </c>
      <c r="H298" s="56">
        <f>H299</f>
        <v>716.13</v>
      </c>
      <c r="I298" s="130">
        <f t="shared" ref="I298:I324" si="20">H298/G298</f>
        <v>1</v>
      </c>
      <c r="J298" s="24"/>
      <c r="K298" s="24"/>
    </row>
    <row r="299" spans="1:11" s="12" customFormat="1" ht="108.55" x14ac:dyDescent="0.3">
      <c r="A299" s="25" t="s">
        <v>389</v>
      </c>
      <c r="B299" s="59" t="s">
        <v>10</v>
      </c>
      <c r="C299" s="4" t="s">
        <v>683</v>
      </c>
      <c r="D299" s="4" t="s">
        <v>22</v>
      </c>
      <c r="E299" s="4" t="s">
        <v>482</v>
      </c>
      <c r="F299" s="4" t="s">
        <v>462</v>
      </c>
      <c r="G299" s="27">
        <f>750-33.87</f>
        <v>716.13</v>
      </c>
      <c r="H299" s="56">
        <f>750-33.87</f>
        <v>716.13</v>
      </c>
      <c r="I299" s="130">
        <f t="shared" si="20"/>
        <v>1</v>
      </c>
      <c r="J299" s="24"/>
      <c r="K299" s="24"/>
    </row>
    <row r="300" spans="1:11" s="12" customFormat="1" ht="93.05" x14ac:dyDescent="0.3">
      <c r="A300" s="25" t="s">
        <v>448</v>
      </c>
      <c r="B300" s="59" t="s">
        <v>10</v>
      </c>
      <c r="C300" s="4" t="s">
        <v>683</v>
      </c>
      <c r="D300" s="4" t="s">
        <v>22</v>
      </c>
      <c r="E300" s="4" t="s">
        <v>483</v>
      </c>
      <c r="F300" s="4"/>
      <c r="G300" s="27">
        <f>G301</f>
        <v>240000</v>
      </c>
      <c r="H300" s="56">
        <f>H301</f>
        <v>239178.64</v>
      </c>
      <c r="I300" s="130">
        <f t="shared" si="20"/>
        <v>0.99657766666666669</v>
      </c>
      <c r="J300" s="24"/>
      <c r="K300" s="24"/>
    </row>
    <row r="301" spans="1:11" s="12" customFormat="1" ht="108.55" x14ac:dyDescent="0.3">
      <c r="A301" s="25" t="s">
        <v>389</v>
      </c>
      <c r="B301" s="59" t="s">
        <v>10</v>
      </c>
      <c r="C301" s="4" t="s">
        <v>683</v>
      </c>
      <c r="D301" s="4" t="s">
        <v>22</v>
      </c>
      <c r="E301" s="4" t="s">
        <v>483</v>
      </c>
      <c r="F301" s="4" t="s">
        <v>462</v>
      </c>
      <c r="G301" s="27">
        <f>249715-750-8965</f>
        <v>240000</v>
      </c>
      <c r="H301" s="56">
        <v>239178.64</v>
      </c>
      <c r="I301" s="130">
        <f>H301/G301</f>
        <v>0.99657766666666669</v>
      </c>
      <c r="J301" s="24"/>
      <c r="K301" s="24"/>
    </row>
    <row r="302" spans="1:11" s="12" customFormat="1" ht="31.05" x14ac:dyDescent="0.3">
      <c r="A302" s="1" t="s">
        <v>582</v>
      </c>
      <c r="B302" s="105" t="s">
        <v>10</v>
      </c>
      <c r="C302" s="2" t="s">
        <v>683</v>
      </c>
      <c r="D302" s="2" t="s">
        <v>460</v>
      </c>
      <c r="E302" s="2"/>
      <c r="F302" s="2"/>
      <c r="G302" s="31">
        <f>G303+G307+G319+G326+G381</f>
        <v>29265873.750000004</v>
      </c>
      <c r="H302" s="57">
        <f>H303+H307+H319+H326+H381</f>
        <v>29022989.170000002</v>
      </c>
      <c r="I302" s="130">
        <f t="shared" si="20"/>
        <v>0.99170075761021825</v>
      </c>
      <c r="J302" s="24"/>
      <c r="K302" s="24"/>
    </row>
    <row r="303" spans="1:11" ht="77.55" x14ac:dyDescent="0.3">
      <c r="A303" s="1" t="s">
        <v>63</v>
      </c>
      <c r="B303" s="105" t="s">
        <v>10</v>
      </c>
      <c r="C303" s="2" t="s">
        <v>683</v>
      </c>
      <c r="D303" s="2" t="s">
        <v>460</v>
      </c>
      <c r="E303" s="2" t="s">
        <v>566</v>
      </c>
      <c r="F303" s="2"/>
      <c r="G303" s="31">
        <f t="shared" ref="G303:H305" si="21">G304</f>
        <v>287647.77</v>
      </c>
      <c r="H303" s="57">
        <f t="shared" si="21"/>
        <v>287647.77</v>
      </c>
      <c r="I303" s="129">
        <f t="shared" si="20"/>
        <v>1</v>
      </c>
    </row>
    <row r="304" spans="1:11" s="12" customFormat="1" ht="46.55" x14ac:dyDescent="0.3">
      <c r="A304" s="3" t="s">
        <v>484</v>
      </c>
      <c r="B304" s="59" t="s">
        <v>10</v>
      </c>
      <c r="C304" s="4" t="s">
        <v>683</v>
      </c>
      <c r="D304" s="4" t="s">
        <v>460</v>
      </c>
      <c r="E304" s="4" t="s">
        <v>485</v>
      </c>
      <c r="F304" s="4"/>
      <c r="G304" s="27">
        <f t="shared" si="21"/>
        <v>287647.77</v>
      </c>
      <c r="H304" s="56">
        <f t="shared" si="21"/>
        <v>287647.77</v>
      </c>
      <c r="I304" s="130">
        <f t="shared" si="20"/>
        <v>1</v>
      </c>
      <c r="J304" s="24"/>
      <c r="K304" s="24"/>
    </row>
    <row r="305" spans="1:11" s="12" customFormat="1" ht="46.55" x14ac:dyDescent="0.3">
      <c r="A305" s="3" t="s">
        <v>596</v>
      </c>
      <c r="B305" s="59" t="s">
        <v>10</v>
      </c>
      <c r="C305" s="4" t="s">
        <v>683</v>
      </c>
      <c r="D305" s="4" t="s">
        <v>460</v>
      </c>
      <c r="E305" s="4" t="s">
        <v>486</v>
      </c>
      <c r="F305" s="4"/>
      <c r="G305" s="27">
        <f t="shared" si="21"/>
        <v>287647.77</v>
      </c>
      <c r="H305" s="56">
        <f t="shared" si="21"/>
        <v>287647.77</v>
      </c>
      <c r="I305" s="130">
        <f t="shared" si="20"/>
        <v>1</v>
      </c>
      <c r="J305" s="24"/>
      <c r="K305" s="24"/>
    </row>
    <row r="306" spans="1:11" s="12" customFormat="1" ht="46.55" x14ac:dyDescent="0.3">
      <c r="A306" s="3" t="s">
        <v>543</v>
      </c>
      <c r="B306" s="59" t="s">
        <v>10</v>
      </c>
      <c r="C306" s="4" t="s">
        <v>683</v>
      </c>
      <c r="D306" s="4" t="s">
        <v>460</v>
      </c>
      <c r="E306" s="4" t="s">
        <v>486</v>
      </c>
      <c r="F306" s="4" t="s">
        <v>463</v>
      </c>
      <c r="G306" s="27">
        <f>485450-81175.91-82449.09-34177.23</f>
        <v>287647.77</v>
      </c>
      <c r="H306" s="56">
        <f>485450-81175.91-82449.09-34177.23</f>
        <v>287647.77</v>
      </c>
      <c r="I306" s="130">
        <f t="shared" si="20"/>
        <v>1</v>
      </c>
      <c r="J306" s="24"/>
      <c r="K306" s="24"/>
    </row>
    <row r="307" spans="1:11" ht="77.55" x14ac:dyDescent="0.3">
      <c r="A307" s="1" t="s">
        <v>66</v>
      </c>
      <c r="B307" s="105" t="s">
        <v>10</v>
      </c>
      <c r="C307" s="2" t="s">
        <v>683</v>
      </c>
      <c r="D307" s="2" t="s">
        <v>460</v>
      </c>
      <c r="E307" s="2" t="s">
        <v>487</v>
      </c>
      <c r="F307" s="2"/>
      <c r="G307" s="31">
        <f>G308+G315</f>
        <v>287000</v>
      </c>
      <c r="H307" s="57">
        <f>H308+H315</f>
        <v>285556</v>
      </c>
      <c r="I307" s="129">
        <f t="shared" si="20"/>
        <v>0.99496864111498262</v>
      </c>
    </row>
    <row r="308" spans="1:11" s="12" customFormat="1" ht="63" hidden="1" customHeight="1" x14ac:dyDescent="0.3">
      <c r="A308" s="3" t="s">
        <v>88</v>
      </c>
      <c r="B308" s="59" t="s">
        <v>10</v>
      </c>
      <c r="C308" s="4" t="s">
        <v>683</v>
      </c>
      <c r="D308" s="4" t="s">
        <v>460</v>
      </c>
      <c r="E308" s="4" t="s">
        <v>488</v>
      </c>
      <c r="F308" s="4"/>
      <c r="G308" s="27">
        <f>G309+G312</f>
        <v>0</v>
      </c>
      <c r="H308" s="56">
        <f>H309+H312</f>
        <v>0</v>
      </c>
      <c r="I308" s="130" t="e">
        <f t="shared" si="20"/>
        <v>#DIV/0!</v>
      </c>
      <c r="J308" s="24"/>
      <c r="K308" s="24"/>
    </row>
    <row r="309" spans="1:11" s="12" customFormat="1" ht="47.25" hidden="1" customHeight="1" x14ac:dyDescent="0.3">
      <c r="A309" s="3" t="s">
        <v>211</v>
      </c>
      <c r="B309" s="59" t="s">
        <v>10</v>
      </c>
      <c r="C309" s="4" t="s">
        <v>683</v>
      </c>
      <c r="D309" s="4" t="s">
        <v>460</v>
      </c>
      <c r="E309" s="4" t="s">
        <v>157</v>
      </c>
      <c r="F309" s="4"/>
      <c r="G309" s="27">
        <f>G310</f>
        <v>0</v>
      </c>
      <c r="H309" s="56">
        <f>H310</f>
        <v>0</v>
      </c>
      <c r="I309" s="130" t="e">
        <f t="shared" si="20"/>
        <v>#DIV/0!</v>
      </c>
      <c r="J309" s="24"/>
      <c r="K309" s="24"/>
    </row>
    <row r="310" spans="1:11" s="12" customFormat="1" ht="31.6" hidden="1" customHeight="1" x14ac:dyDescent="0.3">
      <c r="A310" s="3" t="s">
        <v>393</v>
      </c>
      <c r="B310" s="59" t="s">
        <v>10</v>
      </c>
      <c r="C310" s="4" t="s">
        <v>683</v>
      </c>
      <c r="D310" s="4" t="s">
        <v>460</v>
      </c>
      <c r="E310" s="4" t="s">
        <v>158</v>
      </c>
      <c r="F310" s="4"/>
      <c r="G310" s="27">
        <f>G311</f>
        <v>0</v>
      </c>
      <c r="H310" s="56">
        <f>H311</f>
        <v>0</v>
      </c>
      <c r="I310" s="130" t="e">
        <f t="shared" si="20"/>
        <v>#DIV/0!</v>
      </c>
      <c r="J310" s="24"/>
      <c r="K310" s="24"/>
    </row>
    <row r="311" spans="1:11" s="12" customFormat="1" ht="47.25" hidden="1" customHeight="1" x14ac:dyDescent="0.3">
      <c r="A311" s="3" t="s">
        <v>543</v>
      </c>
      <c r="B311" s="59" t="s">
        <v>10</v>
      </c>
      <c r="C311" s="4" t="s">
        <v>683</v>
      </c>
      <c r="D311" s="4" t="s">
        <v>460</v>
      </c>
      <c r="E311" s="4" t="s">
        <v>158</v>
      </c>
      <c r="F311" s="4" t="s">
        <v>463</v>
      </c>
      <c r="G311" s="27">
        <f>3000000-2600000-349245.45-50754.55</f>
        <v>0</v>
      </c>
      <c r="H311" s="56">
        <f>3000000-2600000-349245.45-50754.55</f>
        <v>0</v>
      </c>
      <c r="I311" s="130" t="e">
        <f t="shared" si="20"/>
        <v>#DIV/0!</v>
      </c>
      <c r="J311" s="24"/>
      <c r="K311" s="24"/>
    </row>
    <row r="312" spans="1:11" s="12" customFormat="1" ht="31.6" hidden="1" customHeight="1" x14ac:dyDescent="0.3">
      <c r="A312" s="3" t="s">
        <v>212</v>
      </c>
      <c r="B312" s="59" t="s">
        <v>10</v>
      </c>
      <c r="C312" s="4" t="s">
        <v>683</v>
      </c>
      <c r="D312" s="4" t="s">
        <v>460</v>
      </c>
      <c r="E312" s="4" t="s">
        <v>213</v>
      </c>
      <c r="F312" s="4"/>
      <c r="G312" s="27">
        <f>G313</f>
        <v>0</v>
      </c>
      <c r="H312" s="56">
        <f>H313</f>
        <v>0</v>
      </c>
      <c r="I312" s="130" t="e">
        <f t="shared" si="20"/>
        <v>#DIV/0!</v>
      </c>
      <c r="J312" s="24"/>
      <c r="K312" s="24"/>
    </row>
    <row r="313" spans="1:11" s="12" customFormat="1" ht="31.6" hidden="1" customHeight="1" x14ac:dyDescent="0.3">
      <c r="A313" s="3" t="s">
        <v>393</v>
      </c>
      <c r="B313" s="59" t="s">
        <v>10</v>
      </c>
      <c r="C313" s="4" t="s">
        <v>683</v>
      </c>
      <c r="D313" s="4" t="s">
        <v>460</v>
      </c>
      <c r="E313" s="4" t="s">
        <v>214</v>
      </c>
      <c r="F313" s="4"/>
      <c r="G313" s="27">
        <f>G314</f>
        <v>0</v>
      </c>
      <c r="H313" s="56">
        <f>H314</f>
        <v>0</v>
      </c>
      <c r="I313" s="129" t="e">
        <f t="shared" si="20"/>
        <v>#DIV/0!</v>
      </c>
      <c r="J313" s="24"/>
      <c r="K313" s="24"/>
    </row>
    <row r="314" spans="1:11" s="12" customFormat="1" ht="47.25" hidden="1" customHeight="1" x14ac:dyDescent="0.3">
      <c r="A314" s="3" t="s">
        <v>543</v>
      </c>
      <c r="B314" s="59" t="s">
        <v>10</v>
      </c>
      <c r="C314" s="4" t="s">
        <v>683</v>
      </c>
      <c r="D314" s="4" t="s">
        <v>460</v>
      </c>
      <c r="E314" s="4" t="s">
        <v>214</v>
      </c>
      <c r="F314" s="4" t="s">
        <v>463</v>
      </c>
      <c r="G314" s="27">
        <f>2500000-2500000</f>
        <v>0</v>
      </c>
      <c r="H314" s="56">
        <f>2500000-2500000</f>
        <v>0</v>
      </c>
      <c r="I314" s="130" t="e">
        <f t="shared" si="20"/>
        <v>#DIV/0!</v>
      </c>
      <c r="J314" s="24"/>
      <c r="K314" s="24"/>
    </row>
    <row r="315" spans="1:11" s="12" customFormat="1" ht="46.55" x14ac:dyDescent="0.3">
      <c r="A315" s="3" t="s">
        <v>796</v>
      </c>
      <c r="B315" s="59" t="s">
        <v>10</v>
      </c>
      <c r="C315" s="4" t="s">
        <v>683</v>
      </c>
      <c r="D315" s="4" t="s">
        <v>460</v>
      </c>
      <c r="E315" s="4" t="s">
        <v>797</v>
      </c>
      <c r="F315" s="4"/>
      <c r="G315" s="27">
        <f t="shared" ref="G315:H317" si="22">G316</f>
        <v>287000</v>
      </c>
      <c r="H315" s="56">
        <f t="shared" si="22"/>
        <v>285556</v>
      </c>
      <c r="I315" s="130">
        <f t="shared" si="20"/>
        <v>0.99496864111498262</v>
      </c>
      <c r="J315" s="24"/>
      <c r="K315" s="24"/>
    </row>
    <row r="316" spans="1:11" s="12" customFormat="1" ht="77.55" x14ac:dyDescent="0.3">
      <c r="A316" s="3" t="s">
        <v>859</v>
      </c>
      <c r="B316" s="59" t="s">
        <v>10</v>
      </c>
      <c r="C316" s="4" t="s">
        <v>683</v>
      </c>
      <c r="D316" s="4" t="s">
        <v>460</v>
      </c>
      <c r="E316" s="4" t="s">
        <v>860</v>
      </c>
      <c r="F316" s="4"/>
      <c r="G316" s="27">
        <f t="shared" si="22"/>
        <v>287000</v>
      </c>
      <c r="H316" s="56">
        <f t="shared" si="22"/>
        <v>285556</v>
      </c>
      <c r="I316" s="130">
        <f t="shared" si="20"/>
        <v>0.99496864111498262</v>
      </c>
      <c r="J316" s="24"/>
      <c r="K316" s="24"/>
    </row>
    <row r="317" spans="1:11" s="12" customFormat="1" ht="31.05" x14ac:dyDescent="0.3">
      <c r="A317" s="3" t="s">
        <v>393</v>
      </c>
      <c r="B317" s="59" t="s">
        <v>10</v>
      </c>
      <c r="C317" s="4" t="s">
        <v>683</v>
      </c>
      <c r="D317" s="4" t="s">
        <v>460</v>
      </c>
      <c r="E317" s="4" t="s">
        <v>861</v>
      </c>
      <c r="F317" s="4"/>
      <c r="G317" s="27">
        <f t="shared" si="22"/>
        <v>287000</v>
      </c>
      <c r="H317" s="56">
        <f t="shared" si="22"/>
        <v>285556</v>
      </c>
      <c r="I317" s="130">
        <f t="shared" si="20"/>
        <v>0.99496864111498262</v>
      </c>
      <c r="J317" s="24"/>
      <c r="K317" s="24"/>
    </row>
    <row r="318" spans="1:11" s="12" customFormat="1" ht="46.55" x14ac:dyDescent="0.3">
      <c r="A318" s="3" t="s">
        <v>543</v>
      </c>
      <c r="B318" s="59" t="s">
        <v>10</v>
      </c>
      <c r="C318" s="4" t="s">
        <v>683</v>
      </c>
      <c r="D318" s="4" t="s">
        <v>460</v>
      </c>
      <c r="E318" s="4" t="s">
        <v>861</v>
      </c>
      <c r="F318" s="4" t="s">
        <v>463</v>
      </c>
      <c r="G318" s="27">
        <f>287000</f>
        <v>287000</v>
      </c>
      <c r="H318" s="56">
        <v>285556</v>
      </c>
      <c r="I318" s="130">
        <f t="shared" si="20"/>
        <v>0.99496864111498262</v>
      </c>
      <c r="J318" s="24"/>
      <c r="K318" s="24"/>
    </row>
    <row r="319" spans="1:11" ht="93.05" x14ac:dyDescent="0.3">
      <c r="A319" s="1" t="s">
        <v>48</v>
      </c>
      <c r="B319" s="105" t="s">
        <v>10</v>
      </c>
      <c r="C319" s="2" t="s">
        <v>683</v>
      </c>
      <c r="D319" s="2" t="s">
        <v>460</v>
      </c>
      <c r="E319" s="2" t="s">
        <v>133</v>
      </c>
      <c r="F319" s="2"/>
      <c r="G319" s="31">
        <f>G320+G323</f>
        <v>78710.25</v>
      </c>
      <c r="H319" s="57">
        <f>H320+H323</f>
        <v>78710.25</v>
      </c>
      <c r="I319" s="129">
        <f t="shared" si="20"/>
        <v>1</v>
      </c>
    </row>
    <row r="320" spans="1:11" s="12" customFormat="1" ht="46.55" x14ac:dyDescent="0.3">
      <c r="A320" s="3" t="s">
        <v>805</v>
      </c>
      <c r="B320" s="59" t="s">
        <v>10</v>
      </c>
      <c r="C320" s="4" t="s">
        <v>683</v>
      </c>
      <c r="D320" s="4" t="s">
        <v>460</v>
      </c>
      <c r="E320" s="4" t="s">
        <v>134</v>
      </c>
      <c r="F320" s="4"/>
      <c r="G320" s="27">
        <f>G321</f>
        <v>78710.25</v>
      </c>
      <c r="H320" s="56">
        <f>H321</f>
        <v>78710.25</v>
      </c>
      <c r="I320" s="130">
        <f t="shared" si="20"/>
        <v>1</v>
      </c>
      <c r="J320" s="24"/>
      <c r="K320" s="24"/>
    </row>
    <row r="321" spans="1:11" s="12" customFormat="1" ht="31.05" x14ac:dyDescent="0.3">
      <c r="A321" s="3" t="s">
        <v>393</v>
      </c>
      <c r="B321" s="59" t="s">
        <v>10</v>
      </c>
      <c r="C321" s="4" t="s">
        <v>683</v>
      </c>
      <c r="D321" s="4" t="s">
        <v>460</v>
      </c>
      <c r="E321" s="4" t="s">
        <v>135</v>
      </c>
      <c r="F321" s="4"/>
      <c r="G321" s="27">
        <f>G322</f>
        <v>78710.25</v>
      </c>
      <c r="H321" s="56">
        <f>H322</f>
        <v>78710.25</v>
      </c>
      <c r="I321" s="130">
        <f t="shared" si="20"/>
        <v>1</v>
      </c>
      <c r="J321" s="24"/>
      <c r="K321" s="24"/>
    </row>
    <row r="322" spans="1:11" s="12" customFormat="1" ht="46.55" x14ac:dyDescent="0.3">
      <c r="A322" s="3" t="s">
        <v>543</v>
      </c>
      <c r="B322" s="59" t="s">
        <v>10</v>
      </c>
      <c r="C322" s="4" t="s">
        <v>683</v>
      </c>
      <c r="D322" s="4" t="s">
        <v>460</v>
      </c>
      <c r="E322" s="4" t="s">
        <v>135</v>
      </c>
      <c r="F322" s="4" t="s">
        <v>463</v>
      </c>
      <c r="G322" s="27">
        <f>135375+10104-60000-6768.75</f>
        <v>78710.25</v>
      </c>
      <c r="H322" s="56">
        <f>135375+10104-60000-6768.75</f>
        <v>78710.25</v>
      </c>
      <c r="I322" s="130">
        <f t="shared" si="20"/>
        <v>1</v>
      </c>
      <c r="J322" s="24"/>
      <c r="K322" s="24"/>
    </row>
    <row r="323" spans="1:11" s="12" customFormat="1" ht="78.8" hidden="1" customHeight="1" x14ac:dyDescent="0.3">
      <c r="A323" s="3" t="s">
        <v>684</v>
      </c>
      <c r="B323" s="59" t="s">
        <v>10</v>
      </c>
      <c r="C323" s="4" t="s">
        <v>683</v>
      </c>
      <c r="D323" s="4" t="s">
        <v>460</v>
      </c>
      <c r="E323" s="4" t="s">
        <v>159</v>
      </c>
      <c r="F323" s="4"/>
      <c r="G323" s="27">
        <f>G324</f>
        <v>0</v>
      </c>
      <c r="H323" s="56">
        <f>H324</f>
        <v>0</v>
      </c>
      <c r="I323" s="130" t="e">
        <f t="shared" si="20"/>
        <v>#DIV/0!</v>
      </c>
      <c r="J323" s="24"/>
      <c r="K323" s="24"/>
    </row>
    <row r="324" spans="1:11" s="12" customFormat="1" ht="31.6" hidden="1" customHeight="1" x14ac:dyDescent="0.3">
      <c r="A324" s="3" t="s">
        <v>393</v>
      </c>
      <c r="B324" s="59" t="s">
        <v>10</v>
      </c>
      <c r="C324" s="4" t="s">
        <v>683</v>
      </c>
      <c r="D324" s="4" t="s">
        <v>460</v>
      </c>
      <c r="E324" s="4" t="s">
        <v>160</v>
      </c>
      <c r="F324" s="4"/>
      <c r="G324" s="27">
        <f>G325</f>
        <v>0</v>
      </c>
      <c r="H324" s="56">
        <f>H325</f>
        <v>0</v>
      </c>
      <c r="I324" s="130" t="e">
        <f t="shared" si="20"/>
        <v>#DIV/0!</v>
      </c>
      <c r="J324" s="24"/>
      <c r="K324" s="24"/>
    </row>
    <row r="325" spans="1:11" s="12" customFormat="1" ht="15.8" customHeight="1" x14ac:dyDescent="0.3">
      <c r="A325" s="3" t="s">
        <v>732</v>
      </c>
      <c r="B325" s="59" t="s">
        <v>10</v>
      </c>
      <c r="C325" s="4" t="s">
        <v>683</v>
      </c>
      <c r="D325" s="4" t="s">
        <v>460</v>
      </c>
      <c r="E325" s="4" t="s">
        <v>160</v>
      </c>
      <c r="F325" s="4" t="s">
        <v>466</v>
      </c>
      <c r="G325" s="27">
        <f>47500-47500</f>
        <v>0</v>
      </c>
      <c r="H325" s="56">
        <f>47500-47500</f>
        <v>0</v>
      </c>
      <c r="I325" s="130">
        <f>I326</f>
        <v>0.99582203030510175</v>
      </c>
      <c r="J325" s="24"/>
      <c r="K325" s="24"/>
    </row>
    <row r="326" spans="1:11" ht="62.05" x14ac:dyDescent="0.3">
      <c r="A326" s="46" t="s">
        <v>62</v>
      </c>
      <c r="B326" s="105" t="s">
        <v>10</v>
      </c>
      <c r="C326" s="2" t="s">
        <v>683</v>
      </c>
      <c r="D326" s="2" t="s">
        <v>460</v>
      </c>
      <c r="E326" s="2" t="s">
        <v>547</v>
      </c>
      <c r="F326" s="2"/>
      <c r="G326" s="31">
        <f>G327+G337+G369+G366</f>
        <v>27574328.780000005</v>
      </c>
      <c r="H326" s="57">
        <f>H327+H337+H369+H366</f>
        <v>27459124.070000004</v>
      </c>
      <c r="I326" s="129">
        <f t="shared" ref="I326:I332" si="23">H326/G326</f>
        <v>0.99582203030510175</v>
      </c>
    </row>
    <row r="327" spans="1:11" s="12" customFormat="1" ht="77.55" x14ac:dyDescent="0.3">
      <c r="A327" s="25" t="s">
        <v>79</v>
      </c>
      <c r="B327" s="59" t="s">
        <v>10</v>
      </c>
      <c r="C327" s="4" t="s">
        <v>683</v>
      </c>
      <c r="D327" s="4" t="s">
        <v>460</v>
      </c>
      <c r="E327" s="4" t="s">
        <v>478</v>
      </c>
      <c r="F327" s="4"/>
      <c r="G327" s="27">
        <f>G331+G334+G328</f>
        <v>694078.14</v>
      </c>
      <c r="H327" s="56">
        <f>H331+H334+H328</f>
        <v>667578.14</v>
      </c>
      <c r="I327" s="130">
        <f t="shared" si="23"/>
        <v>0.96181986080126369</v>
      </c>
      <c r="J327" s="24"/>
      <c r="K327" s="24"/>
    </row>
    <row r="328" spans="1:11" s="12" customFormat="1" ht="46.55" x14ac:dyDescent="0.3">
      <c r="A328" s="25" t="s">
        <v>479</v>
      </c>
      <c r="B328" s="59" t="s">
        <v>10</v>
      </c>
      <c r="C328" s="4" t="s">
        <v>683</v>
      </c>
      <c r="D328" s="4" t="s">
        <v>460</v>
      </c>
      <c r="E328" s="4" t="s">
        <v>480</v>
      </c>
      <c r="F328" s="4"/>
      <c r="G328" s="27">
        <f>G329</f>
        <v>43913.37</v>
      </c>
      <c r="H328" s="56">
        <f>H329</f>
        <v>43913.37</v>
      </c>
      <c r="I328" s="130">
        <f t="shared" si="23"/>
        <v>1</v>
      </c>
      <c r="J328" s="24"/>
      <c r="K328" s="24"/>
    </row>
    <row r="329" spans="1:11" s="12" customFormat="1" ht="31.05" x14ac:dyDescent="0.3">
      <c r="A329" s="25" t="s">
        <v>393</v>
      </c>
      <c r="B329" s="59" t="s">
        <v>10</v>
      </c>
      <c r="C329" s="4" t="s">
        <v>683</v>
      </c>
      <c r="D329" s="4" t="s">
        <v>460</v>
      </c>
      <c r="E329" s="4" t="s">
        <v>872</v>
      </c>
      <c r="F329" s="4"/>
      <c r="G329" s="27">
        <f>G330</f>
        <v>43913.37</v>
      </c>
      <c r="H329" s="56">
        <f>H330</f>
        <v>43913.37</v>
      </c>
      <c r="I329" s="130">
        <f t="shared" si="23"/>
        <v>1</v>
      </c>
      <c r="J329" s="24"/>
      <c r="K329" s="24"/>
    </row>
    <row r="330" spans="1:11" s="12" customFormat="1" ht="31.05" x14ac:dyDescent="0.3">
      <c r="A330" s="25" t="s">
        <v>430</v>
      </c>
      <c r="B330" s="59" t="s">
        <v>10</v>
      </c>
      <c r="C330" s="4" t="s">
        <v>683</v>
      </c>
      <c r="D330" s="4" t="s">
        <v>460</v>
      </c>
      <c r="E330" s="4" t="s">
        <v>872</v>
      </c>
      <c r="F330" s="4" t="s">
        <v>431</v>
      </c>
      <c r="G330" s="27">
        <f>43913.37</f>
        <v>43913.37</v>
      </c>
      <c r="H330" s="56">
        <f>43913.37</f>
        <v>43913.37</v>
      </c>
      <c r="I330" s="130">
        <f t="shared" si="23"/>
        <v>1</v>
      </c>
      <c r="J330" s="24"/>
      <c r="K330" s="24"/>
    </row>
    <row r="331" spans="1:11" s="12" customFormat="1" ht="93.05" x14ac:dyDescent="0.3">
      <c r="A331" s="25" t="s">
        <v>136</v>
      </c>
      <c r="B331" s="59" t="s">
        <v>10</v>
      </c>
      <c r="C331" s="4" t="s">
        <v>683</v>
      </c>
      <c r="D331" s="4" t="s">
        <v>460</v>
      </c>
      <c r="E331" s="4" t="s">
        <v>137</v>
      </c>
      <c r="F331" s="4"/>
      <c r="G331" s="27">
        <f>G332</f>
        <v>123764.76999999996</v>
      </c>
      <c r="H331" s="56">
        <f>H332</f>
        <v>123764.76999999996</v>
      </c>
      <c r="I331" s="130">
        <f t="shared" si="23"/>
        <v>1</v>
      </c>
      <c r="J331" s="24"/>
      <c r="K331" s="24"/>
    </row>
    <row r="332" spans="1:11" s="12" customFormat="1" ht="62.05" x14ac:dyDescent="0.3">
      <c r="A332" s="25" t="s">
        <v>681</v>
      </c>
      <c r="B332" s="59" t="s">
        <v>10</v>
      </c>
      <c r="C332" s="4" t="s">
        <v>683</v>
      </c>
      <c r="D332" s="4" t="s">
        <v>460</v>
      </c>
      <c r="E332" s="4" t="s">
        <v>138</v>
      </c>
      <c r="F332" s="4"/>
      <c r="G332" s="27">
        <f>G333</f>
        <v>123764.76999999996</v>
      </c>
      <c r="H332" s="56">
        <f>H333</f>
        <v>123764.76999999996</v>
      </c>
      <c r="I332" s="130">
        <f t="shared" si="23"/>
        <v>1</v>
      </c>
      <c r="J332" s="24"/>
      <c r="K332" s="24"/>
    </row>
    <row r="333" spans="1:11" s="12" customFormat="1" ht="46.55" x14ac:dyDescent="0.3">
      <c r="A333" s="3" t="s">
        <v>543</v>
      </c>
      <c r="B333" s="59" t="s">
        <v>10</v>
      </c>
      <c r="C333" s="4" t="s">
        <v>683</v>
      </c>
      <c r="D333" s="4" t="s">
        <v>460</v>
      </c>
      <c r="E333" s="4" t="s">
        <v>138</v>
      </c>
      <c r="F333" s="4" t="s">
        <v>463</v>
      </c>
      <c r="G333" s="27">
        <f>1164998.71-722880-250000-10104-58249.94</f>
        <v>123764.76999999996</v>
      </c>
      <c r="H333" s="56">
        <f>1164998.71-722880-250000-10104-58249.94</f>
        <v>123764.76999999996</v>
      </c>
      <c r="I333" s="130">
        <f t="shared" ref="I333:I335" si="24">I334</f>
        <v>0.9496580547112462</v>
      </c>
      <c r="J333" s="24"/>
      <c r="K333" s="24"/>
    </row>
    <row r="334" spans="1:11" s="12" customFormat="1" ht="124.1" x14ac:dyDescent="0.3">
      <c r="A334" s="3" t="s">
        <v>780</v>
      </c>
      <c r="B334" s="59" t="s">
        <v>10</v>
      </c>
      <c r="C334" s="4" t="s">
        <v>683</v>
      </c>
      <c r="D334" s="4" t="s">
        <v>460</v>
      </c>
      <c r="E334" s="4" t="s">
        <v>186</v>
      </c>
      <c r="F334" s="4"/>
      <c r="G334" s="27">
        <f>G335</f>
        <v>526400</v>
      </c>
      <c r="H334" s="56">
        <f>H335</f>
        <v>499900</v>
      </c>
      <c r="I334" s="130">
        <f t="shared" si="24"/>
        <v>0.9496580547112462</v>
      </c>
      <c r="J334" s="24"/>
      <c r="K334" s="24"/>
    </row>
    <row r="335" spans="1:11" s="12" customFormat="1" ht="31.05" x14ac:dyDescent="0.3">
      <c r="A335" s="3" t="s">
        <v>393</v>
      </c>
      <c r="B335" s="59" t="s">
        <v>10</v>
      </c>
      <c r="C335" s="4" t="s">
        <v>683</v>
      </c>
      <c r="D335" s="4" t="s">
        <v>460</v>
      </c>
      <c r="E335" s="4" t="s">
        <v>187</v>
      </c>
      <c r="F335" s="4"/>
      <c r="G335" s="27">
        <f>G336</f>
        <v>526400</v>
      </c>
      <c r="H335" s="56">
        <f>H336</f>
        <v>499900</v>
      </c>
      <c r="I335" s="130">
        <f t="shared" si="24"/>
        <v>0.9496580547112462</v>
      </c>
      <c r="J335" s="24"/>
      <c r="K335" s="24"/>
    </row>
    <row r="336" spans="1:11" s="12" customFormat="1" ht="46.55" x14ac:dyDescent="0.3">
      <c r="A336" s="3" t="s">
        <v>543</v>
      </c>
      <c r="B336" s="59" t="s">
        <v>10</v>
      </c>
      <c r="C336" s="4" t="s">
        <v>683</v>
      </c>
      <c r="D336" s="4" t="s">
        <v>460</v>
      </c>
      <c r="E336" s="4" t="s">
        <v>187</v>
      </c>
      <c r="F336" s="4" t="s">
        <v>463</v>
      </c>
      <c r="G336" s="27">
        <f>526500-100</f>
        <v>526400</v>
      </c>
      <c r="H336" s="56">
        <v>499900</v>
      </c>
      <c r="I336" s="130">
        <f>H336/G336</f>
        <v>0.9496580547112462</v>
      </c>
      <c r="J336" s="24"/>
      <c r="K336" s="24"/>
    </row>
    <row r="337" spans="1:11" s="12" customFormat="1" ht="77.55" x14ac:dyDescent="0.3">
      <c r="A337" s="3" t="s">
        <v>2</v>
      </c>
      <c r="B337" s="59" t="s">
        <v>10</v>
      </c>
      <c r="C337" s="4" t="s">
        <v>683</v>
      </c>
      <c r="D337" s="4" t="s">
        <v>460</v>
      </c>
      <c r="E337" s="4" t="s">
        <v>368</v>
      </c>
      <c r="F337" s="4"/>
      <c r="G337" s="27">
        <f>G338+G347+G350+G359+G356</f>
        <v>26671820.140000004</v>
      </c>
      <c r="H337" s="56">
        <f>H338+H347+H350+H359+H356</f>
        <v>26596557.930000003</v>
      </c>
      <c r="I337" s="130">
        <f t="shared" ref="I337:I349" si="25">H337/G337</f>
        <v>0.99717821245025839</v>
      </c>
      <c r="J337" s="24"/>
      <c r="K337" s="24"/>
    </row>
    <row r="338" spans="1:11" s="12" customFormat="1" ht="155.1" x14ac:dyDescent="0.3">
      <c r="A338" s="3" t="s">
        <v>392</v>
      </c>
      <c r="B338" s="59" t="s">
        <v>10</v>
      </c>
      <c r="C338" s="4" t="s">
        <v>683</v>
      </c>
      <c r="D338" s="4" t="s">
        <v>460</v>
      </c>
      <c r="E338" s="4" t="s">
        <v>369</v>
      </c>
      <c r="F338" s="4"/>
      <c r="G338" s="27">
        <f>G339+G343+G345</f>
        <v>17964095.880000003</v>
      </c>
      <c r="H338" s="56">
        <f>H339+H343+H345</f>
        <v>17964095.880000003</v>
      </c>
      <c r="I338" s="130">
        <f t="shared" si="25"/>
        <v>1</v>
      </c>
      <c r="J338" s="24"/>
      <c r="K338" s="24"/>
    </row>
    <row r="339" spans="1:11" s="12" customFormat="1" ht="93.05" x14ac:dyDescent="0.3">
      <c r="A339" s="3" t="s">
        <v>589</v>
      </c>
      <c r="B339" s="59" t="s">
        <v>10</v>
      </c>
      <c r="C339" s="4" t="s">
        <v>683</v>
      </c>
      <c r="D339" s="4" t="s">
        <v>460</v>
      </c>
      <c r="E339" s="4" t="s">
        <v>370</v>
      </c>
      <c r="F339" s="4"/>
      <c r="G339" s="27">
        <f>G340+G341+G342</f>
        <v>17662412.150000002</v>
      </c>
      <c r="H339" s="56">
        <f>H340+H341+H342</f>
        <v>17662412.150000002</v>
      </c>
      <c r="I339" s="130">
        <f t="shared" si="25"/>
        <v>1</v>
      </c>
      <c r="J339" s="24"/>
      <c r="K339" s="24"/>
    </row>
    <row r="340" spans="1:11" s="12" customFormat="1" ht="108.55" x14ac:dyDescent="0.3">
      <c r="A340" s="3" t="s">
        <v>50</v>
      </c>
      <c r="B340" s="59" t="s">
        <v>10</v>
      </c>
      <c r="C340" s="4" t="s">
        <v>683</v>
      </c>
      <c r="D340" s="4" t="s">
        <v>460</v>
      </c>
      <c r="E340" s="4" t="s">
        <v>370</v>
      </c>
      <c r="F340" s="4" t="s">
        <v>462</v>
      </c>
      <c r="G340" s="27">
        <f>15831999.8+408752.24-39650+9929+6046.08+530275.62+116194.43</f>
        <v>16863547.170000002</v>
      </c>
      <c r="H340" s="56">
        <f>15831999.8+408752.24-39650+9929+6046.08+530275.62+116194.43</f>
        <v>16863547.170000002</v>
      </c>
      <c r="I340" s="130">
        <f t="shared" si="25"/>
        <v>1</v>
      </c>
      <c r="J340" s="24"/>
      <c r="K340" s="24"/>
    </row>
    <row r="341" spans="1:11" s="12" customFormat="1" ht="46.55" x14ac:dyDescent="0.3">
      <c r="A341" s="3" t="s">
        <v>51</v>
      </c>
      <c r="B341" s="59" t="s">
        <v>10</v>
      </c>
      <c r="C341" s="4" t="s">
        <v>683</v>
      </c>
      <c r="D341" s="4" t="s">
        <v>460</v>
      </c>
      <c r="E341" s="4" t="s">
        <v>370</v>
      </c>
      <c r="F341" s="4" t="s">
        <v>463</v>
      </c>
      <c r="G341" s="27">
        <f>413831.38+432858.07-800+39650+11860-57700-4876.55-37457.92</f>
        <v>797364.97999999986</v>
      </c>
      <c r="H341" s="56">
        <f>413831.38+432858.07-800+39650+11860-57700-4876.55-37457.92</f>
        <v>797364.97999999986</v>
      </c>
      <c r="I341" s="130">
        <f t="shared" si="25"/>
        <v>1</v>
      </c>
      <c r="J341" s="24"/>
      <c r="K341" s="24"/>
    </row>
    <row r="342" spans="1:11" s="12" customFormat="1" x14ac:dyDescent="0.3">
      <c r="A342" s="3" t="s">
        <v>732</v>
      </c>
      <c r="B342" s="59" t="s">
        <v>10</v>
      </c>
      <c r="C342" s="4" t="s">
        <v>683</v>
      </c>
      <c r="D342" s="4" t="s">
        <v>460</v>
      </c>
      <c r="E342" s="4" t="s">
        <v>370</v>
      </c>
      <c r="F342" s="4" t="s">
        <v>466</v>
      </c>
      <c r="G342" s="27">
        <f>800+700</f>
        <v>1500</v>
      </c>
      <c r="H342" s="56">
        <f>800+700</f>
        <v>1500</v>
      </c>
      <c r="I342" s="130">
        <f t="shared" si="25"/>
        <v>1</v>
      </c>
      <c r="J342" s="24"/>
      <c r="K342" s="24"/>
    </row>
    <row r="343" spans="1:11" s="12" customFormat="1" ht="93.05" x14ac:dyDescent="0.3">
      <c r="A343" s="3" t="s">
        <v>448</v>
      </c>
      <c r="B343" s="59" t="s">
        <v>10</v>
      </c>
      <c r="C343" s="4" t="s">
        <v>683</v>
      </c>
      <c r="D343" s="4" t="s">
        <v>460</v>
      </c>
      <c r="E343" s="4" t="s">
        <v>371</v>
      </c>
      <c r="F343" s="4"/>
      <c r="G343" s="27">
        <f>G344</f>
        <v>301683.73</v>
      </c>
      <c r="H343" s="56">
        <f>H344</f>
        <v>301683.73</v>
      </c>
      <c r="I343" s="130">
        <f t="shared" si="25"/>
        <v>1</v>
      </c>
      <c r="J343" s="24"/>
      <c r="K343" s="24"/>
    </row>
    <row r="344" spans="1:11" s="12" customFormat="1" ht="108.55" x14ac:dyDescent="0.3">
      <c r="A344" s="3" t="s">
        <v>389</v>
      </c>
      <c r="B344" s="59" t="s">
        <v>10</v>
      </c>
      <c r="C344" s="4" t="s">
        <v>683</v>
      </c>
      <c r="D344" s="4" t="s">
        <v>460</v>
      </c>
      <c r="E344" s="4" t="s">
        <v>371</v>
      </c>
      <c r="F344" s="4" t="s">
        <v>462</v>
      </c>
      <c r="G344" s="27">
        <f>117693+66377.34+50953.92+66659.47</f>
        <v>301683.73</v>
      </c>
      <c r="H344" s="56">
        <f>117693+66377.34+50953.92+66659.47</f>
        <v>301683.73</v>
      </c>
      <c r="I344" s="130">
        <f t="shared" si="25"/>
        <v>1</v>
      </c>
      <c r="J344" s="24"/>
      <c r="K344" s="24"/>
    </row>
    <row r="345" spans="1:11" s="12" customFormat="1" ht="31.6" hidden="1" customHeight="1" x14ac:dyDescent="0.3">
      <c r="A345" s="3" t="s">
        <v>393</v>
      </c>
      <c r="B345" s="59" t="s">
        <v>10</v>
      </c>
      <c r="C345" s="4" t="s">
        <v>683</v>
      </c>
      <c r="D345" s="4" t="s">
        <v>460</v>
      </c>
      <c r="E345" s="4" t="s">
        <v>161</v>
      </c>
      <c r="F345" s="4"/>
      <c r="G345" s="27">
        <f>G346</f>
        <v>0</v>
      </c>
      <c r="H345" s="56">
        <f>H346</f>
        <v>0</v>
      </c>
      <c r="I345" s="130" t="e">
        <f t="shared" si="25"/>
        <v>#DIV/0!</v>
      </c>
      <c r="J345" s="24"/>
      <c r="K345" s="24"/>
    </row>
    <row r="346" spans="1:11" s="12" customFormat="1" ht="47.25" hidden="1" customHeight="1" x14ac:dyDescent="0.3">
      <c r="A346" s="3" t="s">
        <v>543</v>
      </c>
      <c r="B346" s="59" t="s">
        <v>10</v>
      </c>
      <c r="C346" s="4" t="s">
        <v>683</v>
      </c>
      <c r="D346" s="4" t="s">
        <v>460</v>
      </c>
      <c r="E346" s="4" t="s">
        <v>161</v>
      </c>
      <c r="F346" s="4" t="s">
        <v>463</v>
      </c>
      <c r="G346" s="27">
        <f>61000-61000</f>
        <v>0</v>
      </c>
      <c r="H346" s="56">
        <f>61000-61000</f>
        <v>0</v>
      </c>
      <c r="I346" s="130" t="e">
        <f t="shared" si="25"/>
        <v>#DIV/0!</v>
      </c>
      <c r="J346" s="24"/>
      <c r="K346" s="24"/>
    </row>
    <row r="347" spans="1:11" s="12" customFormat="1" ht="77.55" x14ac:dyDescent="0.3">
      <c r="A347" s="3" t="s">
        <v>162</v>
      </c>
      <c r="B347" s="59" t="s">
        <v>10</v>
      </c>
      <c r="C347" s="4" t="s">
        <v>683</v>
      </c>
      <c r="D347" s="4" t="s">
        <v>460</v>
      </c>
      <c r="E347" s="4" t="s">
        <v>163</v>
      </c>
      <c r="F347" s="4"/>
      <c r="G347" s="27">
        <f>G349</f>
        <v>81137.600000000006</v>
      </c>
      <c r="H347" s="56">
        <f>H349</f>
        <v>81137.600000000006</v>
      </c>
      <c r="I347" s="130">
        <f t="shared" si="25"/>
        <v>1</v>
      </c>
      <c r="J347" s="24"/>
      <c r="K347" s="24"/>
    </row>
    <row r="348" spans="1:11" s="12" customFormat="1" ht="93.05" x14ac:dyDescent="0.3">
      <c r="A348" s="3" t="s">
        <v>589</v>
      </c>
      <c r="B348" s="59" t="s">
        <v>10</v>
      </c>
      <c r="C348" s="4" t="s">
        <v>683</v>
      </c>
      <c r="D348" s="4" t="s">
        <v>460</v>
      </c>
      <c r="E348" s="4" t="s">
        <v>164</v>
      </c>
      <c r="F348" s="4"/>
      <c r="G348" s="27">
        <f>G349</f>
        <v>81137.600000000006</v>
      </c>
      <c r="H348" s="56">
        <f>H349</f>
        <v>81137.600000000006</v>
      </c>
      <c r="I348" s="130">
        <f t="shared" si="25"/>
        <v>1</v>
      </c>
      <c r="J348" s="24"/>
      <c r="K348" s="24"/>
    </row>
    <row r="349" spans="1:11" s="12" customFormat="1" ht="46.55" x14ac:dyDescent="0.3">
      <c r="A349" s="3" t="s">
        <v>51</v>
      </c>
      <c r="B349" s="59" t="s">
        <v>10</v>
      </c>
      <c r="C349" s="4" t="s">
        <v>683</v>
      </c>
      <c r="D349" s="4" t="s">
        <v>460</v>
      </c>
      <c r="E349" s="4" t="s">
        <v>164</v>
      </c>
      <c r="F349" s="4" t="s">
        <v>463</v>
      </c>
      <c r="G349" s="27">
        <f>85408-1400-2870.4</f>
        <v>81137.600000000006</v>
      </c>
      <c r="H349" s="56">
        <f>85408-1400-2870.4</f>
        <v>81137.600000000006</v>
      </c>
      <c r="I349" s="130">
        <f t="shared" si="25"/>
        <v>1</v>
      </c>
      <c r="J349" s="24"/>
      <c r="K349" s="24"/>
    </row>
    <row r="350" spans="1:11" s="12" customFormat="1" ht="46.55" x14ac:dyDescent="0.3">
      <c r="A350" s="3" t="s">
        <v>165</v>
      </c>
      <c r="B350" s="59" t="s">
        <v>10</v>
      </c>
      <c r="C350" s="4" t="s">
        <v>683</v>
      </c>
      <c r="D350" s="4" t="s">
        <v>460</v>
      </c>
      <c r="E350" s="4" t="s">
        <v>166</v>
      </c>
      <c r="F350" s="4"/>
      <c r="G350" s="27">
        <f>G351+G354</f>
        <v>5677494.9300000006</v>
      </c>
      <c r="H350" s="56">
        <f>H351+H354</f>
        <v>5677402.540000001</v>
      </c>
      <c r="I350" s="130">
        <f>H350/G350</f>
        <v>0.99998372697798255</v>
      </c>
      <c r="J350" s="24"/>
      <c r="K350" s="24"/>
    </row>
    <row r="351" spans="1:11" s="12" customFormat="1" ht="93.05" x14ac:dyDescent="0.3">
      <c r="A351" s="3" t="s">
        <v>589</v>
      </c>
      <c r="B351" s="59" t="s">
        <v>10</v>
      </c>
      <c r="C351" s="4" t="s">
        <v>683</v>
      </c>
      <c r="D351" s="4" t="s">
        <v>460</v>
      </c>
      <c r="E351" s="4" t="s">
        <v>167</v>
      </c>
      <c r="F351" s="4"/>
      <c r="G351" s="27">
        <f>G352+G353</f>
        <v>5500870.7400000002</v>
      </c>
      <c r="H351" s="56">
        <f>H352+H353</f>
        <v>5500778.3500000006</v>
      </c>
      <c r="I351" s="130">
        <f>H351/G351</f>
        <v>0.99998320447718803</v>
      </c>
      <c r="J351" s="24"/>
      <c r="K351" s="24"/>
    </row>
    <row r="352" spans="1:11" s="12" customFormat="1" ht="108.55" x14ac:dyDescent="0.3">
      <c r="A352" s="3" t="s">
        <v>50</v>
      </c>
      <c r="B352" s="59" t="s">
        <v>10</v>
      </c>
      <c r="C352" s="4" t="s">
        <v>683</v>
      </c>
      <c r="D352" s="4" t="s">
        <v>460</v>
      </c>
      <c r="E352" s="4" t="s">
        <v>167</v>
      </c>
      <c r="F352" s="4" t="s">
        <v>462</v>
      </c>
      <c r="G352" s="27">
        <f>4840070.5+136250.75</f>
        <v>4976321.25</v>
      </c>
      <c r="H352" s="56">
        <v>4976228.8600000003</v>
      </c>
      <c r="I352" s="130">
        <f t="shared" ref="I352:I362" si="26">H352/G352</f>
        <v>0.99998143407642748</v>
      </c>
      <c r="J352" s="24"/>
      <c r="K352" s="24"/>
    </row>
    <row r="353" spans="1:11" s="12" customFormat="1" ht="46.55" x14ac:dyDescent="0.3">
      <c r="A353" s="3" t="s">
        <v>51</v>
      </c>
      <c r="B353" s="59" t="s">
        <v>10</v>
      </c>
      <c r="C353" s="4" t="s">
        <v>683</v>
      </c>
      <c r="D353" s="4" t="s">
        <v>460</v>
      </c>
      <c r="E353" s="4" t="s">
        <v>167</v>
      </c>
      <c r="F353" s="4" t="s">
        <v>463</v>
      </c>
      <c r="G353" s="27">
        <f>5259285.75-4840070.5+126295-2285-18675.76</f>
        <v>524549.49</v>
      </c>
      <c r="H353" s="56">
        <v>524549.49</v>
      </c>
      <c r="I353" s="130">
        <f t="shared" si="26"/>
        <v>1</v>
      </c>
      <c r="J353" s="24"/>
      <c r="K353" s="24"/>
    </row>
    <row r="354" spans="1:11" s="12" customFormat="1" ht="93.05" x14ac:dyDescent="0.3">
      <c r="A354" s="3" t="s">
        <v>448</v>
      </c>
      <c r="B354" s="59" t="s">
        <v>10</v>
      </c>
      <c r="C354" s="4" t="s">
        <v>683</v>
      </c>
      <c r="D354" s="4" t="s">
        <v>460</v>
      </c>
      <c r="E354" s="4" t="s">
        <v>168</v>
      </c>
      <c r="F354" s="4"/>
      <c r="G354" s="27">
        <f>G355</f>
        <v>176624.19</v>
      </c>
      <c r="H354" s="56">
        <f>H355</f>
        <v>176624.19</v>
      </c>
      <c r="I354" s="130">
        <f t="shared" si="26"/>
        <v>1</v>
      </c>
      <c r="J354" s="24"/>
      <c r="K354" s="24"/>
    </row>
    <row r="355" spans="1:11" s="12" customFormat="1" ht="108.55" x14ac:dyDescent="0.3">
      <c r="A355" s="3" t="s">
        <v>389</v>
      </c>
      <c r="B355" s="59" t="s">
        <v>10</v>
      </c>
      <c r="C355" s="4" t="s">
        <v>683</v>
      </c>
      <c r="D355" s="4" t="s">
        <v>460</v>
      </c>
      <c r="E355" s="4" t="s">
        <v>168</v>
      </c>
      <c r="F355" s="4" t="s">
        <v>462</v>
      </c>
      <c r="G355" s="27">
        <f>98250+25422.14+52952.05</f>
        <v>176624.19</v>
      </c>
      <c r="H355" s="56">
        <f>98250+25422.14+52952.05</f>
        <v>176624.19</v>
      </c>
      <c r="I355" s="130">
        <f t="shared" si="26"/>
        <v>1</v>
      </c>
      <c r="J355" s="24"/>
      <c r="K355" s="24"/>
    </row>
    <row r="356" spans="1:11" s="12" customFormat="1" ht="93.05" x14ac:dyDescent="0.3">
      <c r="A356" s="3" t="s">
        <v>203</v>
      </c>
      <c r="B356" s="59" t="s">
        <v>10</v>
      </c>
      <c r="C356" s="4" t="s">
        <v>683</v>
      </c>
      <c r="D356" s="4" t="s">
        <v>460</v>
      </c>
      <c r="E356" s="4" t="s">
        <v>204</v>
      </c>
      <c r="F356" s="4"/>
      <c r="G356" s="27">
        <f>G357</f>
        <v>634389.53</v>
      </c>
      <c r="H356" s="56">
        <f>H357</f>
        <v>559219.71</v>
      </c>
      <c r="I356" s="130">
        <f t="shared" si="26"/>
        <v>0.88150841644564959</v>
      </c>
      <c r="J356" s="24"/>
      <c r="K356" s="24"/>
    </row>
    <row r="357" spans="1:11" s="12" customFormat="1" ht="31.05" x14ac:dyDescent="0.3">
      <c r="A357" s="3" t="s">
        <v>393</v>
      </c>
      <c r="B357" s="59" t="s">
        <v>10</v>
      </c>
      <c r="C357" s="4" t="s">
        <v>683</v>
      </c>
      <c r="D357" s="4" t="s">
        <v>460</v>
      </c>
      <c r="E357" s="4" t="s">
        <v>205</v>
      </c>
      <c r="F357" s="4"/>
      <c r="G357" s="27">
        <f>G358</f>
        <v>634389.53</v>
      </c>
      <c r="H357" s="56">
        <f>H358</f>
        <v>559219.71</v>
      </c>
      <c r="I357" s="130">
        <f t="shared" si="26"/>
        <v>0.88150841644564959</v>
      </c>
      <c r="J357" s="24"/>
      <c r="K357" s="24"/>
    </row>
    <row r="358" spans="1:11" s="12" customFormat="1" ht="31.05" x14ac:dyDescent="0.3">
      <c r="A358" s="3" t="s">
        <v>430</v>
      </c>
      <c r="B358" s="59" t="s">
        <v>10</v>
      </c>
      <c r="C358" s="4" t="s">
        <v>683</v>
      </c>
      <c r="D358" s="4" t="s">
        <v>460</v>
      </c>
      <c r="E358" s="4" t="s">
        <v>205</v>
      </c>
      <c r="F358" s="4" t="s">
        <v>431</v>
      </c>
      <c r="G358" s="27">
        <f>340380+158373.53+135636</f>
        <v>634389.53</v>
      </c>
      <c r="H358" s="56">
        <v>559219.71</v>
      </c>
      <c r="I358" s="130">
        <f t="shared" si="26"/>
        <v>0.88150841644564959</v>
      </c>
      <c r="J358" s="24"/>
      <c r="K358" s="24"/>
    </row>
    <row r="359" spans="1:11" s="12" customFormat="1" ht="93.05" x14ac:dyDescent="0.3">
      <c r="A359" s="3" t="s">
        <v>169</v>
      </c>
      <c r="B359" s="59" t="s">
        <v>10</v>
      </c>
      <c r="C359" s="4" t="s">
        <v>683</v>
      </c>
      <c r="D359" s="4" t="s">
        <v>460</v>
      </c>
      <c r="E359" s="4" t="s">
        <v>170</v>
      </c>
      <c r="F359" s="4"/>
      <c r="G359" s="27">
        <f>G360+G363</f>
        <v>2314702.2000000002</v>
      </c>
      <c r="H359" s="56">
        <f>H360+H363</f>
        <v>2314702.2000000002</v>
      </c>
      <c r="I359" s="130">
        <f t="shared" si="26"/>
        <v>1</v>
      </c>
      <c r="J359" s="24"/>
      <c r="K359" s="24"/>
    </row>
    <row r="360" spans="1:11" s="12" customFormat="1" ht="93.05" x14ac:dyDescent="0.3">
      <c r="A360" s="3" t="s">
        <v>589</v>
      </c>
      <c r="B360" s="59" t="s">
        <v>10</v>
      </c>
      <c r="C360" s="4" t="s">
        <v>683</v>
      </c>
      <c r="D360" s="4" t="s">
        <v>460</v>
      </c>
      <c r="E360" s="4" t="s">
        <v>171</v>
      </c>
      <c r="F360" s="4"/>
      <c r="G360" s="27">
        <f>G361+G362</f>
        <v>2175306.46</v>
      </c>
      <c r="H360" s="56">
        <f>H361+H362</f>
        <v>2175306.46</v>
      </c>
      <c r="I360" s="130">
        <f t="shared" si="26"/>
        <v>1</v>
      </c>
      <c r="J360" s="24"/>
      <c r="K360" s="24"/>
    </row>
    <row r="361" spans="1:11" s="12" customFormat="1" ht="108.55" x14ac:dyDescent="0.3">
      <c r="A361" s="3" t="s">
        <v>50</v>
      </c>
      <c r="B361" s="59" t="s">
        <v>10</v>
      </c>
      <c r="C361" s="4" t="s">
        <v>683</v>
      </c>
      <c r="D361" s="4" t="s">
        <v>460</v>
      </c>
      <c r="E361" s="4" t="s">
        <v>171</v>
      </c>
      <c r="F361" s="4" t="s">
        <v>462</v>
      </c>
      <c r="G361" s="27">
        <f>1905095+75694.86</f>
        <v>1980789.86</v>
      </c>
      <c r="H361" s="56">
        <f>1905095+75694.86</f>
        <v>1980789.86</v>
      </c>
      <c r="I361" s="130">
        <f t="shared" si="26"/>
        <v>1</v>
      </c>
      <c r="J361" s="24"/>
      <c r="K361" s="24"/>
    </row>
    <row r="362" spans="1:11" s="12" customFormat="1" ht="46.55" x14ac:dyDescent="0.3">
      <c r="A362" s="3" t="s">
        <v>51</v>
      </c>
      <c r="B362" s="59" t="s">
        <v>10</v>
      </c>
      <c r="C362" s="4" t="s">
        <v>683</v>
      </c>
      <c r="D362" s="4" t="s">
        <v>460</v>
      </c>
      <c r="E362" s="4" t="s">
        <v>171</v>
      </c>
      <c r="F362" s="4" t="s">
        <v>463</v>
      </c>
      <c r="G362" s="27">
        <f>2122481-1905095-12000.1-1787.9-9081.4</f>
        <v>194516.6</v>
      </c>
      <c r="H362" s="56">
        <f>2122481-1905095-12000.1-1787.9-9081.4</f>
        <v>194516.6</v>
      </c>
      <c r="I362" s="130">
        <f t="shared" si="26"/>
        <v>1</v>
      </c>
      <c r="J362" s="24"/>
      <c r="K362" s="24"/>
    </row>
    <row r="363" spans="1:11" s="12" customFormat="1" ht="93.05" x14ac:dyDescent="0.3">
      <c r="A363" s="3" t="s">
        <v>448</v>
      </c>
      <c r="B363" s="59" t="s">
        <v>10</v>
      </c>
      <c r="C363" s="4" t="s">
        <v>683</v>
      </c>
      <c r="D363" s="4" t="s">
        <v>460</v>
      </c>
      <c r="E363" s="4" t="s">
        <v>172</v>
      </c>
      <c r="F363" s="4"/>
      <c r="G363" s="27">
        <f>G364</f>
        <v>139395.74000000002</v>
      </c>
      <c r="H363" s="56">
        <f>H364</f>
        <v>139395.74000000002</v>
      </c>
      <c r="I363" s="130">
        <f>I364</f>
        <v>0.82639270055081648</v>
      </c>
      <c r="J363" s="24"/>
      <c r="K363" s="24"/>
    </row>
    <row r="364" spans="1:11" s="12" customFormat="1" ht="108.55" x14ac:dyDescent="0.3">
      <c r="A364" s="3" t="s">
        <v>389</v>
      </c>
      <c r="B364" s="59" t="s">
        <v>10</v>
      </c>
      <c r="C364" s="4" t="s">
        <v>683</v>
      </c>
      <c r="D364" s="4" t="s">
        <v>460</v>
      </c>
      <c r="E364" s="4" t="s">
        <v>172</v>
      </c>
      <c r="F364" s="4" t="s">
        <v>462</v>
      </c>
      <c r="G364" s="27">
        <f>40557+36552.6+50286.04+12000.1</f>
        <v>139395.74000000002</v>
      </c>
      <c r="H364" s="56">
        <f>40557+36552.6+50286.04+12000.1</f>
        <v>139395.74000000002</v>
      </c>
      <c r="I364" s="130">
        <f t="shared" ref="I364:I366" si="27">I365</f>
        <v>0.82639270055081648</v>
      </c>
      <c r="J364" s="24"/>
      <c r="K364" s="24"/>
    </row>
    <row r="365" spans="1:11" s="12" customFormat="1" ht="46.55" x14ac:dyDescent="0.3">
      <c r="A365" s="3" t="s">
        <v>81</v>
      </c>
      <c r="B365" s="59" t="s">
        <v>10</v>
      </c>
      <c r="C365" s="4" t="s">
        <v>683</v>
      </c>
      <c r="D365" s="4" t="s">
        <v>460</v>
      </c>
      <c r="E365" s="4" t="s">
        <v>548</v>
      </c>
      <c r="F365" s="4"/>
      <c r="G365" s="27">
        <f t="shared" ref="G365:H367" si="28">G366</f>
        <v>131000</v>
      </c>
      <c r="H365" s="56">
        <f t="shared" si="28"/>
        <v>131000</v>
      </c>
      <c r="I365" s="130">
        <f t="shared" si="27"/>
        <v>0.82639270055081648</v>
      </c>
      <c r="J365" s="24"/>
      <c r="K365" s="24"/>
    </row>
    <row r="366" spans="1:11" s="12" customFormat="1" ht="62.05" x14ac:dyDescent="0.3">
      <c r="A366" s="3" t="s">
        <v>777</v>
      </c>
      <c r="B366" s="59" t="s">
        <v>10</v>
      </c>
      <c r="C366" s="4" t="s">
        <v>683</v>
      </c>
      <c r="D366" s="4" t="s">
        <v>460</v>
      </c>
      <c r="E366" s="4" t="s">
        <v>151</v>
      </c>
      <c r="F366" s="4"/>
      <c r="G366" s="27">
        <f t="shared" si="28"/>
        <v>131000</v>
      </c>
      <c r="H366" s="56">
        <f t="shared" si="28"/>
        <v>131000</v>
      </c>
      <c r="I366" s="130">
        <f t="shared" si="27"/>
        <v>0.82639270055081648</v>
      </c>
      <c r="J366" s="24"/>
      <c r="K366" s="24"/>
    </row>
    <row r="367" spans="1:11" s="12" customFormat="1" ht="31.05" x14ac:dyDescent="0.3">
      <c r="A367" s="3" t="s">
        <v>393</v>
      </c>
      <c r="B367" s="59" t="s">
        <v>10</v>
      </c>
      <c r="C367" s="4" t="s">
        <v>683</v>
      </c>
      <c r="D367" s="4" t="s">
        <v>460</v>
      </c>
      <c r="E367" s="4" t="s">
        <v>778</v>
      </c>
      <c r="F367" s="4"/>
      <c r="G367" s="27">
        <f t="shared" si="28"/>
        <v>131000</v>
      </c>
      <c r="H367" s="56">
        <f t="shared" si="28"/>
        <v>131000</v>
      </c>
      <c r="I367" s="130">
        <f>I368</f>
        <v>0.82639270055081648</v>
      </c>
      <c r="J367" s="24"/>
      <c r="K367" s="24"/>
    </row>
    <row r="368" spans="1:11" s="12" customFormat="1" ht="46.55" x14ac:dyDescent="0.3">
      <c r="A368" s="3" t="s">
        <v>543</v>
      </c>
      <c r="B368" s="59" t="s">
        <v>10</v>
      </c>
      <c r="C368" s="4" t="s">
        <v>683</v>
      </c>
      <c r="D368" s="4" t="s">
        <v>460</v>
      </c>
      <c r="E368" s="4" t="s">
        <v>778</v>
      </c>
      <c r="F368" s="4" t="s">
        <v>463</v>
      </c>
      <c r="G368" s="27">
        <f>20000+61000+50000</f>
        <v>131000</v>
      </c>
      <c r="H368" s="56">
        <f>20000+61000+50000</f>
        <v>131000</v>
      </c>
      <c r="I368" s="130">
        <f>I369</f>
        <v>0.82639270055081648</v>
      </c>
      <c r="J368" s="24"/>
      <c r="K368" s="24"/>
    </row>
    <row r="369" spans="1:11" s="12" customFormat="1" ht="46.55" x14ac:dyDescent="0.3">
      <c r="A369" s="3" t="s">
        <v>91</v>
      </c>
      <c r="B369" s="59" t="s">
        <v>10</v>
      </c>
      <c r="C369" s="4" t="s">
        <v>683</v>
      </c>
      <c r="D369" s="4" t="s">
        <v>460</v>
      </c>
      <c r="E369" s="4" t="s">
        <v>550</v>
      </c>
      <c r="F369" s="4"/>
      <c r="G369" s="27">
        <f>G370+G374+G377</f>
        <v>77430.5</v>
      </c>
      <c r="H369" s="56">
        <f>H370+H374+H377</f>
        <v>63988</v>
      </c>
      <c r="I369" s="130">
        <f>H369/G369</f>
        <v>0.82639270055081648</v>
      </c>
      <c r="J369" s="24"/>
      <c r="K369" s="24"/>
    </row>
    <row r="370" spans="1:11" s="12" customFormat="1" ht="77.55" x14ac:dyDescent="0.3">
      <c r="A370" s="3" t="s">
        <v>553</v>
      </c>
      <c r="B370" s="59" t="s">
        <v>10</v>
      </c>
      <c r="C370" s="4" t="s">
        <v>683</v>
      </c>
      <c r="D370" s="4" t="s">
        <v>460</v>
      </c>
      <c r="E370" s="4" t="s">
        <v>524</v>
      </c>
      <c r="F370" s="53"/>
      <c r="G370" s="27">
        <f>G371</f>
        <v>11800</v>
      </c>
      <c r="H370" s="56">
        <f>H371</f>
        <v>5000</v>
      </c>
      <c r="I370" s="130">
        <f>H370/G370</f>
        <v>0.42372881355932202</v>
      </c>
      <c r="J370" s="24"/>
      <c r="K370" s="24"/>
    </row>
    <row r="371" spans="1:11" s="12" customFormat="1" ht="54.7" customHeight="1" x14ac:dyDescent="0.3">
      <c r="A371" s="3" t="s">
        <v>451</v>
      </c>
      <c r="B371" s="59" t="s">
        <v>10</v>
      </c>
      <c r="C371" s="4" t="s">
        <v>683</v>
      </c>
      <c r="D371" s="4" t="s">
        <v>460</v>
      </c>
      <c r="E371" s="4" t="s">
        <v>782</v>
      </c>
      <c r="F371" s="53"/>
      <c r="G371" s="27">
        <f>G372+G373</f>
        <v>11800</v>
      </c>
      <c r="H371" s="56">
        <f>H372+H373</f>
        <v>5000</v>
      </c>
      <c r="I371" s="130">
        <f t="shared" ref="I371:I380" si="29">H371/G371</f>
        <v>0.42372881355932202</v>
      </c>
      <c r="J371" s="24"/>
      <c r="K371" s="24"/>
    </row>
    <row r="372" spans="1:11" s="12" customFormat="1" ht="126" hidden="1" customHeight="1" x14ac:dyDescent="0.3">
      <c r="A372" s="3" t="s">
        <v>389</v>
      </c>
      <c r="B372" s="59" t="s">
        <v>10</v>
      </c>
      <c r="C372" s="4" t="s">
        <v>683</v>
      </c>
      <c r="D372" s="4" t="s">
        <v>460</v>
      </c>
      <c r="E372" s="4" t="s">
        <v>782</v>
      </c>
      <c r="F372" s="53">
        <v>100</v>
      </c>
      <c r="G372" s="27">
        <f>104500-104500</f>
        <v>0</v>
      </c>
      <c r="H372" s="56">
        <f>104500-104500</f>
        <v>0</v>
      </c>
      <c r="I372" s="130" t="e">
        <f t="shared" si="29"/>
        <v>#DIV/0!</v>
      </c>
      <c r="J372" s="24"/>
      <c r="K372" s="24"/>
    </row>
    <row r="373" spans="1:11" s="12" customFormat="1" ht="46.55" x14ac:dyDescent="0.3">
      <c r="A373" s="3" t="s">
        <v>543</v>
      </c>
      <c r="B373" s="59" t="s">
        <v>10</v>
      </c>
      <c r="C373" s="4" t="s">
        <v>683</v>
      </c>
      <c r="D373" s="4" t="s">
        <v>460</v>
      </c>
      <c r="E373" s="4" t="s">
        <v>782</v>
      </c>
      <c r="F373" s="53">
        <v>200</v>
      </c>
      <c r="G373" s="27">
        <f>102500-21789-5125-63786</f>
        <v>11800</v>
      </c>
      <c r="H373" s="56">
        <v>5000</v>
      </c>
      <c r="I373" s="130">
        <f t="shared" si="29"/>
        <v>0.42372881355932202</v>
      </c>
      <c r="J373" s="24"/>
      <c r="K373" s="24"/>
    </row>
    <row r="374" spans="1:11" s="12" customFormat="1" ht="31.05" x14ac:dyDescent="0.3">
      <c r="A374" s="3" t="s">
        <v>153</v>
      </c>
      <c r="B374" s="59" t="s">
        <v>10</v>
      </c>
      <c r="C374" s="4" t="s">
        <v>683</v>
      </c>
      <c r="D374" s="4" t="s">
        <v>460</v>
      </c>
      <c r="E374" s="4" t="s">
        <v>154</v>
      </c>
      <c r="F374" s="53"/>
      <c r="G374" s="27">
        <f>G375</f>
        <v>65630.5</v>
      </c>
      <c r="H374" s="56">
        <f>H375</f>
        <v>58988</v>
      </c>
      <c r="I374" s="130">
        <f t="shared" si="29"/>
        <v>0.8987894347902271</v>
      </c>
      <c r="J374" s="24"/>
      <c r="K374" s="24"/>
    </row>
    <row r="375" spans="1:11" s="12" customFormat="1" ht="48.05" customHeight="1" x14ac:dyDescent="0.3">
      <c r="A375" s="3" t="s">
        <v>451</v>
      </c>
      <c r="B375" s="59" t="s">
        <v>10</v>
      </c>
      <c r="C375" s="4" t="s">
        <v>683</v>
      </c>
      <c r="D375" s="4" t="s">
        <v>460</v>
      </c>
      <c r="E375" s="4" t="s">
        <v>783</v>
      </c>
      <c r="F375" s="53"/>
      <c r="G375" s="27">
        <f>G376</f>
        <v>65630.5</v>
      </c>
      <c r="H375" s="56">
        <f>H376</f>
        <v>58988</v>
      </c>
      <c r="I375" s="130">
        <f t="shared" si="29"/>
        <v>0.8987894347902271</v>
      </c>
      <c r="J375" s="24"/>
      <c r="K375" s="24"/>
    </row>
    <row r="376" spans="1:11" s="12" customFormat="1" ht="46.55" x14ac:dyDescent="0.3">
      <c r="A376" s="3" t="s">
        <v>543</v>
      </c>
      <c r="B376" s="59" t="s">
        <v>10</v>
      </c>
      <c r="C376" s="4" t="s">
        <v>683</v>
      </c>
      <c r="D376" s="4" t="s">
        <v>460</v>
      </c>
      <c r="E376" s="4" t="s">
        <v>783</v>
      </c>
      <c r="F376" s="53">
        <v>200</v>
      </c>
      <c r="G376" s="27">
        <f>44630.5+21000</f>
        <v>65630.5</v>
      </c>
      <c r="H376" s="56">
        <v>58988</v>
      </c>
      <c r="I376" s="130">
        <f t="shared" si="29"/>
        <v>0.8987894347902271</v>
      </c>
      <c r="J376" s="24"/>
      <c r="K376" s="24"/>
    </row>
    <row r="377" spans="1:11" s="12" customFormat="1" ht="73.55" hidden="1" customHeight="1" x14ac:dyDescent="0.3">
      <c r="A377" s="3" t="s">
        <v>173</v>
      </c>
      <c r="B377" s="59" t="s">
        <v>10</v>
      </c>
      <c r="C377" s="4" t="s">
        <v>683</v>
      </c>
      <c r="D377" s="4" t="s">
        <v>460</v>
      </c>
      <c r="E377" s="4" t="s">
        <v>156</v>
      </c>
      <c r="F377" s="53"/>
      <c r="G377" s="27">
        <f>G379+G380</f>
        <v>0</v>
      </c>
      <c r="H377" s="56">
        <f>H379+H380</f>
        <v>0</v>
      </c>
      <c r="I377" s="130" t="e">
        <f t="shared" si="29"/>
        <v>#DIV/0!</v>
      </c>
      <c r="J377" s="24"/>
      <c r="K377" s="24"/>
    </row>
    <row r="378" spans="1:11" s="12" customFormat="1" ht="59.3" hidden="1" customHeight="1" x14ac:dyDescent="0.3">
      <c r="A378" s="3" t="s">
        <v>451</v>
      </c>
      <c r="B378" s="59" t="s">
        <v>10</v>
      </c>
      <c r="C378" s="4" t="s">
        <v>683</v>
      </c>
      <c r="D378" s="4" t="s">
        <v>19</v>
      </c>
      <c r="E378" s="4" t="s">
        <v>781</v>
      </c>
      <c r="F378" s="53"/>
      <c r="G378" s="27">
        <f>G379+G380</f>
        <v>0</v>
      </c>
      <c r="H378" s="56">
        <f>H379+H380</f>
        <v>0</v>
      </c>
      <c r="I378" s="130" t="e">
        <f t="shared" si="29"/>
        <v>#DIV/0!</v>
      </c>
      <c r="J378" s="24"/>
      <c r="K378" s="24"/>
    </row>
    <row r="379" spans="1:11" s="12" customFormat="1" ht="126" hidden="1" customHeight="1" x14ac:dyDescent="0.3">
      <c r="A379" s="3" t="s">
        <v>389</v>
      </c>
      <c r="B379" s="59" t="s">
        <v>10</v>
      </c>
      <c r="C379" s="4" t="s">
        <v>683</v>
      </c>
      <c r="D379" s="4" t="s">
        <v>460</v>
      </c>
      <c r="E379" s="4" t="s">
        <v>781</v>
      </c>
      <c r="F379" s="53">
        <v>100</v>
      </c>
      <c r="G379" s="27">
        <f>151000-151000</f>
        <v>0</v>
      </c>
      <c r="H379" s="56">
        <f>151000-151000</f>
        <v>0</v>
      </c>
      <c r="I379" s="130" t="e">
        <f t="shared" si="29"/>
        <v>#DIV/0!</v>
      </c>
      <c r="J379" s="24"/>
      <c r="K379" s="24"/>
    </row>
    <row r="380" spans="1:11" s="12" customFormat="1" ht="47.25" hidden="1" customHeight="1" x14ac:dyDescent="0.3">
      <c r="A380" s="3" t="s">
        <v>543</v>
      </c>
      <c r="B380" s="59" t="s">
        <v>10</v>
      </c>
      <c r="C380" s="4" t="s">
        <v>683</v>
      </c>
      <c r="D380" s="4" t="s">
        <v>460</v>
      </c>
      <c r="E380" s="4" t="s">
        <v>781</v>
      </c>
      <c r="F380" s="53">
        <v>200</v>
      </c>
      <c r="G380" s="27">
        <f>92260-82610-4613-5037</f>
        <v>0</v>
      </c>
      <c r="H380" s="56">
        <f>92260-82610-4613-5037</f>
        <v>0</v>
      </c>
      <c r="I380" s="130" t="e">
        <f t="shared" si="29"/>
        <v>#DIV/0!</v>
      </c>
      <c r="J380" s="24"/>
      <c r="K380" s="24"/>
    </row>
    <row r="381" spans="1:11" x14ac:dyDescent="0.3">
      <c r="A381" s="1" t="s">
        <v>49</v>
      </c>
      <c r="B381" s="105" t="s">
        <v>10</v>
      </c>
      <c r="C381" s="2" t="s">
        <v>683</v>
      </c>
      <c r="D381" s="2" t="s">
        <v>460</v>
      </c>
      <c r="E381" s="2" t="s">
        <v>575</v>
      </c>
      <c r="F381" s="117"/>
      <c r="G381" s="31">
        <f>G386+G384+G382</f>
        <v>1038186.9500000001</v>
      </c>
      <c r="H381" s="57">
        <f>H386+H384+H382</f>
        <v>911951.08000000007</v>
      </c>
      <c r="I381" s="129">
        <f>H381/G381</f>
        <v>0.87840738125248063</v>
      </c>
    </row>
    <row r="382" spans="1:11" s="12" customFormat="1" ht="31.05" x14ac:dyDescent="0.3">
      <c r="A382" s="3" t="s">
        <v>587</v>
      </c>
      <c r="B382" s="59" t="s">
        <v>10</v>
      </c>
      <c r="C382" s="4" t="s">
        <v>683</v>
      </c>
      <c r="D382" s="4" t="s">
        <v>460</v>
      </c>
      <c r="E382" s="4" t="s">
        <v>525</v>
      </c>
      <c r="F382" s="53"/>
      <c r="G382" s="27">
        <f>G383</f>
        <v>144235.87</v>
      </c>
      <c r="H382" s="56">
        <f>H383</f>
        <v>18000</v>
      </c>
      <c r="I382" s="130">
        <f>H382/G382</f>
        <v>0.1247955865624827</v>
      </c>
      <c r="J382" s="24"/>
      <c r="K382" s="24"/>
    </row>
    <row r="383" spans="1:11" s="12" customFormat="1" x14ac:dyDescent="0.3">
      <c r="A383" s="3" t="s">
        <v>732</v>
      </c>
      <c r="B383" s="59" t="s">
        <v>10</v>
      </c>
      <c r="C383" s="4" t="s">
        <v>683</v>
      </c>
      <c r="D383" s="4" t="s">
        <v>460</v>
      </c>
      <c r="E383" s="4" t="s">
        <v>525</v>
      </c>
      <c r="F383" s="53">
        <v>800</v>
      </c>
      <c r="G383" s="27">
        <f>18000+165000-38764.13</f>
        <v>144235.87</v>
      </c>
      <c r="H383" s="56">
        <v>18000</v>
      </c>
      <c r="I383" s="130">
        <f t="shared" ref="I383:I402" si="30">H383/G383</f>
        <v>0.1247955865624827</v>
      </c>
      <c r="J383" s="24"/>
      <c r="K383" s="24"/>
    </row>
    <row r="384" spans="1:11" s="12" customFormat="1" x14ac:dyDescent="0.3">
      <c r="A384" s="3" t="s">
        <v>206</v>
      </c>
      <c r="B384" s="59" t="s">
        <v>10</v>
      </c>
      <c r="C384" s="4" t="s">
        <v>683</v>
      </c>
      <c r="D384" s="4" t="s">
        <v>460</v>
      </c>
      <c r="E384" s="4" t="s">
        <v>207</v>
      </c>
      <c r="F384" s="53"/>
      <c r="G384" s="27">
        <f>G385</f>
        <v>750000</v>
      </c>
      <c r="H384" s="56">
        <f>H385</f>
        <v>750000</v>
      </c>
      <c r="I384" s="130">
        <f t="shared" si="30"/>
        <v>1</v>
      </c>
      <c r="J384" s="24"/>
      <c r="K384" s="24"/>
    </row>
    <row r="385" spans="1:11" s="12" customFormat="1" x14ac:dyDescent="0.3">
      <c r="A385" s="3" t="s">
        <v>732</v>
      </c>
      <c r="B385" s="59" t="s">
        <v>10</v>
      </c>
      <c r="C385" s="4" t="s">
        <v>683</v>
      </c>
      <c r="D385" s="4" t="s">
        <v>460</v>
      </c>
      <c r="E385" s="4" t="s">
        <v>207</v>
      </c>
      <c r="F385" s="53">
        <v>800</v>
      </c>
      <c r="G385" s="27">
        <f>300000+300000+150000</f>
        <v>750000</v>
      </c>
      <c r="H385" s="56">
        <f>300000+300000+150000</f>
        <v>750000</v>
      </c>
      <c r="I385" s="130">
        <f t="shared" si="30"/>
        <v>1</v>
      </c>
      <c r="J385" s="24"/>
      <c r="K385" s="24"/>
    </row>
    <row r="386" spans="1:11" s="12" customFormat="1" ht="31.05" x14ac:dyDescent="0.3">
      <c r="A386" s="3" t="s">
        <v>685</v>
      </c>
      <c r="B386" s="59" t="s">
        <v>10</v>
      </c>
      <c r="C386" s="4" t="s">
        <v>683</v>
      </c>
      <c r="D386" s="4" t="s">
        <v>460</v>
      </c>
      <c r="E386" s="4" t="s">
        <v>686</v>
      </c>
      <c r="F386" s="53"/>
      <c r="G386" s="27">
        <f>G387</f>
        <v>143951.08000000002</v>
      </c>
      <c r="H386" s="56">
        <f>H387</f>
        <v>143951.08000000002</v>
      </c>
      <c r="I386" s="130">
        <f t="shared" si="30"/>
        <v>1</v>
      </c>
      <c r="J386" s="24"/>
      <c r="K386" s="24"/>
    </row>
    <row r="387" spans="1:11" s="12" customFormat="1" x14ac:dyDescent="0.3">
      <c r="A387" s="3" t="s">
        <v>732</v>
      </c>
      <c r="B387" s="59" t="s">
        <v>10</v>
      </c>
      <c r="C387" s="4" t="s">
        <v>683</v>
      </c>
      <c r="D387" s="4" t="s">
        <v>460</v>
      </c>
      <c r="E387" s="4" t="s">
        <v>686</v>
      </c>
      <c r="F387" s="53">
        <v>800</v>
      </c>
      <c r="G387" s="27">
        <f>33045.65+6058.83+25744.18+9301.91+3960.38+25000+38764.13+2076</f>
        <v>143951.08000000002</v>
      </c>
      <c r="H387" s="56">
        <f>33045.65+6058.83+25744.18+9301.91+3960.38+25000+38764.13+2076</f>
        <v>143951.08000000002</v>
      </c>
      <c r="I387" s="145">
        <f t="shared" si="30"/>
        <v>1</v>
      </c>
      <c r="J387" s="24"/>
      <c r="K387" s="24"/>
    </row>
    <row r="388" spans="1:11" s="12" customFormat="1" x14ac:dyDescent="0.3">
      <c r="A388" s="13" t="s">
        <v>33</v>
      </c>
      <c r="B388" s="106" t="s">
        <v>10</v>
      </c>
      <c r="C388" s="5" t="s">
        <v>22</v>
      </c>
      <c r="D388" s="5" t="s">
        <v>583</v>
      </c>
      <c r="E388" s="5"/>
      <c r="F388" s="5"/>
      <c r="G388" s="26">
        <f>G389+G397+G411+G420</f>
        <v>149305554.09999999</v>
      </c>
      <c r="H388" s="137">
        <f>H389+H397+H411+H420</f>
        <v>148297627.81</v>
      </c>
      <c r="I388" s="129">
        <f t="shared" si="30"/>
        <v>0.99324923780581587</v>
      </c>
      <c r="J388" s="24"/>
      <c r="K388" s="24"/>
    </row>
    <row r="389" spans="1:11" s="12" customFormat="1" ht="31.05" x14ac:dyDescent="0.3">
      <c r="A389" s="1" t="s">
        <v>676</v>
      </c>
      <c r="B389" s="105" t="s">
        <v>10</v>
      </c>
      <c r="C389" s="2" t="s">
        <v>22</v>
      </c>
      <c r="D389" s="2" t="s">
        <v>14</v>
      </c>
      <c r="E389" s="2"/>
      <c r="F389" s="2"/>
      <c r="G389" s="31">
        <f t="shared" ref="G389:H391" si="31">G390</f>
        <v>1760542.6</v>
      </c>
      <c r="H389" s="57">
        <f t="shared" si="31"/>
        <v>1734207.72</v>
      </c>
      <c r="I389" s="129">
        <f t="shared" si="30"/>
        <v>0.98504161160314996</v>
      </c>
      <c r="J389" s="24"/>
      <c r="K389" s="24"/>
    </row>
    <row r="390" spans="1:11" ht="77.55" x14ac:dyDescent="0.3">
      <c r="A390" s="1" t="s">
        <v>727</v>
      </c>
      <c r="B390" s="105" t="s">
        <v>10</v>
      </c>
      <c r="C390" s="2" t="s">
        <v>22</v>
      </c>
      <c r="D390" s="2" t="s">
        <v>14</v>
      </c>
      <c r="E390" s="2" t="s">
        <v>709</v>
      </c>
      <c r="F390" s="2"/>
      <c r="G390" s="31">
        <f t="shared" si="31"/>
        <v>1760542.6</v>
      </c>
      <c r="H390" s="57">
        <f t="shared" si="31"/>
        <v>1734207.72</v>
      </c>
      <c r="I390" s="129">
        <f t="shared" si="30"/>
        <v>0.98504161160314996</v>
      </c>
    </row>
    <row r="391" spans="1:11" s="12" customFormat="1" ht="46.55" x14ac:dyDescent="0.3">
      <c r="A391" s="3" t="s">
        <v>128</v>
      </c>
      <c r="B391" s="59" t="s">
        <v>10</v>
      </c>
      <c r="C391" s="4" t="s">
        <v>22</v>
      </c>
      <c r="D391" s="4" t="s">
        <v>14</v>
      </c>
      <c r="E391" s="4" t="s">
        <v>372</v>
      </c>
      <c r="F391" s="2"/>
      <c r="G391" s="27">
        <f t="shared" si="31"/>
        <v>1760542.6</v>
      </c>
      <c r="H391" s="56">
        <f t="shared" si="31"/>
        <v>1734207.72</v>
      </c>
      <c r="I391" s="130">
        <f t="shared" si="30"/>
        <v>0.98504161160314996</v>
      </c>
      <c r="J391" s="24"/>
      <c r="K391" s="24"/>
    </row>
    <row r="392" spans="1:11" s="12" customFormat="1" ht="46.55" x14ac:dyDescent="0.3">
      <c r="A392" s="3" t="s">
        <v>373</v>
      </c>
      <c r="B392" s="59" t="s">
        <v>10</v>
      </c>
      <c r="C392" s="4" t="s">
        <v>22</v>
      </c>
      <c r="D392" s="4" t="s">
        <v>14</v>
      </c>
      <c r="E392" s="4" t="s">
        <v>374</v>
      </c>
      <c r="F392" s="4"/>
      <c r="G392" s="27">
        <f>G393+G395</f>
        <v>1760542.6</v>
      </c>
      <c r="H392" s="56">
        <f>H393+H395</f>
        <v>1734207.72</v>
      </c>
      <c r="I392" s="130">
        <f t="shared" si="30"/>
        <v>0.98504161160314996</v>
      </c>
      <c r="J392" s="24"/>
      <c r="K392" s="24"/>
    </row>
    <row r="393" spans="1:11" s="12" customFormat="1" ht="62.05" x14ac:dyDescent="0.3">
      <c r="A393" s="3" t="s">
        <v>677</v>
      </c>
      <c r="B393" s="59" t="s">
        <v>10</v>
      </c>
      <c r="C393" s="4" t="s">
        <v>22</v>
      </c>
      <c r="D393" s="4" t="s">
        <v>14</v>
      </c>
      <c r="E393" s="4" t="s">
        <v>375</v>
      </c>
      <c r="F393" s="4"/>
      <c r="G393" s="27">
        <f>G394</f>
        <v>1742922.6</v>
      </c>
      <c r="H393" s="56">
        <f>H394</f>
        <v>1734207.72</v>
      </c>
      <c r="I393" s="130">
        <f t="shared" si="30"/>
        <v>0.99499984680903208</v>
      </c>
      <c r="J393" s="24"/>
      <c r="K393" s="24"/>
    </row>
    <row r="394" spans="1:11" s="12" customFormat="1" ht="46.55" x14ac:dyDescent="0.3">
      <c r="A394" s="3" t="s">
        <v>543</v>
      </c>
      <c r="B394" s="59" t="s">
        <v>10</v>
      </c>
      <c r="C394" s="4" t="s">
        <v>22</v>
      </c>
      <c r="D394" s="4" t="s">
        <v>14</v>
      </c>
      <c r="E394" s="4" t="s">
        <v>375</v>
      </c>
      <c r="F394" s="4" t="s">
        <v>463</v>
      </c>
      <c r="G394" s="27">
        <v>1742922.6</v>
      </c>
      <c r="H394" s="56">
        <v>1734207.72</v>
      </c>
      <c r="I394" s="130">
        <f t="shared" si="30"/>
        <v>0.99499984680903208</v>
      </c>
      <c r="J394" s="24"/>
      <c r="K394" s="24"/>
    </row>
    <row r="395" spans="1:11" s="12" customFormat="1" ht="108.55" x14ac:dyDescent="0.3">
      <c r="A395" s="3" t="s">
        <v>599</v>
      </c>
      <c r="B395" s="59" t="s">
        <v>10</v>
      </c>
      <c r="C395" s="4" t="s">
        <v>22</v>
      </c>
      <c r="D395" s="4" t="s">
        <v>14</v>
      </c>
      <c r="E395" s="4" t="s">
        <v>600</v>
      </c>
      <c r="F395" s="4"/>
      <c r="G395" s="27">
        <f>G396</f>
        <v>17620</v>
      </c>
      <c r="H395" s="56">
        <f>H396</f>
        <v>0</v>
      </c>
      <c r="I395" s="130">
        <f t="shared" si="30"/>
        <v>0</v>
      </c>
      <c r="J395" s="24"/>
      <c r="K395" s="24"/>
    </row>
    <row r="396" spans="1:11" s="12" customFormat="1" ht="46.55" x14ac:dyDescent="0.3">
      <c r="A396" s="3" t="s">
        <v>543</v>
      </c>
      <c r="B396" s="59" t="s">
        <v>10</v>
      </c>
      <c r="C396" s="4" t="s">
        <v>22</v>
      </c>
      <c r="D396" s="4" t="s">
        <v>14</v>
      </c>
      <c r="E396" s="4" t="s">
        <v>600</v>
      </c>
      <c r="F396" s="4" t="s">
        <v>463</v>
      </c>
      <c r="G396" s="27">
        <v>17620</v>
      </c>
      <c r="H396" s="56">
        <v>0</v>
      </c>
      <c r="I396" s="130">
        <f t="shared" si="30"/>
        <v>0</v>
      </c>
      <c r="J396" s="24"/>
      <c r="K396" s="24"/>
    </row>
    <row r="397" spans="1:11" s="12" customFormat="1" ht="31.05" x14ac:dyDescent="0.3">
      <c r="A397" s="1" t="s">
        <v>731</v>
      </c>
      <c r="B397" s="105" t="s">
        <v>10</v>
      </c>
      <c r="C397" s="2" t="s">
        <v>22</v>
      </c>
      <c r="D397" s="2" t="s">
        <v>18</v>
      </c>
      <c r="E397" s="4"/>
      <c r="F397" s="4"/>
      <c r="G397" s="31">
        <f>G398</f>
        <v>133425446.5</v>
      </c>
      <c r="H397" s="57">
        <f>H398</f>
        <v>132547617.84</v>
      </c>
      <c r="I397" s="129">
        <f t="shared" si="30"/>
        <v>0.9934208302611901</v>
      </c>
      <c r="J397" s="24"/>
      <c r="K397" s="24"/>
    </row>
    <row r="398" spans="1:11" ht="62.05" x14ac:dyDescent="0.3">
      <c r="A398" s="1" t="s">
        <v>728</v>
      </c>
      <c r="B398" s="105" t="s">
        <v>10</v>
      </c>
      <c r="C398" s="2" t="s">
        <v>22</v>
      </c>
      <c r="D398" s="2" t="s">
        <v>18</v>
      </c>
      <c r="E398" s="2" t="s">
        <v>601</v>
      </c>
      <c r="F398" s="2"/>
      <c r="G398" s="31">
        <f>G399+G404</f>
        <v>133425446.5</v>
      </c>
      <c r="H398" s="57">
        <f>H399+H404</f>
        <v>132547617.84</v>
      </c>
      <c r="I398" s="129">
        <f t="shared" si="30"/>
        <v>0.9934208302611901</v>
      </c>
    </row>
    <row r="399" spans="1:11" s="12" customFormat="1" ht="72" customHeight="1" x14ac:dyDescent="0.3">
      <c r="A399" s="3" t="s">
        <v>784</v>
      </c>
      <c r="B399" s="59" t="s">
        <v>10</v>
      </c>
      <c r="C399" s="4" t="s">
        <v>22</v>
      </c>
      <c r="D399" s="4" t="s">
        <v>18</v>
      </c>
      <c r="E399" s="4" t="s">
        <v>602</v>
      </c>
      <c r="F399" s="4"/>
      <c r="G399" s="27">
        <f>G402+G400</f>
        <v>35821517.190000005</v>
      </c>
      <c r="H399" s="56">
        <f>H402+H400</f>
        <v>35821514.210000001</v>
      </c>
      <c r="I399" s="130">
        <f t="shared" si="30"/>
        <v>0.99999991680977696</v>
      </c>
      <c r="J399" s="24"/>
      <c r="K399" s="24"/>
    </row>
    <row r="400" spans="1:11" s="12" customFormat="1" ht="101.25" customHeight="1" x14ac:dyDescent="0.3">
      <c r="A400" s="3" t="s">
        <v>765</v>
      </c>
      <c r="B400" s="59" t="s">
        <v>10</v>
      </c>
      <c r="C400" s="4" t="s">
        <v>22</v>
      </c>
      <c r="D400" s="4" t="s">
        <v>18</v>
      </c>
      <c r="E400" s="4" t="s">
        <v>785</v>
      </c>
      <c r="F400" s="4"/>
      <c r="G400" s="27">
        <f>G401</f>
        <v>25821517.190000001</v>
      </c>
      <c r="H400" s="56">
        <f>H401</f>
        <v>25821514.210000001</v>
      </c>
      <c r="I400" s="130">
        <f t="shared" si="30"/>
        <v>0.99999988459237388</v>
      </c>
      <c r="J400" s="24"/>
      <c r="K400" s="24"/>
    </row>
    <row r="401" spans="1:11" s="12" customFormat="1" ht="56.25" customHeight="1" x14ac:dyDescent="0.3">
      <c r="A401" s="3" t="s">
        <v>543</v>
      </c>
      <c r="B401" s="59" t="s">
        <v>10</v>
      </c>
      <c r="C401" s="4" t="s">
        <v>22</v>
      </c>
      <c r="D401" s="4" t="s">
        <v>18</v>
      </c>
      <c r="E401" s="4" t="s">
        <v>785</v>
      </c>
      <c r="F401" s="4" t="s">
        <v>463</v>
      </c>
      <c r="G401" s="27">
        <f>25821517.19</f>
        <v>25821517.190000001</v>
      </c>
      <c r="H401" s="56">
        <v>25821514.210000001</v>
      </c>
      <c r="I401" s="130">
        <f t="shared" si="30"/>
        <v>0.99999988459237388</v>
      </c>
      <c r="J401" s="24"/>
      <c r="K401" s="24"/>
    </row>
    <row r="402" spans="1:11" s="12" customFormat="1" ht="93.05" x14ac:dyDescent="0.3">
      <c r="A402" s="3" t="s">
        <v>765</v>
      </c>
      <c r="B402" s="59" t="s">
        <v>10</v>
      </c>
      <c r="C402" s="4" t="s">
        <v>22</v>
      </c>
      <c r="D402" s="4" t="s">
        <v>18</v>
      </c>
      <c r="E402" s="4" t="s">
        <v>766</v>
      </c>
      <c r="F402" s="4"/>
      <c r="G402" s="27">
        <f>G403</f>
        <v>10000000.000000002</v>
      </c>
      <c r="H402" s="56">
        <f>H403</f>
        <v>10000000.000000002</v>
      </c>
      <c r="I402" s="130">
        <f t="shared" si="30"/>
        <v>1</v>
      </c>
      <c r="J402" s="24"/>
      <c r="K402" s="24"/>
    </row>
    <row r="403" spans="1:11" s="12" customFormat="1" ht="46.55" x14ac:dyDescent="0.3">
      <c r="A403" s="3" t="s">
        <v>543</v>
      </c>
      <c r="B403" s="59" t="s">
        <v>10</v>
      </c>
      <c r="C403" s="4" t="s">
        <v>22</v>
      </c>
      <c r="D403" s="4" t="s">
        <v>18</v>
      </c>
      <c r="E403" s="4" t="s">
        <v>766</v>
      </c>
      <c r="F403" s="4" t="s">
        <v>463</v>
      </c>
      <c r="G403" s="27">
        <f>2359325.4+10000000-2359325.4+700000-344583.85-163598.62-191817.53</f>
        <v>10000000.000000002</v>
      </c>
      <c r="H403" s="56">
        <f>2359325.4+10000000-2359325.4+700000-344583.85-163598.62-191817.53</f>
        <v>10000000.000000002</v>
      </c>
      <c r="I403" s="130">
        <f>H403/G403</f>
        <v>1</v>
      </c>
      <c r="J403" s="24"/>
      <c r="K403" s="24"/>
    </row>
    <row r="404" spans="1:11" s="12" customFormat="1" ht="77.55" x14ac:dyDescent="0.3">
      <c r="A404" s="3" t="s">
        <v>603</v>
      </c>
      <c r="B404" s="59" t="s">
        <v>10</v>
      </c>
      <c r="C404" s="4" t="s">
        <v>22</v>
      </c>
      <c r="D404" s="4" t="s">
        <v>18</v>
      </c>
      <c r="E404" s="4" t="s">
        <v>604</v>
      </c>
      <c r="F404" s="4"/>
      <c r="G404" s="27">
        <f>G405+G409+G407</f>
        <v>97603929.310000002</v>
      </c>
      <c r="H404" s="56">
        <f>H405+H409+H407</f>
        <v>96726103.629999995</v>
      </c>
      <c r="I404" s="130">
        <f t="shared" ref="I404:I417" si="32">H404/G404</f>
        <v>0.9910062465086632</v>
      </c>
      <c r="J404" s="24"/>
      <c r="K404" s="24"/>
    </row>
    <row r="405" spans="1:11" s="12" customFormat="1" ht="62.05" x14ac:dyDescent="0.3">
      <c r="A405" s="3" t="s">
        <v>87</v>
      </c>
      <c r="B405" s="59" t="s">
        <v>10</v>
      </c>
      <c r="C405" s="4" t="s">
        <v>22</v>
      </c>
      <c r="D405" s="4" t="s">
        <v>18</v>
      </c>
      <c r="E405" s="4" t="s">
        <v>605</v>
      </c>
      <c r="F405" s="4"/>
      <c r="G405" s="27">
        <f>G406</f>
        <v>94600000</v>
      </c>
      <c r="H405" s="56">
        <f>H406</f>
        <v>93749705.079999998</v>
      </c>
      <c r="I405" s="130">
        <f t="shared" si="32"/>
        <v>0.99101168160676534</v>
      </c>
      <c r="J405" s="24"/>
      <c r="K405" s="24"/>
    </row>
    <row r="406" spans="1:11" s="12" customFormat="1" ht="46.55" x14ac:dyDescent="0.3">
      <c r="A406" s="3" t="s">
        <v>543</v>
      </c>
      <c r="B406" s="59" t="s">
        <v>10</v>
      </c>
      <c r="C406" s="4" t="s">
        <v>22</v>
      </c>
      <c r="D406" s="4" t="s">
        <v>18</v>
      </c>
      <c r="E406" s="4" t="s">
        <v>605</v>
      </c>
      <c r="F406" s="4" t="s">
        <v>463</v>
      </c>
      <c r="G406" s="27">
        <f>89288352.08+2359325.4+2961698.64-9376.12</f>
        <v>94600000</v>
      </c>
      <c r="H406" s="56">
        <v>93749705.079999998</v>
      </c>
      <c r="I406" s="130">
        <f t="shared" si="32"/>
        <v>0.99101168160676534</v>
      </c>
      <c r="J406" s="24"/>
      <c r="K406" s="24"/>
    </row>
    <row r="407" spans="1:11" s="12" customFormat="1" ht="53.45" customHeight="1" x14ac:dyDescent="0.3">
      <c r="A407" s="3" t="s">
        <v>596</v>
      </c>
      <c r="B407" s="59" t="s">
        <v>10</v>
      </c>
      <c r="C407" s="4" t="s">
        <v>22</v>
      </c>
      <c r="D407" s="4" t="s">
        <v>18</v>
      </c>
      <c r="E407" s="4" t="s">
        <v>767</v>
      </c>
      <c r="F407" s="4"/>
      <c r="G407" s="27">
        <f>G408</f>
        <v>392749.84</v>
      </c>
      <c r="H407" s="56">
        <f>H408</f>
        <v>378150.59</v>
      </c>
      <c r="I407" s="130">
        <f t="shared" si="32"/>
        <v>0.96282811980267136</v>
      </c>
      <c r="J407" s="24"/>
      <c r="K407" s="24"/>
    </row>
    <row r="408" spans="1:11" s="12" customFormat="1" ht="46.55" x14ac:dyDescent="0.3">
      <c r="A408" s="3" t="s">
        <v>543</v>
      </c>
      <c r="B408" s="59" t="s">
        <v>10</v>
      </c>
      <c r="C408" s="4" t="s">
        <v>22</v>
      </c>
      <c r="D408" s="4" t="s">
        <v>18</v>
      </c>
      <c r="E408" s="4" t="s">
        <v>767</v>
      </c>
      <c r="F408" s="4" t="s">
        <v>463</v>
      </c>
      <c r="G408" s="27">
        <f>362785.32+29964.52</f>
        <v>392749.84</v>
      </c>
      <c r="H408" s="56">
        <v>378150.59</v>
      </c>
      <c r="I408" s="130">
        <f t="shared" si="32"/>
        <v>0.96282811980267136</v>
      </c>
      <c r="J408" s="24"/>
      <c r="K408" s="24"/>
    </row>
    <row r="409" spans="1:11" s="12" customFormat="1" ht="41.3" customHeight="1" x14ac:dyDescent="0.3">
      <c r="A409" s="3" t="s">
        <v>393</v>
      </c>
      <c r="B409" s="59" t="s">
        <v>10</v>
      </c>
      <c r="C409" s="4" t="s">
        <v>22</v>
      </c>
      <c r="D409" s="4" t="s">
        <v>18</v>
      </c>
      <c r="E409" s="4" t="s">
        <v>606</v>
      </c>
      <c r="F409" s="4"/>
      <c r="G409" s="27">
        <f>G410</f>
        <v>2611179.4700000002</v>
      </c>
      <c r="H409" s="56">
        <f>H410</f>
        <v>2598247.96</v>
      </c>
      <c r="I409" s="130">
        <f t="shared" si="32"/>
        <v>0.99504763646138794</v>
      </c>
      <c r="J409" s="24"/>
      <c r="K409" s="24"/>
    </row>
    <row r="410" spans="1:11" s="12" customFormat="1" ht="59.3" customHeight="1" x14ac:dyDescent="0.3">
      <c r="A410" s="3" t="s">
        <v>51</v>
      </c>
      <c r="B410" s="59" t="s">
        <v>10</v>
      </c>
      <c r="C410" s="4" t="s">
        <v>22</v>
      </c>
      <c r="D410" s="4" t="s">
        <v>18</v>
      </c>
      <c r="E410" s="4" t="s">
        <v>606</v>
      </c>
      <c r="F410" s="4" t="s">
        <v>463</v>
      </c>
      <c r="G410" s="27">
        <f>2997698.64+26231.04-2961698.64+47377.69+505273.92+1494726.08+156986.89+344583.85</f>
        <v>2611179.4700000002</v>
      </c>
      <c r="H410" s="56">
        <v>2598247.96</v>
      </c>
      <c r="I410" s="130">
        <f t="shared" si="32"/>
        <v>0.99504763646138794</v>
      </c>
      <c r="J410" s="24"/>
      <c r="K410" s="24"/>
    </row>
    <row r="411" spans="1:11" s="12" customFormat="1" x14ac:dyDescent="0.3">
      <c r="A411" s="1" t="s">
        <v>456</v>
      </c>
      <c r="B411" s="105" t="s">
        <v>10</v>
      </c>
      <c r="C411" s="2" t="s">
        <v>22</v>
      </c>
      <c r="D411" s="2" t="s">
        <v>20</v>
      </c>
      <c r="E411" s="2"/>
      <c r="F411" s="2"/>
      <c r="G411" s="31">
        <f>G412</f>
        <v>2177889.33</v>
      </c>
      <c r="H411" s="57">
        <f>H412</f>
        <v>2075713.95</v>
      </c>
      <c r="I411" s="129">
        <f t="shared" si="32"/>
        <v>0.95308513679159257</v>
      </c>
      <c r="J411" s="24"/>
      <c r="K411" s="24"/>
    </row>
    <row r="412" spans="1:11" ht="46.55" x14ac:dyDescent="0.3">
      <c r="A412" s="1" t="s">
        <v>726</v>
      </c>
      <c r="B412" s="105" t="s">
        <v>10</v>
      </c>
      <c r="C412" s="2" t="s">
        <v>22</v>
      </c>
      <c r="D412" s="2" t="s">
        <v>20</v>
      </c>
      <c r="E412" s="2" t="s">
        <v>554</v>
      </c>
      <c r="F412" s="2"/>
      <c r="G412" s="31">
        <f>G413</f>
        <v>2177889.33</v>
      </c>
      <c r="H412" s="57">
        <f>H413</f>
        <v>2075713.95</v>
      </c>
      <c r="I412" s="129">
        <f t="shared" si="32"/>
        <v>0.95308513679159257</v>
      </c>
    </row>
    <row r="413" spans="1:11" s="12" customFormat="1" ht="62.05" x14ac:dyDescent="0.3">
      <c r="A413" s="3" t="s">
        <v>52</v>
      </c>
      <c r="B413" s="59" t="s">
        <v>10</v>
      </c>
      <c r="C413" s="4" t="s">
        <v>22</v>
      </c>
      <c r="D413" s="4" t="s">
        <v>20</v>
      </c>
      <c r="E413" s="4" t="s">
        <v>555</v>
      </c>
      <c r="F413" s="4"/>
      <c r="G413" s="31">
        <f>G414+G417</f>
        <v>2177889.33</v>
      </c>
      <c r="H413" s="57">
        <f>H414+H417</f>
        <v>2075713.95</v>
      </c>
      <c r="I413" s="129">
        <f t="shared" si="32"/>
        <v>0.95308513679159257</v>
      </c>
      <c r="J413" s="24"/>
      <c r="K413" s="24"/>
    </row>
    <row r="414" spans="1:11" s="12" customFormat="1" ht="46.55" x14ac:dyDescent="0.3">
      <c r="A414" s="3" t="s">
        <v>219</v>
      </c>
      <c r="B414" s="59" t="s">
        <v>10</v>
      </c>
      <c r="C414" s="4" t="s">
        <v>22</v>
      </c>
      <c r="D414" s="4" t="s">
        <v>20</v>
      </c>
      <c r="E414" s="4" t="s">
        <v>220</v>
      </c>
      <c r="F414" s="4"/>
      <c r="G414" s="27">
        <f>G415</f>
        <v>708389.63</v>
      </c>
      <c r="H414" s="56">
        <f>H415</f>
        <v>654007.68999999994</v>
      </c>
      <c r="I414" s="130">
        <f t="shared" si="32"/>
        <v>0.92323159784256004</v>
      </c>
      <c r="J414" s="24"/>
      <c r="K414" s="24"/>
    </row>
    <row r="415" spans="1:11" s="12" customFormat="1" ht="31.05" x14ac:dyDescent="0.3">
      <c r="A415" s="3" t="s">
        <v>393</v>
      </c>
      <c r="B415" s="59" t="s">
        <v>10</v>
      </c>
      <c r="C415" s="4" t="s">
        <v>22</v>
      </c>
      <c r="D415" s="4" t="s">
        <v>20</v>
      </c>
      <c r="E415" s="4" t="s">
        <v>221</v>
      </c>
      <c r="F415" s="4"/>
      <c r="G415" s="27">
        <f>G416</f>
        <v>708389.63</v>
      </c>
      <c r="H415" s="56">
        <f>H416</f>
        <v>654007.68999999994</v>
      </c>
      <c r="I415" s="130">
        <f t="shared" si="32"/>
        <v>0.92323159784256004</v>
      </c>
      <c r="J415" s="24"/>
      <c r="K415" s="24"/>
    </row>
    <row r="416" spans="1:11" s="12" customFormat="1" ht="46.55" x14ac:dyDescent="0.3">
      <c r="A416" s="3" t="s">
        <v>543</v>
      </c>
      <c r="B416" s="59" t="s">
        <v>10</v>
      </c>
      <c r="C416" s="4" t="s">
        <v>22</v>
      </c>
      <c r="D416" s="4" t="s">
        <v>20</v>
      </c>
      <c r="E416" s="4" t="s">
        <v>221</v>
      </c>
      <c r="F416" s="4" t="s">
        <v>463</v>
      </c>
      <c r="G416" s="27">
        <f>502515.4+250000-20000-24125.77</f>
        <v>708389.63</v>
      </c>
      <c r="H416" s="56">
        <v>654007.68999999994</v>
      </c>
      <c r="I416" s="130">
        <f t="shared" si="32"/>
        <v>0.92323159784256004</v>
      </c>
      <c r="J416" s="24"/>
      <c r="K416" s="24"/>
    </row>
    <row r="417" spans="1:11" s="12" customFormat="1" ht="46.55" x14ac:dyDescent="0.3">
      <c r="A417" s="3" t="s">
        <v>227</v>
      </c>
      <c r="B417" s="59" t="s">
        <v>10</v>
      </c>
      <c r="C417" s="4" t="s">
        <v>22</v>
      </c>
      <c r="D417" s="4" t="s">
        <v>20</v>
      </c>
      <c r="E417" s="4" t="s">
        <v>228</v>
      </c>
      <c r="F417" s="4"/>
      <c r="G417" s="27">
        <f>G418</f>
        <v>1469499.7</v>
      </c>
      <c r="H417" s="56">
        <f>H418</f>
        <v>1421706.26</v>
      </c>
      <c r="I417" s="130">
        <f t="shared" si="32"/>
        <v>0.96747638669133451</v>
      </c>
      <c r="J417" s="24"/>
      <c r="K417" s="24"/>
    </row>
    <row r="418" spans="1:11" s="12" customFormat="1" ht="31.05" x14ac:dyDescent="0.3">
      <c r="A418" s="3" t="s">
        <v>393</v>
      </c>
      <c r="B418" s="59" t="s">
        <v>10</v>
      </c>
      <c r="C418" s="4" t="s">
        <v>22</v>
      </c>
      <c r="D418" s="4" t="s">
        <v>20</v>
      </c>
      <c r="E418" s="4" t="s">
        <v>229</v>
      </c>
      <c r="F418" s="4"/>
      <c r="G418" s="27">
        <f>G419</f>
        <v>1469499.7</v>
      </c>
      <c r="H418" s="56">
        <f>H419</f>
        <v>1421706.26</v>
      </c>
      <c r="I418" s="130">
        <f>H418/G418</f>
        <v>0.96747638669133451</v>
      </c>
      <c r="J418" s="24"/>
      <c r="K418" s="24"/>
    </row>
    <row r="419" spans="1:11" s="12" customFormat="1" ht="46.55" x14ac:dyDescent="0.3">
      <c r="A419" s="3" t="s">
        <v>543</v>
      </c>
      <c r="B419" s="59" t="s">
        <v>10</v>
      </c>
      <c r="C419" s="4" t="s">
        <v>22</v>
      </c>
      <c r="D419" s="4" t="s">
        <v>20</v>
      </c>
      <c r="E419" s="4" t="s">
        <v>229</v>
      </c>
      <c r="F419" s="4" t="s">
        <v>463</v>
      </c>
      <c r="G419" s="27">
        <f>519119.81+513661.92+336674.02+38108+128700+50000+24720-40000-37768.56-25955.99-37759.5</f>
        <v>1469499.7</v>
      </c>
      <c r="H419" s="56">
        <v>1421706.26</v>
      </c>
      <c r="I419" s="130">
        <f>H419/G419</f>
        <v>0.96747638669133451</v>
      </c>
      <c r="J419" s="24"/>
      <c r="K419" s="24"/>
    </row>
    <row r="420" spans="1:11" s="12" customFormat="1" ht="31.05" x14ac:dyDescent="0.3">
      <c r="A420" s="1" t="s">
        <v>35</v>
      </c>
      <c r="B420" s="105" t="s">
        <v>10</v>
      </c>
      <c r="C420" s="2" t="s">
        <v>22</v>
      </c>
      <c r="D420" s="2" t="s">
        <v>459</v>
      </c>
      <c r="E420" s="2"/>
      <c r="F420" s="2"/>
      <c r="G420" s="31">
        <f>G421</f>
        <v>11941675.67</v>
      </c>
      <c r="H420" s="57">
        <f>H421</f>
        <v>11940088.300000001</v>
      </c>
      <c r="I420" s="129">
        <f t="shared" ref="I420:I422" si="33">H420/G420</f>
        <v>0.99986707309393885</v>
      </c>
      <c r="J420" s="24"/>
      <c r="K420" s="24"/>
    </row>
    <row r="421" spans="1:11" ht="62.05" x14ac:dyDescent="0.3">
      <c r="A421" s="46" t="s">
        <v>62</v>
      </c>
      <c r="B421" s="105" t="s">
        <v>10</v>
      </c>
      <c r="C421" s="2" t="s">
        <v>22</v>
      </c>
      <c r="D421" s="2" t="s">
        <v>459</v>
      </c>
      <c r="E421" s="2" t="s">
        <v>547</v>
      </c>
      <c r="F421" s="2"/>
      <c r="G421" s="31">
        <f>G422+G429</f>
        <v>11941675.67</v>
      </c>
      <c r="H421" s="57">
        <f>H422+H429</f>
        <v>11940088.300000001</v>
      </c>
      <c r="I421" s="129">
        <f t="shared" si="33"/>
        <v>0.99986707309393885</v>
      </c>
    </row>
    <row r="422" spans="1:11" s="12" customFormat="1" ht="77.55" x14ac:dyDescent="0.3">
      <c r="A422" s="25" t="s">
        <v>79</v>
      </c>
      <c r="B422" s="59" t="s">
        <v>10</v>
      </c>
      <c r="C422" s="4" t="s">
        <v>22</v>
      </c>
      <c r="D422" s="4" t="s">
        <v>459</v>
      </c>
      <c r="E422" s="4" t="s">
        <v>478</v>
      </c>
      <c r="F422" s="4"/>
      <c r="G422" s="27">
        <f>G423+G426</f>
        <v>2252630</v>
      </c>
      <c r="H422" s="56">
        <f>H423+H426</f>
        <v>2252630</v>
      </c>
      <c r="I422" s="130">
        <f t="shared" si="33"/>
        <v>1</v>
      </c>
      <c r="J422" s="24"/>
      <c r="K422" s="24"/>
    </row>
    <row r="423" spans="1:11" s="12" customFormat="1" ht="108.55" x14ac:dyDescent="0.3">
      <c r="A423" s="25" t="s">
        <v>607</v>
      </c>
      <c r="B423" s="59" t="s">
        <v>10</v>
      </c>
      <c r="C423" s="4" t="s">
        <v>22</v>
      </c>
      <c r="D423" s="4" t="s">
        <v>459</v>
      </c>
      <c r="E423" s="4" t="s">
        <v>608</v>
      </c>
      <c r="F423" s="4"/>
      <c r="G423" s="27">
        <f>G424</f>
        <v>1902630</v>
      </c>
      <c r="H423" s="56">
        <f>H424</f>
        <v>1902630</v>
      </c>
      <c r="I423" s="130">
        <f t="shared" ref="I423:I444" si="34">H423/G423</f>
        <v>1</v>
      </c>
      <c r="J423" s="24"/>
      <c r="K423" s="24"/>
    </row>
    <row r="424" spans="1:11" ht="31.05" x14ac:dyDescent="0.3">
      <c r="A424" s="25" t="s">
        <v>98</v>
      </c>
      <c r="B424" s="59" t="s">
        <v>10</v>
      </c>
      <c r="C424" s="4" t="s">
        <v>22</v>
      </c>
      <c r="D424" s="4" t="s">
        <v>459</v>
      </c>
      <c r="E424" s="4" t="s">
        <v>609</v>
      </c>
      <c r="F424" s="4"/>
      <c r="G424" s="27">
        <f>G425</f>
        <v>1902630</v>
      </c>
      <c r="H424" s="56">
        <f>H425</f>
        <v>1902630</v>
      </c>
      <c r="I424" s="130">
        <f t="shared" si="34"/>
        <v>1</v>
      </c>
    </row>
    <row r="425" spans="1:11" ht="46.55" x14ac:dyDescent="0.3">
      <c r="A425" s="3" t="s">
        <v>543</v>
      </c>
      <c r="B425" s="59" t="s">
        <v>10</v>
      </c>
      <c r="C425" s="4" t="s">
        <v>22</v>
      </c>
      <c r="D425" s="4" t="s">
        <v>459</v>
      </c>
      <c r="E425" s="4" t="s">
        <v>609</v>
      </c>
      <c r="F425" s="4" t="s">
        <v>463</v>
      </c>
      <c r="G425" s="27">
        <f>1305000+722880-60000-65250</f>
        <v>1902630</v>
      </c>
      <c r="H425" s="56">
        <f>1305000+722880-60000-65250</f>
        <v>1902630</v>
      </c>
      <c r="I425" s="130">
        <f t="shared" si="34"/>
        <v>1</v>
      </c>
    </row>
    <row r="426" spans="1:11" ht="124.1" x14ac:dyDescent="0.3">
      <c r="A426" s="3" t="s">
        <v>877</v>
      </c>
      <c r="B426" s="59" t="s">
        <v>10</v>
      </c>
      <c r="C426" s="4" t="s">
        <v>22</v>
      </c>
      <c r="D426" s="4" t="s">
        <v>459</v>
      </c>
      <c r="E426" s="4" t="s">
        <v>878</v>
      </c>
      <c r="F426" s="4"/>
      <c r="G426" s="27">
        <f>G427</f>
        <v>350000</v>
      </c>
      <c r="H426" s="56">
        <f>H427</f>
        <v>350000</v>
      </c>
      <c r="I426" s="130">
        <f t="shared" si="34"/>
        <v>1</v>
      </c>
    </row>
    <row r="427" spans="1:11" ht="31.05" x14ac:dyDescent="0.3">
      <c r="A427" s="3" t="s">
        <v>98</v>
      </c>
      <c r="B427" s="59" t="s">
        <v>10</v>
      </c>
      <c r="C427" s="4" t="s">
        <v>22</v>
      </c>
      <c r="D427" s="4" t="s">
        <v>459</v>
      </c>
      <c r="E427" s="4" t="s">
        <v>879</v>
      </c>
      <c r="F427" s="4"/>
      <c r="G427" s="27">
        <f>G428</f>
        <v>350000</v>
      </c>
      <c r="H427" s="56">
        <f>H428</f>
        <v>350000</v>
      </c>
      <c r="I427" s="130">
        <f t="shared" si="34"/>
        <v>1</v>
      </c>
    </row>
    <row r="428" spans="1:11" ht="46.55" x14ac:dyDescent="0.3">
      <c r="A428" s="3" t="s">
        <v>543</v>
      </c>
      <c r="B428" s="59" t="s">
        <v>10</v>
      </c>
      <c r="C428" s="4" t="s">
        <v>22</v>
      </c>
      <c r="D428" s="4" t="s">
        <v>459</v>
      </c>
      <c r="E428" s="4" t="s">
        <v>879</v>
      </c>
      <c r="F428" s="4" t="s">
        <v>463</v>
      </c>
      <c r="G428" s="27">
        <v>350000</v>
      </c>
      <c r="H428" s="56">
        <v>350000</v>
      </c>
      <c r="I428" s="130">
        <f t="shared" si="34"/>
        <v>1</v>
      </c>
    </row>
    <row r="429" spans="1:11" ht="93.05" x14ac:dyDescent="0.3">
      <c r="A429" s="3" t="s">
        <v>82</v>
      </c>
      <c r="B429" s="59" t="s">
        <v>10</v>
      </c>
      <c r="C429" s="4" t="s">
        <v>22</v>
      </c>
      <c r="D429" s="4" t="s">
        <v>459</v>
      </c>
      <c r="E429" s="4" t="s">
        <v>610</v>
      </c>
      <c r="F429" s="4"/>
      <c r="G429" s="27">
        <f>G430+G435+G441</f>
        <v>9689045.6699999999</v>
      </c>
      <c r="H429" s="56">
        <f>H430+H435+H441</f>
        <v>9687458.3000000007</v>
      </c>
      <c r="I429" s="130">
        <f t="shared" si="34"/>
        <v>0.999836168591411</v>
      </c>
    </row>
    <row r="430" spans="1:11" ht="93.05" x14ac:dyDescent="0.3">
      <c r="A430" s="3" t="s">
        <v>611</v>
      </c>
      <c r="B430" s="59" t="s">
        <v>10</v>
      </c>
      <c r="C430" s="4" t="s">
        <v>22</v>
      </c>
      <c r="D430" s="4" t="s">
        <v>459</v>
      </c>
      <c r="E430" s="4" t="s">
        <v>612</v>
      </c>
      <c r="F430" s="4"/>
      <c r="G430" s="27">
        <f>G431</f>
        <v>3028677.29</v>
      </c>
      <c r="H430" s="56">
        <f>H431</f>
        <v>3027815.27</v>
      </c>
      <c r="I430" s="130">
        <f t="shared" si="34"/>
        <v>0.99971538070336963</v>
      </c>
    </row>
    <row r="431" spans="1:11" ht="93.05" x14ac:dyDescent="0.3">
      <c r="A431" s="3" t="s">
        <v>589</v>
      </c>
      <c r="B431" s="59" t="s">
        <v>10</v>
      </c>
      <c r="C431" s="4" t="s">
        <v>22</v>
      </c>
      <c r="D431" s="4" t="s">
        <v>459</v>
      </c>
      <c r="E431" s="4" t="s">
        <v>613</v>
      </c>
      <c r="F431" s="4"/>
      <c r="G431" s="27">
        <f>G432+G433+G434</f>
        <v>3028677.29</v>
      </c>
      <c r="H431" s="56">
        <f>H432+H433+H434</f>
        <v>3027815.27</v>
      </c>
      <c r="I431" s="130">
        <f t="shared" si="34"/>
        <v>0.99971538070336963</v>
      </c>
    </row>
    <row r="432" spans="1:11" ht="108.55" x14ac:dyDescent="0.3">
      <c r="A432" s="3" t="s">
        <v>50</v>
      </c>
      <c r="B432" s="59" t="s">
        <v>10</v>
      </c>
      <c r="C432" s="4" t="s">
        <v>22</v>
      </c>
      <c r="D432" s="4" t="s">
        <v>459</v>
      </c>
      <c r="E432" s="4" t="s">
        <v>613</v>
      </c>
      <c r="F432" s="4" t="s">
        <v>462</v>
      </c>
      <c r="G432" s="27">
        <f>2135555.08+644937.21</f>
        <v>2780492.29</v>
      </c>
      <c r="H432" s="56">
        <f>2135555.08+644937.21</f>
        <v>2780492.29</v>
      </c>
      <c r="I432" s="130">
        <f t="shared" si="34"/>
        <v>1</v>
      </c>
    </row>
    <row r="433" spans="1:11" ht="46.55" x14ac:dyDescent="0.3">
      <c r="A433" s="3" t="s">
        <v>543</v>
      </c>
      <c r="B433" s="59" t="s">
        <v>10</v>
      </c>
      <c r="C433" s="4" t="s">
        <v>22</v>
      </c>
      <c r="D433" s="4" t="s">
        <v>459</v>
      </c>
      <c r="E433" s="4" t="s">
        <v>613</v>
      </c>
      <c r="F433" s="4" t="s">
        <v>463</v>
      </c>
      <c r="G433" s="27">
        <f>13800+114385</f>
        <v>128185</v>
      </c>
      <c r="H433" s="56">
        <v>127322.98</v>
      </c>
      <c r="I433" s="130">
        <f t="shared" si="34"/>
        <v>0.99327518820454808</v>
      </c>
    </row>
    <row r="434" spans="1:11" x14ac:dyDescent="0.3">
      <c r="A434" s="3" t="s">
        <v>732</v>
      </c>
      <c r="B434" s="59" t="s">
        <v>10</v>
      </c>
      <c r="C434" s="4" t="s">
        <v>22</v>
      </c>
      <c r="D434" s="4" t="s">
        <v>459</v>
      </c>
      <c r="E434" s="4" t="s">
        <v>613</v>
      </c>
      <c r="F434" s="4" t="s">
        <v>466</v>
      </c>
      <c r="G434" s="27">
        <v>120000</v>
      </c>
      <c r="H434" s="56">
        <v>120000</v>
      </c>
      <c r="I434" s="130">
        <f t="shared" si="34"/>
        <v>1</v>
      </c>
    </row>
    <row r="435" spans="1:11" ht="139.6" x14ac:dyDescent="0.3">
      <c r="A435" s="3" t="s">
        <v>614</v>
      </c>
      <c r="B435" s="59" t="s">
        <v>10</v>
      </c>
      <c r="C435" s="4" t="s">
        <v>22</v>
      </c>
      <c r="D435" s="4" t="s">
        <v>459</v>
      </c>
      <c r="E435" s="4" t="s">
        <v>615</v>
      </c>
      <c r="F435" s="4"/>
      <c r="G435" s="27">
        <f>G436+G439</f>
        <v>3556422.24</v>
      </c>
      <c r="H435" s="56">
        <f>H436+H439</f>
        <v>3555696.89</v>
      </c>
      <c r="I435" s="130">
        <f t="shared" si="34"/>
        <v>0.99979604502754427</v>
      </c>
    </row>
    <row r="436" spans="1:11" s="12" customFormat="1" ht="93.05" x14ac:dyDescent="0.3">
      <c r="A436" s="3" t="s">
        <v>589</v>
      </c>
      <c r="B436" s="59" t="s">
        <v>10</v>
      </c>
      <c r="C436" s="4" t="s">
        <v>22</v>
      </c>
      <c r="D436" s="4" t="s">
        <v>459</v>
      </c>
      <c r="E436" s="4" t="s">
        <v>616</v>
      </c>
      <c r="F436" s="4"/>
      <c r="G436" s="27">
        <f>G437+G438</f>
        <v>3419602.8600000003</v>
      </c>
      <c r="H436" s="56">
        <f>H437+H438</f>
        <v>3418877.5100000002</v>
      </c>
      <c r="I436" s="130">
        <f t="shared" si="34"/>
        <v>0.999787884725304</v>
      </c>
      <c r="J436" s="24"/>
      <c r="K436" s="24"/>
    </row>
    <row r="437" spans="1:11" s="12" customFormat="1" ht="108.55" x14ac:dyDescent="0.3">
      <c r="A437" s="3" t="s">
        <v>50</v>
      </c>
      <c r="B437" s="59" t="s">
        <v>10</v>
      </c>
      <c r="C437" s="4" t="s">
        <v>22</v>
      </c>
      <c r="D437" s="4" t="s">
        <v>459</v>
      </c>
      <c r="E437" s="4" t="s">
        <v>616</v>
      </c>
      <c r="F437" s="4" t="s">
        <v>462</v>
      </c>
      <c r="G437" s="27">
        <f>2284153.48+689814.35-840+840+10000+319795.45+24455</f>
        <v>3328218.2800000003</v>
      </c>
      <c r="H437" s="56">
        <v>3328148.27</v>
      </c>
      <c r="I437" s="130">
        <f t="shared" si="34"/>
        <v>0.99997896472102776</v>
      </c>
      <c r="J437" s="24"/>
      <c r="K437" s="24"/>
    </row>
    <row r="438" spans="1:11" s="12" customFormat="1" ht="46.55" x14ac:dyDescent="0.3">
      <c r="A438" s="3" t="s">
        <v>543</v>
      </c>
      <c r="B438" s="59" t="s">
        <v>10</v>
      </c>
      <c r="C438" s="4" t="s">
        <v>22</v>
      </c>
      <c r="D438" s="4" t="s">
        <v>459</v>
      </c>
      <c r="E438" s="4" t="s">
        <v>616</v>
      </c>
      <c r="F438" s="4" t="s">
        <v>463</v>
      </c>
      <c r="G438" s="27">
        <f>91384.58+10000-10000</f>
        <v>91384.58</v>
      </c>
      <c r="H438" s="56">
        <v>90729.24</v>
      </c>
      <c r="I438" s="130">
        <f t="shared" si="34"/>
        <v>0.99282876826703148</v>
      </c>
      <c r="J438" s="24"/>
      <c r="K438" s="24"/>
    </row>
    <row r="439" spans="1:11" s="12" customFormat="1" ht="93.05" x14ac:dyDescent="0.3">
      <c r="A439" s="3" t="s">
        <v>448</v>
      </c>
      <c r="B439" s="59" t="s">
        <v>10</v>
      </c>
      <c r="C439" s="4" t="s">
        <v>22</v>
      </c>
      <c r="D439" s="4" t="s">
        <v>459</v>
      </c>
      <c r="E439" s="4" t="s">
        <v>617</v>
      </c>
      <c r="F439" s="4"/>
      <c r="G439" s="27">
        <f>G440</f>
        <v>136819.38</v>
      </c>
      <c r="H439" s="56">
        <f>H440</f>
        <v>136819.38</v>
      </c>
      <c r="I439" s="130">
        <f t="shared" si="34"/>
        <v>1</v>
      </c>
      <c r="J439" s="24"/>
      <c r="K439" s="24"/>
    </row>
    <row r="440" spans="1:11" s="12" customFormat="1" ht="108.55" x14ac:dyDescent="0.3">
      <c r="A440" s="3" t="s">
        <v>389</v>
      </c>
      <c r="B440" s="59" t="s">
        <v>10</v>
      </c>
      <c r="C440" s="4" t="s">
        <v>22</v>
      </c>
      <c r="D440" s="4" t="s">
        <v>459</v>
      </c>
      <c r="E440" s="4" t="s">
        <v>617</v>
      </c>
      <c r="F440" s="4" t="s">
        <v>462</v>
      </c>
      <c r="G440" s="27">
        <f>159250-10000-25744.18+37768.56-24455</f>
        <v>136819.38</v>
      </c>
      <c r="H440" s="56">
        <f>159250-10000-25744.18+37768.56-24455</f>
        <v>136819.38</v>
      </c>
      <c r="I440" s="130">
        <f t="shared" si="34"/>
        <v>1</v>
      </c>
      <c r="J440" s="24"/>
      <c r="K440" s="24"/>
    </row>
    <row r="441" spans="1:11" s="12" customFormat="1" ht="139.6" x14ac:dyDescent="0.3">
      <c r="A441" s="3" t="s">
        <v>618</v>
      </c>
      <c r="B441" s="59" t="s">
        <v>10</v>
      </c>
      <c r="C441" s="4" t="s">
        <v>22</v>
      </c>
      <c r="D441" s="4" t="s">
        <v>459</v>
      </c>
      <c r="E441" s="4" t="s">
        <v>619</v>
      </c>
      <c r="F441" s="4"/>
      <c r="G441" s="27">
        <f>G442</f>
        <v>3103946.14</v>
      </c>
      <c r="H441" s="56">
        <f>H442</f>
        <v>3103946.14</v>
      </c>
      <c r="I441" s="130">
        <f t="shared" si="34"/>
        <v>1</v>
      </c>
      <c r="J441" s="24"/>
      <c r="K441" s="24"/>
    </row>
    <row r="442" spans="1:11" s="12" customFormat="1" ht="93.05" x14ac:dyDescent="0.3">
      <c r="A442" s="3" t="s">
        <v>589</v>
      </c>
      <c r="B442" s="59" t="s">
        <v>10</v>
      </c>
      <c r="C442" s="4" t="s">
        <v>22</v>
      </c>
      <c r="D442" s="4" t="s">
        <v>459</v>
      </c>
      <c r="E442" s="4" t="s">
        <v>620</v>
      </c>
      <c r="F442" s="4"/>
      <c r="G442" s="27">
        <f>G443+G444+G445</f>
        <v>3103946.14</v>
      </c>
      <c r="H442" s="56">
        <f>H443+H444+H445</f>
        <v>3103946.14</v>
      </c>
      <c r="I442" s="130">
        <f t="shared" si="34"/>
        <v>1</v>
      </c>
      <c r="J442" s="24"/>
      <c r="K442" s="24"/>
    </row>
    <row r="443" spans="1:11" s="12" customFormat="1" ht="108.55" x14ac:dyDescent="0.3">
      <c r="A443" s="3" t="s">
        <v>50</v>
      </c>
      <c r="B443" s="59" t="s">
        <v>10</v>
      </c>
      <c r="C443" s="4" t="s">
        <v>22</v>
      </c>
      <c r="D443" s="4" t="s">
        <v>459</v>
      </c>
      <c r="E443" s="4" t="s">
        <v>620</v>
      </c>
      <c r="F443" s="4" t="s">
        <v>462</v>
      </c>
      <c r="G443" s="27">
        <f>2323005.76+651795.39</f>
        <v>2974801.15</v>
      </c>
      <c r="H443" s="56">
        <f>2323005.76+651795.39</f>
        <v>2974801.15</v>
      </c>
      <c r="I443" s="130">
        <f t="shared" si="34"/>
        <v>1</v>
      </c>
      <c r="J443" s="24"/>
      <c r="K443" s="24"/>
    </row>
    <row r="444" spans="1:11" s="12" customFormat="1" ht="46.55" x14ac:dyDescent="0.3">
      <c r="A444" s="3" t="s">
        <v>543</v>
      </c>
      <c r="B444" s="59" t="s">
        <v>10</v>
      </c>
      <c r="C444" s="4" t="s">
        <v>22</v>
      </c>
      <c r="D444" s="4" t="s">
        <v>459</v>
      </c>
      <c r="E444" s="4" t="s">
        <v>620</v>
      </c>
      <c r="F444" s="4" t="s">
        <v>463</v>
      </c>
      <c r="G444" s="27">
        <f>113778.14+5900.36</f>
        <v>119678.5</v>
      </c>
      <c r="H444" s="56">
        <f>113778.14+5900.36</f>
        <v>119678.5</v>
      </c>
      <c r="I444" s="130">
        <f t="shared" si="34"/>
        <v>1</v>
      </c>
      <c r="J444" s="24"/>
      <c r="K444" s="24"/>
    </row>
    <row r="445" spans="1:11" s="12" customFormat="1" x14ac:dyDescent="0.3">
      <c r="A445" s="3" t="s">
        <v>732</v>
      </c>
      <c r="B445" s="59" t="s">
        <v>10</v>
      </c>
      <c r="C445" s="4" t="s">
        <v>22</v>
      </c>
      <c r="D445" s="4" t="s">
        <v>459</v>
      </c>
      <c r="E445" s="4" t="s">
        <v>620</v>
      </c>
      <c r="F445" s="4" t="s">
        <v>466</v>
      </c>
      <c r="G445" s="27">
        <v>9466.49</v>
      </c>
      <c r="H445" s="56">
        <v>9466.49</v>
      </c>
      <c r="I445" s="145">
        <f t="shared" ref="I445:I477" si="35">H445/G445</f>
        <v>1</v>
      </c>
      <c r="J445" s="24"/>
      <c r="K445" s="24"/>
    </row>
    <row r="446" spans="1:11" s="12" customFormat="1" ht="17.2" x14ac:dyDescent="0.3">
      <c r="A446" s="107" t="s">
        <v>21</v>
      </c>
      <c r="B446" s="100" t="s">
        <v>10</v>
      </c>
      <c r="C446" s="11" t="s">
        <v>14</v>
      </c>
      <c r="D446" s="5"/>
      <c r="E446" s="5"/>
      <c r="F446" s="5"/>
      <c r="G446" s="26">
        <f>G447+G465+G480+G506</f>
        <v>141560151.12</v>
      </c>
      <c r="H446" s="137">
        <f>H447+H465+H480+H506</f>
        <v>139852814.57999998</v>
      </c>
      <c r="I446" s="129">
        <f t="shared" si="35"/>
        <v>0.98793914440969532</v>
      </c>
      <c r="J446" s="24"/>
      <c r="K446" s="24"/>
    </row>
    <row r="447" spans="1:11" s="12" customFormat="1" x14ac:dyDescent="0.3">
      <c r="A447" s="1" t="s">
        <v>27</v>
      </c>
      <c r="B447" s="105" t="s">
        <v>10</v>
      </c>
      <c r="C447" s="2" t="s">
        <v>14</v>
      </c>
      <c r="D447" s="2" t="s">
        <v>683</v>
      </c>
      <c r="E447" s="2"/>
      <c r="F447" s="2"/>
      <c r="G447" s="31">
        <f>G448+G461</f>
        <v>43031384.089999996</v>
      </c>
      <c r="H447" s="57">
        <f>H448+H461</f>
        <v>43031383.890000001</v>
      </c>
      <c r="I447" s="129">
        <f t="shared" si="35"/>
        <v>0.9999999953522295</v>
      </c>
      <c r="J447" s="24"/>
      <c r="K447" s="24"/>
    </row>
    <row r="448" spans="1:11" ht="77.55" x14ac:dyDescent="0.3">
      <c r="A448" s="1" t="s">
        <v>727</v>
      </c>
      <c r="B448" s="105" t="s">
        <v>10</v>
      </c>
      <c r="C448" s="2" t="s">
        <v>14</v>
      </c>
      <c r="D448" s="2" t="s">
        <v>683</v>
      </c>
      <c r="E448" s="2" t="s">
        <v>709</v>
      </c>
      <c r="F448" s="2"/>
      <c r="G448" s="31">
        <f>G449</f>
        <v>42289519.219999999</v>
      </c>
      <c r="H448" s="57">
        <f>H449</f>
        <v>42289519.219999999</v>
      </c>
      <c r="I448" s="129">
        <f t="shared" si="35"/>
        <v>1</v>
      </c>
    </row>
    <row r="449" spans="1:11" s="12" customFormat="1" ht="46.55" x14ac:dyDescent="0.3">
      <c r="A449" s="3" t="s">
        <v>595</v>
      </c>
      <c r="B449" s="59" t="s">
        <v>10</v>
      </c>
      <c r="C449" s="4" t="s">
        <v>14</v>
      </c>
      <c r="D449" s="4" t="s">
        <v>683</v>
      </c>
      <c r="E449" s="4" t="s">
        <v>621</v>
      </c>
      <c r="F449" s="4"/>
      <c r="G449" s="27">
        <f>G453+G458+G450</f>
        <v>42289519.219999999</v>
      </c>
      <c r="H449" s="56">
        <f>H453+H458+H450</f>
        <v>42289519.219999999</v>
      </c>
      <c r="I449" s="130">
        <f t="shared" si="35"/>
        <v>1</v>
      </c>
      <c r="J449" s="24"/>
      <c r="K449" s="24"/>
    </row>
    <row r="450" spans="1:11" s="12" customFormat="1" x14ac:dyDescent="0.3">
      <c r="A450" s="3" t="s">
        <v>768</v>
      </c>
      <c r="B450" s="59" t="s">
        <v>10</v>
      </c>
      <c r="C450" s="4" t="s">
        <v>14</v>
      </c>
      <c r="D450" s="4" t="s">
        <v>683</v>
      </c>
      <c r="E450" s="4" t="s">
        <v>769</v>
      </c>
      <c r="F450" s="4"/>
      <c r="G450" s="27">
        <f>G451</f>
        <v>275000</v>
      </c>
      <c r="H450" s="56">
        <f>H451</f>
        <v>275000</v>
      </c>
      <c r="I450" s="130">
        <f t="shared" si="35"/>
        <v>1</v>
      </c>
      <c r="J450" s="24"/>
      <c r="K450" s="24"/>
    </row>
    <row r="451" spans="1:11" s="12" customFormat="1" ht="46.55" x14ac:dyDescent="0.3">
      <c r="A451" s="3" t="s">
        <v>596</v>
      </c>
      <c r="B451" s="59" t="s">
        <v>10</v>
      </c>
      <c r="C451" s="4" t="s">
        <v>14</v>
      </c>
      <c r="D451" s="4" t="s">
        <v>683</v>
      </c>
      <c r="E451" s="4" t="s">
        <v>770</v>
      </c>
      <c r="F451" s="4"/>
      <c r="G451" s="27">
        <f>G452</f>
        <v>275000</v>
      </c>
      <c r="H451" s="56">
        <f>H452</f>
        <v>275000</v>
      </c>
      <c r="I451" s="130">
        <f t="shared" si="35"/>
        <v>1</v>
      </c>
      <c r="J451" s="24"/>
      <c r="K451" s="24"/>
    </row>
    <row r="452" spans="1:11" s="12" customFormat="1" ht="46.55" x14ac:dyDescent="0.3">
      <c r="A452" s="3" t="s">
        <v>543</v>
      </c>
      <c r="B452" s="59" t="s">
        <v>10</v>
      </c>
      <c r="C452" s="4" t="s">
        <v>14</v>
      </c>
      <c r="D452" s="4" t="s">
        <v>683</v>
      </c>
      <c r="E452" s="4" t="s">
        <v>770</v>
      </c>
      <c r="F452" s="4" t="s">
        <v>463</v>
      </c>
      <c r="G452" s="27">
        <f>350810.98-75810.98</f>
        <v>275000</v>
      </c>
      <c r="H452" s="56">
        <f>350810.98-75810.98</f>
        <v>275000</v>
      </c>
      <c r="I452" s="130">
        <f t="shared" si="35"/>
        <v>1</v>
      </c>
      <c r="J452" s="24"/>
      <c r="K452" s="24"/>
    </row>
    <row r="453" spans="1:11" s="12" customFormat="1" ht="109.55" customHeight="1" x14ac:dyDescent="0.3">
      <c r="A453" s="3" t="s">
        <v>758</v>
      </c>
      <c r="B453" s="59" t="s">
        <v>10</v>
      </c>
      <c r="C453" s="4" t="s">
        <v>14</v>
      </c>
      <c r="D453" s="4" t="s">
        <v>683</v>
      </c>
      <c r="E453" s="4" t="s">
        <v>759</v>
      </c>
      <c r="F453" s="4"/>
      <c r="G453" s="27">
        <f>G456+G454</f>
        <v>37214975.219999999</v>
      </c>
      <c r="H453" s="56">
        <f>H456+H454</f>
        <v>37214975.219999999</v>
      </c>
      <c r="I453" s="130">
        <f t="shared" si="35"/>
        <v>1</v>
      </c>
      <c r="J453" s="24"/>
      <c r="K453" s="24"/>
    </row>
    <row r="454" spans="1:11" s="12" customFormat="1" ht="118.55" customHeight="1" x14ac:dyDescent="0.3">
      <c r="A454" s="3" t="s">
        <v>760</v>
      </c>
      <c r="B454" s="59" t="s">
        <v>10</v>
      </c>
      <c r="C454" s="4" t="s">
        <v>14</v>
      </c>
      <c r="D454" s="4" t="s">
        <v>683</v>
      </c>
      <c r="E454" s="4" t="s">
        <v>807</v>
      </c>
      <c r="F454" s="4"/>
      <c r="G454" s="27">
        <f>G455</f>
        <v>18902160</v>
      </c>
      <c r="H454" s="56">
        <f>H455</f>
        <v>18902160</v>
      </c>
      <c r="I454" s="130">
        <f t="shared" si="35"/>
        <v>1</v>
      </c>
      <c r="J454" s="24"/>
      <c r="K454" s="24"/>
    </row>
    <row r="455" spans="1:11" s="12" customFormat="1" ht="68.3" customHeight="1" x14ac:dyDescent="0.3">
      <c r="A455" s="3" t="s">
        <v>543</v>
      </c>
      <c r="B455" s="59" t="s">
        <v>10</v>
      </c>
      <c r="C455" s="4" t="s">
        <v>14</v>
      </c>
      <c r="D455" s="4" t="s">
        <v>683</v>
      </c>
      <c r="E455" s="4" t="s">
        <v>807</v>
      </c>
      <c r="F455" s="4" t="s">
        <v>463</v>
      </c>
      <c r="G455" s="27">
        <f>18902160</f>
        <v>18902160</v>
      </c>
      <c r="H455" s="56">
        <f>18902160</f>
        <v>18902160</v>
      </c>
      <c r="I455" s="130">
        <f t="shared" si="35"/>
        <v>1</v>
      </c>
      <c r="J455" s="24"/>
      <c r="K455" s="24"/>
    </row>
    <row r="456" spans="1:11" s="12" customFormat="1" ht="108.55" x14ac:dyDescent="0.3">
      <c r="A456" s="60" t="s">
        <v>760</v>
      </c>
      <c r="B456" s="59" t="s">
        <v>10</v>
      </c>
      <c r="C456" s="4" t="s">
        <v>14</v>
      </c>
      <c r="D456" s="4" t="s">
        <v>683</v>
      </c>
      <c r="E456" s="4" t="s">
        <v>761</v>
      </c>
      <c r="F456" s="4"/>
      <c r="G456" s="27">
        <f>G457</f>
        <v>18312815.220000003</v>
      </c>
      <c r="H456" s="56">
        <f>H457</f>
        <v>18312815.220000003</v>
      </c>
      <c r="I456" s="130">
        <f t="shared" si="35"/>
        <v>1</v>
      </c>
      <c r="J456" s="24"/>
      <c r="K456" s="24"/>
    </row>
    <row r="457" spans="1:11" s="12" customFormat="1" ht="46.55" x14ac:dyDescent="0.3">
      <c r="A457" s="3" t="s">
        <v>543</v>
      </c>
      <c r="B457" s="59" t="s">
        <v>10</v>
      </c>
      <c r="C457" s="4" t="s">
        <v>14</v>
      </c>
      <c r="D457" s="4" t="s">
        <v>683</v>
      </c>
      <c r="E457" s="4" t="s">
        <v>761</v>
      </c>
      <c r="F457" s="4" t="s">
        <v>463</v>
      </c>
      <c r="G457" s="27">
        <f>20321663.28-2008848.06</f>
        <v>18312815.220000003</v>
      </c>
      <c r="H457" s="56">
        <f>20321663.28-2008848.06</f>
        <v>18312815.220000003</v>
      </c>
      <c r="I457" s="130">
        <f t="shared" si="35"/>
        <v>1</v>
      </c>
      <c r="J457" s="24"/>
      <c r="K457" s="24"/>
    </row>
    <row r="458" spans="1:11" s="12" customFormat="1" ht="93.05" x14ac:dyDescent="0.3">
      <c r="A458" s="3" t="s">
        <v>762</v>
      </c>
      <c r="B458" s="59" t="s">
        <v>10</v>
      </c>
      <c r="C458" s="4" t="s">
        <v>14</v>
      </c>
      <c r="D458" s="4" t="s">
        <v>683</v>
      </c>
      <c r="E458" s="4" t="s">
        <v>763</v>
      </c>
      <c r="F458" s="4"/>
      <c r="G458" s="27">
        <f>G459</f>
        <v>4799544</v>
      </c>
      <c r="H458" s="56">
        <f>H459</f>
        <v>4799544</v>
      </c>
      <c r="I458" s="130">
        <f t="shared" si="35"/>
        <v>1</v>
      </c>
      <c r="J458" s="24"/>
      <c r="K458" s="24"/>
    </row>
    <row r="459" spans="1:11" s="12" customFormat="1" ht="46.55" x14ac:dyDescent="0.3">
      <c r="A459" s="60" t="s">
        <v>771</v>
      </c>
      <c r="B459" s="59" t="s">
        <v>10</v>
      </c>
      <c r="C459" s="4" t="s">
        <v>14</v>
      </c>
      <c r="D459" s="4" t="s">
        <v>683</v>
      </c>
      <c r="E459" s="4" t="s">
        <v>772</v>
      </c>
      <c r="F459" s="4"/>
      <c r="G459" s="27">
        <f>G460</f>
        <v>4799544</v>
      </c>
      <c r="H459" s="56">
        <f>H460</f>
        <v>4799544</v>
      </c>
      <c r="I459" s="130">
        <f t="shared" si="35"/>
        <v>1</v>
      </c>
      <c r="J459" s="24"/>
      <c r="K459" s="24"/>
    </row>
    <row r="460" spans="1:11" s="12" customFormat="1" ht="46.55" x14ac:dyDescent="0.3">
      <c r="A460" s="3" t="s">
        <v>543</v>
      </c>
      <c r="B460" s="59" t="s">
        <v>10</v>
      </c>
      <c r="C460" s="4" t="s">
        <v>14</v>
      </c>
      <c r="D460" s="4" t="s">
        <v>683</v>
      </c>
      <c r="E460" s="4" t="s">
        <v>772</v>
      </c>
      <c r="F460" s="4" t="s">
        <v>463</v>
      </c>
      <c r="G460" s="27">
        <f>2790695.94+2008848.06</f>
        <v>4799544</v>
      </c>
      <c r="H460" s="56">
        <f>2790695.94+2008848.06</f>
        <v>4799544</v>
      </c>
      <c r="I460" s="130">
        <f t="shared" si="35"/>
        <v>1</v>
      </c>
      <c r="J460" s="24"/>
      <c r="K460" s="24"/>
    </row>
    <row r="461" spans="1:11" ht="62.05" x14ac:dyDescent="0.3">
      <c r="A461" s="1" t="s">
        <v>47</v>
      </c>
      <c r="B461" s="105" t="s">
        <v>10</v>
      </c>
      <c r="C461" s="2" t="s">
        <v>14</v>
      </c>
      <c r="D461" s="2" t="s">
        <v>683</v>
      </c>
      <c r="E461" s="2" t="s">
        <v>622</v>
      </c>
      <c r="F461" s="2"/>
      <c r="G461" s="31">
        <f>G462</f>
        <v>741864.87</v>
      </c>
      <c r="H461" s="57">
        <v>741864.67</v>
      </c>
      <c r="I461" s="129">
        <f t="shared" si="35"/>
        <v>0.99999973040912427</v>
      </c>
    </row>
    <row r="462" spans="1:11" s="12" customFormat="1" ht="46.55" x14ac:dyDescent="0.3">
      <c r="A462" s="3" t="s">
        <v>623</v>
      </c>
      <c r="B462" s="59" t="s">
        <v>10</v>
      </c>
      <c r="C462" s="4" t="s">
        <v>14</v>
      </c>
      <c r="D462" s="4" t="s">
        <v>683</v>
      </c>
      <c r="E462" s="4" t="s">
        <v>624</v>
      </c>
      <c r="F462" s="4"/>
      <c r="G462" s="27">
        <f>G463</f>
        <v>741864.87</v>
      </c>
      <c r="H462" s="56">
        <f>H463</f>
        <v>741864.87</v>
      </c>
      <c r="I462" s="130">
        <f t="shared" si="35"/>
        <v>1</v>
      </c>
      <c r="J462" s="24"/>
      <c r="K462" s="24"/>
    </row>
    <row r="463" spans="1:11" s="12" customFormat="1" ht="31.05" x14ac:dyDescent="0.3">
      <c r="A463" s="3" t="s">
        <v>393</v>
      </c>
      <c r="B463" s="59" t="s">
        <v>10</v>
      </c>
      <c r="C463" s="4" t="s">
        <v>14</v>
      </c>
      <c r="D463" s="4" t="s">
        <v>683</v>
      </c>
      <c r="E463" s="4" t="s">
        <v>625</v>
      </c>
      <c r="F463" s="4"/>
      <c r="G463" s="27">
        <f>G464</f>
        <v>741864.87</v>
      </c>
      <c r="H463" s="56">
        <f>H464</f>
        <v>741864.87</v>
      </c>
      <c r="I463" s="130">
        <f t="shared" si="35"/>
        <v>1</v>
      </c>
      <c r="J463" s="24"/>
      <c r="K463" s="24"/>
    </row>
    <row r="464" spans="1:11" s="12" customFormat="1" ht="46.55" x14ac:dyDescent="0.3">
      <c r="A464" s="3" t="s">
        <v>543</v>
      </c>
      <c r="B464" s="59" t="s">
        <v>10</v>
      </c>
      <c r="C464" s="4" t="s">
        <v>14</v>
      </c>
      <c r="D464" s="4" t="s">
        <v>683</v>
      </c>
      <c r="E464" s="4" t="s">
        <v>625</v>
      </c>
      <c r="F464" s="4" t="s">
        <v>463</v>
      </c>
      <c r="G464" s="27">
        <f>686480+55384.87</f>
        <v>741864.87</v>
      </c>
      <c r="H464" s="56">
        <f>686480+55384.87</f>
        <v>741864.87</v>
      </c>
      <c r="I464" s="130">
        <f t="shared" si="35"/>
        <v>1</v>
      </c>
      <c r="J464" s="24"/>
      <c r="K464" s="24"/>
    </row>
    <row r="465" spans="1:11" s="12" customFormat="1" x14ac:dyDescent="0.3">
      <c r="A465" s="1" t="s">
        <v>457</v>
      </c>
      <c r="B465" s="105" t="s">
        <v>10</v>
      </c>
      <c r="C465" s="2" t="s">
        <v>14</v>
      </c>
      <c r="D465" s="2" t="s">
        <v>17</v>
      </c>
      <c r="E465" s="2"/>
      <c r="F465" s="2"/>
      <c r="G465" s="31">
        <f>G466</f>
        <v>50754522.759999998</v>
      </c>
      <c r="H465" s="57">
        <f>H466</f>
        <v>49794801.349999994</v>
      </c>
      <c r="I465" s="129">
        <f t="shared" si="35"/>
        <v>0.98109091844803298</v>
      </c>
      <c r="J465" s="24"/>
      <c r="K465" s="24"/>
    </row>
    <row r="466" spans="1:11" ht="77.55" x14ac:dyDescent="0.3">
      <c r="A466" s="1" t="s">
        <v>727</v>
      </c>
      <c r="B466" s="105" t="s">
        <v>10</v>
      </c>
      <c r="C466" s="2" t="s">
        <v>14</v>
      </c>
      <c r="D466" s="2" t="s">
        <v>17</v>
      </c>
      <c r="E466" s="2" t="s">
        <v>709</v>
      </c>
      <c r="F466" s="2"/>
      <c r="G466" s="31">
        <f>G467+G473</f>
        <v>50754522.759999998</v>
      </c>
      <c r="H466" s="57">
        <f>H467+H473</f>
        <v>49794801.349999994</v>
      </c>
      <c r="I466" s="129">
        <f t="shared" si="35"/>
        <v>0.98109091844803298</v>
      </c>
    </row>
    <row r="467" spans="1:11" s="12" customFormat="1" ht="78.8" hidden="1" customHeight="1" x14ac:dyDescent="0.3">
      <c r="A467" s="3" t="s">
        <v>125</v>
      </c>
      <c r="B467" s="59" t="s">
        <v>10</v>
      </c>
      <c r="C467" s="4" t="s">
        <v>14</v>
      </c>
      <c r="D467" s="4" t="s">
        <v>17</v>
      </c>
      <c r="E467" s="4" t="s">
        <v>626</v>
      </c>
      <c r="F467" s="4"/>
      <c r="G467" s="31">
        <f>G468</f>
        <v>0</v>
      </c>
      <c r="H467" s="57">
        <f>H468</f>
        <v>0</v>
      </c>
      <c r="I467" s="129" t="e">
        <f t="shared" si="35"/>
        <v>#DIV/0!</v>
      </c>
      <c r="J467" s="24"/>
      <c r="K467" s="24"/>
    </row>
    <row r="468" spans="1:11" s="12" customFormat="1" ht="31.6" hidden="1" customHeight="1" x14ac:dyDescent="0.3">
      <c r="A468" s="3" t="s">
        <v>627</v>
      </c>
      <c r="B468" s="59" t="s">
        <v>10</v>
      </c>
      <c r="C468" s="4" t="s">
        <v>14</v>
      </c>
      <c r="D468" s="4" t="s">
        <v>17</v>
      </c>
      <c r="E468" s="4" t="s">
        <v>628</v>
      </c>
      <c r="F468" s="4"/>
      <c r="G468" s="27">
        <f>G469+G471</f>
        <v>0</v>
      </c>
      <c r="H468" s="56">
        <f>H469+H471</f>
        <v>0</v>
      </c>
      <c r="I468" s="129" t="e">
        <f t="shared" si="35"/>
        <v>#DIV/0!</v>
      </c>
      <c r="J468" s="24"/>
      <c r="K468" s="24"/>
    </row>
    <row r="469" spans="1:11" s="12" customFormat="1" ht="47.25" hidden="1" customHeight="1" x14ac:dyDescent="0.3">
      <c r="A469" s="3" t="s">
        <v>597</v>
      </c>
      <c r="B469" s="59" t="s">
        <v>10</v>
      </c>
      <c r="C469" s="4" t="s">
        <v>14</v>
      </c>
      <c r="D469" s="4" t="s">
        <v>17</v>
      </c>
      <c r="E469" s="4" t="s">
        <v>629</v>
      </c>
      <c r="F469" s="4"/>
      <c r="G469" s="27">
        <f>G470</f>
        <v>0</v>
      </c>
      <c r="H469" s="56">
        <f>H470</f>
        <v>0</v>
      </c>
      <c r="I469" s="129" t="e">
        <f t="shared" si="35"/>
        <v>#DIV/0!</v>
      </c>
      <c r="J469" s="24"/>
      <c r="K469" s="24"/>
    </row>
    <row r="470" spans="1:11" s="12" customFormat="1" ht="47.25" hidden="1" customHeight="1" x14ac:dyDescent="0.3">
      <c r="A470" s="3" t="s">
        <v>543</v>
      </c>
      <c r="B470" s="59" t="s">
        <v>10</v>
      </c>
      <c r="C470" s="4" t="s">
        <v>14</v>
      </c>
      <c r="D470" s="4" t="s">
        <v>17</v>
      </c>
      <c r="E470" s="4" t="s">
        <v>629</v>
      </c>
      <c r="F470" s="4" t="s">
        <v>463</v>
      </c>
      <c r="G470" s="27">
        <f>570000-570000</f>
        <v>0</v>
      </c>
      <c r="H470" s="56">
        <f>570000-570000</f>
        <v>0</v>
      </c>
      <c r="I470" s="129" t="e">
        <f t="shared" si="35"/>
        <v>#DIV/0!</v>
      </c>
      <c r="J470" s="24"/>
      <c r="K470" s="24"/>
    </row>
    <row r="471" spans="1:11" s="12" customFormat="1" ht="31.6" hidden="1" customHeight="1" x14ac:dyDescent="0.3">
      <c r="A471" s="3" t="s">
        <v>393</v>
      </c>
      <c r="B471" s="59" t="s">
        <v>10</v>
      </c>
      <c r="C471" s="4" t="s">
        <v>14</v>
      </c>
      <c r="D471" s="4" t="s">
        <v>17</v>
      </c>
      <c r="E471" s="4" t="s">
        <v>630</v>
      </c>
      <c r="F471" s="4"/>
      <c r="G471" s="27">
        <f>G472</f>
        <v>0</v>
      </c>
      <c r="H471" s="56">
        <f>H472</f>
        <v>0</v>
      </c>
      <c r="I471" s="129" t="e">
        <f t="shared" si="35"/>
        <v>#DIV/0!</v>
      </c>
      <c r="J471" s="24"/>
      <c r="K471" s="24"/>
    </row>
    <row r="472" spans="1:11" s="12" customFormat="1" ht="47.25" hidden="1" customHeight="1" x14ac:dyDescent="0.3">
      <c r="A472" s="3" t="s">
        <v>51</v>
      </c>
      <c r="B472" s="59" t="s">
        <v>10</v>
      </c>
      <c r="C472" s="4" t="s">
        <v>14</v>
      </c>
      <c r="D472" s="4" t="s">
        <v>17</v>
      </c>
      <c r="E472" s="4" t="s">
        <v>630</v>
      </c>
      <c r="F472" s="4" t="s">
        <v>463</v>
      </c>
      <c r="G472" s="27">
        <f>1348407.85-1348407.85</f>
        <v>0</v>
      </c>
      <c r="H472" s="56">
        <f>1348407.85-1348407.85</f>
        <v>0</v>
      </c>
      <c r="I472" s="129" t="e">
        <f t="shared" si="35"/>
        <v>#DIV/0!</v>
      </c>
      <c r="J472" s="24"/>
      <c r="K472" s="24"/>
    </row>
    <row r="473" spans="1:11" s="12" customFormat="1" ht="77.55" x14ac:dyDescent="0.3">
      <c r="A473" s="3" t="s">
        <v>126</v>
      </c>
      <c r="B473" s="59" t="s">
        <v>10</v>
      </c>
      <c r="C473" s="4" t="s">
        <v>14</v>
      </c>
      <c r="D473" s="4" t="s">
        <v>17</v>
      </c>
      <c r="E473" s="4" t="s">
        <v>631</v>
      </c>
      <c r="F473" s="4"/>
      <c r="G473" s="31">
        <f>G474+G477</f>
        <v>50754522.759999998</v>
      </c>
      <c r="H473" s="57">
        <f>H474+H477</f>
        <v>49794801.349999994</v>
      </c>
      <c r="I473" s="129">
        <f t="shared" si="35"/>
        <v>0.98109091844803298</v>
      </c>
      <c r="J473" s="24"/>
      <c r="K473" s="24"/>
    </row>
    <row r="474" spans="1:11" s="12" customFormat="1" ht="93.05" x14ac:dyDescent="0.3">
      <c r="A474" s="3" t="s">
        <v>632</v>
      </c>
      <c r="B474" s="59" t="s">
        <v>10</v>
      </c>
      <c r="C474" s="4" t="s">
        <v>14</v>
      </c>
      <c r="D474" s="4" t="s">
        <v>17</v>
      </c>
      <c r="E474" s="4" t="s">
        <v>633</v>
      </c>
      <c r="F474" s="4"/>
      <c r="G474" s="27">
        <f>G475</f>
        <v>48511988.129999995</v>
      </c>
      <c r="H474" s="56">
        <f>H475</f>
        <v>48511988.129999995</v>
      </c>
      <c r="I474" s="130">
        <f t="shared" si="35"/>
        <v>1</v>
      </c>
      <c r="J474" s="24"/>
      <c r="K474" s="24"/>
    </row>
    <row r="475" spans="1:11" s="12" customFormat="1" ht="31.05" x14ac:dyDescent="0.3">
      <c r="A475" s="3" t="s">
        <v>127</v>
      </c>
      <c r="B475" s="59" t="s">
        <v>10</v>
      </c>
      <c r="C475" s="4" t="s">
        <v>14</v>
      </c>
      <c r="D475" s="4" t="s">
        <v>17</v>
      </c>
      <c r="E475" s="4" t="s">
        <v>635</v>
      </c>
      <c r="F475" s="4"/>
      <c r="G475" s="27">
        <f>G476</f>
        <v>48511988.129999995</v>
      </c>
      <c r="H475" s="56">
        <f>H476</f>
        <v>48511988.129999995</v>
      </c>
      <c r="I475" s="130">
        <f t="shared" si="35"/>
        <v>1</v>
      </c>
      <c r="J475" s="24"/>
      <c r="K475" s="24"/>
    </row>
    <row r="476" spans="1:11" s="12" customFormat="1" x14ac:dyDescent="0.3">
      <c r="A476" s="3" t="s">
        <v>732</v>
      </c>
      <c r="B476" s="59" t="s">
        <v>10</v>
      </c>
      <c r="C476" s="4" t="s">
        <v>14</v>
      </c>
      <c r="D476" s="4" t="s">
        <v>17</v>
      </c>
      <c r="E476" s="4" t="s">
        <v>635</v>
      </c>
      <c r="F476" s="4" t="s">
        <v>466</v>
      </c>
      <c r="G476" s="27">
        <f>20449402.47-350810.98-548903.61+21750000+6777800.25+584500-150000</f>
        <v>48511988.129999995</v>
      </c>
      <c r="H476" s="56">
        <f>20449402.47-350810.98-548903.61+21750000+6777800.25+584500-150000</f>
        <v>48511988.129999995</v>
      </c>
      <c r="I476" s="130">
        <f t="shared" si="35"/>
        <v>1</v>
      </c>
      <c r="J476" s="24"/>
      <c r="K476" s="24"/>
    </row>
    <row r="477" spans="1:11" s="12" customFormat="1" ht="62.05" x14ac:dyDescent="0.3">
      <c r="A477" s="3" t="s">
        <v>636</v>
      </c>
      <c r="B477" s="59" t="s">
        <v>10</v>
      </c>
      <c r="C477" s="4" t="s">
        <v>14</v>
      </c>
      <c r="D477" s="4" t="s">
        <v>17</v>
      </c>
      <c r="E477" s="4" t="s">
        <v>634</v>
      </c>
      <c r="F477" s="4"/>
      <c r="G477" s="27">
        <f>G478</f>
        <v>2242534.63</v>
      </c>
      <c r="H477" s="56">
        <f>H478</f>
        <v>1282813.22</v>
      </c>
      <c r="I477" s="130">
        <f t="shared" si="35"/>
        <v>0.57203719525169605</v>
      </c>
      <c r="J477" s="24"/>
      <c r="K477" s="24"/>
    </row>
    <row r="478" spans="1:11" s="12" customFormat="1" ht="31.05" x14ac:dyDescent="0.3">
      <c r="A478" s="3" t="s">
        <v>393</v>
      </c>
      <c r="B478" s="59" t="s">
        <v>10</v>
      </c>
      <c r="C478" s="4" t="s">
        <v>14</v>
      </c>
      <c r="D478" s="4" t="s">
        <v>17</v>
      </c>
      <c r="E478" s="4" t="s">
        <v>637</v>
      </c>
      <c r="F478" s="4"/>
      <c r="G478" s="27">
        <f>G479</f>
        <v>2242534.63</v>
      </c>
      <c r="H478" s="56">
        <f>H479</f>
        <v>1282813.22</v>
      </c>
      <c r="I478" s="130">
        <f t="shared" ref="I478:I524" si="36">H478/G478</f>
        <v>0.57203719525169605</v>
      </c>
      <c r="J478" s="24"/>
      <c r="K478" s="24"/>
    </row>
    <row r="479" spans="1:11" s="12" customFormat="1" ht="46.55" x14ac:dyDescent="0.3">
      <c r="A479" s="3" t="s">
        <v>543</v>
      </c>
      <c r="B479" s="59" t="s">
        <v>10</v>
      </c>
      <c r="C479" s="4" t="s">
        <v>14</v>
      </c>
      <c r="D479" s="4" t="s">
        <v>17</v>
      </c>
      <c r="E479" s="4" t="s">
        <v>637</v>
      </c>
      <c r="F479" s="4" t="s">
        <v>463</v>
      </c>
      <c r="G479" s="27">
        <f>627555.53+1903870.32-33045.65-6058.83-9301.91-18000-126484.83-50000-25000-21000</f>
        <v>2242534.63</v>
      </c>
      <c r="H479" s="56">
        <v>1282813.22</v>
      </c>
      <c r="I479" s="130">
        <f t="shared" si="36"/>
        <v>0.57203719525169605</v>
      </c>
      <c r="J479" s="24"/>
      <c r="K479" s="24"/>
    </row>
    <row r="480" spans="1:11" s="12" customFormat="1" x14ac:dyDescent="0.3">
      <c r="A480" s="1" t="s">
        <v>433</v>
      </c>
      <c r="B480" s="105" t="s">
        <v>10</v>
      </c>
      <c r="C480" s="2" t="s">
        <v>14</v>
      </c>
      <c r="D480" s="2" t="s">
        <v>19</v>
      </c>
      <c r="E480" s="2"/>
      <c r="F480" s="2"/>
      <c r="G480" s="31">
        <f>G481</f>
        <v>31780135.610000003</v>
      </c>
      <c r="H480" s="57">
        <f>H481</f>
        <v>31466362.220000003</v>
      </c>
      <c r="I480" s="129">
        <f t="shared" si="36"/>
        <v>0.99012674477382445</v>
      </c>
      <c r="J480" s="24"/>
      <c r="K480" s="24"/>
    </row>
    <row r="481" spans="1:11" ht="77.55" x14ac:dyDescent="0.3">
      <c r="A481" s="1" t="s">
        <v>727</v>
      </c>
      <c r="B481" s="105" t="s">
        <v>10</v>
      </c>
      <c r="C481" s="2" t="s">
        <v>14</v>
      </c>
      <c r="D481" s="2" t="s">
        <v>19</v>
      </c>
      <c r="E481" s="2" t="s">
        <v>709</v>
      </c>
      <c r="F481" s="2"/>
      <c r="G481" s="31">
        <f>G482</f>
        <v>31780135.610000003</v>
      </c>
      <c r="H481" s="57">
        <f>H482</f>
        <v>31466362.220000003</v>
      </c>
      <c r="I481" s="129">
        <f t="shared" si="36"/>
        <v>0.99012674477382445</v>
      </c>
    </row>
    <row r="482" spans="1:11" s="12" customFormat="1" ht="46.55" x14ac:dyDescent="0.3">
      <c r="A482" s="3" t="s">
        <v>128</v>
      </c>
      <c r="B482" s="59" t="s">
        <v>10</v>
      </c>
      <c r="C482" s="4" t="s">
        <v>14</v>
      </c>
      <c r="D482" s="4" t="s">
        <v>19</v>
      </c>
      <c r="E482" s="4" t="s">
        <v>372</v>
      </c>
      <c r="F482" s="4"/>
      <c r="G482" s="27">
        <f>G483+G486+G489+G494+G497+G500+G503</f>
        <v>31780135.610000003</v>
      </c>
      <c r="H482" s="56">
        <f>H483+H486+H489+H494+H497+H500+H503</f>
        <v>31466362.220000003</v>
      </c>
      <c r="I482" s="130">
        <f t="shared" si="36"/>
        <v>0.99012674477382445</v>
      </c>
      <c r="J482" s="24"/>
      <c r="K482" s="24"/>
    </row>
    <row r="483" spans="1:11" s="12" customFormat="1" ht="62.05" x14ac:dyDescent="0.3">
      <c r="A483" s="3" t="s">
        <v>638</v>
      </c>
      <c r="B483" s="59" t="s">
        <v>10</v>
      </c>
      <c r="C483" s="4" t="s">
        <v>14</v>
      </c>
      <c r="D483" s="4" t="s">
        <v>19</v>
      </c>
      <c r="E483" s="4" t="s">
        <v>639</v>
      </c>
      <c r="F483" s="4"/>
      <c r="G483" s="27">
        <f>G484</f>
        <v>15870145.760000002</v>
      </c>
      <c r="H483" s="56">
        <f>H484</f>
        <v>15870145.760000002</v>
      </c>
      <c r="I483" s="130">
        <f t="shared" si="36"/>
        <v>1</v>
      </c>
      <c r="J483" s="24"/>
      <c r="K483" s="24"/>
    </row>
    <row r="484" spans="1:11" s="12" customFormat="1" ht="46.55" x14ac:dyDescent="0.3">
      <c r="A484" s="3" t="s">
        <v>129</v>
      </c>
      <c r="B484" s="59" t="s">
        <v>10</v>
      </c>
      <c r="C484" s="4" t="s">
        <v>14</v>
      </c>
      <c r="D484" s="4" t="s">
        <v>19</v>
      </c>
      <c r="E484" s="4" t="s">
        <v>640</v>
      </c>
      <c r="F484" s="4"/>
      <c r="G484" s="27">
        <f>G485</f>
        <v>15870145.760000002</v>
      </c>
      <c r="H484" s="56">
        <f>H485</f>
        <v>15870145.760000002</v>
      </c>
      <c r="I484" s="130">
        <f t="shared" si="36"/>
        <v>1</v>
      </c>
      <c r="J484" s="24"/>
      <c r="K484" s="24"/>
    </row>
    <row r="485" spans="1:11" s="12" customFormat="1" ht="46.55" x14ac:dyDescent="0.3">
      <c r="A485" s="3" t="s">
        <v>543</v>
      </c>
      <c r="B485" s="59" t="s">
        <v>10</v>
      </c>
      <c r="C485" s="4" t="s">
        <v>14</v>
      </c>
      <c r="D485" s="4" t="s">
        <v>19</v>
      </c>
      <c r="E485" s="4" t="s">
        <v>640</v>
      </c>
      <c r="F485" s="4" t="s">
        <v>463</v>
      </c>
      <c r="G485" s="27">
        <f>7577856+13052592.05-4819536.29-190766+250000</f>
        <v>15870145.760000002</v>
      </c>
      <c r="H485" s="56">
        <f>7577856+13052592.05-4819536.29-190766+250000</f>
        <v>15870145.760000002</v>
      </c>
      <c r="I485" s="130">
        <f t="shared" si="36"/>
        <v>1</v>
      </c>
      <c r="J485" s="24"/>
      <c r="K485" s="24"/>
    </row>
    <row r="486" spans="1:11" s="12" customFormat="1" ht="93.05" x14ac:dyDescent="0.3">
      <c r="A486" s="3" t="s">
        <v>641</v>
      </c>
      <c r="B486" s="59" t="s">
        <v>10</v>
      </c>
      <c r="C486" s="4" t="s">
        <v>14</v>
      </c>
      <c r="D486" s="4" t="s">
        <v>19</v>
      </c>
      <c r="E486" s="4" t="s">
        <v>642</v>
      </c>
      <c r="F486" s="4"/>
      <c r="G486" s="27">
        <f>G487</f>
        <v>10638702.43</v>
      </c>
      <c r="H486" s="56">
        <f>H487</f>
        <v>10553976.939999999</v>
      </c>
      <c r="I486" s="130">
        <f t="shared" si="36"/>
        <v>0.99203610679427567</v>
      </c>
      <c r="J486" s="24"/>
      <c r="K486" s="24"/>
    </row>
    <row r="487" spans="1:11" s="12" customFormat="1" ht="62.05" x14ac:dyDescent="0.3">
      <c r="A487" s="3" t="s">
        <v>130</v>
      </c>
      <c r="B487" s="59" t="s">
        <v>10</v>
      </c>
      <c r="C487" s="4" t="s">
        <v>14</v>
      </c>
      <c r="D487" s="4" t="s">
        <v>19</v>
      </c>
      <c r="E487" s="4" t="s">
        <v>643</v>
      </c>
      <c r="F487" s="4"/>
      <c r="G487" s="27">
        <f>G488</f>
        <v>10638702.43</v>
      </c>
      <c r="H487" s="56">
        <f>H488</f>
        <v>10553976.939999999</v>
      </c>
      <c r="I487" s="130">
        <f t="shared" si="36"/>
        <v>0.99203610679427567</v>
      </c>
      <c r="J487" s="24"/>
      <c r="K487" s="24"/>
    </row>
    <row r="488" spans="1:11" s="12" customFormat="1" ht="46.55" x14ac:dyDescent="0.3">
      <c r="A488" s="3" t="s">
        <v>543</v>
      </c>
      <c r="B488" s="59" t="s">
        <v>10</v>
      </c>
      <c r="C488" s="4" t="s">
        <v>14</v>
      </c>
      <c r="D488" s="4" t="s">
        <v>19</v>
      </c>
      <c r="E488" s="4" t="s">
        <v>643</v>
      </c>
      <c r="F488" s="4" t="s">
        <v>463</v>
      </c>
      <c r="G488" s="27">
        <f>10828325.16+167784.42-53912.41-303494.74</f>
        <v>10638702.43</v>
      </c>
      <c r="H488" s="56">
        <v>10553976.939999999</v>
      </c>
      <c r="I488" s="130">
        <f t="shared" si="36"/>
        <v>0.99203610679427567</v>
      </c>
      <c r="J488" s="24"/>
      <c r="K488" s="24"/>
    </row>
    <row r="489" spans="1:11" s="12" customFormat="1" ht="77.55" x14ac:dyDescent="0.3">
      <c r="A489" s="3" t="s">
        <v>120</v>
      </c>
      <c r="B489" s="59" t="s">
        <v>10</v>
      </c>
      <c r="C489" s="4" t="s">
        <v>14</v>
      </c>
      <c r="D489" s="4" t="s">
        <v>19</v>
      </c>
      <c r="E489" s="4" t="s">
        <v>121</v>
      </c>
      <c r="F489" s="4"/>
      <c r="G489" s="27">
        <f>G490+G492</f>
        <v>310359.75</v>
      </c>
      <c r="H489" s="56">
        <f>H490+H492</f>
        <v>310359.75</v>
      </c>
      <c r="I489" s="130">
        <f t="shared" si="36"/>
        <v>1</v>
      </c>
      <c r="J489" s="24"/>
      <c r="K489" s="24"/>
    </row>
    <row r="490" spans="1:11" s="12" customFormat="1" ht="46.55" x14ac:dyDescent="0.3">
      <c r="A490" s="3" t="s">
        <v>596</v>
      </c>
      <c r="B490" s="59" t="s">
        <v>10</v>
      </c>
      <c r="C490" s="4" t="s">
        <v>14</v>
      </c>
      <c r="D490" s="4" t="s">
        <v>19</v>
      </c>
      <c r="E490" s="4" t="s">
        <v>122</v>
      </c>
      <c r="F490" s="4"/>
      <c r="G490" s="27">
        <f>G491</f>
        <v>310359.75</v>
      </c>
      <c r="H490" s="56">
        <f>H491</f>
        <v>310359.75</v>
      </c>
      <c r="I490" s="130">
        <f t="shared" si="36"/>
        <v>1</v>
      </c>
      <c r="J490" s="24"/>
      <c r="K490" s="24"/>
    </row>
    <row r="491" spans="1:11" s="12" customFormat="1" ht="46.55" x14ac:dyDescent="0.3">
      <c r="A491" s="3" t="s">
        <v>543</v>
      </c>
      <c r="B491" s="59" t="s">
        <v>10</v>
      </c>
      <c r="C491" s="4" t="s">
        <v>14</v>
      </c>
      <c r="D491" s="4" t="s">
        <v>19</v>
      </c>
      <c r="E491" s="4" t="s">
        <v>122</v>
      </c>
      <c r="F491" s="4" t="s">
        <v>463</v>
      </c>
      <c r="G491" s="27">
        <f>766125.97-362785.32+10199.45-47795.48-55384.87</f>
        <v>310359.75</v>
      </c>
      <c r="H491" s="56">
        <f>766125.97-362785.32+10199.45-47795.48-55384.87</f>
        <v>310359.75</v>
      </c>
      <c r="I491" s="130">
        <f t="shared" si="36"/>
        <v>1</v>
      </c>
      <c r="J491" s="24"/>
      <c r="K491" s="24"/>
    </row>
    <row r="492" spans="1:11" s="12" customFormat="1" ht="63" hidden="1" customHeight="1" x14ac:dyDescent="0.3">
      <c r="A492" s="3" t="s">
        <v>593</v>
      </c>
      <c r="B492" s="59" t="s">
        <v>10</v>
      </c>
      <c r="C492" s="4" t="s">
        <v>14</v>
      </c>
      <c r="D492" s="4" t="s">
        <v>19</v>
      </c>
      <c r="E492" s="4" t="s">
        <v>391</v>
      </c>
      <c r="F492" s="4"/>
      <c r="G492" s="27">
        <f>G493</f>
        <v>0</v>
      </c>
      <c r="H492" s="56">
        <f>H493</f>
        <v>0</v>
      </c>
      <c r="I492" s="130" t="e">
        <f t="shared" si="36"/>
        <v>#DIV/0!</v>
      </c>
      <c r="J492" s="24"/>
      <c r="K492" s="24"/>
    </row>
    <row r="493" spans="1:11" s="12" customFormat="1" ht="47.25" hidden="1" customHeight="1" x14ac:dyDescent="0.3">
      <c r="A493" s="3" t="s">
        <v>526</v>
      </c>
      <c r="B493" s="59" t="s">
        <v>10</v>
      </c>
      <c r="C493" s="4" t="s">
        <v>14</v>
      </c>
      <c r="D493" s="4" t="s">
        <v>19</v>
      </c>
      <c r="E493" s="4" t="s">
        <v>391</v>
      </c>
      <c r="F493" s="4" t="s">
        <v>361</v>
      </c>
      <c r="G493" s="27">
        <f>600000-600000</f>
        <v>0</v>
      </c>
      <c r="H493" s="56">
        <f>600000-600000</f>
        <v>0</v>
      </c>
      <c r="I493" s="130" t="e">
        <f t="shared" si="36"/>
        <v>#DIV/0!</v>
      </c>
      <c r="J493" s="24"/>
      <c r="K493" s="24"/>
    </row>
    <row r="494" spans="1:11" s="12" customFormat="1" ht="31.05" x14ac:dyDescent="0.3">
      <c r="A494" s="3" t="s">
        <v>174</v>
      </c>
      <c r="B494" s="59" t="s">
        <v>10</v>
      </c>
      <c r="C494" s="4" t="s">
        <v>14</v>
      </c>
      <c r="D494" s="4" t="s">
        <v>19</v>
      </c>
      <c r="E494" s="4" t="s">
        <v>123</v>
      </c>
      <c r="F494" s="4"/>
      <c r="G494" s="27">
        <f>G495</f>
        <v>593364.04</v>
      </c>
      <c r="H494" s="56">
        <f>H495</f>
        <v>577060.21</v>
      </c>
      <c r="I494" s="130">
        <f t="shared" si="36"/>
        <v>0.97252305684045148</v>
      </c>
      <c r="J494" s="24"/>
      <c r="K494" s="24"/>
    </row>
    <row r="495" spans="1:11" s="12" customFormat="1" ht="31.05" x14ac:dyDescent="0.3">
      <c r="A495" s="3" t="s">
        <v>393</v>
      </c>
      <c r="B495" s="59" t="s">
        <v>10</v>
      </c>
      <c r="C495" s="4" t="s">
        <v>14</v>
      </c>
      <c r="D495" s="4" t="s">
        <v>19</v>
      </c>
      <c r="E495" s="4" t="s">
        <v>124</v>
      </c>
      <c r="F495" s="4"/>
      <c r="G495" s="27">
        <f>G496</f>
        <v>593364.04</v>
      </c>
      <c r="H495" s="56">
        <f>H496</f>
        <v>577060.21</v>
      </c>
      <c r="I495" s="130">
        <f t="shared" si="36"/>
        <v>0.97252305684045148</v>
      </c>
      <c r="J495" s="24"/>
      <c r="K495" s="24"/>
    </row>
    <row r="496" spans="1:11" s="12" customFormat="1" ht="46.55" x14ac:dyDescent="0.3">
      <c r="A496" s="3" t="s">
        <v>543</v>
      </c>
      <c r="B496" s="59" t="s">
        <v>10</v>
      </c>
      <c r="C496" s="4" t="s">
        <v>14</v>
      </c>
      <c r="D496" s="4" t="s">
        <v>19</v>
      </c>
      <c r="E496" s="4" t="s">
        <v>124</v>
      </c>
      <c r="F496" s="4" t="s">
        <v>463</v>
      </c>
      <c r="G496" s="27">
        <f>936558.43-29964.52-177983.87-85246-50000</f>
        <v>593364.04</v>
      </c>
      <c r="H496" s="56">
        <v>577060.21</v>
      </c>
      <c r="I496" s="130">
        <f t="shared" si="36"/>
        <v>0.97252305684045148</v>
      </c>
      <c r="J496" s="24"/>
      <c r="K496" s="24"/>
    </row>
    <row r="497" spans="1:11" s="12" customFormat="1" ht="46.55" x14ac:dyDescent="0.3">
      <c r="A497" s="3" t="s">
        <v>406</v>
      </c>
      <c r="B497" s="59" t="s">
        <v>10</v>
      </c>
      <c r="C497" s="4" t="s">
        <v>14</v>
      </c>
      <c r="D497" s="4" t="s">
        <v>19</v>
      </c>
      <c r="E497" s="4" t="s">
        <v>407</v>
      </c>
      <c r="F497" s="4"/>
      <c r="G497" s="27">
        <f>G498</f>
        <v>3907565.1700000004</v>
      </c>
      <c r="H497" s="56">
        <f>H498</f>
        <v>3745781.83</v>
      </c>
      <c r="I497" s="130">
        <f t="shared" si="36"/>
        <v>0.95859740453157938</v>
      </c>
      <c r="J497" s="24"/>
      <c r="K497" s="24"/>
    </row>
    <row r="498" spans="1:11" s="12" customFormat="1" ht="31.05" x14ac:dyDescent="0.3">
      <c r="A498" s="3" t="s">
        <v>393</v>
      </c>
      <c r="B498" s="59" t="s">
        <v>10</v>
      </c>
      <c r="C498" s="4" t="s">
        <v>14</v>
      </c>
      <c r="D498" s="4" t="s">
        <v>19</v>
      </c>
      <c r="E498" s="4" t="s">
        <v>408</v>
      </c>
      <c r="F498" s="4"/>
      <c r="G498" s="27">
        <f>G499</f>
        <v>3907565.1700000004</v>
      </c>
      <c r="H498" s="56">
        <f>H499</f>
        <v>3745781.83</v>
      </c>
      <c r="I498" s="130">
        <f t="shared" si="36"/>
        <v>0.95859740453157938</v>
      </c>
      <c r="J498" s="24"/>
      <c r="K498" s="24"/>
    </row>
    <row r="499" spans="1:11" s="12" customFormat="1" ht="46.55" x14ac:dyDescent="0.3">
      <c r="A499" s="3" t="s">
        <v>543</v>
      </c>
      <c r="B499" s="59" t="s">
        <v>10</v>
      </c>
      <c r="C499" s="4" t="s">
        <v>14</v>
      </c>
      <c r="D499" s="4" t="s">
        <v>19</v>
      </c>
      <c r="E499" s="4" t="s">
        <v>408</v>
      </c>
      <c r="F499" s="4" t="s">
        <v>463</v>
      </c>
      <c r="G499" s="27">
        <f>4239268.15-47377.69-45000-215320.05-24005.24</f>
        <v>3907565.1700000004</v>
      </c>
      <c r="H499" s="56">
        <v>3745781.83</v>
      </c>
      <c r="I499" s="130">
        <f t="shared" si="36"/>
        <v>0.95859740453157938</v>
      </c>
      <c r="J499" s="24"/>
      <c r="K499" s="24"/>
    </row>
    <row r="500" spans="1:11" s="12" customFormat="1" ht="46.55" x14ac:dyDescent="0.3">
      <c r="A500" s="3" t="s">
        <v>808</v>
      </c>
      <c r="B500" s="59" t="s">
        <v>10</v>
      </c>
      <c r="C500" s="4" t="s">
        <v>14</v>
      </c>
      <c r="D500" s="4" t="s">
        <v>19</v>
      </c>
      <c r="E500" s="4" t="s">
        <v>809</v>
      </c>
      <c r="F500" s="4"/>
      <c r="G500" s="27">
        <f>G501</f>
        <v>190766</v>
      </c>
      <c r="H500" s="56">
        <f>H501</f>
        <v>143522.92000000001</v>
      </c>
      <c r="I500" s="130">
        <f t="shared" si="36"/>
        <v>0.75235062851870882</v>
      </c>
      <c r="J500" s="24"/>
      <c r="K500" s="24"/>
    </row>
    <row r="501" spans="1:11" s="12" customFormat="1" ht="31.05" x14ac:dyDescent="0.3">
      <c r="A501" s="3" t="s">
        <v>393</v>
      </c>
      <c r="B501" s="59" t="s">
        <v>10</v>
      </c>
      <c r="C501" s="4" t="s">
        <v>14</v>
      </c>
      <c r="D501" s="4" t="s">
        <v>19</v>
      </c>
      <c r="E501" s="4" t="s">
        <v>810</v>
      </c>
      <c r="F501" s="4"/>
      <c r="G501" s="27">
        <f>G502</f>
        <v>190766</v>
      </c>
      <c r="H501" s="56">
        <f>H502</f>
        <v>143522.92000000001</v>
      </c>
      <c r="I501" s="130">
        <f t="shared" si="36"/>
        <v>0.75235062851870882</v>
      </c>
      <c r="J501" s="24"/>
      <c r="K501" s="24"/>
    </row>
    <row r="502" spans="1:11" s="12" customFormat="1" ht="46.55" x14ac:dyDescent="0.3">
      <c r="A502" s="3" t="s">
        <v>543</v>
      </c>
      <c r="B502" s="59" t="s">
        <v>10</v>
      </c>
      <c r="C502" s="4" t="s">
        <v>14</v>
      </c>
      <c r="D502" s="4" t="s">
        <v>19</v>
      </c>
      <c r="E502" s="4" t="s">
        <v>810</v>
      </c>
      <c r="F502" s="4" t="s">
        <v>463</v>
      </c>
      <c r="G502" s="27">
        <f>190766</f>
        <v>190766</v>
      </c>
      <c r="H502" s="56">
        <v>143522.92000000001</v>
      </c>
      <c r="I502" s="130">
        <f t="shared" si="36"/>
        <v>0.75235062851870882</v>
      </c>
      <c r="J502" s="24"/>
      <c r="K502" s="24"/>
    </row>
    <row r="503" spans="1:11" s="12" customFormat="1" ht="46.55" x14ac:dyDescent="0.3">
      <c r="A503" s="3" t="s">
        <v>853</v>
      </c>
      <c r="B503" s="59" t="s">
        <v>10</v>
      </c>
      <c r="C503" s="4" t="s">
        <v>14</v>
      </c>
      <c r="D503" s="4" t="s">
        <v>19</v>
      </c>
      <c r="E503" s="4" t="s">
        <v>854</v>
      </c>
      <c r="F503" s="4"/>
      <c r="G503" s="27">
        <f>G504</f>
        <v>269232.45999999996</v>
      </c>
      <c r="H503" s="56">
        <f>H504</f>
        <v>265514.81</v>
      </c>
      <c r="I503" s="130">
        <f t="shared" si="36"/>
        <v>0.98619167243058303</v>
      </c>
      <c r="J503" s="24"/>
      <c r="K503" s="24"/>
    </row>
    <row r="504" spans="1:11" s="12" customFormat="1" ht="31.05" x14ac:dyDescent="0.3">
      <c r="A504" s="3" t="s">
        <v>393</v>
      </c>
      <c r="B504" s="59" t="s">
        <v>10</v>
      </c>
      <c r="C504" s="4" t="s">
        <v>14</v>
      </c>
      <c r="D504" s="4" t="s">
        <v>19</v>
      </c>
      <c r="E504" s="4" t="s">
        <v>855</v>
      </c>
      <c r="F504" s="4"/>
      <c r="G504" s="27">
        <f>G505</f>
        <v>269232.45999999996</v>
      </c>
      <c r="H504" s="56">
        <f>H505</f>
        <v>265514.81</v>
      </c>
      <c r="I504" s="130">
        <f t="shared" si="36"/>
        <v>0.98619167243058303</v>
      </c>
      <c r="J504" s="24"/>
      <c r="K504" s="24"/>
    </row>
    <row r="505" spans="1:11" s="12" customFormat="1" ht="46.55" x14ac:dyDescent="0.3">
      <c r="A505" s="3" t="s">
        <v>543</v>
      </c>
      <c r="B505" s="59" t="s">
        <v>10</v>
      </c>
      <c r="C505" s="4" t="s">
        <v>14</v>
      </c>
      <c r="D505" s="4" t="s">
        <v>19</v>
      </c>
      <c r="E505" s="4" t="s">
        <v>855</v>
      </c>
      <c r="F505" s="4" t="s">
        <v>463</v>
      </c>
      <c r="G505" s="27">
        <f>215320.05+53912.41</f>
        <v>269232.45999999996</v>
      </c>
      <c r="H505" s="56">
        <v>265514.81</v>
      </c>
      <c r="I505" s="130">
        <f t="shared" si="36"/>
        <v>0.98619167243058303</v>
      </c>
      <c r="J505" s="24"/>
      <c r="K505" s="24"/>
    </row>
    <row r="506" spans="1:11" s="12" customFormat="1" ht="46.55" x14ac:dyDescent="0.3">
      <c r="A506" s="1" t="s">
        <v>580</v>
      </c>
      <c r="B506" s="105" t="s">
        <v>10</v>
      </c>
      <c r="C506" s="2" t="s">
        <v>14</v>
      </c>
      <c r="D506" s="2" t="s">
        <v>14</v>
      </c>
      <c r="E506" s="4"/>
      <c r="F506" s="4"/>
      <c r="G506" s="31">
        <f>G507+G529</f>
        <v>15994108.66</v>
      </c>
      <c r="H506" s="57">
        <f>H507+H529</f>
        <v>15560267.120000001</v>
      </c>
      <c r="I506" s="129">
        <f t="shared" si="36"/>
        <v>0.9728749160567477</v>
      </c>
      <c r="J506" s="24"/>
      <c r="K506" s="24"/>
    </row>
    <row r="507" spans="1:11" ht="77.55" x14ac:dyDescent="0.3">
      <c r="A507" s="1" t="s">
        <v>727</v>
      </c>
      <c r="B507" s="105" t="s">
        <v>10</v>
      </c>
      <c r="C507" s="2" t="s">
        <v>14</v>
      </c>
      <c r="D507" s="2" t="s">
        <v>14</v>
      </c>
      <c r="E507" s="2" t="s">
        <v>709</v>
      </c>
      <c r="F507" s="2"/>
      <c r="G507" s="31">
        <f>G508+G512</f>
        <v>14906599.23</v>
      </c>
      <c r="H507" s="57">
        <f>H508+H512</f>
        <v>14582965.120000001</v>
      </c>
      <c r="I507" s="129">
        <f t="shared" si="36"/>
        <v>0.9782892056728355</v>
      </c>
    </row>
    <row r="508" spans="1:11" s="12" customFormat="1" ht="47.25" hidden="1" customHeight="1" x14ac:dyDescent="0.3">
      <c r="A508" s="3" t="s">
        <v>128</v>
      </c>
      <c r="B508" s="59" t="s">
        <v>10</v>
      </c>
      <c r="C508" s="4" t="s">
        <v>14</v>
      </c>
      <c r="D508" s="4" t="s">
        <v>14</v>
      </c>
      <c r="E508" s="4" t="s">
        <v>372</v>
      </c>
      <c r="F508" s="4"/>
      <c r="G508" s="31">
        <f t="shared" ref="G508:H510" si="37">G509</f>
        <v>0</v>
      </c>
      <c r="H508" s="57">
        <f t="shared" si="37"/>
        <v>0</v>
      </c>
      <c r="I508" s="130" t="e">
        <f t="shared" si="36"/>
        <v>#DIV/0!</v>
      </c>
      <c r="J508" s="24"/>
      <c r="K508" s="24"/>
    </row>
    <row r="509" spans="1:11" s="12" customFormat="1" ht="31.6" hidden="1" customHeight="1" x14ac:dyDescent="0.3">
      <c r="A509" s="3" t="s">
        <v>174</v>
      </c>
      <c r="B509" s="59" t="s">
        <v>10</v>
      </c>
      <c r="C509" s="4" t="s">
        <v>14</v>
      </c>
      <c r="D509" s="4" t="s">
        <v>14</v>
      </c>
      <c r="E509" s="4" t="s">
        <v>123</v>
      </c>
      <c r="F509" s="4"/>
      <c r="G509" s="27">
        <f t="shared" si="37"/>
        <v>0</v>
      </c>
      <c r="H509" s="56">
        <f t="shared" si="37"/>
        <v>0</v>
      </c>
      <c r="I509" s="130" t="e">
        <f t="shared" si="36"/>
        <v>#DIV/0!</v>
      </c>
      <c r="J509" s="24"/>
      <c r="K509" s="24"/>
    </row>
    <row r="510" spans="1:11" s="12" customFormat="1" ht="63" hidden="1" customHeight="1" x14ac:dyDescent="0.3">
      <c r="A510" s="3" t="s">
        <v>593</v>
      </c>
      <c r="B510" s="59" t="s">
        <v>10</v>
      </c>
      <c r="C510" s="4" t="s">
        <v>14</v>
      </c>
      <c r="D510" s="4" t="s">
        <v>14</v>
      </c>
      <c r="E510" s="4" t="s">
        <v>175</v>
      </c>
      <c r="F510" s="4"/>
      <c r="G510" s="27">
        <f t="shared" si="37"/>
        <v>0</v>
      </c>
      <c r="H510" s="56">
        <f t="shared" si="37"/>
        <v>0</v>
      </c>
      <c r="I510" s="130" t="e">
        <f t="shared" si="36"/>
        <v>#DIV/0!</v>
      </c>
      <c r="J510" s="24"/>
      <c r="K510" s="24"/>
    </row>
    <row r="511" spans="1:11" s="12" customFormat="1" ht="47.25" hidden="1" customHeight="1" x14ac:dyDescent="0.3">
      <c r="A511" s="3" t="s">
        <v>526</v>
      </c>
      <c r="B511" s="59" t="s">
        <v>10</v>
      </c>
      <c r="C511" s="4" t="s">
        <v>14</v>
      </c>
      <c r="D511" s="4" t="s">
        <v>14</v>
      </c>
      <c r="E511" s="4" t="s">
        <v>175</v>
      </c>
      <c r="F511" s="4" t="s">
        <v>361</v>
      </c>
      <c r="G511" s="27">
        <f>18614556-16614556-2000000</f>
        <v>0</v>
      </c>
      <c r="H511" s="56">
        <f>18614556-16614556-2000000</f>
        <v>0</v>
      </c>
      <c r="I511" s="129" t="e">
        <f t="shared" si="36"/>
        <v>#DIV/0!</v>
      </c>
      <c r="J511" s="24"/>
      <c r="K511" s="24"/>
    </row>
    <row r="512" spans="1:11" s="12" customFormat="1" ht="62.05" x14ac:dyDescent="0.3">
      <c r="A512" s="3" t="s">
        <v>446</v>
      </c>
      <c r="B512" s="59" t="s">
        <v>10</v>
      </c>
      <c r="C512" s="4" t="s">
        <v>14</v>
      </c>
      <c r="D512" s="4" t="s">
        <v>14</v>
      </c>
      <c r="E512" s="4" t="s">
        <v>409</v>
      </c>
      <c r="F512" s="4"/>
      <c r="G512" s="31">
        <f>G513+G520+G526</f>
        <v>14906599.23</v>
      </c>
      <c r="H512" s="57">
        <f>H513+H520+H526</f>
        <v>14582965.120000001</v>
      </c>
      <c r="I512" s="129">
        <f t="shared" si="36"/>
        <v>0.9782892056728355</v>
      </c>
      <c r="J512" s="24"/>
      <c r="K512" s="24"/>
    </row>
    <row r="513" spans="1:11" s="12" customFormat="1" ht="46.55" x14ac:dyDescent="0.3">
      <c r="A513" s="3" t="s">
        <v>410</v>
      </c>
      <c r="B513" s="59" t="s">
        <v>10</v>
      </c>
      <c r="C513" s="4" t="s">
        <v>14</v>
      </c>
      <c r="D513" s="4" t="s">
        <v>14</v>
      </c>
      <c r="E513" s="4" t="s">
        <v>411</v>
      </c>
      <c r="F513" s="4"/>
      <c r="G513" s="27">
        <f>G514+G518</f>
        <v>6098033.7200000007</v>
      </c>
      <c r="H513" s="56">
        <f>H514+H518</f>
        <v>5805837.9500000011</v>
      </c>
      <c r="I513" s="129">
        <f t="shared" si="36"/>
        <v>0.95208360868165232</v>
      </c>
      <c r="J513" s="24"/>
      <c r="K513" s="24"/>
    </row>
    <row r="514" spans="1:11" s="12" customFormat="1" ht="93.05" x14ac:dyDescent="0.3">
      <c r="A514" s="3" t="s">
        <v>589</v>
      </c>
      <c r="B514" s="59" t="s">
        <v>10</v>
      </c>
      <c r="C514" s="4" t="s">
        <v>14</v>
      </c>
      <c r="D514" s="4" t="s">
        <v>14</v>
      </c>
      <c r="E514" s="4" t="s">
        <v>412</v>
      </c>
      <c r="F514" s="4"/>
      <c r="G514" s="27">
        <f>G515+G516+G517</f>
        <v>5700089.2500000009</v>
      </c>
      <c r="H514" s="56">
        <f>H515+H516+H517</f>
        <v>5695797.5300000012</v>
      </c>
      <c r="I514" s="130">
        <f t="shared" si="36"/>
        <v>0.99924707845583305</v>
      </c>
      <c r="J514" s="24"/>
      <c r="K514" s="24"/>
    </row>
    <row r="515" spans="1:11" s="12" customFormat="1" ht="108.55" x14ac:dyDescent="0.3">
      <c r="A515" s="3" t="s">
        <v>50</v>
      </c>
      <c r="B515" s="59" t="s">
        <v>10</v>
      </c>
      <c r="C515" s="4" t="s">
        <v>14</v>
      </c>
      <c r="D515" s="4" t="s">
        <v>14</v>
      </c>
      <c r="E515" s="4" t="s">
        <v>412</v>
      </c>
      <c r="F515" s="4" t="s">
        <v>462</v>
      </c>
      <c r="G515" s="27">
        <f>5493585.44-11.31-3960.38-4512.5</f>
        <v>5485101.2500000009</v>
      </c>
      <c r="H515" s="56">
        <f>5493585.44-11.31-3960.38-4512.5</f>
        <v>5485101.2500000009</v>
      </c>
      <c r="I515" s="130">
        <f t="shared" si="36"/>
        <v>1</v>
      </c>
      <c r="J515" s="24"/>
      <c r="K515" s="24"/>
    </row>
    <row r="516" spans="1:11" s="12" customFormat="1" ht="46.55" x14ac:dyDescent="0.3">
      <c r="A516" s="3" t="s">
        <v>543</v>
      </c>
      <c r="B516" s="59" t="s">
        <v>10</v>
      </c>
      <c r="C516" s="4" t="s">
        <v>14</v>
      </c>
      <c r="D516" s="4" t="s">
        <v>14</v>
      </c>
      <c r="E516" s="4" t="s">
        <v>412</v>
      </c>
      <c r="F516" s="4" t="s">
        <v>463</v>
      </c>
      <c r="G516" s="27">
        <f>130400+10000</f>
        <v>140400</v>
      </c>
      <c r="H516" s="56">
        <v>136108.28</v>
      </c>
      <c r="I516" s="130">
        <f t="shared" si="36"/>
        <v>0.96943219373219369</v>
      </c>
      <c r="J516" s="24"/>
      <c r="K516" s="24"/>
    </row>
    <row r="517" spans="1:11" s="12" customFormat="1" x14ac:dyDescent="0.3">
      <c r="A517" s="3" t="s">
        <v>732</v>
      </c>
      <c r="B517" s="59" t="s">
        <v>10</v>
      </c>
      <c r="C517" s="4" t="s">
        <v>14</v>
      </c>
      <c r="D517" s="4" t="s">
        <v>14</v>
      </c>
      <c r="E517" s="4" t="s">
        <v>412</v>
      </c>
      <c r="F517" s="4" t="s">
        <v>466</v>
      </c>
      <c r="G517" s="27">
        <v>74588</v>
      </c>
      <c r="H517" s="56">
        <v>74588</v>
      </c>
      <c r="I517" s="130">
        <f t="shared" si="36"/>
        <v>1</v>
      </c>
      <c r="J517" s="24"/>
      <c r="K517" s="24"/>
    </row>
    <row r="518" spans="1:11" s="12" customFormat="1" ht="31.05" x14ac:dyDescent="0.3">
      <c r="A518" s="3" t="s">
        <v>393</v>
      </c>
      <c r="B518" s="59" t="s">
        <v>10</v>
      </c>
      <c r="C518" s="4" t="s">
        <v>14</v>
      </c>
      <c r="D518" s="4" t="s">
        <v>14</v>
      </c>
      <c r="E518" s="4" t="s">
        <v>786</v>
      </c>
      <c r="F518" s="4"/>
      <c r="G518" s="27">
        <f>G519</f>
        <v>397944.47</v>
      </c>
      <c r="H518" s="56">
        <f>H519</f>
        <v>110040.42</v>
      </c>
      <c r="I518" s="130">
        <f t="shared" si="36"/>
        <v>0.27652204841544853</v>
      </c>
      <c r="J518" s="24"/>
      <c r="K518" s="24"/>
    </row>
    <row r="519" spans="1:11" s="12" customFormat="1" ht="46.55" x14ac:dyDescent="0.3">
      <c r="A519" s="3" t="s">
        <v>543</v>
      </c>
      <c r="B519" s="59" t="s">
        <v>10</v>
      </c>
      <c r="C519" s="4" t="s">
        <v>14</v>
      </c>
      <c r="D519" s="4" t="s">
        <v>14</v>
      </c>
      <c r="E519" s="4" t="s">
        <v>786</v>
      </c>
      <c r="F519" s="4" t="s">
        <v>463</v>
      </c>
      <c r="G519" s="27">
        <f>397944.47</f>
        <v>397944.47</v>
      </c>
      <c r="H519" s="56">
        <v>110040.42</v>
      </c>
      <c r="I519" s="130">
        <f t="shared" si="36"/>
        <v>0.27652204841544853</v>
      </c>
      <c r="J519" s="24"/>
      <c r="K519" s="24"/>
    </row>
    <row r="520" spans="1:11" s="12" customFormat="1" ht="108.55" x14ac:dyDescent="0.3">
      <c r="A520" s="101" t="s">
        <v>176</v>
      </c>
      <c r="B520" s="59" t="s">
        <v>10</v>
      </c>
      <c r="C520" s="4" t="s">
        <v>14</v>
      </c>
      <c r="D520" s="4" t="s">
        <v>14</v>
      </c>
      <c r="E520" s="4" t="s">
        <v>177</v>
      </c>
      <c r="F520" s="4"/>
      <c r="G520" s="27">
        <f>G521+G524</f>
        <v>8491456.25</v>
      </c>
      <c r="H520" s="56">
        <f>H521+H524</f>
        <v>8460017.9100000001</v>
      </c>
      <c r="I520" s="130">
        <f t="shared" si="36"/>
        <v>0.99629765035885332</v>
      </c>
      <c r="J520" s="24"/>
      <c r="K520" s="24"/>
    </row>
    <row r="521" spans="1:11" s="12" customFormat="1" ht="93.05" x14ac:dyDescent="0.3">
      <c r="A521" s="101" t="s">
        <v>589</v>
      </c>
      <c r="B521" s="59" t="s">
        <v>10</v>
      </c>
      <c r="C521" s="4" t="s">
        <v>14</v>
      </c>
      <c r="D521" s="4" t="s">
        <v>14</v>
      </c>
      <c r="E521" s="4" t="s">
        <v>178</v>
      </c>
      <c r="F521" s="4"/>
      <c r="G521" s="27">
        <f>G522+G523</f>
        <v>8381032.25</v>
      </c>
      <c r="H521" s="56">
        <f>H522+H523</f>
        <v>8365395.5200000005</v>
      </c>
      <c r="I521" s="130">
        <f t="shared" si="36"/>
        <v>0.99813427158689194</v>
      </c>
      <c r="J521" s="24"/>
      <c r="K521" s="24"/>
    </row>
    <row r="522" spans="1:11" s="12" customFormat="1" ht="108.55" x14ac:dyDescent="0.3">
      <c r="A522" s="3" t="s">
        <v>50</v>
      </c>
      <c r="B522" s="59" t="s">
        <v>10</v>
      </c>
      <c r="C522" s="4" t="s">
        <v>14</v>
      </c>
      <c r="D522" s="4" t="s">
        <v>14</v>
      </c>
      <c r="E522" s="4" t="s">
        <v>178</v>
      </c>
      <c r="F522" s="4" t="s">
        <v>462</v>
      </c>
      <c r="G522" s="27">
        <v>8087863.3700000001</v>
      </c>
      <c r="H522" s="56">
        <v>8085918.7300000004</v>
      </c>
      <c r="I522" s="130">
        <f t="shared" si="36"/>
        <v>0.999759560725616</v>
      </c>
      <c r="J522" s="24"/>
      <c r="K522" s="24"/>
    </row>
    <row r="523" spans="1:11" s="12" customFormat="1" ht="46.55" x14ac:dyDescent="0.3">
      <c r="A523" s="3" t="s">
        <v>543</v>
      </c>
      <c r="B523" s="59" t="s">
        <v>10</v>
      </c>
      <c r="C523" s="4" t="s">
        <v>14</v>
      </c>
      <c r="D523" s="4" t="s">
        <v>14</v>
      </c>
      <c r="E523" s="4" t="s">
        <v>178</v>
      </c>
      <c r="F523" s="4" t="s">
        <v>463</v>
      </c>
      <c r="G523" s="27">
        <v>293168.88</v>
      </c>
      <c r="H523" s="56">
        <v>279476.78999999998</v>
      </c>
      <c r="I523" s="130">
        <f t="shared" si="36"/>
        <v>0.95329623662647955</v>
      </c>
      <c r="J523" s="24"/>
      <c r="K523" s="24"/>
    </row>
    <row r="524" spans="1:11" s="12" customFormat="1" ht="93.05" x14ac:dyDescent="0.3">
      <c r="A524" s="3" t="s">
        <v>448</v>
      </c>
      <c r="B524" s="59" t="s">
        <v>10</v>
      </c>
      <c r="C524" s="4" t="s">
        <v>14</v>
      </c>
      <c r="D524" s="4" t="s">
        <v>14</v>
      </c>
      <c r="E524" s="4" t="s">
        <v>179</v>
      </c>
      <c r="F524" s="4"/>
      <c r="G524" s="27">
        <f>G525</f>
        <v>110424</v>
      </c>
      <c r="H524" s="56">
        <f>H525</f>
        <v>94622.39</v>
      </c>
      <c r="I524" s="130">
        <f t="shared" si="36"/>
        <v>0.85690058320654927</v>
      </c>
      <c r="J524" s="24"/>
      <c r="K524" s="24"/>
    </row>
    <row r="525" spans="1:11" s="12" customFormat="1" ht="108.55" x14ac:dyDescent="0.3">
      <c r="A525" s="3" t="s">
        <v>389</v>
      </c>
      <c r="B525" s="59" t="s">
        <v>10</v>
      </c>
      <c r="C525" s="4" t="s">
        <v>14</v>
      </c>
      <c r="D525" s="4" t="s">
        <v>14</v>
      </c>
      <c r="E525" s="122" t="s">
        <v>179</v>
      </c>
      <c r="F525" s="4" t="s">
        <v>462</v>
      </c>
      <c r="G525" s="27">
        <f>142500-2076-30000</f>
        <v>110424</v>
      </c>
      <c r="H525" s="56">
        <v>94622.39</v>
      </c>
      <c r="I525" s="132">
        <f>H525/G525</f>
        <v>0.85690058320654927</v>
      </c>
      <c r="J525" s="24"/>
      <c r="K525" s="24"/>
    </row>
    <row r="526" spans="1:11" s="12" customFormat="1" ht="46.55" x14ac:dyDescent="0.3">
      <c r="A526" s="101" t="s">
        <v>180</v>
      </c>
      <c r="B526" s="59" t="s">
        <v>10</v>
      </c>
      <c r="C526" s="4" t="s">
        <v>14</v>
      </c>
      <c r="D526" s="4" t="s">
        <v>14</v>
      </c>
      <c r="E526" s="4" t="s">
        <v>181</v>
      </c>
      <c r="F526" s="4"/>
      <c r="G526" s="27">
        <f>G527</f>
        <v>317109.26</v>
      </c>
      <c r="H526" s="56">
        <f>H527</f>
        <v>317109.26</v>
      </c>
      <c r="I526" s="132">
        <f>H526/G526</f>
        <v>1</v>
      </c>
      <c r="J526" s="24"/>
      <c r="K526" s="24"/>
    </row>
    <row r="527" spans="1:11" s="12" customFormat="1" ht="93.05" x14ac:dyDescent="0.3">
      <c r="A527" s="101" t="s">
        <v>589</v>
      </c>
      <c r="B527" s="59" t="s">
        <v>10</v>
      </c>
      <c r="C527" s="4" t="s">
        <v>14</v>
      </c>
      <c r="D527" s="4" t="s">
        <v>14</v>
      </c>
      <c r="E527" s="4" t="s">
        <v>182</v>
      </c>
      <c r="F527" s="4"/>
      <c r="G527" s="27">
        <f>G528</f>
        <v>317109.26</v>
      </c>
      <c r="H527" s="56">
        <f>H528</f>
        <v>317109.26</v>
      </c>
      <c r="I527" s="130">
        <f t="shared" ref="I527:I572" si="38">H527/G527</f>
        <v>1</v>
      </c>
      <c r="J527" s="24"/>
      <c r="K527" s="24"/>
    </row>
    <row r="528" spans="1:11" s="12" customFormat="1" ht="46.55" x14ac:dyDescent="0.3">
      <c r="A528" s="3" t="s">
        <v>543</v>
      </c>
      <c r="B528" s="59" t="s">
        <v>10</v>
      </c>
      <c r="C528" s="4" t="s">
        <v>14</v>
      </c>
      <c r="D528" s="4" t="s">
        <v>14</v>
      </c>
      <c r="E528" s="4" t="s">
        <v>182</v>
      </c>
      <c r="F528" s="4" t="s">
        <v>463</v>
      </c>
      <c r="G528" s="27">
        <f>297109.26+20000</f>
        <v>317109.26</v>
      </c>
      <c r="H528" s="56">
        <f>297109.26+20000</f>
        <v>317109.26</v>
      </c>
      <c r="I528" s="130">
        <f t="shared" si="38"/>
        <v>1</v>
      </c>
      <c r="J528" s="24"/>
      <c r="K528" s="24"/>
    </row>
    <row r="529" spans="1:11" x14ac:dyDescent="0.3">
      <c r="A529" s="46" t="s">
        <v>49</v>
      </c>
      <c r="B529" s="105" t="s">
        <v>10</v>
      </c>
      <c r="C529" s="2" t="s">
        <v>14</v>
      </c>
      <c r="D529" s="2" t="s">
        <v>14</v>
      </c>
      <c r="E529" s="2" t="s">
        <v>575</v>
      </c>
      <c r="F529" s="2"/>
      <c r="G529" s="31">
        <f>G530</f>
        <v>1087509.4299999997</v>
      </c>
      <c r="H529" s="57">
        <f>H530</f>
        <v>977302</v>
      </c>
      <c r="I529" s="129">
        <f t="shared" si="38"/>
        <v>0.8986607132225054</v>
      </c>
    </row>
    <row r="530" spans="1:11" s="12" customFormat="1" ht="93.05" x14ac:dyDescent="0.3">
      <c r="A530" s="3" t="s">
        <v>589</v>
      </c>
      <c r="B530" s="59" t="s">
        <v>10</v>
      </c>
      <c r="C530" s="4" t="s">
        <v>14</v>
      </c>
      <c r="D530" s="4" t="s">
        <v>14</v>
      </c>
      <c r="E530" s="4" t="s">
        <v>413</v>
      </c>
      <c r="F530" s="4"/>
      <c r="G530" s="27">
        <f>G531</f>
        <v>1087509.4299999997</v>
      </c>
      <c r="H530" s="56">
        <f>H531</f>
        <v>977302</v>
      </c>
      <c r="I530" s="130">
        <f t="shared" si="38"/>
        <v>0.8986607132225054</v>
      </c>
      <c r="J530" s="24"/>
      <c r="K530" s="24"/>
    </row>
    <row r="531" spans="1:11" s="12" customFormat="1" ht="62.05" x14ac:dyDescent="0.3">
      <c r="A531" s="3" t="s">
        <v>394</v>
      </c>
      <c r="B531" s="59" t="s">
        <v>10</v>
      </c>
      <c r="C531" s="4" t="s">
        <v>14</v>
      </c>
      <c r="D531" s="4" t="s">
        <v>14</v>
      </c>
      <c r="E531" s="4" t="s">
        <v>413</v>
      </c>
      <c r="F531" s="4" t="s">
        <v>467</v>
      </c>
      <c r="G531" s="27">
        <f>3146422.8-165000-350000-43913.37-1500000</f>
        <v>1087509.4299999997</v>
      </c>
      <c r="H531" s="56">
        <v>977302</v>
      </c>
      <c r="I531" s="145">
        <f t="shared" si="38"/>
        <v>0.8986607132225054</v>
      </c>
      <c r="J531" s="24"/>
      <c r="K531" s="24"/>
    </row>
    <row r="532" spans="1:11" s="12" customFormat="1" x14ac:dyDescent="0.3">
      <c r="A532" s="13" t="s">
        <v>469</v>
      </c>
      <c r="B532" s="106" t="s">
        <v>10</v>
      </c>
      <c r="C532" s="5" t="s">
        <v>13</v>
      </c>
      <c r="D532" s="5"/>
      <c r="E532" s="5"/>
      <c r="F532" s="5"/>
      <c r="G532" s="26">
        <f>G533</f>
        <v>12344392.630000001</v>
      </c>
      <c r="H532" s="137">
        <f>H533</f>
        <v>12344392.140000001</v>
      </c>
      <c r="I532" s="129">
        <f t="shared" si="38"/>
        <v>0.99999996030586402</v>
      </c>
      <c r="J532" s="24"/>
      <c r="K532" s="24"/>
    </row>
    <row r="533" spans="1:11" s="12" customFormat="1" ht="31.05" x14ac:dyDescent="0.3">
      <c r="A533" s="1" t="s">
        <v>470</v>
      </c>
      <c r="B533" s="105" t="s">
        <v>10</v>
      </c>
      <c r="C533" s="2" t="s">
        <v>13</v>
      </c>
      <c r="D533" s="2" t="s">
        <v>14</v>
      </c>
      <c r="E533" s="2"/>
      <c r="F533" s="2"/>
      <c r="G533" s="31">
        <f>G534</f>
        <v>12344392.630000001</v>
      </c>
      <c r="H533" s="57">
        <f>H534</f>
        <v>12344392.140000001</v>
      </c>
      <c r="I533" s="129">
        <f t="shared" si="38"/>
        <v>0.99999996030586402</v>
      </c>
      <c r="J533" s="24"/>
      <c r="K533" s="24"/>
    </row>
    <row r="534" spans="1:11" ht="62.05" x14ac:dyDescent="0.3">
      <c r="A534" s="1" t="s">
        <v>729</v>
      </c>
      <c r="B534" s="105" t="s">
        <v>10</v>
      </c>
      <c r="C534" s="2" t="s">
        <v>13</v>
      </c>
      <c r="D534" s="2" t="s">
        <v>14</v>
      </c>
      <c r="E534" s="2" t="s">
        <v>377</v>
      </c>
      <c r="F534" s="2"/>
      <c r="G534" s="31">
        <f>G541+G538+G535</f>
        <v>12344392.630000001</v>
      </c>
      <c r="H534" s="57">
        <f>H541+H538+H535</f>
        <v>12344392.140000001</v>
      </c>
      <c r="I534" s="129">
        <f t="shared" si="38"/>
        <v>0.99999996030586402</v>
      </c>
    </row>
    <row r="535" spans="1:11" s="12" customFormat="1" ht="62.05" x14ac:dyDescent="0.3">
      <c r="A535" s="3" t="s">
        <v>856</v>
      </c>
      <c r="B535" s="59" t="s">
        <v>10</v>
      </c>
      <c r="C535" s="4" t="s">
        <v>13</v>
      </c>
      <c r="D535" s="4" t="s">
        <v>14</v>
      </c>
      <c r="E535" s="4" t="s">
        <v>857</v>
      </c>
      <c r="F535" s="4"/>
      <c r="G535" s="27">
        <f>G536</f>
        <v>66042.14</v>
      </c>
      <c r="H535" s="56">
        <f>H536</f>
        <v>66042.14</v>
      </c>
      <c r="I535" s="130">
        <f t="shared" si="38"/>
        <v>1</v>
      </c>
      <c r="J535" s="24"/>
      <c r="K535" s="24"/>
    </row>
    <row r="536" spans="1:11" s="12" customFormat="1" ht="31.05" x14ac:dyDescent="0.3">
      <c r="A536" s="3" t="s">
        <v>393</v>
      </c>
      <c r="B536" s="59" t="s">
        <v>10</v>
      </c>
      <c r="C536" s="4" t="s">
        <v>13</v>
      </c>
      <c r="D536" s="4" t="s">
        <v>14</v>
      </c>
      <c r="E536" s="4" t="s">
        <v>858</v>
      </c>
      <c r="F536" s="4"/>
      <c r="G536" s="27">
        <f>G537</f>
        <v>66042.14</v>
      </c>
      <c r="H536" s="56">
        <f>H537</f>
        <v>66042.14</v>
      </c>
      <c r="I536" s="130">
        <f t="shared" si="38"/>
        <v>1</v>
      </c>
      <c r="J536" s="24"/>
      <c r="K536" s="24"/>
    </row>
    <row r="537" spans="1:11" s="12" customFormat="1" ht="46.55" x14ac:dyDescent="0.3">
      <c r="A537" s="3" t="s">
        <v>543</v>
      </c>
      <c r="B537" s="59" t="s">
        <v>10</v>
      </c>
      <c r="C537" s="4" t="s">
        <v>13</v>
      </c>
      <c r="D537" s="4" t="s">
        <v>14</v>
      </c>
      <c r="E537" s="4" t="s">
        <v>858</v>
      </c>
      <c r="F537" s="4" t="s">
        <v>463</v>
      </c>
      <c r="G537" s="27">
        <f>85246-19203.86</f>
        <v>66042.14</v>
      </c>
      <c r="H537" s="56">
        <f>85246-19203.86</f>
        <v>66042.14</v>
      </c>
      <c r="I537" s="130">
        <f t="shared" si="38"/>
        <v>1</v>
      </c>
      <c r="J537" s="24"/>
      <c r="K537" s="24"/>
    </row>
    <row r="538" spans="1:11" s="12" customFormat="1" ht="108.55" x14ac:dyDescent="0.3">
      <c r="A538" s="3" t="s">
        <v>779</v>
      </c>
      <c r="B538" s="59" t="s">
        <v>10</v>
      </c>
      <c r="C538" s="4" t="s">
        <v>13</v>
      </c>
      <c r="D538" s="4" t="s">
        <v>14</v>
      </c>
      <c r="E538" s="4" t="s">
        <v>183</v>
      </c>
      <c r="F538" s="4"/>
      <c r="G538" s="27">
        <f>G539</f>
        <v>499900.49</v>
      </c>
      <c r="H538" s="56">
        <f>H539</f>
        <v>499900</v>
      </c>
      <c r="I538" s="130">
        <f t="shared" si="38"/>
        <v>0.99999901980492156</v>
      </c>
      <c r="J538" s="24"/>
      <c r="K538" s="24"/>
    </row>
    <row r="539" spans="1:11" s="12" customFormat="1" ht="31.05" x14ac:dyDescent="0.3">
      <c r="A539" s="3" t="s">
        <v>393</v>
      </c>
      <c r="B539" s="59" t="s">
        <v>10</v>
      </c>
      <c r="C539" s="4" t="s">
        <v>13</v>
      </c>
      <c r="D539" s="4" t="s">
        <v>14</v>
      </c>
      <c r="E539" s="4" t="s">
        <v>184</v>
      </c>
      <c r="F539" s="4"/>
      <c r="G539" s="27">
        <f>G540</f>
        <v>499900.49</v>
      </c>
      <c r="H539" s="56">
        <f>H540</f>
        <v>499900</v>
      </c>
      <c r="I539" s="130">
        <f t="shared" si="38"/>
        <v>0.99999901980492156</v>
      </c>
      <c r="J539" s="24"/>
      <c r="K539" s="24"/>
    </row>
    <row r="540" spans="1:11" s="12" customFormat="1" ht="46.55" x14ac:dyDescent="0.3">
      <c r="A540" s="3" t="s">
        <v>543</v>
      </c>
      <c r="B540" s="59" t="s">
        <v>10</v>
      </c>
      <c r="C540" s="4" t="s">
        <v>13</v>
      </c>
      <c r="D540" s="4" t="s">
        <v>14</v>
      </c>
      <c r="E540" s="4" t="s">
        <v>184</v>
      </c>
      <c r="F540" s="4" t="s">
        <v>463</v>
      </c>
      <c r="G540" s="27">
        <f>546613.49-100-46613</f>
        <v>499900.49</v>
      </c>
      <c r="H540" s="56">
        <f>546613-100-46613</f>
        <v>499900</v>
      </c>
      <c r="I540" s="130">
        <f t="shared" si="38"/>
        <v>0.99999901980492156</v>
      </c>
      <c r="J540" s="24"/>
      <c r="K540" s="24"/>
    </row>
    <row r="541" spans="1:11" s="12" customFormat="1" ht="93.05" x14ac:dyDescent="0.3">
      <c r="A541" s="3" t="s">
        <v>414</v>
      </c>
      <c r="B541" s="59" t="s">
        <v>10</v>
      </c>
      <c r="C541" s="4" t="s">
        <v>13</v>
      </c>
      <c r="D541" s="4" t="s">
        <v>14</v>
      </c>
      <c r="E541" s="4" t="s">
        <v>415</v>
      </c>
      <c r="F541" s="4"/>
      <c r="G541" s="27">
        <f>G542</f>
        <v>11778450</v>
      </c>
      <c r="H541" s="56">
        <f>H542</f>
        <v>11778450</v>
      </c>
      <c r="I541" s="130">
        <f t="shared" si="38"/>
        <v>1</v>
      </c>
      <c r="J541" s="24"/>
      <c r="K541" s="24"/>
    </row>
    <row r="542" spans="1:11" s="12" customFormat="1" ht="62.05" x14ac:dyDescent="0.3">
      <c r="A542" s="3" t="s">
        <v>593</v>
      </c>
      <c r="B542" s="59" t="s">
        <v>10</v>
      </c>
      <c r="C542" s="4" t="s">
        <v>13</v>
      </c>
      <c r="D542" s="4" t="s">
        <v>14</v>
      </c>
      <c r="E542" s="4" t="s">
        <v>416</v>
      </c>
      <c r="F542" s="4"/>
      <c r="G542" s="27">
        <f>G543</f>
        <v>11778450</v>
      </c>
      <c r="H542" s="56">
        <f>H543</f>
        <v>11778450</v>
      </c>
      <c r="I542" s="130">
        <f t="shared" si="38"/>
        <v>1</v>
      </c>
      <c r="J542" s="24"/>
      <c r="K542" s="24"/>
    </row>
    <row r="543" spans="1:11" s="12" customFormat="1" ht="46.55" x14ac:dyDescent="0.3">
      <c r="A543" s="3" t="s">
        <v>526</v>
      </c>
      <c r="B543" s="59" t="s">
        <v>10</v>
      </c>
      <c r="C543" s="4" t="s">
        <v>13</v>
      </c>
      <c r="D543" s="4" t="s">
        <v>14</v>
      </c>
      <c r="E543" s="4" t="s">
        <v>416</v>
      </c>
      <c r="F543" s="4" t="s">
        <v>361</v>
      </c>
      <c r="G543" s="27">
        <f>11749000+29450</f>
        <v>11778450</v>
      </c>
      <c r="H543" s="56">
        <f>11749000+29450</f>
        <v>11778450</v>
      </c>
      <c r="I543" s="145">
        <f t="shared" si="38"/>
        <v>1</v>
      </c>
      <c r="J543" s="24"/>
      <c r="K543" s="24"/>
    </row>
    <row r="544" spans="1:11" s="12" customFormat="1" x14ac:dyDescent="0.3">
      <c r="A544" s="13" t="s">
        <v>23</v>
      </c>
      <c r="B544" s="106" t="s">
        <v>10</v>
      </c>
      <c r="C544" s="5" t="s">
        <v>15</v>
      </c>
      <c r="D544" s="5"/>
      <c r="E544" s="5"/>
      <c r="F544" s="5"/>
      <c r="G544" s="26">
        <f>G545+G564+G581</f>
        <v>68265993.749999985</v>
      </c>
      <c r="H544" s="137">
        <f>H545+H564+H581</f>
        <v>63132731.020000003</v>
      </c>
      <c r="I544" s="129">
        <f t="shared" si="38"/>
        <v>0.9248049805178441</v>
      </c>
      <c r="J544" s="24"/>
      <c r="K544" s="24"/>
    </row>
    <row r="545" spans="1:11" s="12" customFormat="1" x14ac:dyDescent="0.3">
      <c r="A545" s="1" t="s">
        <v>24</v>
      </c>
      <c r="B545" s="105" t="s">
        <v>10</v>
      </c>
      <c r="C545" s="2" t="s">
        <v>15</v>
      </c>
      <c r="D545" s="2" t="s">
        <v>683</v>
      </c>
      <c r="E545" s="2"/>
      <c r="F545" s="4"/>
      <c r="G545" s="31">
        <f>G546</f>
        <v>52863256.149999991</v>
      </c>
      <c r="H545" s="57">
        <f>H546</f>
        <v>47975126.880000003</v>
      </c>
      <c r="I545" s="129">
        <f t="shared" si="38"/>
        <v>0.90753257317086422</v>
      </c>
      <c r="J545" s="24"/>
      <c r="K545" s="24"/>
    </row>
    <row r="546" spans="1:11" ht="46.55" x14ac:dyDescent="0.3">
      <c r="A546" s="1" t="s">
        <v>60</v>
      </c>
      <c r="B546" s="105" t="s">
        <v>10</v>
      </c>
      <c r="C546" s="2" t="s">
        <v>15</v>
      </c>
      <c r="D546" s="2" t="s">
        <v>683</v>
      </c>
      <c r="E546" s="2" t="s">
        <v>417</v>
      </c>
      <c r="F546" s="2"/>
      <c r="G546" s="31">
        <f>G547</f>
        <v>52863256.149999991</v>
      </c>
      <c r="H546" s="57">
        <f>H547</f>
        <v>47975126.880000003</v>
      </c>
      <c r="I546" s="129">
        <f t="shared" si="38"/>
        <v>0.90753257317086422</v>
      </c>
    </row>
    <row r="547" spans="1:11" s="12" customFormat="1" ht="62.05" x14ac:dyDescent="0.3">
      <c r="A547" s="3" t="s">
        <v>4</v>
      </c>
      <c r="B547" s="59" t="s">
        <v>10</v>
      </c>
      <c r="C547" s="4" t="s">
        <v>15</v>
      </c>
      <c r="D547" s="4" t="s">
        <v>683</v>
      </c>
      <c r="E547" s="4" t="s">
        <v>418</v>
      </c>
      <c r="F547" s="4"/>
      <c r="G547" s="27">
        <f>G558+G561+G548</f>
        <v>52863256.149999991</v>
      </c>
      <c r="H547" s="56">
        <f>H558+H561+H548</f>
        <v>47975126.880000003</v>
      </c>
      <c r="I547" s="130">
        <f t="shared" si="38"/>
        <v>0.90753257317086422</v>
      </c>
      <c r="J547" s="24"/>
      <c r="K547" s="24"/>
    </row>
    <row r="548" spans="1:11" s="12" customFormat="1" ht="31.05" x14ac:dyDescent="0.3">
      <c r="A548" s="3" t="s">
        <v>687</v>
      </c>
      <c r="B548" s="59" t="s">
        <v>10</v>
      </c>
      <c r="C548" s="4" t="s">
        <v>15</v>
      </c>
      <c r="D548" s="4" t="s">
        <v>683</v>
      </c>
      <c r="E548" s="4" t="s">
        <v>688</v>
      </c>
      <c r="F548" s="4"/>
      <c r="G548" s="27">
        <f>G549+G551</f>
        <v>49778999.999999993</v>
      </c>
      <c r="H548" s="56">
        <f>H549+H551</f>
        <v>45188902.740000002</v>
      </c>
      <c r="I548" s="130">
        <f t="shared" si="38"/>
        <v>0.90779048876032076</v>
      </c>
      <c r="J548" s="24"/>
      <c r="K548" s="24"/>
    </row>
    <row r="549" spans="1:11" s="12" customFormat="1" ht="62.05" x14ac:dyDescent="0.3">
      <c r="A549" s="3" t="s">
        <v>593</v>
      </c>
      <c r="B549" s="59" t="s">
        <v>10</v>
      </c>
      <c r="C549" s="4" t="s">
        <v>15</v>
      </c>
      <c r="D549" s="4" t="s">
        <v>683</v>
      </c>
      <c r="E549" s="4" t="s">
        <v>689</v>
      </c>
      <c r="F549" s="4"/>
      <c r="G549" s="27">
        <f>G550</f>
        <v>34778999.999999993</v>
      </c>
      <c r="H549" s="56">
        <f>H550</f>
        <v>34734007.200000003</v>
      </c>
      <c r="I549" s="130">
        <f t="shared" si="38"/>
        <v>0.99870632278098881</v>
      </c>
      <c r="J549" s="24"/>
      <c r="K549" s="24"/>
    </row>
    <row r="550" spans="1:11" s="12" customFormat="1" ht="46.55" x14ac:dyDescent="0.3">
      <c r="A550" s="3" t="s">
        <v>526</v>
      </c>
      <c r="B550" s="59" t="s">
        <v>10</v>
      </c>
      <c r="C550" s="4" t="s">
        <v>15</v>
      </c>
      <c r="D550" s="4" t="s">
        <v>683</v>
      </c>
      <c r="E550" s="4" t="s">
        <v>689</v>
      </c>
      <c r="F550" s="4" t="s">
        <v>361</v>
      </c>
      <c r="G550" s="27">
        <f>2700000+32079000+15606348.41-14064781.95-2800-1538766.46</f>
        <v>34778999.999999993</v>
      </c>
      <c r="H550" s="56">
        <v>34734007.200000003</v>
      </c>
      <c r="I550" s="130">
        <f t="shared" si="38"/>
        <v>0.99870632278098881</v>
      </c>
      <c r="J550" s="24"/>
      <c r="K550" s="24"/>
    </row>
    <row r="551" spans="1:11" s="12" customFormat="1" ht="62.05" x14ac:dyDescent="0.3">
      <c r="A551" s="3" t="s">
        <v>873</v>
      </c>
      <c r="B551" s="59" t="s">
        <v>10</v>
      </c>
      <c r="C551" s="4" t="s">
        <v>15</v>
      </c>
      <c r="D551" s="4" t="s">
        <v>683</v>
      </c>
      <c r="E551" s="4" t="s">
        <v>874</v>
      </c>
      <c r="F551" s="4"/>
      <c r="G551" s="27">
        <f>G552</f>
        <v>15000000</v>
      </c>
      <c r="H551" s="56">
        <f>H552</f>
        <v>10454895.539999999</v>
      </c>
      <c r="I551" s="130">
        <f t="shared" si="38"/>
        <v>0.69699303599999995</v>
      </c>
      <c r="J551" s="24"/>
      <c r="K551" s="24"/>
    </row>
    <row r="552" spans="1:11" s="12" customFormat="1" ht="46.55" x14ac:dyDescent="0.3">
      <c r="A552" s="3" t="s">
        <v>526</v>
      </c>
      <c r="B552" s="59" t="s">
        <v>10</v>
      </c>
      <c r="C552" s="4" t="s">
        <v>15</v>
      </c>
      <c r="D552" s="4" t="s">
        <v>683</v>
      </c>
      <c r="E552" s="4" t="s">
        <v>874</v>
      </c>
      <c r="F552" s="4" t="s">
        <v>361</v>
      </c>
      <c r="G552" s="27">
        <f>15000000</f>
        <v>15000000</v>
      </c>
      <c r="H552" s="56">
        <v>10454895.539999999</v>
      </c>
      <c r="I552" s="130">
        <f t="shared" si="38"/>
        <v>0.69699303599999995</v>
      </c>
      <c r="J552" s="24"/>
      <c r="K552" s="24"/>
    </row>
    <row r="553" spans="1:11" s="12" customFormat="1" ht="15.8" hidden="1" customHeight="1" x14ac:dyDescent="0.3">
      <c r="A553" s="3"/>
      <c r="B553" s="59"/>
      <c r="C553" s="4"/>
      <c r="D553" s="4"/>
      <c r="E553" s="4"/>
      <c r="F553" s="4"/>
      <c r="G553" s="27"/>
      <c r="H553" s="56"/>
      <c r="I553" s="130" t="e">
        <f t="shared" si="38"/>
        <v>#DIV/0!</v>
      </c>
      <c r="J553" s="24"/>
      <c r="K553" s="24"/>
    </row>
    <row r="554" spans="1:11" s="12" customFormat="1" ht="15.8" hidden="1" customHeight="1" x14ac:dyDescent="0.3">
      <c r="A554" s="3"/>
      <c r="B554" s="59"/>
      <c r="C554" s="4"/>
      <c r="D554" s="4"/>
      <c r="E554" s="4"/>
      <c r="F554" s="4"/>
      <c r="G554" s="27"/>
      <c r="H554" s="56"/>
      <c r="I554" s="130" t="e">
        <f t="shared" si="38"/>
        <v>#DIV/0!</v>
      </c>
      <c r="J554" s="24"/>
      <c r="K554" s="24"/>
    </row>
    <row r="555" spans="1:11" s="12" customFormat="1" ht="15.8" hidden="1" customHeight="1" x14ac:dyDescent="0.3">
      <c r="A555" s="3"/>
      <c r="B555" s="59"/>
      <c r="C555" s="4"/>
      <c r="D555" s="4"/>
      <c r="E555" s="4"/>
      <c r="F555" s="4"/>
      <c r="G555" s="27"/>
      <c r="H555" s="56"/>
      <c r="I555" s="130" t="e">
        <f t="shared" si="38"/>
        <v>#DIV/0!</v>
      </c>
      <c r="J555" s="24"/>
      <c r="K555" s="24"/>
    </row>
    <row r="556" spans="1:11" s="12" customFormat="1" ht="15.8" hidden="1" customHeight="1" x14ac:dyDescent="0.3">
      <c r="A556" s="3"/>
      <c r="B556" s="59"/>
      <c r="C556" s="4"/>
      <c r="D556" s="4"/>
      <c r="E556" s="4"/>
      <c r="F556" s="4"/>
      <c r="G556" s="27"/>
      <c r="H556" s="56"/>
      <c r="I556" s="130" t="e">
        <f t="shared" si="38"/>
        <v>#DIV/0!</v>
      </c>
      <c r="J556" s="24"/>
      <c r="K556" s="24"/>
    </row>
    <row r="557" spans="1:11" s="12" customFormat="1" ht="15.8" hidden="1" customHeight="1" x14ac:dyDescent="0.3">
      <c r="A557" s="3"/>
      <c r="B557" s="59"/>
      <c r="C557" s="4"/>
      <c r="D557" s="4"/>
      <c r="E557" s="4"/>
      <c r="F557" s="4"/>
      <c r="G557" s="27"/>
      <c r="H557" s="56"/>
      <c r="I557" s="130" t="e">
        <f t="shared" si="38"/>
        <v>#DIV/0!</v>
      </c>
      <c r="J557" s="24"/>
      <c r="K557" s="24"/>
    </row>
    <row r="558" spans="1:11" s="12" customFormat="1" ht="62.05" x14ac:dyDescent="0.3">
      <c r="A558" s="3" t="s">
        <v>419</v>
      </c>
      <c r="B558" s="59" t="s">
        <v>10</v>
      </c>
      <c r="C558" s="4" t="s">
        <v>15</v>
      </c>
      <c r="D558" s="4" t="s">
        <v>683</v>
      </c>
      <c r="E558" s="4" t="s">
        <v>420</v>
      </c>
      <c r="F558" s="4"/>
      <c r="G558" s="27">
        <f>G559</f>
        <v>778540</v>
      </c>
      <c r="H558" s="56">
        <f>H559</f>
        <v>515640</v>
      </c>
      <c r="I558" s="130">
        <f t="shared" si="38"/>
        <v>0.6623166439746192</v>
      </c>
      <c r="J558" s="24"/>
      <c r="K558" s="24"/>
    </row>
    <row r="559" spans="1:11" s="12" customFormat="1" ht="46.55" x14ac:dyDescent="0.3">
      <c r="A559" s="3" t="s">
        <v>596</v>
      </c>
      <c r="B559" s="59" t="s">
        <v>10</v>
      </c>
      <c r="C559" s="4" t="s">
        <v>15</v>
      </c>
      <c r="D559" s="4" t="s">
        <v>683</v>
      </c>
      <c r="E559" s="4" t="s">
        <v>421</v>
      </c>
      <c r="F559" s="4"/>
      <c r="G559" s="27">
        <f>G560</f>
        <v>778540</v>
      </c>
      <c r="H559" s="56">
        <f>H560</f>
        <v>515640</v>
      </c>
      <c r="I559" s="130">
        <f t="shared" si="38"/>
        <v>0.6623166439746192</v>
      </c>
      <c r="J559" s="24"/>
      <c r="K559" s="24"/>
    </row>
    <row r="560" spans="1:11" s="12" customFormat="1" ht="46.55" x14ac:dyDescent="0.3">
      <c r="A560" s="3" t="s">
        <v>543</v>
      </c>
      <c r="B560" s="59" t="s">
        <v>10</v>
      </c>
      <c r="C560" s="4" t="s">
        <v>15</v>
      </c>
      <c r="D560" s="4" t="s">
        <v>683</v>
      </c>
      <c r="E560" s="4" t="s">
        <v>421</v>
      </c>
      <c r="F560" s="4" t="s">
        <v>463</v>
      </c>
      <c r="G560" s="27">
        <f>720174+58366</f>
        <v>778540</v>
      </c>
      <c r="H560" s="56">
        <v>515640</v>
      </c>
      <c r="I560" s="130">
        <f t="shared" si="38"/>
        <v>0.6623166439746192</v>
      </c>
      <c r="J560" s="24"/>
      <c r="K560" s="24"/>
    </row>
    <row r="561" spans="1:11" s="12" customFormat="1" ht="67.75" customHeight="1" x14ac:dyDescent="0.3">
      <c r="A561" s="3" t="s">
        <v>422</v>
      </c>
      <c r="B561" s="59" t="s">
        <v>10</v>
      </c>
      <c r="C561" s="4" t="s">
        <v>15</v>
      </c>
      <c r="D561" s="4" t="s">
        <v>683</v>
      </c>
      <c r="E561" s="4" t="s">
        <v>423</v>
      </c>
      <c r="F561" s="4"/>
      <c r="G561" s="27">
        <f>G562</f>
        <v>2305716.15</v>
      </c>
      <c r="H561" s="56">
        <f>H562</f>
        <v>2270584.14</v>
      </c>
      <c r="I561" s="130">
        <f t="shared" si="38"/>
        <v>0.98476308109304789</v>
      </c>
      <c r="J561" s="24"/>
      <c r="K561" s="24"/>
    </row>
    <row r="562" spans="1:11" s="12" customFormat="1" ht="46.55" x14ac:dyDescent="0.3">
      <c r="A562" s="3" t="s">
        <v>596</v>
      </c>
      <c r="B562" s="59" t="s">
        <v>10</v>
      </c>
      <c r="C562" s="4" t="s">
        <v>15</v>
      </c>
      <c r="D562" s="4" t="s">
        <v>683</v>
      </c>
      <c r="E562" s="4" t="s">
        <v>424</v>
      </c>
      <c r="F562" s="4"/>
      <c r="G562" s="27">
        <f>G563</f>
        <v>2305716.15</v>
      </c>
      <c r="H562" s="56">
        <f>H563</f>
        <v>2270584.14</v>
      </c>
      <c r="I562" s="130">
        <f t="shared" si="38"/>
        <v>0.98476308109304789</v>
      </c>
      <c r="J562" s="24"/>
      <c r="K562" s="24"/>
    </row>
    <row r="563" spans="1:11" s="12" customFormat="1" ht="46.55" x14ac:dyDescent="0.3">
      <c r="A563" s="3" t="s">
        <v>543</v>
      </c>
      <c r="B563" s="59" t="s">
        <v>10</v>
      </c>
      <c r="C563" s="4" t="s">
        <v>15</v>
      </c>
      <c r="D563" s="4" t="s">
        <v>683</v>
      </c>
      <c r="E563" s="4" t="s">
        <v>424</v>
      </c>
      <c r="F563" s="4" t="s">
        <v>463</v>
      </c>
      <c r="G563" s="27">
        <f>126346-40000+1148174+1263724.8-108486.65-84042</f>
        <v>2305716.15</v>
      </c>
      <c r="H563" s="56">
        <v>2270584.14</v>
      </c>
      <c r="I563" s="145">
        <f t="shared" si="38"/>
        <v>0.98476308109304789</v>
      </c>
      <c r="J563" s="24"/>
      <c r="K563" s="24"/>
    </row>
    <row r="564" spans="1:11" s="12" customFormat="1" x14ac:dyDescent="0.3">
      <c r="A564" s="13" t="s">
        <v>25</v>
      </c>
      <c r="B564" s="106" t="s">
        <v>10</v>
      </c>
      <c r="C564" s="5" t="s">
        <v>15</v>
      </c>
      <c r="D564" s="5" t="s">
        <v>17</v>
      </c>
      <c r="E564" s="21"/>
      <c r="F564" s="21"/>
      <c r="G564" s="26">
        <f>G565</f>
        <v>15024683.599999998</v>
      </c>
      <c r="H564" s="137">
        <f>H565</f>
        <v>14799550.140000001</v>
      </c>
      <c r="I564" s="129">
        <f t="shared" si="38"/>
        <v>0.98501576033188498</v>
      </c>
      <c r="J564" s="24"/>
      <c r="K564" s="24"/>
    </row>
    <row r="565" spans="1:11" ht="46.55" x14ac:dyDescent="0.3">
      <c r="A565" s="1" t="s">
        <v>60</v>
      </c>
      <c r="B565" s="105" t="s">
        <v>10</v>
      </c>
      <c r="C565" s="2" t="s">
        <v>15</v>
      </c>
      <c r="D565" s="2" t="s">
        <v>17</v>
      </c>
      <c r="E565" s="2" t="s">
        <v>417</v>
      </c>
      <c r="F565" s="2"/>
      <c r="G565" s="31">
        <f>G566</f>
        <v>15024683.599999998</v>
      </c>
      <c r="H565" s="57">
        <f>H566</f>
        <v>14799550.140000001</v>
      </c>
      <c r="I565" s="129">
        <f t="shared" si="38"/>
        <v>0.98501576033188498</v>
      </c>
    </row>
    <row r="566" spans="1:11" s="12" customFormat="1" ht="62.05" x14ac:dyDescent="0.3">
      <c r="A566" s="3" t="s">
        <v>4</v>
      </c>
      <c r="B566" s="59" t="s">
        <v>10</v>
      </c>
      <c r="C566" s="4" t="s">
        <v>15</v>
      </c>
      <c r="D566" s="4" t="s">
        <v>17</v>
      </c>
      <c r="E566" s="4" t="s">
        <v>418</v>
      </c>
      <c r="F566" s="4"/>
      <c r="G566" s="27">
        <f>G570+G575+G567+G578</f>
        <v>15024683.599999998</v>
      </c>
      <c r="H566" s="56">
        <f>H570+H575+H567+H578</f>
        <v>14799550.140000001</v>
      </c>
      <c r="I566" s="130">
        <f t="shared" si="38"/>
        <v>0.98501576033188498</v>
      </c>
      <c r="J566" s="24"/>
      <c r="K566" s="24"/>
    </row>
    <row r="567" spans="1:11" s="12" customFormat="1" ht="35.450000000000003" customHeight="1" x14ac:dyDescent="0.3">
      <c r="A567" s="3" t="s">
        <v>208</v>
      </c>
      <c r="B567" s="59" t="s">
        <v>10</v>
      </c>
      <c r="C567" s="4" t="s">
        <v>15</v>
      </c>
      <c r="D567" s="4" t="s">
        <v>17</v>
      </c>
      <c r="E567" s="4" t="s">
        <v>209</v>
      </c>
      <c r="F567" s="4"/>
      <c r="G567" s="27">
        <f>G568</f>
        <v>2702387.68</v>
      </c>
      <c r="H567" s="56">
        <f>H568</f>
        <v>2702387.68</v>
      </c>
      <c r="I567" s="130">
        <f t="shared" si="38"/>
        <v>1</v>
      </c>
      <c r="J567" s="24"/>
      <c r="K567" s="24"/>
    </row>
    <row r="568" spans="1:11" s="12" customFormat="1" ht="62.05" x14ac:dyDescent="0.3">
      <c r="A568" s="3" t="s">
        <v>593</v>
      </c>
      <c r="B568" s="59" t="s">
        <v>10</v>
      </c>
      <c r="C568" s="4" t="s">
        <v>15</v>
      </c>
      <c r="D568" s="4" t="s">
        <v>17</v>
      </c>
      <c r="E568" s="4" t="s">
        <v>210</v>
      </c>
      <c r="F568" s="4"/>
      <c r="G568" s="27">
        <f>G569</f>
        <v>2702387.68</v>
      </c>
      <c r="H568" s="56">
        <f>H569</f>
        <v>2702387.68</v>
      </c>
      <c r="I568" s="130">
        <f t="shared" si="38"/>
        <v>1</v>
      </c>
      <c r="J568" s="24"/>
      <c r="K568" s="24"/>
    </row>
    <row r="569" spans="1:11" s="12" customFormat="1" ht="46.55" x14ac:dyDescent="0.3">
      <c r="A569" s="3" t="s">
        <v>526</v>
      </c>
      <c r="B569" s="59" t="s">
        <v>10</v>
      </c>
      <c r="C569" s="4" t="s">
        <v>15</v>
      </c>
      <c r="D569" s="4" t="s">
        <v>17</v>
      </c>
      <c r="E569" s="4" t="s">
        <v>210</v>
      </c>
      <c r="F569" s="4" t="s">
        <v>361</v>
      </c>
      <c r="G569" s="27">
        <f>2702387.68</f>
        <v>2702387.68</v>
      </c>
      <c r="H569" s="56">
        <f>2702387.68</f>
        <v>2702387.68</v>
      </c>
      <c r="I569" s="130">
        <f t="shared" si="38"/>
        <v>1</v>
      </c>
      <c r="J569" s="24"/>
      <c r="K569" s="24"/>
    </row>
    <row r="570" spans="1:11" s="12" customFormat="1" ht="62.05" x14ac:dyDescent="0.3">
      <c r="A570" s="3" t="s">
        <v>419</v>
      </c>
      <c r="B570" s="59" t="s">
        <v>10</v>
      </c>
      <c r="C570" s="4" t="s">
        <v>15</v>
      </c>
      <c r="D570" s="4" t="s">
        <v>17</v>
      </c>
      <c r="E570" s="4" t="s">
        <v>420</v>
      </c>
      <c r="F570" s="4"/>
      <c r="G570" s="27">
        <f>G571+G573</f>
        <v>8428462.9799999986</v>
      </c>
      <c r="H570" s="56">
        <f>H571+H573</f>
        <v>8203329.5200000005</v>
      </c>
      <c r="I570" s="130">
        <f t="shared" si="38"/>
        <v>0.9732889068227244</v>
      </c>
      <c r="J570" s="24"/>
      <c r="K570" s="24"/>
    </row>
    <row r="571" spans="1:11" s="12" customFormat="1" ht="46.55" x14ac:dyDescent="0.3">
      <c r="A571" s="3" t="s">
        <v>596</v>
      </c>
      <c r="B571" s="59" t="s">
        <v>10</v>
      </c>
      <c r="C571" s="4" t="s">
        <v>15</v>
      </c>
      <c r="D571" s="4" t="s">
        <v>17</v>
      </c>
      <c r="E571" s="4" t="s">
        <v>421</v>
      </c>
      <c r="F571" s="4"/>
      <c r="G571" s="27">
        <f>G572</f>
        <v>7442895.3199999994</v>
      </c>
      <c r="H571" s="56">
        <f>H572</f>
        <v>7217761.8600000003</v>
      </c>
      <c r="I571" s="130">
        <f t="shared" si="38"/>
        <v>0.96975189757203262</v>
      </c>
      <c r="J571" s="24"/>
      <c r="K571" s="24"/>
    </row>
    <row r="572" spans="1:11" s="12" customFormat="1" ht="46.55" x14ac:dyDescent="0.3">
      <c r="A572" s="3" t="s">
        <v>543</v>
      </c>
      <c r="B572" s="59" t="s">
        <v>10</v>
      </c>
      <c r="C572" s="4" t="s">
        <v>15</v>
      </c>
      <c r="D572" s="4" t="s">
        <v>17</v>
      </c>
      <c r="E572" s="4" t="s">
        <v>421</v>
      </c>
      <c r="F572" s="4" t="s">
        <v>463</v>
      </c>
      <c r="G572" s="27">
        <f>9405515-2700000+2700000-985567.66-1209581.96+268003.48-35473.54</f>
        <v>7442895.3199999994</v>
      </c>
      <c r="H572" s="56">
        <v>7217761.8600000003</v>
      </c>
      <c r="I572" s="130">
        <f t="shared" si="38"/>
        <v>0.96975189757203262</v>
      </c>
      <c r="J572" s="24"/>
      <c r="K572" s="24"/>
    </row>
    <row r="573" spans="1:11" s="12" customFormat="1" ht="31.05" x14ac:dyDescent="0.3">
      <c r="A573" s="3" t="s">
        <v>393</v>
      </c>
      <c r="B573" s="59" t="s">
        <v>10</v>
      </c>
      <c r="C573" s="4" t="s">
        <v>15</v>
      </c>
      <c r="D573" s="4" t="s">
        <v>17</v>
      </c>
      <c r="E573" s="4" t="s">
        <v>764</v>
      </c>
      <c r="F573" s="4"/>
      <c r="G573" s="27">
        <f>G574</f>
        <v>985567.66</v>
      </c>
      <c r="H573" s="56">
        <f>H574</f>
        <v>985567.66</v>
      </c>
      <c r="I573" s="130">
        <f>H573/G573</f>
        <v>1</v>
      </c>
      <c r="J573" s="24"/>
      <c r="K573" s="24"/>
    </row>
    <row r="574" spans="1:11" s="12" customFormat="1" ht="46.55" x14ac:dyDescent="0.3">
      <c r="A574" s="3" t="s">
        <v>543</v>
      </c>
      <c r="B574" s="59" t="s">
        <v>10</v>
      </c>
      <c r="C574" s="4" t="s">
        <v>15</v>
      </c>
      <c r="D574" s="4" t="s">
        <v>17</v>
      </c>
      <c r="E574" s="4" t="s">
        <v>764</v>
      </c>
      <c r="F574" s="4" t="s">
        <v>463</v>
      </c>
      <c r="G574" s="27">
        <f>985567.66</f>
        <v>985567.66</v>
      </c>
      <c r="H574" s="56">
        <f>985567.66</f>
        <v>985567.66</v>
      </c>
      <c r="I574" s="130">
        <f>H574/G574</f>
        <v>1</v>
      </c>
      <c r="J574" s="24"/>
      <c r="K574" s="24"/>
    </row>
    <row r="575" spans="1:11" s="12" customFormat="1" ht="62.05" x14ac:dyDescent="0.3">
      <c r="A575" s="3" t="s">
        <v>422</v>
      </c>
      <c r="B575" s="59" t="s">
        <v>10</v>
      </c>
      <c r="C575" s="4" t="s">
        <v>15</v>
      </c>
      <c r="D575" s="4" t="s">
        <v>17</v>
      </c>
      <c r="E575" s="4" t="s">
        <v>423</v>
      </c>
      <c r="F575" s="4"/>
      <c r="G575" s="27">
        <f>G577</f>
        <v>2684250.98</v>
      </c>
      <c r="H575" s="56">
        <f>H577</f>
        <v>2684250.98</v>
      </c>
      <c r="I575" s="130">
        <f t="shared" ref="I575:I638" si="39">H575/G575</f>
        <v>1</v>
      </c>
      <c r="J575" s="24"/>
      <c r="K575" s="24"/>
    </row>
    <row r="576" spans="1:11" s="12" customFormat="1" ht="46.55" x14ac:dyDescent="0.3">
      <c r="A576" s="3" t="s">
        <v>596</v>
      </c>
      <c r="B576" s="59" t="s">
        <v>10</v>
      </c>
      <c r="C576" s="4" t="s">
        <v>15</v>
      </c>
      <c r="D576" s="4" t="s">
        <v>17</v>
      </c>
      <c r="E576" s="4" t="s">
        <v>424</v>
      </c>
      <c r="F576" s="4"/>
      <c r="G576" s="27">
        <f>G577</f>
        <v>2684250.98</v>
      </c>
      <c r="H576" s="56">
        <f>H577</f>
        <v>2684250.98</v>
      </c>
      <c r="I576" s="130">
        <f t="shared" si="39"/>
        <v>1</v>
      </c>
      <c r="J576" s="24"/>
      <c r="K576" s="24"/>
    </row>
    <row r="577" spans="1:11" s="12" customFormat="1" ht="46.55" x14ac:dyDescent="0.3">
      <c r="A577" s="3" t="s">
        <v>543</v>
      </c>
      <c r="B577" s="59" t="s">
        <v>10</v>
      </c>
      <c r="C577" s="4" t="s">
        <v>15</v>
      </c>
      <c r="D577" s="4" t="s">
        <v>17</v>
      </c>
      <c r="E577" s="4" t="s">
        <v>424</v>
      </c>
      <c r="F577" s="4" t="s">
        <v>463</v>
      </c>
      <c r="G577" s="27">
        <f>6440322+40000-816445.54-241357.2-2738268.28</f>
        <v>2684250.98</v>
      </c>
      <c r="H577" s="56">
        <f>6440322+40000-816445.54-241357.2-2738268.28</f>
        <v>2684250.98</v>
      </c>
      <c r="I577" s="130">
        <f t="shared" si="39"/>
        <v>1</v>
      </c>
      <c r="J577" s="24"/>
      <c r="K577" s="24"/>
    </row>
    <row r="578" spans="1:11" s="12" customFormat="1" ht="62.05" x14ac:dyDescent="0.3">
      <c r="A578" s="3" t="s">
        <v>773</v>
      </c>
      <c r="B578" s="59" t="s">
        <v>10</v>
      </c>
      <c r="C578" s="4" t="s">
        <v>15</v>
      </c>
      <c r="D578" s="4" t="s">
        <v>17</v>
      </c>
      <c r="E578" s="4" t="s">
        <v>774</v>
      </c>
      <c r="F578" s="4"/>
      <c r="G578" s="27">
        <f>G579</f>
        <v>1209581.96</v>
      </c>
      <c r="H578" s="56">
        <f>H579</f>
        <v>1209581.96</v>
      </c>
      <c r="I578" s="130">
        <f t="shared" si="39"/>
        <v>1</v>
      </c>
      <c r="J578" s="24"/>
      <c r="K578" s="24"/>
    </row>
    <row r="579" spans="1:11" s="12" customFormat="1" ht="46.55" x14ac:dyDescent="0.3">
      <c r="A579" s="3" t="s">
        <v>596</v>
      </c>
      <c r="B579" s="59" t="s">
        <v>10</v>
      </c>
      <c r="C579" s="4" t="s">
        <v>15</v>
      </c>
      <c r="D579" s="4" t="s">
        <v>17</v>
      </c>
      <c r="E579" s="4" t="s">
        <v>775</v>
      </c>
      <c r="F579" s="4"/>
      <c r="G579" s="27">
        <f>G580</f>
        <v>1209581.96</v>
      </c>
      <c r="H579" s="56">
        <f>H580</f>
        <v>1209581.96</v>
      </c>
      <c r="I579" s="130">
        <f t="shared" si="39"/>
        <v>1</v>
      </c>
      <c r="J579" s="24"/>
      <c r="K579" s="24"/>
    </row>
    <row r="580" spans="1:11" s="12" customFormat="1" ht="46.55" x14ac:dyDescent="0.3">
      <c r="A580" s="3" t="s">
        <v>543</v>
      </c>
      <c r="B580" s="59" t="s">
        <v>10</v>
      </c>
      <c r="C580" s="4" t="s">
        <v>15</v>
      </c>
      <c r="D580" s="4" t="s">
        <v>17</v>
      </c>
      <c r="E580" s="4" t="s">
        <v>775</v>
      </c>
      <c r="F580" s="4" t="s">
        <v>463</v>
      </c>
      <c r="G580" s="27">
        <f>1209581.96</f>
        <v>1209581.96</v>
      </c>
      <c r="H580" s="56">
        <f>1209581.96</f>
        <v>1209581.96</v>
      </c>
      <c r="I580" s="145">
        <f t="shared" si="39"/>
        <v>1</v>
      </c>
      <c r="J580" s="24"/>
      <c r="K580" s="24"/>
    </row>
    <row r="581" spans="1:11" s="12" customFormat="1" ht="31.05" x14ac:dyDescent="0.3">
      <c r="A581" s="13" t="s">
        <v>6</v>
      </c>
      <c r="B581" s="106" t="s">
        <v>10</v>
      </c>
      <c r="C581" s="5" t="s">
        <v>15</v>
      </c>
      <c r="D581" s="5" t="s">
        <v>15</v>
      </c>
      <c r="E581" s="5"/>
      <c r="F581" s="5"/>
      <c r="G581" s="26">
        <f t="shared" ref="G581:H585" si="40">G582</f>
        <v>378054</v>
      </c>
      <c r="H581" s="137">
        <f t="shared" si="40"/>
        <v>358054</v>
      </c>
      <c r="I581" s="129">
        <f t="shared" si="39"/>
        <v>0.94709750458929143</v>
      </c>
      <c r="J581" s="24"/>
      <c r="K581" s="24"/>
    </row>
    <row r="582" spans="1:11" ht="77.55" x14ac:dyDescent="0.3">
      <c r="A582" s="1" t="s">
        <v>64</v>
      </c>
      <c r="B582" s="105" t="s">
        <v>10</v>
      </c>
      <c r="C582" s="2" t="s">
        <v>15</v>
      </c>
      <c r="D582" s="2" t="s">
        <v>15</v>
      </c>
      <c r="E582" s="2" t="s">
        <v>567</v>
      </c>
      <c r="F582" s="2"/>
      <c r="G582" s="31">
        <f t="shared" si="40"/>
        <v>378054</v>
      </c>
      <c r="H582" s="57">
        <f t="shared" si="40"/>
        <v>358054</v>
      </c>
      <c r="I582" s="129">
        <f t="shared" si="39"/>
        <v>0.94709750458929143</v>
      </c>
    </row>
    <row r="583" spans="1:11" s="12" customFormat="1" ht="31.05" x14ac:dyDescent="0.3">
      <c r="A583" s="3" t="s">
        <v>96</v>
      </c>
      <c r="B583" s="59" t="s">
        <v>10</v>
      </c>
      <c r="C583" s="4" t="s">
        <v>15</v>
      </c>
      <c r="D583" s="4" t="s">
        <v>15</v>
      </c>
      <c r="E583" s="4" t="s">
        <v>425</v>
      </c>
      <c r="F583" s="4"/>
      <c r="G583" s="27">
        <f t="shared" si="40"/>
        <v>378054</v>
      </c>
      <c r="H583" s="56">
        <f t="shared" si="40"/>
        <v>358054</v>
      </c>
      <c r="I583" s="130">
        <f t="shared" si="39"/>
        <v>0.94709750458929143</v>
      </c>
      <c r="J583" s="24"/>
      <c r="K583" s="24"/>
    </row>
    <row r="584" spans="1:11" s="12" customFormat="1" ht="46.55" x14ac:dyDescent="0.3">
      <c r="A584" s="3" t="s">
        <v>185</v>
      </c>
      <c r="B584" s="59" t="s">
        <v>10</v>
      </c>
      <c r="C584" s="4" t="s">
        <v>15</v>
      </c>
      <c r="D584" s="4" t="s">
        <v>15</v>
      </c>
      <c r="E584" s="4" t="s">
        <v>426</v>
      </c>
      <c r="F584" s="4"/>
      <c r="G584" s="27">
        <f t="shared" si="40"/>
        <v>378054</v>
      </c>
      <c r="H584" s="56">
        <f t="shared" si="40"/>
        <v>358054</v>
      </c>
      <c r="I584" s="130">
        <f t="shared" si="39"/>
        <v>0.94709750458929143</v>
      </c>
      <c r="J584" s="24"/>
      <c r="K584" s="24"/>
    </row>
    <row r="585" spans="1:11" s="12" customFormat="1" ht="46.55" x14ac:dyDescent="0.3">
      <c r="A585" s="3" t="s">
        <v>596</v>
      </c>
      <c r="B585" s="59" t="s">
        <v>10</v>
      </c>
      <c r="C585" s="4" t="s">
        <v>15</v>
      </c>
      <c r="D585" s="4" t="s">
        <v>15</v>
      </c>
      <c r="E585" s="4" t="s">
        <v>427</v>
      </c>
      <c r="F585" s="4"/>
      <c r="G585" s="27">
        <f t="shared" si="40"/>
        <v>378054</v>
      </c>
      <c r="H585" s="56">
        <f t="shared" si="40"/>
        <v>358054</v>
      </c>
      <c r="I585" s="130">
        <f t="shared" si="39"/>
        <v>0.94709750458929143</v>
      </c>
      <c r="J585" s="24"/>
      <c r="K585" s="24"/>
    </row>
    <row r="586" spans="1:11" s="12" customFormat="1" ht="46.55" x14ac:dyDescent="0.3">
      <c r="A586" s="3" t="s">
        <v>543</v>
      </c>
      <c r="B586" s="59" t="s">
        <v>10</v>
      </c>
      <c r="C586" s="4" t="s">
        <v>15</v>
      </c>
      <c r="D586" s="4" t="s">
        <v>15</v>
      </c>
      <c r="E586" s="4" t="s">
        <v>427</v>
      </c>
      <c r="F586" s="4" t="s">
        <v>463</v>
      </c>
      <c r="G586" s="27">
        <f>385087-7033</f>
        <v>378054</v>
      </c>
      <c r="H586" s="56">
        <v>358054</v>
      </c>
      <c r="I586" s="145">
        <f t="shared" si="39"/>
        <v>0.94709750458929143</v>
      </c>
      <c r="J586" s="24"/>
      <c r="K586" s="24"/>
    </row>
    <row r="587" spans="1:11" s="12" customFormat="1" x14ac:dyDescent="0.3">
      <c r="A587" s="13" t="s">
        <v>464</v>
      </c>
      <c r="B587" s="5" t="s">
        <v>10</v>
      </c>
      <c r="C587" s="5" t="s">
        <v>16</v>
      </c>
      <c r="D587" s="5"/>
      <c r="E587" s="5"/>
      <c r="F587" s="5"/>
      <c r="G587" s="26">
        <f t="shared" ref="G587:H592" si="41">G588</f>
        <v>82431</v>
      </c>
      <c r="H587" s="137">
        <f t="shared" si="41"/>
        <v>82431</v>
      </c>
      <c r="I587" s="129">
        <f t="shared" si="39"/>
        <v>1</v>
      </c>
      <c r="J587" s="24"/>
      <c r="K587" s="24"/>
    </row>
    <row r="588" spans="1:11" s="12" customFormat="1" x14ac:dyDescent="0.3">
      <c r="A588" s="1" t="s">
        <v>578</v>
      </c>
      <c r="B588" s="105" t="s">
        <v>10</v>
      </c>
      <c r="C588" s="2" t="s">
        <v>16</v>
      </c>
      <c r="D588" s="2" t="s">
        <v>683</v>
      </c>
      <c r="E588" s="2"/>
      <c r="F588" s="2"/>
      <c r="G588" s="31">
        <f t="shared" si="41"/>
        <v>82431</v>
      </c>
      <c r="H588" s="57">
        <f t="shared" si="41"/>
        <v>82431</v>
      </c>
      <c r="I588" s="129">
        <f t="shared" si="39"/>
        <v>1</v>
      </c>
      <c r="J588" s="24"/>
      <c r="K588" s="24"/>
    </row>
    <row r="589" spans="1:11" ht="77.55" x14ac:dyDescent="0.3">
      <c r="A589" s="1" t="s">
        <v>65</v>
      </c>
      <c r="B589" s="105" t="s">
        <v>10</v>
      </c>
      <c r="C589" s="2" t="s">
        <v>16</v>
      </c>
      <c r="D589" s="2" t="s">
        <v>683</v>
      </c>
      <c r="E589" s="2" t="s">
        <v>532</v>
      </c>
      <c r="F589" s="2"/>
      <c r="G589" s="31">
        <f t="shared" si="41"/>
        <v>82431</v>
      </c>
      <c r="H589" s="57">
        <f t="shared" si="41"/>
        <v>82431</v>
      </c>
      <c r="I589" s="129">
        <f t="shared" si="39"/>
        <v>1</v>
      </c>
    </row>
    <row r="590" spans="1:11" s="12" customFormat="1" ht="62.05" x14ac:dyDescent="0.3">
      <c r="A590" s="3" t="s">
        <v>788</v>
      </c>
      <c r="B590" s="59" t="s">
        <v>10</v>
      </c>
      <c r="C590" s="4" t="s">
        <v>16</v>
      </c>
      <c r="D590" s="4" t="s">
        <v>683</v>
      </c>
      <c r="E590" s="4" t="s">
        <v>789</v>
      </c>
      <c r="F590" s="4"/>
      <c r="G590" s="27">
        <f t="shared" si="41"/>
        <v>82431</v>
      </c>
      <c r="H590" s="56">
        <f t="shared" si="41"/>
        <v>82431</v>
      </c>
      <c r="I590" s="130">
        <f t="shared" si="39"/>
        <v>1</v>
      </c>
      <c r="J590" s="24"/>
      <c r="K590" s="24"/>
    </row>
    <row r="591" spans="1:11" s="12" customFormat="1" ht="46.55" x14ac:dyDescent="0.3">
      <c r="A591" s="3" t="s">
        <v>790</v>
      </c>
      <c r="B591" s="59" t="s">
        <v>10</v>
      </c>
      <c r="C591" s="4" t="s">
        <v>16</v>
      </c>
      <c r="D591" s="4" t="s">
        <v>683</v>
      </c>
      <c r="E591" s="4" t="s">
        <v>791</v>
      </c>
      <c r="F591" s="4"/>
      <c r="G591" s="27">
        <f t="shared" si="41"/>
        <v>82431</v>
      </c>
      <c r="H591" s="56">
        <f t="shared" si="41"/>
        <v>82431</v>
      </c>
      <c r="I591" s="130">
        <f t="shared" si="39"/>
        <v>1</v>
      </c>
      <c r="J591" s="24"/>
      <c r="K591" s="24"/>
    </row>
    <row r="592" spans="1:11" s="12" customFormat="1" ht="46.55" x14ac:dyDescent="0.3">
      <c r="A592" s="3" t="s">
        <v>596</v>
      </c>
      <c r="B592" s="59" t="s">
        <v>10</v>
      </c>
      <c r="C592" s="4" t="s">
        <v>16</v>
      </c>
      <c r="D592" s="4" t="s">
        <v>683</v>
      </c>
      <c r="E592" s="4" t="s">
        <v>792</v>
      </c>
      <c r="F592" s="4"/>
      <c r="G592" s="27">
        <f t="shared" si="41"/>
        <v>82431</v>
      </c>
      <c r="H592" s="56">
        <f t="shared" si="41"/>
        <v>82431</v>
      </c>
      <c r="I592" s="130">
        <f t="shared" si="39"/>
        <v>1</v>
      </c>
      <c r="J592" s="24"/>
      <c r="K592" s="24"/>
    </row>
    <row r="593" spans="1:11" s="12" customFormat="1" ht="46.55" x14ac:dyDescent="0.3">
      <c r="A593" s="3" t="s">
        <v>543</v>
      </c>
      <c r="B593" s="59" t="s">
        <v>10</v>
      </c>
      <c r="C593" s="4" t="s">
        <v>16</v>
      </c>
      <c r="D593" s="4" t="s">
        <v>683</v>
      </c>
      <c r="E593" s="4" t="s">
        <v>792</v>
      </c>
      <c r="F593" s="4" t="s">
        <v>463</v>
      </c>
      <c r="G593" s="27">
        <f>82431</f>
        <v>82431</v>
      </c>
      <c r="H593" s="56">
        <f>82431</f>
        <v>82431</v>
      </c>
      <c r="I593" s="145">
        <f t="shared" si="39"/>
        <v>1</v>
      </c>
      <c r="J593" s="24"/>
      <c r="K593" s="24"/>
    </row>
    <row r="594" spans="1:11" s="12" customFormat="1" ht="15.8" hidden="1" customHeight="1" x14ac:dyDescent="0.3">
      <c r="A594" s="13" t="s">
        <v>26</v>
      </c>
      <c r="B594" s="106" t="s">
        <v>10</v>
      </c>
      <c r="C594" s="5" t="s">
        <v>20</v>
      </c>
      <c r="D594" s="5"/>
      <c r="E594" s="5"/>
      <c r="F594" s="5"/>
      <c r="G594" s="26">
        <f>G595</f>
        <v>0</v>
      </c>
      <c r="H594" s="137">
        <f>H595</f>
        <v>0</v>
      </c>
      <c r="I594" s="130" t="e">
        <f t="shared" si="39"/>
        <v>#DIV/0!</v>
      </c>
      <c r="J594" s="24"/>
      <c r="K594" s="24"/>
    </row>
    <row r="595" spans="1:11" s="12" customFormat="1" ht="31.6" hidden="1" customHeight="1" x14ac:dyDescent="0.3">
      <c r="A595" s="1" t="s">
        <v>579</v>
      </c>
      <c r="B595" s="105" t="s">
        <v>10</v>
      </c>
      <c r="C595" s="2" t="s">
        <v>20</v>
      </c>
      <c r="D595" s="2" t="s">
        <v>19</v>
      </c>
      <c r="E595" s="2"/>
      <c r="F595" s="2"/>
      <c r="G595" s="31">
        <f t="shared" ref="G595:H601" si="42">G596</f>
        <v>0</v>
      </c>
      <c r="H595" s="57">
        <f t="shared" si="42"/>
        <v>0</v>
      </c>
      <c r="I595" s="130" t="e">
        <f t="shared" si="39"/>
        <v>#DIV/0!</v>
      </c>
      <c r="J595" s="24"/>
      <c r="K595" s="24"/>
    </row>
    <row r="596" spans="1:11" ht="94.6" hidden="1" customHeight="1" x14ac:dyDescent="0.3">
      <c r="A596" s="1" t="s">
        <v>727</v>
      </c>
      <c r="B596" s="105" t="s">
        <v>10</v>
      </c>
      <c r="C596" s="2" t="s">
        <v>20</v>
      </c>
      <c r="D596" s="2" t="s">
        <v>19</v>
      </c>
      <c r="E596" s="2" t="s">
        <v>709</v>
      </c>
      <c r="F596" s="2"/>
      <c r="G596" s="31">
        <f t="shared" si="42"/>
        <v>0</v>
      </c>
      <c r="H596" s="57">
        <f t="shared" si="42"/>
        <v>0</v>
      </c>
      <c r="I596" s="129" t="e">
        <f t="shared" si="39"/>
        <v>#DIV/0!</v>
      </c>
    </row>
    <row r="597" spans="1:11" s="12" customFormat="1" ht="47.25" hidden="1" customHeight="1" x14ac:dyDescent="0.3">
      <c r="A597" s="3" t="s">
        <v>376</v>
      </c>
      <c r="B597" s="59" t="s">
        <v>10</v>
      </c>
      <c r="C597" s="4" t="s">
        <v>20</v>
      </c>
      <c r="D597" s="4" t="s">
        <v>19</v>
      </c>
      <c r="E597" s="4" t="s">
        <v>428</v>
      </c>
      <c r="F597" s="2"/>
      <c r="G597" s="27">
        <f t="shared" si="42"/>
        <v>0</v>
      </c>
      <c r="H597" s="56">
        <f t="shared" si="42"/>
        <v>0</v>
      </c>
      <c r="I597" s="130" t="e">
        <f t="shared" si="39"/>
        <v>#DIV/0!</v>
      </c>
      <c r="J597" s="24"/>
      <c r="K597" s="24"/>
    </row>
    <row r="598" spans="1:11" s="12" customFormat="1" ht="63" hidden="1" customHeight="1" x14ac:dyDescent="0.3">
      <c r="A598" s="3" t="s">
        <v>802</v>
      </c>
      <c r="B598" s="59" t="s">
        <v>10</v>
      </c>
      <c r="C598" s="4" t="s">
        <v>20</v>
      </c>
      <c r="D598" s="4" t="s">
        <v>19</v>
      </c>
      <c r="E598" s="4" t="s">
        <v>429</v>
      </c>
      <c r="F598" s="2"/>
      <c r="G598" s="27">
        <f>G601+G599</f>
        <v>0</v>
      </c>
      <c r="H598" s="56">
        <f>H601+H599</f>
        <v>0</v>
      </c>
      <c r="I598" s="130" t="e">
        <f t="shared" si="39"/>
        <v>#DIV/0!</v>
      </c>
      <c r="J598" s="24"/>
      <c r="K598" s="24"/>
    </row>
    <row r="599" spans="1:11" s="12" customFormat="1" ht="94.6" hidden="1" customHeight="1" x14ac:dyDescent="0.3">
      <c r="A599" s="102" t="s">
        <v>811</v>
      </c>
      <c r="B599" s="59" t="s">
        <v>10</v>
      </c>
      <c r="C599" s="4" t="s">
        <v>20</v>
      </c>
      <c r="D599" s="4" t="s">
        <v>19</v>
      </c>
      <c r="E599" s="4" t="s">
        <v>813</v>
      </c>
      <c r="F599" s="4"/>
      <c r="G599" s="27">
        <f>G600</f>
        <v>0</v>
      </c>
      <c r="H599" s="56">
        <f>H600</f>
        <v>0</v>
      </c>
      <c r="I599" s="129" t="e">
        <f t="shared" si="39"/>
        <v>#DIV/0!</v>
      </c>
      <c r="J599" s="24"/>
      <c r="K599" s="24"/>
    </row>
    <row r="600" spans="1:11" s="12" customFormat="1" ht="31.6" hidden="1" customHeight="1" x14ac:dyDescent="0.3">
      <c r="A600" s="102" t="s">
        <v>430</v>
      </c>
      <c r="B600" s="59" t="s">
        <v>10</v>
      </c>
      <c r="C600" s="4" t="s">
        <v>20</v>
      </c>
      <c r="D600" s="4" t="s">
        <v>19</v>
      </c>
      <c r="E600" s="4" t="s">
        <v>813</v>
      </c>
      <c r="F600" s="4" t="s">
        <v>431</v>
      </c>
      <c r="G600" s="27">
        <f>1214000-1214000</f>
        <v>0</v>
      </c>
      <c r="H600" s="56">
        <f>1214000-1214000</f>
        <v>0</v>
      </c>
      <c r="I600" s="130" t="e">
        <f t="shared" si="39"/>
        <v>#DIV/0!</v>
      </c>
      <c r="J600" s="24"/>
      <c r="K600" s="24"/>
    </row>
    <row r="601" spans="1:11" s="12" customFormat="1" ht="103.75" hidden="1" customHeight="1" x14ac:dyDescent="0.3">
      <c r="A601" s="102" t="s">
        <v>811</v>
      </c>
      <c r="B601" s="59" t="s">
        <v>10</v>
      </c>
      <c r="C601" s="4" t="s">
        <v>20</v>
      </c>
      <c r="D601" s="4" t="s">
        <v>19</v>
      </c>
      <c r="E601" s="4" t="s">
        <v>812</v>
      </c>
      <c r="F601" s="4"/>
      <c r="G601" s="27">
        <f t="shared" si="42"/>
        <v>0</v>
      </c>
      <c r="H601" s="56">
        <f t="shared" si="42"/>
        <v>0</v>
      </c>
      <c r="I601" s="130" t="e">
        <f t="shared" si="39"/>
        <v>#DIV/0!</v>
      </c>
      <c r="J601" s="24"/>
      <c r="K601" s="24"/>
    </row>
    <row r="602" spans="1:11" s="12" customFormat="1" ht="31.6" hidden="1" customHeight="1" x14ac:dyDescent="0.3">
      <c r="A602" s="103" t="s">
        <v>430</v>
      </c>
      <c r="B602" s="104" t="s">
        <v>10</v>
      </c>
      <c r="C602" s="7" t="s">
        <v>20</v>
      </c>
      <c r="D602" s="7" t="s">
        <v>19</v>
      </c>
      <c r="E602" s="4" t="s">
        <v>812</v>
      </c>
      <c r="F602" s="7" t="s">
        <v>431</v>
      </c>
      <c r="G602" s="29">
        <f>287990-287990</f>
        <v>0</v>
      </c>
      <c r="H602" s="134">
        <f>287990-287990</f>
        <v>0</v>
      </c>
      <c r="I602" s="130" t="e">
        <f t="shared" si="39"/>
        <v>#DIV/0!</v>
      </c>
      <c r="J602" s="24"/>
      <c r="K602" s="24"/>
    </row>
    <row r="603" spans="1:11" s="12" customFormat="1" ht="56.5" x14ac:dyDescent="0.3">
      <c r="A603" s="32" t="s">
        <v>434</v>
      </c>
      <c r="B603" s="22" t="s">
        <v>12</v>
      </c>
      <c r="C603" s="22"/>
      <c r="D603" s="22"/>
      <c r="E603" s="5"/>
      <c r="F603" s="5"/>
      <c r="G603" s="26">
        <f>G604+G642+G649</f>
        <v>37621700.469999999</v>
      </c>
      <c r="H603" s="137">
        <f>H604+H642+H649</f>
        <v>30808242.68</v>
      </c>
      <c r="I603" s="129">
        <f t="shared" si="39"/>
        <v>0.81889553888099409</v>
      </c>
      <c r="J603" s="24"/>
      <c r="K603" s="24"/>
    </row>
    <row r="604" spans="1:11" s="12" customFormat="1" x14ac:dyDescent="0.3">
      <c r="A604" s="1" t="s">
        <v>31</v>
      </c>
      <c r="B604" s="2" t="s">
        <v>12</v>
      </c>
      <c r="C604" s="2" t="s">
        <v>683</v>
      </c>
      <c r="D604" s="2"/>
      <c r="E604" s="2"/>
      <c r="F604" s="2"/>
      <c r="G604" s="31">
        <f>G605+G620+G616</f>
        <v>25983517.109999999</v>
      </c>
      <c r="H604" s="57">
        <f>H605+H620+H616</f>
        <v>19230425.07</v>
      </c>
      <c r="I604" s="129">
        <f t="shared" si="39"/>
        <v>0.74010092585191212</v>
      </c>
      <c r="J604" s="24"/>
      <c r="K604" s="24"/>
    </row>
    <row r="605" spans="1:11" s="12" customFormat="1" ht="108.55" x14ac:dyDescent="0.3">
      <c r="A605" s="1" t="s">
        <v>458</v>
      </c>
      <c r="B605" s="2" t="s">
        <v>12</v>
      </c>
      <c r="C605" s="2" t="s">
        <v>683</v>
      </c>
      <c r="D605" s="2" t="s">
        <v>22</v>
      </c>
      <c r="E605" s="2"/>
      <c r="F605" s="2"/>
      <c r="G605" s="31">
        <f>G606</f>
        <v>10521757.999999998</v>
      </c>
      <c r="H605" s="57">
        <f>H606</f>
        <v>10515258.75</v>
      </c>
      <c r="I605" s="129">
        <f t="shared" si="39"/>
        <v>0.99938230379371984</v>
      </c>
      <c r="J605" s="24"/>
      <c r="K605" s="24"/>
    </row>
    <row r="606" spans="1:11" ht="108.55" x14ac:dyDescent="0.3">
      <c r="A606" s="152" t="s">
        <v>61</v>
      </c>
      <c r="B606" s="2" t="s">
        <v>12</v>
      </c>
      <c r="C606" s="2" t="s">
        <v>683</v>
      </c>
      <c r="D606" s="2" t="s">
        <v>22</v>
      </c>
      <c r="E606" s="2" t="s">
        <v>734</v>
      </c>
      <c r="F606" s="2"/>
      <c r="G606" s="31">
        <f>G607</f>
        <v>10521757.999999998</v>
      </c>
      <c r="H606" s="57">
        <f>H607</f>
        <v>10515258.75</v>
      </c>
      <c r="I606" s="129">
        <f t="shared" si="39"/>
        <v>0.99938230379371984</v>
      </c>
    </row>
    <row r="607" spans="1:11" s="12" customFormat="1" ht="46.55" x14ac:dyDescent="0.3">
      <c r="A607" s="52" t="s">
        <v>83</v>
      </c>
      <c r="B607" s="4" t="s">
        <v>12</v>
      </c>
      <c r="C607" s="4" t="s">
        <v>683</v>
      </c>
      <c r="D607" s="4" t="s">
        <v>22</v>
      </c>
      <c r="E607" s="4" t="s">
        <v>733</v>
      </c>
      <c r="F607" s="4"/>
      <c r="G607" s="27">
        <f>G608+G613</f>
        <v>10521757.999999998</v>
      </c>
      <c r="H607" s="56">
        <f>H608+H613</f>
        <v>10515258.75</v>
      </c>
      <c r="I607" s="130">
        <f t="shared" si="39"/>
        <v>0.99938230379371984</v>
      </c>
      <c r="J607" s="24"/>
      <c r="K607" s="24"/>
    </row>
    <row r="608" spans="1:11" s="12" customFormat="1" ht="103.75" customHeight="1" x14ac:dyDescent="0.3">
      <c r="A608" s="52" t="s">
        <v>864</v>
      </c>
      <c r="B608" s="4" t="s">
        <v>12</v>
      </c>
      <c r="C608" s="4" t="s">
        <v>683</v>
      </c>
      <c r="D608" s="4" t="s">
        <v>22</v>
      </c>
      <c r="E608" s="4" t="s">
        <v>735</v>
      </c>
      <c r="F608" s="4"/>
      <c r="G608" s="27">
        <f>G609+G611</f>
        <v>10521757.999999998</v>
      </c>
      <c r="H608" s="56">
        <f>H609+H611</f>
        <v>10515258.75</v>
      </c>
      <c r="I608" s="130">
        <f t="shared" si="39"/>
        <v>0.99938230379371984</v>
      </c>
      <c r="J608" s="24"/>
      <c r="K608" s="24"/>
    </row>
    <row r="609" spans="1:11" s="12" customFormat="1" ht="46.55" x14ac:dyDescent="0.3">
      <c r="A609" s="52" t="s">
        <v>450</v>
      </c>
      <c r="B609" s="4" t="s">
        <v>12</v>
      </c>
      <c r="C609" s="4" t="s">
        <v>683</v>
      </c>
      <c r="D609" s="4" t="s">
        <v>22</v>
      </c>
      <c r="E609" s="4" t="s">
        <v>736</v>
      </c>
      <c r="F609" s="4"/>
      <c r="G609" s="27">
        <f>G610</f>
        <v>10311177.669999998</v>
      </c>
      <c r="H609" s="56">
        <f>H610</f>
        <v>10304678.42</v>
      </c>
      <c r="I609" s="130">
        <f t="shared" si="39"/>
        <v>0.99936968887473376</v>
      </c>
      <c r="J609" s="24"/>
      <c r="K609" s="24"/>
    </row>
    <row r="610" spans="1:11" s="12" customFormat="1" ht="108.55" x14ac:dyDescent="0.3">
      <c r="A610" s="52" t="s">
        <v>390</v>
      </c>
      <c r="B610" s="4" t="s">
        <v>12</v>
      </c>
      <c r="C610" s="4" t="s">
        <v>683</v>
      </c>
      <c r="D610" s="4" t="s">
        <v>22</v>
      </c>
      <c r="E610" s="4" t="s">
        <v>736</v>
      </c>
      <c r="F610" s="4" t="s">
        <v>462</v>
      </c>
      <c r="G610" s="27">
        <f>5709832.55+960863.18+2676219.4+1010851.87+233410.67-280000</f>
        <v>10311177.669999998</v>
      </c>
      <c r="H610" s="56">
        <v>10304678.42</v>
      </c>
      <c r="I610" s="130">
        <f t="shared" si="39"/>
        <v>0.99936968887473376</v>
      </c>
      <c r="J610" s="24"/>
      <c r="K610" s="24"/>
    </row>
    <row r="611" spans="1:11" s="12" customFormat="1" ht="93.05" x14ac:dyDescent="0.3">
      <c r="A611" s="3" t="s">
        <v>448</v>
      </c>
      <c r="B611" s="4" t="s">
        <v>12</v>
      </c>
      <c r="C611" s="4" t="s">
        <v>683</v>
      </c>
      <c r="D611" s="4" t="s">
        <v>22</v>
      </c>
      <c r="E611" s="4" t="s">
        <v>737</v>
      </c>
      <c r="F611" s="4"/>
      <c r="G611" s="27">
        <f>G612</f>
        <v>210580.33</v>
      </c>
      <c r="H611" s="56">
        <f>H612</f>
        <v>210580.33</v>
      </c>
      <c r="I611" s="130">
        <f t="shared" si="39"/>
        <v>1</v>
      </c>
      <c r="J611" s="24"/>
      <c r="K611" s="24"/>
    </row>
    <row r="612" spans="1:11" s="12" customFormat="1" ht="108.55" x14ac:dyDescent="0.3">
      <c r="A612" s="3" t="s">
        <v>389</v>
      </c>
      <c r="B612" s="4" t="s">
        <v>12</v>
      </c>
      <c r="C612" s="4" t="s">
        <v>683</v>
      </c>
      <c r="D612" s="4" t="s">
        <v>22</v>
      </c>
      <c r="E612" s="4" t="s">
        <v>737</v>
      </c>
      <c r="F612" s="4" t="s">
        <v>462</v>
      </c>
      <c r="G612" s="27">
        <f>443991-233410.67</f>
        <v>210580.33</v>
      </c>
      <c r="H612" s="56">
        <f>443991-233410.67</f>
        <v>210580.33</v>
      </c>
      <c r="I612" s="145">
        <f t="shared" si="39"/>
        <v>1</v>
      </c>
      <c r="J612" s="24"/>
      <c r="K612" s="24"/>
    </row>
    <row r="613" spans="1:11" s="12" customFormat="1" ht="47.25" hidden="1" customHeight="1" x14ac:dyDescent="0.3">
      <c r="A613" s="3" t="s">
        <v>738</v>
      </c>
      <c r="B613" s="4" t="s">
        <v>12</v>
      </c>
      <c r="C613" s="4" t="s">
        <v>683</v>
      </c>
      <c r="D613" s="4" t="s">
        <v>22</v>
      </c>
      <c r="E613" s="4" t="s">
        <v>739</v>
      </c>
      <c r="F613" s="4"/>
      <c r="G613" s="27">
        <f>G614</f>
        <v>0</v>
      </c>
      <c r="H613" s="56">
        <f>H614</f>
        <v>0</v>
      </c>
      <c r="I613" s="130" t="e">
        <f t="shared" si="39"/>
        <v>#DIV/0!</v>
      </c>
      <c r="J613" s="24"/>
      <c r="K613" s="24"/>
    </row>
    <row r="614" spans="1:11" s="12" customFormat="1" ht="47.25" hidden="1" customHeight="1" x14ac:dyDescent="0.3">
      <c r="A614" s="52" t="s">
        <v>450</v>
      </c>
      <c r="B614" s="4" t="s">
        <v>12</v>
      </c>
      <c r="C614" s="4" t="s">
        <v>683</v>
      </c>
      <c r="D614" s="4" t="s">
        <v>22</v>
      </c>
      <c r="E614" s="4" t="s">
        <v>740</v>
      </c>
      <c r="F614" s="4"/>
      <c r="G614" s="27">
        <f>G615</f>
        <v>0</v>
      </c>
      <c r="H614" s="56">
        <f>H615</f>
        <v>0</v>
      </c>
      <c r="I614" s="130" t="e">
        <f t="shared" si="39"/>
        <v>#DIV/0!</v>
      </c>
      <c r="J614" s="24"/>
      <c r="K614" s="24"/>
    </row>
    <row r="615" spans="1:11" s="12" customFormat="1" ht="126" hidden="1" customHeight="1" x14ac:dyDescent="0.3">
      <c r="A615" s="52" t="s">
        <v>390</v>
      </c>
      <c r="B615" s="4" t="s">
        <v>12</v>
      </c>
      <c r="C615" s="4" t="s">
        <v>683</v>
      </c>
      <c r="D615" s="4" t="s">
        <v>22</v>
      </c>
      <c r="E615" s="4" t="s">
        <v>740</v>
      </c>
      <c r="F615" s="4" t="s">
        <v>462</v>
      </c>
      <c r="G615" s="27">
        <f>2514340.45+759330.82-2514340.45-759330.82</f>
        <v>0</v>
      </c>
      <c r="H615" s="56">
        <f>2514340.45+759330.82-2514340.45-759330.82</f>
        <v>0</v>
      </c>
      <c r="I615" s="130" t="e">
        <f t="shared" si="39"/>
        <v>#DIV/0!</v>
      </c>
      <c r="J615" s="24"/>
      <c r="K615" s="24"/>
    </row>
    <row r="616" spans="1:11" x14ac:dyDescent="0.3">
      <c r="A616" s="13" t="s">
        <v>581</v>
      </c>
      <c r="B616" s="5" t="s">
        <v>12</v>
      </c>
      <c r="C616" s="5" t="s">
        <v>683</v>
      </c>
      <c r="D616" s="5" t="s">
        <v>102</v>
      </c>
      <c r="E616" s="5"/>
      <c r="F616" s="5"/>
      <c r="G616" s="26">
        <f t="shared" ref="G616:H618" si="43">G617</f>
        <v>500000</v>
      </c>
      <c r="H616" s="137">
        <f t="shared" si="43"/>
        <v>0</v>
      </c>
      <c r="I616" s="129">
        <f t="shared" si="39"/>
        <v>0</v>
      </c>
    </row>
    <row r="617" spans="1:11" x14ac:dyDescent="0.3">
      <c r="A617" s="1" t="s">
        <v>55</v>
      </c>
      <c r="B617" s="2" t="s">
        <v>12</v>
      </c>
      <c r="C617" s="2" t="s">
        <v>683</v>
      </c>
      <c r="D617" s="2" t="s">
        <v>102</v>
      </c>
      <c r="E617" s="2" t="s">
        <v>575</v>
      </c>
      <c r="F617" s="2"/>
      <c r="G617" s="31">
        <f t="shared" si="43"/>
        <v>500000</v>
      </c>
      <c r="H617" s="57">
        <f t="shared" si="43"/>
        <v>0</v>
      </c>
      <c r="I617" s="129">
        <f t="shared" si="39"/>
        <v>0</v>
      </c>
    </row>
    <row r="618" spans="1:11" s="12" customFormat="1" ht="31.05" x14ac:dyDescent="0.3">
      <c r="A618" s="3" t="s">
        <v>56</v>
      </c>
      <c r="B618" s="4" t="s">
        <v>12</v>
      </c>
      <c r="C618" s="4" t="s">
        <v>683</v>
      </c>
      <c r="D618" s="4" t="s">
        <v>102</v>
      </c>
      <c r="E618" s="4" t="s">
        <v>741</v>
      </c>
      <c r="F618" s="4"/>
      <c r="G618" s="27">
        <f t="shared" si="43"/>
        <v>500000</v>
      </c>
      <c r="H618" s="56">
        <f t="shared" si="43"/>
        <v>0</v>
      </c>
      <c r="I618" s="130">
        <f t="shared" si="39"/>
        <v>0</v>
      </c>
      <c r="J618" s="24"/>
      <c r="K618" s="24"/>
    </row>
    <row r="619" spans="1:11" s="12" customFormat="1" x14ac:dyDescent="0.3">
      <c r="A619" s="3" t="s">
        <v>732</v>
      </c>
      <c r="B619" s="4" t="s">
        <v>12</v>
      </c>
      <c r="C619" s="4" t="s">
        <v>683</v>
      </c>
      <c r="D619" s="4" t="s">
        <v>102</v>
      </c>
      <c r="E619" s="4" t="s">
        <v>741</v>
      </c>
      <c r="F619" s="4" t="s">
        <v>466</v>
      </c>
      <c r="G619" s="27">
        <v>500000</v>
      </c>
      <c r="H619" s="56">
        <v>0</v>
      </c>
      <c r="I619" s="145">
        <f t="shared" si="39"/>
        <v>0</v>
      </c>
      <c r="J619" s="24"/>
      <c r="K619" s="24"/>
    </row>
    <row r="620" spans="1:11" ht="31.05" x14ac:dyDescent="0.3">
      <c r="A620" s="13" t="s">
        <v>582</v>
      </c>
      <c r="B620" s="5" t="s">
        <v>12</v>
      </c>
      <c r="C620" s="5" t="s">
        <v>683</v>
      </c>
      <c r="D620" s="5" t="s">
        <v>460</v>
      </c>
      <c r="E620" s="5"/>
      <c r="F620" s="5"/>
      <c r="G620" s="26">
        <f>G621+G638</f>
        <v>14961759.110000001</v>
      </c>
      <c r="H620" s="137">
        <f>H621+H638</f>
        <v>8715166.3200000003</v>
      </c>
      <c r="I620" s="129">
        <f t="shared" si="39"/>
        <v>0.58249609928387625</v>
      </c>
    </row>
    <row r="621" spans="1:11" ht="62.05" x14ac:dyDescent="0.3">
      <c r="A621" s="1" t="s">
        <v>62</v>
      </c>
      <c r="B621" s="2" t="s">
        <v>12</v>
      </c>
      <c r="C621" s="2" t="s">
        <v>683</v>
      </c>
      <c r="D621" s="2" t="s">
        <v>460</v>
      </c>
      <c r="E621" s="2" t="s">
        <v>547</v>
      </c>
      <c r="F621" s="2"/>
      <c r="G621" s="31">
        <f>G626+G622</f>
        <v>212445</v>
      </c>
      <c r="H621" s="57">
        <f>H626+H622</f>
        <v>198338.54</v>
      </c>
      <c r="I621" s="129">
        <f t="shared" si="39"/>
        <v>0.93359947280472599</v>
      </c>
    </row>
    <row r="622" spans="1:11" s="12" customFormat="1" ht="46.55" x14ac:dyDescent="0.3">
      <c r="A622" s="3" t="s">
        <v>81</v>
      </c>
      <c r="B622" s="59" t="s">
        <v>12</v>
      </c>
      <c r="C622" s="4" t="s">
        <v>683</v>
      </c>
      <c r="D622" s="4" t="s">
        <v>460</v>
      </c>
      <c r="E622" s="4" t="s">
        <v>548</v>
      </c>
      <c r="F622" s="4"/>
      <c r="G622" s="27">
        <f t="shared" ref="G622:H624" si="44">G623</f>
        <v>142000</v>
      </c>
      <c r="H622" s="56">
        <f t="shared" si="44"/>
        <v>138610.54</v>
      </c>
      <c r="I622" s="130">
        <f t="shared" si="39"/>
        <v>0.9761305633802817</v>
      </c>
      <c r="J622" s="24"/>
      <c r="K622" s="24"/>
    </row>
    <row r="623" spans="1:11" s="12" customFormat="1" ht="62.05" x14ac:dyDescent="0.3">
      <c r="A623" s="3" t="s">
        <v>777</v>
      </c>
      <c r="B623" s="59" t="s">
        <v>12</v>
      </c>
      <c r="C623" s="4" t="s">
        <v>683</v>
      </c>
      <c r="D623" s="4" t="s">
        <v>460</v>
      </c>
      <c r="E623" s="4" t="s">
        <v>151</v>
      </c>
      <c r="F623" s="4"/>
      <c r="G623" s="27">
        <f t="shared" si="44"/>
        <v>142000</v>
      </c>
      <c r="H623" s="56">
        <f t="shared" si="44"/>
        <v>138610.54</v>
      </c>
      <c r="I623" s="130">
        <f t="shared" si="39"/>
        <v>0.9761305633802817</v>
      </c>
      <c r="J623" s="24"/>
      <c r="K623" s="24"/>
    </row>
    <row r="624" spans="1:11" s="12" customFormat="1" ht="31.05" x14ac:dyDescent="0.3">
      <c r="A624" s="3" t="s">
        <v>393</v>
      </c>
      <c r="B624" s="59" t="s">
        <v>12</v>
      </c>
      <c r="C624" s="4" t="s">
        <v>683</v>
      </c>
      <c r="D624" s="4" t="s">
        <v>460</v>
      </c>
      <c r="E624" s="4" t="s">
        <v>778</v>
      </c>
      <c r="F624" s="4"/>
      <c r="G624" s="27">
        <f t="shared" si="44"/>
        <v>142000</v>
      </c>
      <c r="H624" s="56">
        <f t="shared" si="44"/>
        <v>138610.54</v>
      </c>
      <c r="I624" s="130">
        <f t="shared" si="39"/>
        <v>0.9761305633802817</v>
      </c>
      <c r="J624" s="24"/>
      <c r="K624" s="24"/>
    </row>
    <row r="625" spans="1:11" s="12" customFormat="1" ht="46.55" x14ac:dyDescent="0.3">
      <c r="A625" s="3" t="s">
        <v>543</v>
      </c>
      <c r="B625" s="59" t="s">
        <v>12</v>
      </c>
      <c r="C625" s="4" t="s">
        <v>683</v>
      </c>
      <c r="D625" s="4" t="s">
        <v>460</v>
      </c>
      <c r="E625" s="4" t="s">
        <v>778</v>
      </c>
      <c r="F625" s="4" t="s">
        <v>463</v>
      </c>
      <c r="G625" s="27">
        <f>162000-20000</f>
        <v>142000</v>
      </c>
      <c r="H625" s="56">
        <v>138610.54</v>
      </c>
      <c r="I625" s="130">
        <f t="shared" si="39"/>
        <v>0.9761305633802817</v>
      </c>
      <c r="J625" s="24"/>
      <c r="K625" s="24"/>
    </row>
    <row r="626" spans="1:11" s="12" customFormat="1" ht="46.55" x14ac:dyDescent="0.3">
      <c r="A626" s="3" t="s">
        <v>91</v>
      </c>
      <c r="B626" s="4" t="s">
        <v>12</v>
      </c>
      <c r="C626" s="4" t="s">
        <v>683</v>
      </c>
      <c r="D626" s="4" t="s">
        <v>460</v>
      </c>
      <c r="E626" s="4" t="s">
        <v>550</v>
      </c>
      <c r="F626" s="4"/>
      <c r="G626" s="27">
        <f>G627+G631+G634</f>
        <v>70445</v>
      </c>
      <c r="H626" s="56">
        <f>H627+H631+H634</f>
        <v>59728</v>
      </c>
      <c r="I626" s="130">
        <f t="shared" si="39"/>
        <v>0.84786713038540706</v>
      </c>
      <c r="J626" s="24"/>
      <c r="K626" s="24"/>
    </row>
    <row r="627" spans="1:11" s="12" customFormat="1" ht="77.55" x14ac:dyDescent="0.3">
      <c r="A627" s="3" t="s">
        <v>553</v>
      </c>
      <c r="B627" s="4" t="s">
        <v>12</v>
      </c>
      <c r="C627" s="4" t="s">
        <v>683</v>
      </c>
      <c r="D627" s="4" t="s">
        <v>460</v>
      </c>
      <c r="E627" s="4" t="s">
        <v>524</v>
      </c>
      <c r="F627" s="53"/>
      <c r="G627" s="27">
        <f>G628</f>
        <v>10445</v>
      </c>
      <c r="H627" s="56">
        <f>H628</f>
        <v>8460</v>
      </c>
      <c r="I627" s="130">
        <f t="shared" si="39"/>
        <v>0.80995691718525609</v>
      </c>
      <c r="J627" s="24"/>
      <c r="K627" s="24"/>
    </row>
    <row r="628" spans="1:11" s="12" customFormat="1" ht="55.55" customHeight="1" x14ac:dyDescent="0.3">
      <c r="A628" s="3" t="s">
        <v>451</v>
      </c>
      <c r="B628" s="4" t="s">
        <v>12</v>
      </c>
      <c r="C628" s="4" t="s">
        <v>683</v>
      </c>
      <c r="D628" s="4" t="s">
        <v>460</v>
      </c>
      <c r="E628" s="4" t="s">
        <v>782</v>
      </c>
      <c r="F628" s="53"/>
      <c r="G628" s="27">
        <f>G630+G629</f>
        <v>10445</v>
      </c>
      <c r="H628" s="56">
        <f>H630+H629</f>
        <v>8460</v>
      </c>
      <c r="I628" s="130">
        <f t="shared" si="39"/>
        <v>0.80995691718525609</v>
      </c>
      <c r="J628" s="24"/>
      <c r="K628" s="24"/>
    </row>
    <row r="629" spans="1:11" s="12" customFormat="1" ht="108.55" x14ac:dyDescent="0.3">
      <c r="A629" s="3" t="s">
        <v>50</v>
      </c>
      <c r="B629" s="4" t="s">
        <v>12</v>
      </c>
      <c r="C629" s="4" t="s">
        <v>683</v>
      </c>
      <c r="D629" s="4" t="s">
        <v>460</v>
      </c>
      <c r="E629" s="4" t="s">
        <v>782</v>
      </c>
      <c r="F629" s="53">
        <v>100</v>
      </c>
      <c r="G629" s="27">
        <f>10000-8000</f>
        <v>2000</v>
      </c>
      <c r="H629" s="56">
        <v>1460</v>
      </c>
      <c r="I629" s="130">
        <f t="shared" si="39"/>
        <v>0.73</v>
      </c>
      <c r="J629" s="24"/>
      <c r="K629" s="24"/>
    </row>
    <row r="630" spans="1:11" s="12" customFormat="1" ht="46.55" x14ac:dyDescent="0.3">
      <c r="A630" s="3" t="s">
        <v>543</v>
      </c>
      <c r="B630" s="4" t="s">
        <v>12</v>
      </c>
      <c r="C630" s="4" t="s">
        <v>683</v>
      </c>
      <c r="D630" s="4" t="s">
        <v>460</v>
      </c>
      <c r="E630" s="4" t="s">
        <v>782</v>
      </c>
      <c r="F630" s="53">
        <v>200</v>
      </c>
      <c r="G630" s="27">
        <f>40000+45750-7305-10000-60000</f>
        <v>8445</v>
      </c>
      <c r="H630" s="56">
        <v>7000</v>
      </c>
      <c r="I630" s="130">
        <f t="shared" si="39"/>
        <v>0.82889283599763175</v>
      </c>
      <c r="J630" s="24"/>
      <c r="K630" s="24"/>
    </row>
    <row r="631" spans="1:11" s="12" customFormat="1" ht="31.05" x14ac:dyDescent="0.3">
      <c r="A631" s="3" t="s">
        <v>153</v>
      </c>
      <c r="B631" s="4" t="s">
        <v>12</v>
      </c>
      <c r="C631" s="4" t="s">
        <v>683</v>
      </c>
      <c r="D631" s="4" t="s">
        <v>460</v>
      </c>
      <c r="E631" s="4" t="s">
        <v>154</v>
      </c>
      <c r="F631" s="53"/>
      <c r="G631" s="27">
        <f>G632</f>
        <v>60000</v>
      </c>
      <c r="H631" s="56">
        <f>H632</f>
        <v>51268</v>
      </c>
      <c r="I631" s="130">
        <f t="shared" si="39"/>
        <v>0.85446666666666671</v>
      </c>
      <c r="J631" s="24"/>
      <c r="K631" s="24"/>
    </row>
    <row r="632" spans="1:11" s="12" customFormat="1" ht="54.7" customHeight="1" x14ac:dyDescent="0.3">
      <c r="A632" s="3" t="s">
        <v>451</v>
      </c>
      <c r="B632" s="4" t="s">
        <v>12</v>
      </c>
      <c r="C632" s="4" t="s">
        <v>683</v>
      </c>
      <c r="D632" s="4" t="s">
        <v>460</v>
      </c>
      <c r="E632" s="4" t="s">
        <v>783</v>
      </c>
      <c r="F632" s="53"/>
      <c r="G632" s="27">
        <f>G633</f>
        <v>60000</v>
      </c>
      <c r="H632" s="56">
        <f>H633</f>
        <v>51268</v>
      </c>
      <c r="I632" s="130">
        <f t="shared" si="39"/>
        <v>0.85446666666666671</v>
      </c>
      <c r="J632" s="24"/>
      <c r="K632" s="24"/>
    </row>
    <row r="633" spans="1:11" s="12" customFormat="1" ht="46.55" x14ac:dyDescent="0.3">
      <c r="A633" s="3" t="s">
        <v>543</v>
      </c>
      <c r="B633" s="4" t="s">
        <v>12</v>
      </c>
      <c r="C633" s="4" t="s">
        <v>683</v>
      </c>
      <c r="D633" s="4" t="s">
        <v>460</v>
      </c>
      <c r="E633" s="4" t="s">
        <v>783</v>
      </c>
      <c r="F633" s="53">
        <v>200</v>
      </c>
      <c r="G633" s="27">
        <f>42695+7305+10000</f>
        <v>60000</v>
      </c>
      <c r="H633" s="56">
        <v>51268</v>
      </c>
      <c r="I633" s="130">
        <f t="shared" si="39"/>
        <v>0.85446666666666671</v>
      </c>
      <c r="J633" s="24"/>
      <c r="K633" s="24"/>
    </row>
    <row r="634" spans="1:11" s="12" customFormat="1" ht="63" hidden="1" customHeight="1" x14ac:dyDescent="0.3">
      <c r="A634" s="3" t="s">
        <v>173</v>
      </c>
      <c r="B634" s="4" t="s">
        <v>12</v>
      </c>
      <c r="C634" s="4" t="s">
        <v>683</v>
      </c>
      <c r="D634" s="4" t="s">
        <v>460</v>
      </c>
      <c r="E634" s="4" t="s">
        <v>156</v>
      </c>
      <c r="F634" s="53"/>
      <c r="G634" s="27">
        <f>G635</f>
        <v>0</v>
      </c>
      <c r="H634" s="56">
        <f>H635</f>
        <v>0</v>
      </c>
      <c r="I634" s="130" t="e">
        <f t="shared" si="39"/>
        <v>#DIV/0!</v>
      </c>
      <c r="J634" s="24"/>
      <c r="K634" s="24"/>
    </row>
    <row r="635" spans="1:11" s="12" customFormat="1" ht="47.25" hidden="1" customHeight="1" x14ac:dyDescent="0.3">
      <c r="A635" s="3" t="s">
        <v>451</v>
      </c>
      <c r="B635" s="4" t="s">
        <v>12</v>
      </c>
      <c r="C635" s="4" t="s">
        <v>683</v>
      </c>
      <c r="D635" s="4" t="s">
        <v>460</v>
      </c>
      <c r="E635" s="4" t="s">
        <v>781</v>
      </c>
      <c r="F635" s="53"/>
      <c r="G635" s="27">
        <f>G636+G637</f>
        <v>0</v>
      </c>
      <c r="H635" s="56">
        <f>H636+H637</f>
        <v>0</v>
      </c>
      <c r="I635" s="130" t="e">
        <f t="shared" si="39"/>
        <v>#DIV/0!</v>
      </c>
      <c r="J635" s="24"/>
      <c r="K635" s="24"/>
    </row>
    <row r="636" spans="1:11" s="12" customFormat="1" ht="126" hidden="1" customHeight="1" x14ac:dyDescent="0.3">
      <c r="A636" s="3" t="s">
        <v>389</v>
      </c>
      <c r="B636" s="4" t="s">
        <v>12</v>
      </c>
      <c r="C636" s="4" t="s">
        <v>683</v>
      </c>
      <c r="D636" s="4" t="s">
        <v>460</v>
      </c>
      <c r="E636" s="4" t="s">
        <v>781</v>
      </c>
      <c r="F636" s="53">
        <v>100</v>
      </c>
      <c r="G636" s="27">
        <f>1500+27000+20000-48500</f>
        <v>0</v>
      </c>
      <c r="H636" s="56">
        <f>1500+27000+20000-48500</f>
        <v>0</v>
      </c>
      <c r="I636" s="130" t="e">
        <f t="shared" si="39"/>
        <v>#DIV/0!</v>
      </c>
      <c r="J636" s="24"/>
      <c r="K636" s="24"/>
    </row>
    <row r="637" spans="1:11" s="12" customFormat="1" ht="47.25" hidden="1" customHeight="1" x14ac:dyDescent="0.3">
      <c r="A637" s="3" t="s">
        <v>543</v>
      </c>
      <c r="B637" s="4" t="s">
        <v>12</v>
      </c>
      <c r="C637" s="4" t="s">
        <v>683</v>
      </c>
      <c r="D637" s="4" t="s">
        <v>460</v>
      </c>
      <c r="E637" s="4" t="s">
        <v>781</v>
      </c>
      <c r="F637" s="53">
        <v>200</v>
      </c>
      <c r="G637" s="27">
        <f>27000+20000-27000-20000</f>
        <v>0</v>
      </c>
      <c r="H637" s="56">
        <f>27000+20000-27000-20000</f>
        <v>0</v>
      </c>
      <c r="I637" s="130" t="e">
        <f t="shared" si="39"/>
        <v>#DIV/0!</v>
      </c>
      <c r="J637" s="24"/>
      <c r="K637" s="24"/>
    </row>
    <row r="638" spans="1:11" x14ac:dyDescent="0.3">
      <c r="A638" s="1" t="s">
        <v>49</v>
      </c>
      <c r="B638" s="105" t="s">
        <v>12</v>
      </c>
      <c r="C638" s="2" t="s">
        <v>683</v>
      </c>
      <c r="D638" s="2" t="s">
        <v>460</v>
      </c>
      <c r="E638" s="2" t="s">
        <v>575</v>
      </c>
      <c r="F638" s="117"/>
      <c r="G638" s="31">
        <f>G639</f>
        <v>14749314.110000001</v>
      </c>
      <c r="H638" s="57">
        <f>H639</f>
        <v>8516827.7800000012</v>
      </c>
      <c r="I638" s="129">
        <f t="shared" si="39"/>
        <v>0.57743890437763556</v>
      </c>
    </row>
    <row r="639" spans="1:11" s="12" customFormat="1" ht="31.05" x14ac:dyDescent="0.3">
      <c r="A639" s="3" t="s">
        <v>685</v>
      </c>
      <c r="B639" s="59" t="s">
        <v>12</v>
      </c>
      <c r="C639" s="4" t="s">
        <v>683</v>
      </c>
      <c r="D639" s="4" t="s">
        <v>460</v>
      </c>
      <c r="E639" s="4" t="s">
        <v>686</v>
      </c>
      <c r="F639" s="53"/>
      <c r="G639" s="27">
        <f>G641+G640</f>
        <v>14749314.110000001</v>
      </c>
      <c r="H639" s="56">
        <f>H641+H640</f>
        <v>8516827.7800000012</v>
      </c>
      <c r="I639" s="130">
        <f t="shared" ref="I639:I642" si="45">H639/G639</f>
        <v>0.57743890437763556</v>
      </c>
      <c r="J639" s="24"/>
      <c r="K639" s="24"/>
    </row>
    <row r="640" spans="1:11" s="12" customFormat="1" ht="46.55" x14ac:dyDescent="0.3">
      <c r="A640" s="3" t="s">
        <v>543</v>
      </c>
      <c r="B640" s="4" t="s">
        <v>12</v>
      </c>
      <c r="C640" s="4" t="s">
        <v>683</v>
      </c>
      <c r="D640" s="4" t="s">
        <v>460</v>
      </c>
      <c r="E640" s="4" t="s">
        <v>686</v>
      </c>
      <c r="F640" s="53">
        <v>200</v>
      </c>
      <c r="G640" s="27">
        <f>121635.83+45591.19+339144.63+146975.79+6178593.33+7770443.62</f>
        <v>14602384.390000001</v>
      </c>
      <c r="H640" s="56">
        <v>8423791.0600000005</v>
      </c>
      <c r="I640" s="130">
        <f t="shared" si="45"/>
        <v>0.57687777797225892</v>
      </c>
      <c r="J640" s="24"/>
      <c r="K640" s="24"/>
    </row>
    <row r="641" spans="1:11" s="12" customFormat="1" x14ac:dyDescent="0.3">
      <c r="A641" s="6" t="s">
        <v>732</v>
      </c>
      <c r="B641" s="104" t="s">
        <v>12</v>
      </c>
      <c r="C641" s="7" t="s">
        <v>683</v>
      </c>
      <c r="D641" s="7" t="s">
        <v>460</v>
      </c>
      <c r="E641" s="7" t="s">
        <v>686</v>
      </c>
      <c r="F641" s="118">
        <v>800</v>
      </c>
      <c r="G641" s="29">
        <f>9143.72+4849+2000+9783+5409+53893+61852</f>
        <v>146929.72</v>
      </c>
      <c r="H641" s="134">
        <v>93036.72</v>
      </c>
      <c r="I641" s="145">
        <f t="shared" si="45"/>
        <v>0.6332055897200376</v>
      </c>
      <c r="J641" s="24"/>
      <c r="K641" s="24"/>
    </row>
    <row r="642" spans="1:11" s="12" customFormat="1" x14ac:dyDescent="0.3">
      <c r="A642" s="1" t="s">
        <v>33</v>
      </c>
      <c r="B642" s="2" t="s">
        <v>12</v>
      </c>
      <c r="C642" s="2" t="s">
        <v>22</v>
      </c>
      <c r="D642" s="2"/>
      <c r="E642" s="2"/>
      <c r="F642" s="2"/>
      <c r="G642" s="31">
        <f t="shared" ref="G642:H647" si="46">G643</f>
        <v>600183.39</v>
      </c>
      <c r="H642" s="57">
        <f t="shared" si="46"/>
        <v>539884</v>
      </c>
      <c r="I642" s="129">
        <f t="shared" si="45"/>
        <v>0.89953172479498311</v>
      </c>
      <c r="J642" s="24"/>
      <c r="K642" s="24"/>
    </row>
    <row r="643" spans="1:11" s="12" customFormat="1" x14ac:dyDescent="0.3">
      <c r="A643" s="1" t="s">
        <v>456</v>
      </c>
      <c r="B643" s="2" t="s">
        <v>12</v>
      </c>
      <c r="C643" s="2" t="s">
        <v>22</v>
      </c>
      <c r="D643" s="2" t="s">
        <v>20</v>
      </c>
      <c r="E643" s="2"/>
      <c r="F643" s="2"/>
      <c r="G643" s="31">
        <f t="shared" si="46"/>
        <v>600183.39</v>
      </c>
      <c r="H643" s="57">
        <f t="shared" si="46"/>
        <v>539884</v>
      </c>
      <c r="I643" s="129">
        <f>H643/G643</f>
        <v>0.89953172479498311</v>
      </c>
      <c r="J643" s="24"/>
      <c r="K643" s="24"/>
    </row>
    <row r="644" spans="1:11" ht="46.55" x14ac:dyDescent="0.3">
      <c r="A644" s="1" t="s">
        <v>726</v>
      </c>
      <c r="B644" s="2" t="s">
        <v>12</v>
      </c>
      <c r="C644" s="2" t="s">
        <v>22</v>
      </c>
      <c r="D644" s="2" t="s">
        <v>20</v>
      </c>
      <c r="E644" s="2" t="s">
        <v>554</v>
      </c>
      <c r="F644" s="2"/>
      <c r="G644" s="31">
        <f>G645</f>
        <v>600183.39</v>
      </c>
      <c r="H644" s="57">
        <f>H645</f>
        <v>539884</v>
      </c>
      <c r="I644" s="129">
        <f>H644/G644</f>
        <v>0.89953172479498311</v>
      </c>
    </row>
    <row r="645" spans="1:11" s="12" customFormat="1" ht="62.05" x14ac:dyDescent="0.3">
      <c r="A645" s="3" t="s">
        <v>52</v>
      </c>
      <c r="B645" s="4" t="s">
        <v>12</v>
      </c>
      <c r="C645" s="4" t="s">
        <v>22</v>
      </c>
      <c r="D645" s="4" t="s">
        <v>20</v>
      </c>
      <c r="E645" s="4" t="s">
        <v>555</v>
      </c>
      <c r="F645" s="4"/>
      <c r="G645" s="27">
        <f t="shared" si="46"/>
        <v>600183.39</v>
      </c>
      <c r="H645" s="56">
        <f t="shared" si="46"/>
        <v>539884</v>
      </c>
      <c r="I645" s="130">
        <f>H645/G645</f>
        <v>0.89953172479498311</v>
      </c>
      <c r="J645" s="24"/>
      <c r="K645" s="24"/>
    </row>
    <row r="646" spans="1:11" s="12" customFormat="1" ht="46.55" x14ac:dyDescent="0.3">
      <c r="A646" s="3" t="s">
        <v>219</v>
      </c>
      <c r="B646" s="4" t="s">
        <v>12</v>
      </c>
      <c r="C646" s="4" t="s">
        <v>22</v>
      </c>
      <c r="D646" s="4" t="s">
        <v>20</v>
      </c>
      <c r="E646" s="4" t="s">
        <v>220</v>
      </c>
      <c r="F646" s="4"/>
      <c r="G646" s="27">
        <f>G647</f>
        <v>600183.39</v>
      </c>
      <c r="H646" s="56">
        <f>H647</f>
        <v>539884</v>
      </c>
      <c r="I646" s="130">
        <f t="shared" ref="I646:I664" si="47">H646/G646</f>
        <v>0.89953172479498311</v>
      </c>
      <c r="J646" s="24"/>
      <c r="K646" s="24"/>
    </row>
    <row r="647" spans="1:11" s="12" customFormat="1" ht="31.05" x14ac:dyDescent="0.3">
      <c r="A647" s="3" t="s">
        <v>393</v>
      </c>
      <c r="B647" s="4" t="s">
        <v>12</v>
      </c>
      <c r="C647" s="4" t="s">
        <v>22</v>
      </c>
      <c r="D647" s="4" t="s">
        <v>20</v>
      </c>
      <c r="E647" s="4" t="s">
        <v>221</v>
      </c>
      <c r="F647" s="4"/>
      <c r="G647" s="27">
        <f t="shared" si="46"/>
        <v>600183.39</v>
      </c>
      <c r="H647" s="56">
        <f t="shared" si="46"/>
        <v>539884</v>
      </c>
      <c r="I647" s="130">
        <f t="shared" si="47"/>
        <v>0.89953172479498311</v>
      </c>
      <c r="J647" s="24"/>
      <c r="K647" s="24"/>
    </row>
    <row r="648" spans="1:11" s="12" customFormat="1" ht="46.55" x14ac:dyDescent="0.3">
      <c r="A648" s="3" t="s">
        <v>543</v>
      </c>
      <c r="B648" s="4" t="s">
        <v>12</v>
      </c>
      <c r="C648" s="4" t="s">
        <v>22</v>
      </c>
      <c r="D648" s="4" t="s">
        <v>20</v>
      </c>
      <c r="E648" s="4" t="s">
        <v>221</v>
      </c>
      <c r="F648" s="4" t="s">
        <v>463</v>
      </c>
      <c r="G648" s="27">
        <f>1045183.39-65000-197000-15000-168000</f>
        <v>600183.39</v>
      </c>
      <c r="H648" s="56">
        <v>539884</v>
      </c>
      <c r="I648" s="130">
        <f t="shared" si="47"/>
        <v>0.89953172479498311</v>
      </c>
      <c r="J648" s="24"/>
      <c r="K648" s="24"/>
    </row>
    <row r="649" spans="1:11" s="12" customFormat="1" ht="31.05" x14ac:dyDescent="0.3">
      <c r="A649" s="55" t="s">
        <v>101</v>
      </c>
      <c r="B649" s="2" t="s">
        <v>12</v>
      </c>
      <c r="C649" s="2" t="s">
        <v>460</v>
      </c>
      <c r="D649" s="2"/>
      <c r="E649" s="2"/>
      <c r="F649" s="2"/>
      <c r="G649" s="31">
        <f t="shared" ref="G649:H654" si="48">G650</f>
        <v>11037999.970000001</v>
      </c>
      <c r="H649" s="57">
        <f t="shared" si="48"/>
        <v>11037933.609999999</v>
      </c>
      <c r="I649" s="129">
        <f t="shared" si="47"/>
        <v>0.99999398804129536</v>
      </c>
      <c r="J649" s="24"/>
      <c r="K649" s="24"/>
    </row>
    <row r="650" spans="1:11" s="12" customFormat="1" ht="46.55" x14ac:dyDescent="0.3">
      <c r="A650" s="55" t="s">
        <v>84</v>
      </c>
      <c r="B650" s="2" t="s">
        <v>12</v>
      </c>
      <c r="C650" s="2" t="s">
        <v>460</v>
      </c>
      <c r="D650" s="2" t="s">
        <v>683</v>
      </c>
      <c r="E650" s="4"/>
      <c r="F650" s="4"/>
      <c r="G650" s="31">
        <f t="shared" si="48"/>
        <v>11037999.970000001</v>
      </c>
      <c r="H650" s="57">
        <f t="shared" si="48"/>
        <v>11037933.609999999</v>
      </c>
      <c r="I650" s="129">
        <f t="shared" si="47"/>
        <v>0.99999398804129536</v>
      </c>
      <c r="J650" s="24"/>
      <c r="K650" s="24"/>
    </row>
    <row r="651" spans="1:11" ht="108.55" x14ac:dyDescent="0.3">
      <c r="A651" s="152" t="s">
        <v>61</v>
      </c>
      <c r="B651" s="2" t="s">
        <v>12</v>
      </c>
      <c r="C651" s="2" t="s">
        <v>460</v>
      </c>
      <c r="D651" s="2" t="s">
        <v>683</v>
      </c>
      <c r="E651" s="2" t="s">
        <v>734</v>
      </c>
      <c r="F651" s="2"/>
      <c r="G651" s="31">
        <f t="shared" si="48"/>
        <v>11037999.970000001</v>
      </c>
      <c r="H651" s="57">
        <f t="shared" si="48"/>
        <v>11037933.609999999</v>
      </c>
      <c r="I651" s="129">
        <f t="shared" si="47"/>
        <v>0.99999398804129536</v>
      </c>
    </row>
    <row r="652" spans="1:11" s="12" customFormat="1" ht="46.55" x14ac:dyDescent="0.3">
      <c r="A652" s="52" t="s">
        <v>85</v>
      </c>
      <c r="B652" s="4" t="s">
        <v>12</v>
      </c>
      <c r="C652" s="4" t="s">
        <v>460</v>
      </c>
      <c r="D652" s="4" t="s">
        <v>683</v>
      </c>
      <c r="E652" s="4" t="s">
        <v>742</v>
      </c>
      <c r="F652" s="4"/>
      <c r="G652" s="27">
        <f t="shared" si="48"/>
        <v>11037999.970000001</v>
      </c>
      <c r="H652" s="56">
        <f t="shared" si="48"/>
        <v>11037933.609999999</v>
      </c>
      <c r="I652" s="130">
        <f t="shared" si="47"/>
        <v>0.99999398804129536</v>
      </c>
      <c r="J652" s="24"/>
      <c r="K652" s="24"/>
    </row>
    <row r="653" spans="1:11" s="12" customFormat="1" ht="62.05" x14ac:dyDescent="0.3">
      <c r="A653" s="52" t="s">
        <v>743</v>
      </c>
      <c r="B653" s="4" t="s">
        <v>12</v>
      </c>
      <c r="C653" s="4" t="s">
        <v>460</v>
      </c>
      <c r="D653" s="4" t="s">
        <v>683</v>
      </c>
      <c r="E653" s="4" t="s">
        <v>744</v>
      </c>
      <c r="F653" s="4"/>
      <c r="G653" s="27">
        <f t="shared" si="48"/>
        <v>11037999.970000001</v>
      </c>
      <c r="H653" s="56">
        <f t="shared" si="48"/>
        <v>11037933.609999999</v>
      </c>
      <c r="I653" s="130">
        <f t="shared" si="47"/>
        <v>0.99999398804129536</v>
      </c>
      <c r="J653" s="24"/>
      <c r="K653" s="24"/>
    </row>
    <row r="654" spans="1:11" s="12" customFormat="1" ht="31.05" x14ac:dyDescent="0.3">
      <c r="A654" s="52" t="s">
        <v>86</v>
      </c>
      <c r="B654" s="4" t="s">
        <v>12</v>
      </c>
      <c r="C654" s="4" t="s">
        <v>460</v>
      </c>
      <c r="D654" s="4" t="s">
        <v>683</v>
      </c>
      <c r="E654" s="4" t="s">
        <v>745</v>
      </c>
      <c r="F654" s="4"/>
      <c r="G654" s="27">
        <f t="shared" si="48"/>
        <v>11037999.970000001</v>
      </c>
      <c r="H654" s="56">
        <f t="shared" si="48"/>
        <v>11037933.609999999</v>
      </c>
      <c r="I654" s="130">
        <f t="shared" si="47"/>
        <v>0.99999398804129536</v>
      </c>
      <c r="J654" s="24"/>
      <c r="K654" s="24"/>
    </row>
    <row r="655" spans="1:11" s="12" customFormat="1" ht="31.05" x14ac:dyDescent="0.3">
      <c r="A655" s="108" t="s">
        <v>75</v>
      </c>
      <c r="B655" s="7" t="s">
        <v>12</v>
      </c>
      <c r="C655" s="7" t="s">
        <v>460</v>
      </c>
      <c r="D655" s="7" t="s">
        <v>683</v>
      </c>
      <c r="E655" s="7" t="s">
        <v>745</v>
      </c>
      <c r="F655" s="7" t="s">
        <v>465</v>
      </c>
      <c r="G655" s="29">
        <f>11035199.97+2800</f>
        <v>11037999.970000001</v>
      </c>
      <c r="H655" s="134">
        <v>11037933.609999999</v>
      </c>
      <c r="I655" s="145">
        <f t="shared" si="47"/>
        <v>0.99999398804129536</v>
      </c>
      <c r="J655" s="24"/>
      <c r="K655" s="24"/>
    </row>
    <row r="656" spans="1:11" s="12" customFormat="1" ht="56.5" x14ac:dyDescent="0.3">
      <c r="A656" s="32" t="s">
        <v>403</v>
      </c>
      <c r="B656" s="11" t="s">
        <v>404</v>
      </c>
      <c r="C656" s="5"/>
      <c r="D656" s="5"/>
      <c r="E656" s="5"/>
      <c r="F656" s="5"/>
      <c r="G656" s="26">
        <f>G657+G705+G715+G831+G698</f>
        <v>1306412411.49</v>
      </c>
      <c r="H656" s="137">
        <f>H657+H705+H715+H831+H698</f>
        <v>1295803384.8599999</v>
      </c>
      <c r="I656" s="129">
        <f t="shared" si="47"/>
        <v>0.99187926680985816</v>
      </c>
      <c r="J656" s="24"/>
      <c r="K656" s="24"/>
    </row>
    <row r="657" spans="1:11" s="12" customFormat="1" ht="17.2" x14ac:dyDescent="0.3">
      <c r="A657" s="1" t="s">
        <v>31</v>
      </c>
      <c r="B657" s="2" t="s">
        <v>404</v>
      </c>
      <c r="C657" s="2" t="s">
        <v>683</v>
      </c>
      <c r="D657" s="9"/>
      <c r="E657" s="2"/>
      <c r="F657" s="2"/>
      <c r="G657" s="31">
        <f>G658+G688</f>
        <v>15350022.249999998</v>
      </c>
      <c r="H657" s="57">
        <f>H658+H688</f>
        <v>15324524.979999999</v>
      </c>
      <c r="I657" s="129">
        <f t="shared" si="47"/>
        <v>0.99833894247286847</v>
      </c>
      <c r="J657" s="24"/>
      <c r="K657" s="24"/>
    </row>
    <row r="658" spans="1:11" s="12" customFormat="1" ht="108.55" x14ac:dyDescent="0.3">
      <c r="A658" s="1" t="s">
        <v>458</v>
      </c>
      <c r="B658" s="2" t="s">
        <v>404</v>
      </c>
      <c r="C658" s="2" t="s">
        <v>683</v>
      </c>
      <c r="D658" s="2" t="s">
        <v>22</v>
      </c>
      <c r="E658" s="2"/>
      <c r="F658" s="2"/>
      <c r="G658" s="31">
        <f>G659</f>
        <v>15255210.429999998</v>
      </c>
      <c r="H658" s="57">
        <f>H659</f>
        <v>15234108.079999998</v>
      </c>
      <c r="I658" s="129">
        <f t="shared" si="47"/>
        <v>0.99861671196888235</v>
      </c>
      <c r="J658" s="24"/>
      <c r="K658" s="24"/>
    </row>
    <row r="659" spans="1:11" ht="46.55" x14ac:dyDescent="0.3">
      <c r="A659" s="1" t="s">
        <v>60</v>
      </c>
      <c r="B659" s="2" t="s">
        <v>404</v>
      </c>
      <c r="C659" s="2" t="s">
        <v>683</v>
      </c>
      <c r="D659" s="2" t="s">
        <v>22</v>
      </c>
      <c r="E659" s="2" t="s">
        <v>417</v>
      </c>
      <c r="F659" s="2"/>
      <c r="G659" s="31">
        <f>G660</f>
        <v>15255210.429999998</v>
      </c>
      <c r="H659" s="57">
        <f>H660</f>
        <v>15234108.079999998</v>
      </c>
      <c r="I659" s="129">
        <f t="shared" si="47"/>
        <v>0.99861671196888235</v>
      </c>
    </row>
    <row r="660" spans="1:11" s="12" customFormat="1" ht="62.05" x14ac:dyDescent="0.3">
      <c r="A660" s="20" t="s">
        <v>402</v>
      </c>
      <c r="B660" s="4" t="s">
        <v>404</v>
      </c>
      <c r="C660" s="4" t="s">
        <v>683</v>
      </c>
      <c r="D660" s="4" t="s">
        <v>22</v>
      </c>
      <c r="E660" s="4" t="s">
        <v>244</v>
      </c>
      <c r="F660" s="4"/>
      <c r="G660" s="27">
        <f>G661+G667+G672+G680</f>
        <v>15255210.429999998</v>
      </c>
      <c r="H660" s="56">
        <f>H661+H667+H672+H680</f>
        <v>15234108.079999998</v>
      </c>
      <c r="I660" s="130">
        <f t="shared" si="47"/>
        <v>0.99861671196888235</v>
      </c>
      <c r="J660" s="24"/>
      <c r="K660" s="24"/>
    </row>
    <row r="661" spans="1:11" s="12" customFormat="1" ht="129.75" customHeight="1" x14ac:dyDescent="0.3">
      <c r="A661" s="109" t="s">
        <v>188</v>
      </c>
      <c r="B661" s="248" t="s">
        <v>404</v>
      </c>
      <c r="C661" s="248" t="s">
        <v>683</v>
      </c>
      <c r="D661" s="248" t="s">
        <v>22</v>
      </c>
      <c r="E661" s="248" t="s">
        <v>245</v>
      </c>
      <c r="F661" s="248"/>
      <c r="G661" s="251">
        <f>G663+G665</f>
        <v>1116398.92</v>
      </c>
      <c r="H661" s="250">
        <f>H663+H665</f>
        <v>1116398.92</v>
      </c>
      <c r="I661" s="246">
        <f t="shared" si="47"/>
        <v>1</v>
      </c>
      <c r="J661" s="24"/>
      <c r="K661" s="24"/>
    </row>
    <row r="662" spans="1:11" s="12" customFormat="1" ht="62.05" x14ac:dyDescent="0.3">
      <c r="A662" s="110" t="s">
        <v>189</v>
      </c>
      <c r="B662" s="248"/>
      <c r="C662" s="248"/>
      <c r="D662" s="248"/>
      <c r="E662" s="248"/>
      <c r="F662" s="248"/>
      <c r="G662" s="251"/>
      <c r="H662" s="250"/>
      <c r="I662" s="246"/>
      <c r="J662" s="24"/>
      <c r="K662" s="24"/>
    </row>
    <row r="663" spans="1:11" s="12" customFormat="1" ht="46.55" x14ac:dyDescent="0.3">
      <c r="A663" s="20" t="s">
        <v>450</v>
      </c>
      <c r="B663" s="4" t="s">
        <v>404</v>
      </c>
      <c r="C663" s="4" t="s">
        <v>683</v>
      </c>
      <c r="D663" s="4" t="s">
        <v>22</v>
      </c>
      <c r="E663" s="4" t="s">
        <v>246</v>
      </c>
      <c r="F663" s="4"/>
      <c r="G663" s="27">
        <f>G664</f>
        <v>1105735.1199999999</v>
      </c>
      <c r="H663" s="56">
        <f>H664</f>
        <v>1105735.1199999999</v>
      </c>
      <c r="I663" s="130">
        <f t="shared" si="47"/>
        <v>1</v>
      </c>
      <c r="J663" s="24"/>
      <c r="K663" s="24"/>
    </row>
    <row r="664" spans="1:11" s="12" customFormat="1" ht="108.55" x14ac:dyDescent="0.3">
      <c r="A664" s="20" t="s">
        <v>389</v>
      </c>
      <c r="B664" s="4" t="s">
        <v>404</v>
      </c>
      <c r="C664" s="4" t="s">
        <v>683</v>
      </c>
      <c r="D664" s="4" t="s">
        <v>22</v>
      </c>
      <c r="E664" s="4" t="s">
        <v>246</v>
      </c>
      <c r="F664" s="4" t="s">
        <v>462</v>
      </c>
      <c r="G664" s="27">
        <f>797662.85+498963.25+150686.9-258447.59-83130.29</f>
        <v>1105735.1199999999</v>
      </c>
      <c r="H664" s="56">
        <f>797662.85+498963.25+150686.9-258447.59-83130.29</f>
        <v>1105735.1199999999</v>
      </c>
      <c r="I664" s="130">
        <f t="shared" si="47"/>
        <v>1</v>
      </c>
      <c r="J664" s="24"/>
      <c r="K664" s="24"/>
    </row>
    <row r="665" spans="1:11" s="12" customFormat="1" ht="93.05" x14ac:dyDescent="0.3">
      <c r="A665" s="20" t="s">
        <v>448</v>
      </c>
      <c r="B665" s="4" t="s">
        <v>404</v>
      </c>
      <c r="C665" s="4" t="s">
        <v>683</v>
      </c>
      <c r="D665" s="4" t="s">
        <v>22</v>
      </c>
      <c r="E665" s="4" t="s">
        <v>863</v>
      </c>
      <c r="F665" s="4"/>
      <c r="G665" s="27">
        <f>G666</f>
        <v>10663.8</v>
      </c>
      <c r="H665" s="56">
        <f>H666</f>
        <v>10663.8</v>
      </c>
      <c r="I665" s="132">
        <f t="shared" ref="I665:I670" si="49">H665/G665</f>
        <v>1</v>
      </c>
      <c r="J665" s="24"/>
      <c r="K665" s="24"/>
    </row>
    <row r="666" spans="1:11" s="12" customFormat="1" ht="108.55" x14ac:dyDescent="0.3">
      <c r="A666" s="20" t="s">
        <v>389</v>
      </c>
      <c r="B666" s="4" t="s">
        <v>404</v>
      </c>
      <c r="C666" s="4" t="s">
        <v>683</v>
      </c>
      <c r="D666" s="4" t="s">
        <v>22</v>
      </c>
      <c r="E666" s="4" t="s">
        <v>863</v>
      </c>
      <c r="F666" s="4" t="s">
        <v>462</v>
      </c>
      <c r="G666" s="27">
        <f>10663.8</f>
        <v>10663.8</v>
      </c>
      <c r="H666" s="56">
        <f>10663.8</f>
        <v>10663.8</v>
      </c>
      <c r="I666" s="132">
        <f t="shared" si="49"/>
        <v>1</v>
      </c>
      <c r="J666" s="24"/>
      <c r="K666" s="24"/>
    </row>
    <row r="667" spans="1:11" s="12" customFormat="1" ht="124.1" x14ac:dyDescent="0.3">
      <c r="A667" s="20" t="s">
        <v>247</v>
      </c>
      <c r="B667" s="4" t="s">
        <v>404</v>
      </c>
      <c r="C667" s="4" t="s">
        <v>683</v>
      </c>
      <c r="D667" s="4" t="s">
        <v>22</v>
      </c>
      <c r="E667" s="4" t="s">
        <v>248</v>
      </c>
      <c r="F667" s="4"/>
      <c r="G667" s="27">
        <f>G668+G670</f>
        <v>2741536.32</v>
      </c>
      <c r="H667" s="56">
        <f>H668+H670</f>
        <v>2726536.32</v>
      </c>
      <c r="I667" s="132">
        <f t="shared" si="49"/>
        <v>0.99452861525467584</v>
      </c>
      <c r="J667" s="24"/>
      <c r="K667" s="24"/>
    </row>
    <row r="668" spans="1:11" s="12" customFormat="1" ht="46.55" x14ac:dyDescent="0.3">
      <c r="A668" s="20" t="s">
        <v>450</v>
      </c>
      <c r="B668" s="4" t="s">
        <v>404</v>
      </c>
      <c r="C668" s="4" t="s">
        <v>683</v>
      </c>
      <c r="D668" s="4" t="s">
        <v>22</v>
      </c>
      <c r="E668" s="4" t="s">
        <v>249</v>
      </c>
      <c r="F668" s="4"/>
      <c r="G668" s="27">
        <f>G669</f>
        <v>2711536.32</v>
      </c>
      <c r="H668" s="56">
        <f>H669</f>
        <v>2711536.32</v>
      </c>
      <c r="I668" s="132">
        <f t="shared" si="49"/>
        <v>1</v>
      </c>
      <c r="J668" s="24"/>
      <c r="K668" s="24"/>
    </row>
    <row r="669" spans="1:11" s="12" customFormat="1" ht="108.55" x14ac:dyDescent="0.3">
      <c r="A669" s="20" t="s">
        <v>389</v>
      </c>
      <c r="B669" s="4" t="s">
        <v>404</v>
      </c>
      <c r="C669" s="4" t="s">
        <v>683</v>
      </c>
      <c r="D669" s="4" t="s">
        <v>22</v>
      </c>
      <c r="E669" s="4" t="s">
        <v>249</v>
      </c>
      <c r="F669" s="4" t="s">
        <v>462</v>
      </c>
      <c r="G669" s="27">
        <f>955551.47+841416+254107.63+527936.67+132524.55</f>
        <v>2711536.32</v>
      </c>
      <c r="H669" s="56">
        <f>955551.47+841416+254107.63+527936.67+132524.55</f>
        <v>2711536.32</v>
      </c>
      <c r="I669" s="132">
        <f t="shared" si="49"/>
        <v>1</v>
      </c>
      <c r="J669" s="24"/>
      <c r="K669" s="24"/>
    </row>
    <row r="670" spans="1:11" s="12" customFormat="1" ht="93.05" x14ac:dyDescent="0.3">
      <c r="A670" s="20" t="s">
        <v>448</v>
      </c>
      <c r="B670" s="4" t="s">
        <v>404</v>
      </c>
      <c r="C670" s="4" t="s">
        <v>683</v>
      </c>
      <c r="D670" s="4" t="s">
        <v>22</v>
      </c>
      <c r="E670" s="4" t="s">
        <v>250</v>
      </c>
      <c r="F670" s="4"/>
      <c r="G670" s="27">
        <f>G671</f>
        <v>30000</v>
      </c>
      <c r="H670" s="56">
        <f>H671</f>
        <v>15000</v>
      </c>
      <c r="I670" s="132">
        <f t="shared" si="49"/>
        <v>0.5</v>
      </c>
      <c r="J670" s="24"/>
      <c r="K670" s="24"/>
    </row>
    <row r="671" spans="1:11" s="12" customFormat="1" ht="108.55" x14ac:dyDescent="0.3">
      <c r="A671" s="20" t="s">
        <v>389</v>
      </c>
      <c r="B671" s="4" t="s">
        <v>404</v>
      </c>
      <c r="C671" s="4" t="s">
        <v>683</v>
      </c>
      <c r="D671" s="4" t="s">
        <v>22</v>
      </c>
      <c r="E671" s="4" t="s">
        <v>250</v>
      </c>
      <c r="F671" s="4" t="s">
        <v>462</v>
      </c>
      <c r="G671" s="27">
        <f>60000-30000</f>
        <v>30000</v>
      </c>
      <c r="H671" s="56">
        <v>15000</v>
      </c>
      <c r="I671" s="132">
        <f t="shared" ref="I671:I682" si="50">H671/G671</f>
        <v>0.5</v>
      </c>
      <c r="J671" s="24"/>
      <c r="K671" s="24"/>
    </row>
    <row r="672" spans="1:11" s="12" customFormat="1" ht="93.05" x14ac:dyDescent="0.3">
      <c r="A672" s="109" t="s">
        <v>190</v>
      </c>
      <c r="B672" s="248" t="s">
        <v>404</v>
      </c>
      <c r="C672" s="248" t="s">
        <v>683</v>
      </c>
      <c r="D672" s="248" t="s">
        <v>22</v>
      </c>
      <c r="E672" s="248" t="s">
        <v>251</v>
      </c>
      <c r="F672" s="248"/>
      <c r="G672" s="251">
        <f>G674+G678+G676</f>
        <v>4606452.9099999992</v>
      </c>
      <c r="H672" s="250">
        <f>H674+H678+H676</f>
        <v>4606452.9099999992</v>
      </c>
      <c r="I672" s="252">
        <f t="shared" si="50"/>
        <v>1</v>
      </c>
      <c r="J672" s="24"/>
      <c r="K672" s="24"/>
    </row>
    <row r="673" spans="1:11" s="12" customFormat="1" ht="62.05" x14ac:dyDescent="0.3">
      <c r="A673" s="111" t="s">
        <v>191</v>
      </c>
      <c r="B673" s="248"/>
      <c r="C673" s="248"/>
      <c r="D673" s="248"/>
      <c r="E673" s="248"/>
      <c r="F673" s="248"/>
      <c r="G673" s="251"/>
      <c r="H673" s="250"/>
      <c r="I673" s="253"/>
      <c r="J673" s="24"/>
      <c r="K673" s="24"/>
    </row>
    <row r="674" spans="1:11" s="12" customFormat="1" ht="46.55" x14ac:dyDescent="0.3">
      <c r="A674" s="20" t="s">
        <v>450</v>
      </c>
      <c r="B674" s="4" t="s">
        <v>404</v>
      </c>
      <c r="C674" s="4" t="s">
        <v>683</v>
      </c>
      <c r="D674" s="4" t="s">
        <v>22</v>
      </c>
      <c r="E674" s="4" t="s">
        <v>252</v>
      </c>
      <c r="F674" s="4"/>
      <c r="G674" s="27">
        <f>G675</f>
        <v>4528228.9099999992</v>
      </c>
      <c r="H674" s="56">
        <f>H675</f>
        <v>4528228.9099999992</v>
      </c>
      <c r="I674" s="132">
        <f t="shared" si="50"/>
        <v>1</v>
      </c>
      <c r="J674" s="24"/>
      <c r="K674" s="24"/>
    </row>
    <row r="675" spans="1:11" s="12" customFormat="1" ht="108.55" x14ac:dyDescent="0.3">
      <c r="A675" s="20" t="s">
        <v>389</v>
      </c>
      <c r="B675" s="4" t="s">
        <v>404</v>
      </c>
      <c r="C675" s="4" t="s">
        <v>683</v>
      </c>
      <c r="D675" s="4" t="s">
        <v>22</v>
      </c>
      <c r="E675" s="4" t="s">
        <v>252</v>
      </c>
      <c r="F675" s="4" t="s">
        <v>462</v>
      </c>
      <c r="G675" s="27">
        <f>3901605.13+553547.23+73076.55</f>
        <v>4528228.9099999992</v>
      </c>
      <c r="H675" s="56">
        <f>3901605.13+553547.23+73076.55</f>
        <v>4528228.9099999992</v>
      </c>
      <c r="I675" s="132">
        <f t="shared" si="50"/>
        <v>1</v>
      </c>
      <c r="J675" s="24"/>
      <c r="K675" s="24"/>
    </row>
    <row r="676" spans="1:11" s="12" customFormat="1" ht="46.55" x14ac:dyDescent="0.3">
      <c r="A676" s="20" t="s">
        <v>451</v>
      </c>
      <c r="B676" s="122" t="s">
        <v>404</v>
      </c>
      <c r="C676" s="122" t="s">
        <v>683</v>
      </c>
      <c r="D676" s="122" t="s">
        <v>22</v>
      </c>
      <c r="E676" s="122" t="s">
        <v>883</v>
      </c>
      <c r="F676" s="122"/>
      <c r="G676" s="27">
        <f>G677</f>
        <v>122.5</v>
      </c>
      <c r="H676" s="56">
        <f>H677</f>
        <v>122.5</v>
      </c>
      <c r="I676" s="132">
        <f t="shared" si="50"/>
        <v>1</v>
      </c>
      <c r="J676" s="24"/>
      <c r="K676" s="24"/>
    </row>
    <row r="677" spans="1:11" s="12" customFormat="1" ht="108.55" x14ac:dyDescent="0.3">
      <c r="A677" s="20" t="s">
        <v>389</v>
      </c>
      <c r="B677" s="122" t="s">
        <v>404</v>
      </c>
      <c r="C677" s="122" t="s">
        <v>683</v>
      </c>
      <c r="D677" s="122" t="s">
        <v>22</v>
      </c>
      <c r="E677" s="122" t="s">
        <v>883</v>
      </c>
      <c r="F677" s="122" t="s">
        <v>462</v>
      </c>
      <c r="G677" s="27">
        <v>122.5</v>
      </c>
      <c r="H677" s="56">
        <v>122.5</v>
      </c>
      <c r="I677" s="132">
        <f t="shared" si="50"/>
        <v>1</v>
      </c>
      <c r="J677" s="24"/>
      <c r="K677" s="24"/>
    </row>
    <row r="678" spans="1:11" s="12" customFormat="1" ht="93.05" x14ac:dyDescent="0.3">
      <c r="A678" s="20" t="s">
        <v>448</v>
      </c>
      <c r="B678" s="4" t="s">
        <v>404</v>
      </c>
      <c r="C678" s="4" t="s">
        <v>683</v>
      </c>
      <c r="D678" s="4" t="s">
        <v>22</v>
      </c>
      <c r="E678" s="4" t="s">
        <v>253</v>
      </c>
      <c r="F678" s="4"/>
      <c r="G678" s="27">
        <f>G679</f>
        <v>78101.5</v>
      </c>
      <c r="H678" s="56">
        <f>H679</f>
        <v>78101.5</v>
      </c>
      <c r="I678" s="132">
        <f t="shared" si="50"/>
        <v>1</v>
      </c>
      <c r="J678" s="24"/>
      <c r="K678" s="24"/>
    </row>
    <row r="679" spans="1:11" s="12" customFormat="1" ht="108.55" x14ac:dyDescent="0.3">
      <c r="A679" s="20" t="s">
        <v>389</v>
      </c>
      <c r="B679" s="4" t="s">
        <v>404</v>
      </c>
      <c r="C679" s="4" t="s">
        <v>683</v>
      </c>
      <c r="D679" s="4" t="s">
        <v>22</v>
      </c>
      <c r="E679" s="4" t="s">
        <v>253</v>
      </c>
      <c r="F679" s="4" t="s">
        <v>462</v>
      </c>
      <c r="G679" s="27">
        <f>87764-9662.5</f>
        <v>78101.5</v>
      </c>
      <c r="H679" s="56">
        <f>87764-9662.5</f>
        <v>78101.5</v>
      </c>
      <c r="I679" s="132">
        <f t="shared" si="50"/>
        <v>1</v>
      </c>
      <c r="J679" s="24"/>
      <c r="K679" s="24"/>
    </row>
    <row r="680" spans="1:11" s="12" customFormat="1" ht="124.1" x14ac:dyDescent="0.3">
      <c r="A680" s="109" t="s">
        <v>806</v>
      </c>
      <c r="B680" s="248" t="s">
        <v>404</v>
      </c>
      <c r="C680" s="248" t="s">
        <v>683</v>
      </c>
      <c r="D680" s="248" t="s">
        <v>22</v>
      </c>
      <c r="E680" s="248" t="s">
        <v>254</v>
      </c>
      <c r="F680" s="248"/>
      <c r="G680" s="251">
        <f>G682+G686+G684</f>
        <v>6790822.2799999993</v>
      </c>
      <c r="H680" s="250">
        <f>H682+H686+H684</f>
        <v>6784719.9299999997</v>
      </c>
      <c r="I680" s="252">
        <f t="shared" si="50"/>
        <v>0.99910138275625737</v>
      </c>
      <c r="J680" s="24"/>
      <c r="K680" s="24"/>
    </row>
    <row r="681" spans="1:11" s="12" customFormat="1" ht="84.75" customHeight="1" x14ac:dyDescent="0.3">
      <c r="A681" s="111" t="s">
        <v>36</v>
      </c>
      <c r="B681" s="248"/>
      <c r="C681" s="248"/>
      <c r="D681" s="248"/>
      <c r="E681" s="248"/>
      <c r="F681" s="248"/>
      <c r="G681" s="251"/>
      <c r="H681" s="250"/>
      <c r="I681" s="253"/>
      <c r="J681" s="24"/>
      <c r="K681" s="24"/>
    </row>
    <row r="682" spans="1:11" s="12" customFormat="1" ht="46.55" x14ac:dyDescent="0.3">
      <c r="A682" s="20" t="s">
        <v>450</v>
      </c>
      <c r="B682" s="4" t="s">
        <v>404</v>
      </c>
      <c r="C682" s="4" t="s">
        <v>683</v>
      </c>
      <c r="D682" s="4" t="s">
        <v>22</v>
      </c>
      <c r="E682" s="4" t="s">
        <v>255</v>
      </c>
      <c r="F682" s="4"/>
      <c r="G682" s="27">
        <f>G683</f>
        <v>6696486.0799999991</v>
      </c>
      <c r="H682" s="56">
        <f>H683</f>
        <v>6690486.0800000001</v>
      </c>
      <c r="I682" s="132">
        <f t="shared" si="50"/>
        <v>0.99910400769473429</v>
      </c>
      <c r="J682" s="24"/>
      <c r="K682" s="24"/>
    </row>
    <row r="683" spans="1:11" s="12" customFormat="1" ht="108.55" x14ac:dyDescent="0.3">
      <c r="A683" s="20" t="s">
        <v>389</v>
      </c>
      <c r="B683" s="4" t="s">
        <v>404</v>
      </c>
      <c r="C683" s="4" t="s">
        <v>683</v>
      </c>
      <c r="D683" s="4" t="s">
        <v>22</v>
      </c>
      <c r="E683" s="4" t="s">
        <v>255</v>
      </c>
      <c r="F683" s="4" t="s">
        <v>462</v>
      </c>
      <c r="G683" s="27">
        <f>4987408.55+3809691.58+1150526.85-1850787.39-494386.39-792668.31-113298.81</f>
        <v>6696486.0799999991</v>
      </c>
      <c r="H683" s="56">
        <v>6690486.0800000001</v>
      </c>
      <c r="I683" s="130">
        <f>H683/G683</f>
        <v>0.99910400769473429</v>
      </c>
      <c r="J683" s="24"/>
      <c r="K683" s="24"/>
    </row>
    <row r="684" spans="1:11" s="12" customFormat="1" ht="46.55" x14ac:dyDescent="0.3">
      <c r="A684" s="20" t="s">
        <v>451</v>
      </c>
      <c r="B684" s="4" t="s">
        <v>404</v>
      </c>
      <c r="C684" s="4" t="s">
        <v>683</v>
      </c>
      <c r="D684" s="4" t="s">
        <v>22</v>
      </c>
      <c r="E684" s="4" t="s">
        <v>256</v>
      </c>
      <c r="F684" s="4"/>
      <c r="G684" s="27">
        <f>G685</f>
        <v>1800</v>
      </c>
      <c r="H684" s="56">
        <f>H685</f>
        <v>1800</v>
      </c>
      <c r="I684" s="130">
        <f>H684/G684</f>
        <v>1</v>
      </c>
      <c r="J684" s="24"/>
      <c r="K684" s="24"/>
    </row>
    <row r="685" spans="1:11" s="12" customFormat="1" ht="108.55" x14ac:dyDescent="0.3">
      <c r="A685" s="20" t="s">
        <v>389</v>
      </c>
      <c r="B685" s="4" t="s">
        <v>404</v>
      </c>
      <c r="C685" s="4" t="s">
        <v>683</v>
      </c>
      <c r="D685" s="4" t="s">
        <v>22</v>
      </c>
      <c r="E685" s="4" t="s">
        <v>256</v>
      </c>
      <c r="F685" s="4" t="s">
        <v>462</v>
      </c>
      <c r="G685" s="27">
        <v>1800</v>
      </c>
      <c r="H685" s="56">
        <v>1800</v>
      </c>
      <c r="I685" s="130">
        <f>H685/G685</f>
        <v>1</v>
      </c>
      <c r="J685" s="24"/>
      <c r="K685" s="24"/>
    </row>
    <row r="686" spans="1:11" s="12" customFormat="1" ht="93.05" x14ac:dyDescent="0.3">
      <c r="A686" s="20" t="s">
        <v>448</v>
      </c>
      <c r="B686" s="4" t="s">
        <v>404</v>
      </c>
      <c r="C686" s="4" t="s">
        <v>683</v>
      </c>
      <c r="D686" s="4" t="s">
        <v>22</v>
      </c>
      <c r="E686" s="4" t="s">
        <v>257</v>
      </c>
      <c r="F686" s="4"/>
      <c r="G686" s="27">
        <f>G687</f>
        <v>92536.2</v>
      </c>
      <c r="H686" s="56">
        <f>H687</f>
        <v>92433.85</v>
      </c>
      <c r="I686" s="130">
        <f>H686/G686</f>
        <v>0.99889394636909667</v>
      </c>
      <c r="J686" s="24"/>
      <c r="K686" s="24"/>
    </row>
    <row r="687" spans="1:11" s="12" customFormat="1" ht="108.55" x14ac:dyDescent="0.3">
      <c r="A687" s="20" t="s">
        <v>389</v>
      </c>
      <c r="B687" s="4" t="s">
        <v>404</v>
      </c>
      <c r="C687" s="4" t="s">
        <v>683</v>
      </c>
      <c r="D687" s="4" t="s">
        <v>22</v>
      </c>
      <c r="E687" s="4" t="s">
        <v>257</v>
      </c>
      <c r="F687" s="4" t="s">
        <v>462</v>
      </c>
      <c r="G687" s="27">
        <f>105000-1800-10663.8</f>
        <v>92536.2</v>
      </c>
      <c r="H687" s="56">
        <v>92433.85</v>
      </c>
      <c r="I687" s="130">
        <f t="shared" ref="I687:I714" si="51">H687/G687</f>
        <v>0.99889394636909667</v>
      </c>
      <c r="J687" s="24"/>
      <c r="K687" s="24"/>
    </row>
    <row r="688" spans="1:11" s="12" customFormat="1" ht="31.05" x14ac:dyDescent="0.3">
      <c r="A688" s="1" t="s">
        <v>582</v>
      </c>
      <c r="B688" s="2" t="s">
        <v>404</v>
      </c>
      <c r="C688" s="2" t="s">
        <v>683</v>
      </c>
      <c r="D688" s="2" t="s">
        <v>460</v>
      </c>
      <c r="E688" s="2"/>
      <c r="F688" s="2"/>
      <c r="G688" s="31">
        <f>G689</f>
        <v>94811.82</v>
      </c>
      <c r="H688" s="57">
        <f>H689</f>
        <v>90416.9</v>
      </c>
      <c r="I688" s="129">
        <f t="shared" si="51"/>
        <v>0.95364586398615692</v>
      </c>
      <c r="J688" s="24"/>
      <c r="K688" s="24"/>
    </row>
    <row r="689" spans="1:11" ht="62.05" x14ac:dyDescent="0.3">
      <c r="A689" s="46" t="s">
        <v>62</v>
      </c>
      <c r="B689" s="2" t="s">
        <v>404</v>
      </c>
      <c r="C689" s="2" t="s">
        <v>683</v>
      </c>
      <c r="D689" s="2" t="s">
        <v>460</v>
      </c>
      <c r="E689" s="2" t="s">
        <v>547</v>
      </c>
      <c r="F689" s="2"/>
      <c r="G689" s="31">
        <f>G690</f>
        <v>94811.82</v>
      </c>
      <c r="H689" s="57">
        <f>H690</f>
        <v>90416.9</v>
      </c>
      <c r="I689" s="129">
        <f t="shared" si="51"/>
        <v>0.95364586398615692</v>
      </c>
    </row>
    <row r="690" spans="1:11" s="12" customFormat="1" ht="46.55" x14ac:dyDescent="0.3">
      <c r="A690" s="3" t="s">
        <v>91</v>
      </c>
      <c r="B690" s="4" t="s">
        <v>404</v>
      </c>
      <c r="C690" s="4" t="s">
        <v>683</v>
      </c>
      <c r="D690" s="4" t="s">
        <v>460</v>
      </c>
      <c r="E690" s="4" t="s">
        <v>550</v>
      </c>
      <c r="F690" s="4"/>
      <c r="G690" s="27">
        <f>G691+G695</f>
        <v>94811.82</v>
      </c>
      <c r="H690" s="56">
        <f>H691+H695</f>
        <v>90416.9</v>
      </c>
      <c r="I690" s="130">
        <f t="shared" si="51"/>
        <v>0.95364586398615692</v>
      </c>
      <c r="J690" s="24"/>
      <c r="K690" s="24"/>
    </row>
    <row r="691" spans="1:11" s="12" customFormat="1" ht="77.55" x14ac:dyDescent="0.3">
      <c r="A691" s="3" t="s">
        <v>553</v>
      </c>
      <c r="B691" s="4" t="s">
        <v>404</v>
      </c>
      <c r="C691" s="4" t="s">
        <v>683</v>
      </c>
      <c r="D691" s="4" t="s">
        <v>460</v>
      </c>
      <c r="E691" s="4" t="s">
        <v>524</v>
      </c>
      <c r="F691" s="53"/>
      <c r="G691" s="27">
        <f>G692</f>
        <v>30318.9</v>
      </c>
      <c r="H691" s="56">
        <f>H692</f>
        <v>30318.9</v>
      </c>
      <c r="I691" s="130">
        <f t="shared" si="51"/>
        <v>1</v>
      </c>
      <c r="J691" s="24"/>
      <c r="K691" s="24"/>
    </row>
    <row r="692" spans="1:11" s="12" customFormat="1" ht="36.700000000000003" customHeight="1" x14ac:dyDescent="0.3">
      <c r="A692" s="3" t="s">
        <v>451</v>
      </c>
      <c r="B692" s="4" t="s">
        <v>404</v>
      </c>
      <c r="C692" s="4" t="s">
        <v>683</v>
      </c>
      <c r="D692" s="4" t="s">
        <v>460</v>
      </c>
      <c r="E692" s="4" t="s">
        <v>782</v>
      </c>
      <c r="F692" s="53"/>
      <c r="G692" s="27">
        <f>G693+G694</f>
        <v>30318.9</v>
      </c>
      <c r="H692" s="56">
        <f>H693+H694</f>
        <v>30318.9</v>
      </c>
      <c r="I692" s="130">
        <f t="shared" si="51"/>
        <v>1</v>
      </c>
      <c r="J692" s="24"/>
      <c r="K692" s="24"/>
    </row>
    <row r="693" spans="1:11" s="12" customFormat="1" ht="108.55" x14ac:dyDescent="0.3">
      <c r="A693" s="3" t="s">
        <v>389</v>
      </c>
      <c r="B693" s="4" t="s">
        <v>404</v>
      </c>
      <c r="C693" s="4" t="s">
        <v>683</v>
      </c>
      <c r="D693" s="4" t="s">
        <v>460</v>
      </c>
      <c r="E693" s="4" t="s">
        <v>782</v>
      </c>
      <c r="F693" s="53">
        <v>100</v>
      </c>
      <c r="G693" s="27">
        <f>71588-60000-8268</f>
        <v>3320</v>
      </c>
      <c r="H693" s="56">
        <f>71588-60000-8268</f>
        <v>3320</v>
      </c>
      <c r="I693" s="130">
        <f t="shared" si="51"/>
        <v>1</v>
      </c>
      <c r="J693" s="24"/>
      <c r="K693" s="24"/>
    </row>
    <row r="694" spans="1:11" s="12" customFormat="1" ht="46.55" x14ac:dyDescent="0.3">
      <c r="A694" s="3" t="s">
        <v>543</v>
      </c>
      <c r="B694" s="4" t="s">
        <v>404</v>
      </c>
      <c r="C694" s="4" t="s">
        <v>683</v>
      </c>
      <c r="D694" s="4" t="s">
        <v>460</v>
      </c>
      <c r="E694" s="4" t="s">
        <v>782</v>
      </c>
      <c r="F694" s="53">
        <v>200</v>
      </c>
      <c r="G694" s="27">
        <f>93750-4492.92-62258.18</f>
        <v>26998.9</v>
      </c>
      <c r="H694" s="56">
        <f>93750-4492.92-62258.18</f>
        <v>26998.9</v>
      </c>
      <c r="I694" s="130">
        <f t="shared" si="51"/>
        <v>1</v>
      </c>
      <c r="J694" s="24"/>
      <c r="K694" s="24"/>
    </row>
    <row r="695" spans="1:11" s="12" customFormat="1" ht="31.05" x14ac:dyDescent="0.3">
      <c r="A695" s="3" t="s">
        <v>153</v>
      </c>
      <c r="B695" s="4" t="s">
        <v>404</v>
      </c>
      <c r="C695" s="4" t="s">
        <v>683</v>
      </c>
      <c r="D695" s="4" t="s">
        <v>460</v>
      </c>
      <c r="E695" s="4" t="s">
        <v>154</v>
      </c>
      <c r="F695" s="53"/>
      <c r="G695" s="27">
        <f>G696</f>
        <v>64492.92</v>
      </c>
      <c r="H695" s="56">
        <f>H696</f>
        <v>60098</v>
      </c>
      <c r="I695" s="130">
        <f t="shared" si="51"/>
        <v>0.93185422523898753</v>
      </c>
      <c r="J695" s="24"/>
      <c r="K695" s="24"/>
    </row>
    <row r="696" spans="1:11" s="12" customFormat="1" ht="46.55" x14ac:dyDescent="0.3">
      <c r="A696" s="3" t="s">
        <v>451</v>
      </c>
      <c r="B696" s="4" t="s">
        <v>404</v>
      </c>
      <c r="C696" s="4" t="s">
        <v>683</v>
      </c>
      <c r="D696" s="4" t="s">
        <v>460</v>
      </c>
      <c r="E696" s="4" t="s">
        <v>783</v>
      </c>
      <c r="F696" s="53"/>
      <c r="G696" s="27">
        <f>G697</f>
        <v>64492.92</v>
      </c>
      <c r="H696" s="56">
        <f>H697</f>
        <v>60098</v>
      </c>
      <c r="I696" s="130">
        <f t="shared" si="51"/>
        <v>0.93185422523898753</v>
      </c>
      <c r="J696" s="24"/>
      <c r="K696" s="24"/>
    </row>
    <row r="697" spans="1:11" s="12" customFormat="1" ht="46.55" x14ac:dyDescent="0.3">
      <c r="A697" s="3" t="s">
        <v>543</v>
      </c>
      <c r="B697" s="4" t="s">
        <v>404</v>
      </c>
      <c r="C697" s="4" t="s">
        <v>683</v>
      </c>
      <c r="D697" s="4" t="s">
        <v>460</v>
      </c>
      <c r="E697" s="4" t="s">
        <v>783</v>
      </c>
      <c r="F697" s="53">
        <v>200</v>
      </c>
      <c r="G697" s="27">
        <v>64492.92</v>
      </c>
      <c r="H697" s="56">
        <v>60098</v>
      </c>
      <c r="I697" s="130">
        <f t="shared" si="51"/>
        <v>0.93185422523898753</v>
      </c>
      <c r="J697" s="24"/>
      <c r="K697" s="24"/>
    </row>
    <row r="698" spans="1:11" s="12" customFormat="1" ht="31.05" x14ac:dyDescent="0.3">
      <c r="A698" s="1" t="s">
        <v>32</v>
      </c>
      <c r="B698" s="2" t="s">
        <v>404</v>
      </c>
      <c r="C698" s="2" t="s">
        <v>19</v>
      </c>
      <c r="D698" s="2"/>
      <c r="E698" s="2"/>
      <c r="F698" s="117"/>
      <c r="G698" s="31">
        <f t="shared" ref="G698:H703" si="52">G699</f>
        <v>331474</v>
      </c>
      <c r="H698" s="57">
        <f t="shared" si="52"/>
        <v>331474</v>
      </c>
      <c r="I698" s="129">
        <f t="shared" si="51"/>
        <v>1</v>
      </c>
      <c r="J698" s="24"/>
      <c r="K698" s="24"/>
    </row>
    <row r="699" spans="1:11" s="12" customFormat="1" ht="46.55" x14ac:dyDescent="0.3">
      <c r="A699" s="3" t="s">
        <v>586</v>
      </c>
      <c r="B699" s="4" t="s">
        <v>404</v>
      </c>
      <c r="C699" s="4" t="s">
        <v>19</v>
      </c>
      <c r="D699" s="4" t="s">
        <v>432</v>
      </c>
      <c r="E699" s="4"/>
      <c r="F699" s="53"/>
      <c r="G699" s="27">
        <f t="shared" si="52"/>
        <v>331474</v>
      </c>
      <c r="H699" s="56">
        <f t="shared" si="52"/>
        <v>331474</v>
      </c>
      <c r="I699" s="130">
        <f t="shared" si="51"/>
        <v>1</v>
      </c>
      <c r="J699" s="24"/>
      <c r="K699" s="24"/>
    </row>
    <row r="700" spans="1:11" ht="77.55" x14ac:dyDescent="0.3">
      <c r="A700" s="1" t="s">
        <v>66</v>
      </c>
      <c r="B700" s="2" t="s">
        <v>404</v>
      </c>
      <c r="C700" s="2" t="s">
        <v>19</v>
      </c>
      <c r="D700" s="2" t="s">
        <v>432</v>
      </c>
      <c r="E700" s="2" t="s">
        <v>487</v>
      </c>
      <c r="F700" s="117"/>
      <c r="G700" s="31">
        <f t="shared" si="52"/>
        <v>331474</v>
      </c>
      <c r="H700" s="57">
        <f t="shared" si="52"/>
        <v>331474</v>
      </c>
      <c r="I700" s="129">
        <f t="shared" si="51"/>
        <v>1</v>
      </c>
    </row>
    <row r="701" spans="1:11" s="12" customFormat="1" ht="62.05" x14ac:dyDescent="0.3">
      <c r="A701" s="3" t="s">
        <v>88</v>
      </c>
      <c r="B701" s="4" t="s">
        <v>404</v>
      </c>
      <c r="C701" s="4" t="s">
        <v>19</v>
      </c>
      <c r="D701" s="4" t="s">
        <v>432</v>
      </c>
      <c r="E701" s="4" t="s">
        <v>488</v>
      </c>
      <c r="F701" s="53"/>
      <c r="G701" s="27">
        <f t="shared" si="52"/>
        <v>331474</v>
      </c>
      <c r="H701" s="56">
        <f t="shared" si="52"/>
        <v>331474</v>
      </c>
      <c r="I701" s="130">
        <f t="shared" si="51"/>
        <v>1</v>
      </c>
      <c r="J701" s="24"/>
      <c r="K701" s="24"/>
    </row>
    <row r="702" spans="1:11" s="12" customFormat="1" ht="46.55" x14ac:dyDescent="0.3">
      <c r="A702" s="3" t="s">
        <v>131</v>
      </c>
      <c r="B702" s="4" t="s">
        <v>404</v>
      </c>
      <c r="C702" s="4" t="s">
        <v>19</v>
      </c>
      <c r="D702" s="4" t="s">
        <v>432</v>
      </c>
      <c r="E702" s="4" t="s">
        <v>132</v>
      </c>
      <c r="F702" s="53"/>
      <c r="G702" s="27">
        <f t="shared" si="52"/>
        <v>331474</v>
      </c>
      <c r="H702" s="56">
        <f t="shared" si="52"/>
        <v>331474</v>
      </c>
      <c r="I702" s="130">
        <f t="shared" si="51"/>
        <v>1</v>
      </c>
      <c r="J702" s="24"/>
      <c r="K702" s="24"/>
    </row>
    <row r="703" spans="1:11" s="12" customFormat="1" ht="46.55" x14ac:dyDescent="0.3">
      <c r="A703" s="3" t="s">
        <v>89</v>
      </c>
      <c r="B703" s="4" t="s">
        <v>404</v>
      </c>
      <c r="C703" s="4" t="s">
        <v>19</v>
      </c>
      <c r="D703" s="4" t="s">
        <v>432</v>
      </c>
      <c r="E703" s="4" t="s">
        <v>215</v>
      </c>
      <c r="F703" s="53"/>
      <c r="G703" s="27">
        <f t="shared" si="52"/>
        <v>331474</v>
      </c>
      <c r="H703" s="56">
        <f t="shared" si="52"/>
        <v>331474</v>
      </c>
      <c r="I703" s="130">
        <f t="shared" si="51"/>
        <v>1</v>
      </c>
      <c r="J703" s="24"/>
      <c r="K703" s="24"/>
    </row>
    <row r="704" spans="1:11" s="12" customFormat="1" ht="62.05" x14ac:dyDescent="0.3">
      <c r="A704" s="3" t="s">
        <v>394</v>
      </c>
      <c r="B704" s="4" t="s">
        <v>404</v>
      </c>
      <c r="C704" s="4" t="s">
        <v>19</v>
      </c>
      <c r="D704" s="4" t="s">
        <v>432</v>
      </c>
      <c r="E704" s="4" t="s">
        <v>215</v>
      </c>
      <c r="F704" s="53">
        <v>600</v>
      </c>
      <c r="G704" s="27">
        <f>100000+231474</f>
        <v>331474</v>
      </c>
      <c r="H704" s="56">
        <f>100000+231474</f>
        <v>331474</v>
      </c>
      <c r="I704" s="145">
        <f t="shared" si="51"/>
        <v>1</v>
      </c>
      <c r="J704" s="24"/>
      <c r="K704" s="24"/>
    </row>
    <row r="705" spans="1:11" s="12" customFormat="1" x14ac:dyDescent="0.3">
      <c r="A705" s="13" t="s">
        <v>33</v>
      </c>
      <c r="B705" s="5" t="s">
        <v>404</v>
      </c>
      <c r="C705" s="5" t="s">
        <v>22</v>
      </c>
      <c r="D705" s="5"/>
      <c r="E705" s="5"/>
      <c r="F705" s="5"/>
      <c r="G705" s="26">
        <f t="shared" ref="G705:H707" si="53">G706</f>
        <v>5909047.7799999993</v>
      </c>
      <c r="H705" s="137">
        <f t="shared" si="53"/>
        <v>5908997.6799999997</v>
      </c>
      <c r="I705" s="129">
        <f t="shared" si="51"/>
        <v>0.99999152147657877</v>
      </c>
      <c r="J705" s="24"/>
      <c r="K705" s="24"/>
    </row>
    <row r="706" spans="1:11" s="12" customFormat="1" x14ac:dyDescent="0.3">
      <c r="A706" s="3" t="s">
        <v>456</v>
      </c>
      <c r="B706" s="4" t="s">
        <v>404</v>
      </c>
      <c r="C706" s="4" t="s">
        <v>22</v>
      </c>
      <c r="D706" s="4" t="s">
        <v>20</v>
      </c>
      <c r="E706" s="4"/>
      <c r="F706" s="4"/>
      <c r="G706" s="31">
        <f t="shared" si="53"/>
        <v>5909047.7799999993</v>
      </c>
      <c r="H706" s="57">
        <f t="shared" si="53"/>
        <v>5908997.6799999997</v>
      </c>
      <c r="I706" s="129">
        <f t="shared" si="51"/>
        <v>0.99999152147657877</v>
      </c>
      <c r="J706" s="24"/>
      <c r="K706" s="24"/>
    </row>
    <row r="707" spans="1:11" ht="46.55" x14ac:dyDescent="0.3">
      <c r="A707" s="1" t="s">
        <v>726</v>
      </c>
      <c r="B707" s="2" t="s">
        <v>404</v>
      </c>
      <c r="C707" s="2" t="s">
        <v>22</v>
      </c>
      <c r="D707" s="2" t="s">
        <v>20</v>
      </c>
      <c r="E707" s="2" t="s">
        <v>554</v>
      </c>
      <c r="F707" s="2"/>
      <c r="G707" s="31">
        <f t="shared" si="53"/>
        <v>5909047.7799999993</v>
      </c>
      <c r="H707" s="57">
        <f t="shared" si="53"/>
        <v>5908997.6799999997</v>
      </c>
      <c r="I707" s="129">
        <f t="shared" si="51"/>
        <v>0.99999152147657877</v>
      </c>
    </row>
    <row r="708" spans="1:11" s="12" customFormat="1" ht="62.05" x14ac:dyDescent="0.3">
      <c r="A708" s="3" t="s">
        <v>52</v>
      </c>
      <c r="B708" s="4" t="s">
        <v>404</v>
      </c>
      <c r="C708" s="4" t="s">
        <v>22</v>
      </c>
      <c r="D708" s="4" t="s">
        <v>20</v>
      </c>
      <c r="E708" s="4" t="s">
        <v>555</v>
      </c>
      <c r="F708" s="4"/>
      <c r="G708" s="27">
        <f>G709+G712</f>
        <v>5909047.7799999993</v>
      </c>
      <c r="H708" s="56">
        <f>H709+H712</f>
        <v>5908997.6799999997</v>
      </c>
      <c r="I708" s="130">
        <f t="shared" si="51"/>
        <v>0.99999152147657877</v>
      </c>
      <c r="J708" s="24"/>
      <c r="K708" s="24"/>
    </row>
    <row r="709" spans="1:11" s="12" customFormat="1" ht="65.25" customHeight="1" x14ac:dyDescent="0.3">
      <c r="A709" s="3" t="s">
        <v>219</v>
      </c>
      <c r="B709" s="4" t="s">
        <v>404</v>
      </c>
      <c r="C709" s="4" t="s">
        <v>22</v>
      </c>
      <c r="D709" s="4" t="s">
        <v>20</v>
      </c>
      <c r="E709" s="4" t="s">
        <v>220</v>
      </c>
      <c r="F709" s="4"/>
      <c r="G709" s="27">
        <f>G710</f>
        <v>814855.18</v>
      </c>
      <c r="H709" s="56">
        <f>H710</f>
        <v>814855.08</v>
      </c>
      <c r="I709" s="130">
        <f t="shared" si="51"/>
        <v>0.99999987727880668</v>
      </c>
      <c r="J709" s="24"/>
      <c r="K709" s="24"/>
    </row>
    <row r="710" spans="1:11" s="12" customFormat="1" ht="31.05" x14ac:dyDescent="0.3">
      <c r="A710" s="3" t="s">
        <v>393</v>
      </c>
      <c r="B710" s="4" t="s">
        <v>404</v>
      </c>
      <c r="C710" s="4" t="s">
        <v>22</v>
      </c>
      <c r="D710" s="4" t="s">
        <v>20</v>
      </c>
      <c r="E710" s="4" t="s">
        <v>221</v>
      </c>
      <c r="F710" s="4"/>
      <c r="G710" s="27">
        <f>G711</f>
        <v>814855.18</v>
      </c>
      <c r="H710" s="56">
        <f>H711</f>
        <v>814855.08</v>
      </c>
      <c r="I710" s="130">
        <f t="shared" si="51"/>
        <v>0.99999987727880668</v>
      </c>
      <c r="J710" s="24"/>
      <c r="K710" s="24"/>
    </row>
    <row r="711" spans="1:11" s="12" customFormat="1" ht="46.55" x14ac:dyDescent="0.3">
      <c r="A711" s="3" t="s">
        <v>543</v>
      </c>
      <c r="B711" s="4" t="s">
        <v>404</v>
      </c>
      <c r="C711" s="4" t="s">
        <v>22</v>
      </c>
      <c r="D711" s="4" t="s">
        <v>20</v>
      </c>
      <c r="E711" s="4" t="s">
        <v>221</v>
      </c>
      <c r="F711" s="4" t="s">
        <v>463</v>
      </c>
      <c r="G711" s="27">
        <f>857742.29-42887.11</f>
        <v>814855.18</v>
      </c>
      <c r="H711" s="56">
        <v>814855.08</v>
      </c>
      <c r="I711" s="130">
        <f t="shared" si="51"/>
        <v>0.99999987727880668</v>
      </c>
      <c r="J711" s="24"/>
      <c r="K711" s="24"/>
    </row>
    <row r="712" spans="1:11" s="12" customFormat="1" ht="46.55" x14ac:dyDescent="0.3">
      <c r="A712" s="3" t="s">
        <v>227</v>
      </c>
      <c r="B712" s="4" t="s">
        <v>404</v>
      </c>
      <c r="C712" s="4" t="s">
        <v>22</v>
      </c>
      <c r="D712" s="4" t="s">
        <v>20</v>
      </c>
      <c r="E712" s="4" t="s">
        <v>228</v>
      </c>
      <c r="F712" s="4"/>
      <c r="G712" s="27">
        <f>G713</f>
        <v>5094192.5999999996</v>
      </c>
      <c r="H712" s="56">
        <f>H713</f>
        <v>5094142.5999999996</v>
      </c>
      <c r="I712" s="130">
        <f t="shared" si="51"/>
        <v>0.99999018490192149</v>
      </c>
      <c r="J712" s="24"/>
      <c r="K712" s="24"/>
    </row>
    <row r="713" spans="1:11" s="12" customFormat="1" ht="31.05" x14ac:dyDescent="0.3">
      <c r="A713" s="3" t="s">
        <v>393</v>
      </c>
      <c r="B713" s="4" t="s">
        <v>404</v>
      </c>
      <c r="C713" s="4" t="s">
        <v>22</v>
      </c>
      <c r="D713" s="4" t="s">
        <v>20</v>
      </c>
      <c r="E713" s="4" t="s">
        <v>229</v>
      </c>
      <c r="F713" s="4"/>
      <c r="G713" s="27">
        <f>G714</f>
        <v>5094192.5999999996</v>
      </c>
      <c r="H713" s="56">
        <f>H714</f>
        <v>5094142.5999999996</v>
      </c>
      <c r="I713" s="130">
        <f t="shared" si="51"/>
        <v>0.99999018490192149</v>
      </c>
      <c r="J713" s="24"/>
      <c r="K713" s="24"/>
    </row>
    <row r="714" spans="1:11" s="12" customFormat="1" ht="62.05" x14ac:dyDescent="0.3">
      <c r="A714" s="3" t="s">
        <v>394</v>
      </c>
      <c r="B714" s="4" t="s">
        <v>404</v>
      </c>
      <c r="C714" s="4" t="s">
        <v>22</v>
      </c>
      <c r="D714" s="4" t="s">
        <v>20</v>
      </c>
      <c r="E714" s="4" t="s">
        <v>229</v>
      </c>
      <c r="F714" s="4" t="s">
        <v>467</v>
      </c>
      <c r="G714" s="27">
        <f>5362308-225697.9-42417.5</f>
        <v>5094192.5999999996</v>
      </c>
      <c r="H714" s="56">
        <v>5094142.5999999996</v>
      </c>
      <c r="I714" s="130">
        <f t="shared" si="51"/>
        <v>0.99999018490192149</v>
      </c>
      <c r="J714" s="24"/>
      <c r="K714" s="24"/>
    </row>
    <row r="715" spans="1:11" s="12" customFormat="1" ht="17.2" x14ac:dyDescent="0.3">
      <c r="A715" s="112" t="s">
        <v>23</v>
      </c>
      <c r="B715" s="2" t="s">
        <v>404</v>
      </c>
      <c r="C715" s="2" t="s">
        <v>15</v>
      </c>
      <c r="D715" s="2"/>
      <c r="E715" s="2"/>
      <c r="F715" s="4"/>
      <c r="G715" s="31">
        <f>G716+G745+G789+G800</f>
        <v>1233439339.46</v>
      </c>
      <c r="H715" s="57">
        <f>H716+H745+H789+H800</f>
        <v>1224736880.5799999</v>
      </c>
      <c r="I715" s="129">
        <f>H715/G715</f>
        <v>0.992944558681086</v>
      </c>
      <c r="J715" s="24"/>
      <c r="K715" s="24"/>
    </row>
    <row r="716" spans="1:11" s="12" customFormat="1" x14ac:dyDescent="0.3">
      <c r="A716" s="1" t="s">
        <v>24</v>
      </c>
      <c r="B716" s="2" t="s">
        <v>404</v>
      </c>
      <c r="C716" s="2" t="s">
        <v>15</v>
      </c>
      <c r="D716" s="2" t="s">
        <v>683</v>
      </c>
      <c r="E716" s="2"/>
      <c r="F716" s="4"/>
      <c r="G716" s="31">
        <f>G717</f>
        <v>517155292.83000004</v>
      </c>
      <c r="H716" s="57">
        <f>H717</f>
        <v>508463970.82000005</v>
      </c>
      <c r="I716" s="129">
        <f t="shared" ref="I716:I730" si="54">H716/G716</f>
        <v>0.98319398035657923</v>
      </c>
      <c r="J716" s="24"/>
      <c r="K716" s="24"/>
    </row>
    <row r="717" spans="1:11" ht="46.55" x14ac:dyDescent="0.3">
      <c r="A717" s="1" t="s">
        <v>60</v>
      </c>
      <c r="B717" s="2" t="s">
        <v>404</v>
      </c>
      <c r="C717" s="2" t="s">
        <v>15</v>
      </c>
      <c r="D717" s="2" t="s">
        <v>683</v>
      </c>
      <c r="E717" s="2" t="s">
        <v>417</v>
      </c>
      <c r="F717" s="2"/>
      <c r="G717" s="31">
        <f>G718+G738</f>
        <v>517155292.83000004</v>
      </c>
      <c r="H717" s="57">
        <f>H718+H738</f>
        <v>508463970.82000005</v>
      </c>
      <c r="I717" s="129">
        <f t="shared" si="54"/>
        <v>0.98319398035657923</v>
      </c>
    </row>
    <row r="718" spans="1:11" s="12" customFormat="1" ht="31.05" x14ac:dyDescent="0.3">
      <c r="A718" s="3" t="s">
        <v>399</v>
      </c>
      <c r="B718" s="4" t="s">
        <v>404</v>
      </c>
      <c r="C718" s="4" t="s">
        <v>15</v>
      </c>
      <c r="D718" s="4" t="s">
        <v>683</v>
      </c>
      <c r="E718" s="4" t="s">
        <v>258</v>
      </c>
      <c r="F718" s="4"/>
      <c r="G718" s="27">
        <f>G719+G730+G735</f>
        <v>509808036.48000002</v>
      </c>
      <c r="H718" s="56">
        <f>H719+H730+H735</f>
        <v>501116714.47000003</v>
      </c>
      <c r="I718" s="130">
        <f t="shared" si="54"/>
        <v>0.98295177520148613</v>
      </c>
      <c r="J718" s="24"/>
      <c r="K718" s="24"/>
    </row>
    <row r="719" spans="1:11" s="12" customFormat="1" ht="108.55" x14ac:dyDescent="0.3">
      <c r="A719" s="3" t="s">
        <v>259</v>
      </c>
      <c r="B719" s="4" t="s">
        <v>404</v>
      </c>
      <c r="C719" s="4" t="s">
        <v>15</v>
      </c>
      <c r="D719" s="4" t="s">
        <v>683</v>
      </c>
      <c r="E719" s="4" t="s">
        <v>260</v>
      </c>
      <c r="F719" s="4"/>
      <c r="G719" s="27">
        <f>G720+G722+G724+G726+G728</f>
        <v>309857326.13</v>
      </c>
      <c r="H719" s="56">
        <f>H720+H722+H724+H726+H728</f>
        <v>301181047.13</v>
      </c>
      <c r="I719" s="130">
        <f t="shared" si="54"/>
        <v>0.97199911614689438</v>
      </c>
      <c r="J719" s="24"/>
      <c r="K719" s="24"/>
    </row>
    <row r="720" spans="1:11" s="12" customFormat="1" ht="108.55" x14ac:dyDescent="0.3">
      <c r="A720" s="3" t="s">
        <v>261</v>
      </c>
      <c r="B720" s="4" t="s">
        <v>404</v>
      </c>
      <c r="C720" s="4" t="s">
        <v>15</v>
      </c>
      <c r="D720" s="4" t="s">
        <v>683</v>
      </c>
      <c r="E720" s="4" t="s">
        <v>262</v>
      </c>
      <c r="F720" s="4"/>
      <c r="G720" s="27">
        <f>G721</f>
        <v>308039800</v>
      </c>
      <c r="H720" s="56">
        <f>H721</f>
        <v>299363521</v>
      </c>
      <c r="I720" s="130">
        <f t="shared" si="54"/>
        <v>0.97183390263206249</v>
      </c>
      <c r="J720" s="24"/>
      <c r="K720" s="24"/>
    </row>
    <row r="721" spans="1:11" s="12" customFormat="1" ht="62.05" x14ac:dyDescent="0.3">
      <c r="A721" s="3" t="s">
        <v>394</v>
      </c>
      <c r="B721" s="4" t="s">
        <v>404</v>
      </c>
      <c r="C721" s="4" t="s">
        <v>15</v>
      </c>
      <c r="D721" s="4" t="s">
        <v>683</v>
      </c>
      <c r="E721" s="4" t="s">
        <v>262</v>
      </c>
      <c r="F721" s="4" t="s">
        <v>467</v>
      </c>
      <c r="G721" s="27">
        <f>306311700+1728100</f>
        <v>308039800</v>
      </c>
      <c r="H721" s="56">
        <v>299363521</v>
      </c>
      <c r="I721" s="130">
        <f t="shared" si="54"/>
        <v>0.97183390263206249</v>
      </c>
      <c r="J721" s="24"/>
      <c r="K721" s="24"/>
    </row>
    <row r="722" spans="1:11" s="12" customFormat="1" ht="108.55" x14ac:dyDescent="0.3">
      <c r="A722" s="3" t="s">
        <v>646</v>
      </c>
      <c r="B722" s="4" t="s">
        <v>404</v>
      </c>
      <c r="C722" s="4" t="s">
        <v>15</v>
      </c>
      <c r="D722" s="4" t="s">
        <v>683</v>
      </c>
      <c r="E722" s="4" t="s">
        <v>263</v>
      </c>
      <c r="F722" s="4"/>
      <c r="G722" s="27">
        <f>G723</f>
        <v>1150930</v>
      </c>
      <c r="H722" s="56">
        <f>H723</f>
        <v>1150930</v>
      </c>
      <c r="I722" s="130">
        <f t="shared" si="54"/>
        <v>1</v>
      </c>
      <c r="J722" s="24"/>
      <c r="K722" s="24"/>
    </row>
    <row r="723" spans="1:11" s="12" customFormat="1" ht="62.05" x14ac:dyDescent="0.3">
      <c r="A723" s="3" t="s">
        <v>394</v>
      </c>
      <c r="B723" s="4" t="s">
        <v>404</v>
      </c>
      <c r="C723" s="4" t="s">
        <v>15</v>
      </c>
      <c r="D723" s="4" t="s">
        <v>683</v>
      </c>
      <c r="E723" s="4" t="s">
        <v>263</v>
      </c>
      <c r="F723" s="4" t="s">
        <v>467</v>
      </c>
      <c r="G723" s="27">
        <v>1150930</v>
      </c>
      <c r="H723" s="56">
        <v>1150930</v>
      </c>
      <c r="I723" s="130">
        <f t="shared" si="54"/>
        <v>1</v>
      </c>
      <c r="J723" s="24"/>
      <c r="K723" s="24"/>
    </row>
    <row r="724" spans="1:11" s="12" customFormat="1" ht="108.55" x14ac:dyDescent="0.3">
      <c r="A724" s="3" t="s">
        <v>646</v>
      </c>
      <c r="B724" s="4" t="s">
        <v>404</v>
      </c>
      <c r="C724" s="4" t="s">
        <v>15</v>
      </c>
      <c r="D724" s="4" t="s">
        <v>683</v>
      </c>
      <c r="E724" s="4" t="s">
        <v>264</v>
      </c>
      <c r="F724" s="4"/>
      <c r="G724" s="27">
        <f>G725</f>
        <v>82156</v>
      </c>
      <c r="H724" s="56">
        <f>H725</f>
        <v>82156</v>
      </c>
      <c r="I724" s="130">
        <f t="shared" si="54"/>
        <v>1</v>
      </c>
      <c r="J724" s="24"/>
      <c r="K724" s="24"/>
    </row>
    <row r="725" spans="1:11" s="12" customFormat="1" ht="62.05" x14ac:dyDescent="0.3">
      <c r="A725" s="3" t="s">
        <v>394</v>
      </c>
      <c r="B725" s="4" t="s">
        <v>404</v>
      </c>
      <c r="C725" s="4" t="s">
        <v>15</v>
      </c>
      <c r="D725" s="4" t="s">
        <v>683</v>
      </c>
      <c r="E725" s="4" t="s">
        <v>264</v>
      </c>
      <c r="F725" s="4" t="s">
        <v>467</v>
      </c>
      <c r="G725" s="27">
        <v>82156</v>
      </c>
      <c r="H725" s="56">
        <v>82156</v>
      </c>
      <c r="I725" s="130">
        <f t="shared" si="54"/>
        <v>1</v>
      </c>
      <c r="J725" s="24"/>
      <c r="K725" s="24"/>
    </row>
    <row r="726" spans="1:11" s="12" customFormat="1" ht="139.6" x14ac:dyDescent="0.3">
      <c r="A726" s="3" t="s">
        <v>265</v>
      </c>
      <c r="B726" s="4" t="s">
        <v>404</v>
      </c>
      <c r="C726" s="4" t="s">
        <v>15</v>
      </c>
      <c r="D726" s="4" t="s">
        <v>683</v>
      </c>
      <c r="E726" s="4" t="s">
        <v>266</v>
      </c>
      <c r="F726" s="4"/>
      <c r="G726" s="27">
        <f>G727</f>
        <v>553739</v>
      </c>
      <c r="H726" s="56">
        <f>H727</f>
        <v>553739</v>
      </c>
      <c r="I726" s="130">
        <f t="shared" si="54"/>
        <v>1</v>
      </c>
      <c r="J726" s="24"/>
      <c r="K726" s="24"/>
    </row>
    <row r="727" spans="1:11" s="12" customFormat="1" ht="62.05" x14ac:dyDescent="0.3">
      <c r="A727" s="3" t="s">
        <v>394</v>
      </c>
      <c r="B727" s="4" t="s">
        <v>404</v>
      </c>
      <c r="C727" s="4" t="s">
        <v>15</v>
      </c>
      <c r="D727" s="4" t="s">
        <v>683</v>
      </c>
      <c r="E727" s="4" t="s">
        <v>266</v>
      </c>
      <c r="F727" s="4" t="s">
        <v>467</v>
      </c>
      <c r="G727" s="27">
        <v>553739</v>
      </c>
      <c r="H727" s="56">
        <v>553739</v>
      </c>
      <c r="I727" s="130">
        <f t="shared" si="54"/>
        <v>1</v>
      </c>
      <c r="J727" s="24"/>
      <c r="K727" s="24"/>
    </row>
    <row r="728" spans="1:11" s="12" customFormat="1" ht="139.6" x14ac:dyDescent="0.3">
      <c r="A728" s="3" t="s">
        <v>265</v>
      </c>
      <c r="B728" s="4" t="s">
        <v>404</v>
      </c>
      <c r="C728" s="4" t="s">
        <v>15</v>
      </c>
      <c r="D728" s="4" t="s">
        <v>683</v>
      </c>
      <c r="E728" s="4" t="s">
        <v>267</v>
      </c>
      <c r="F728" s="4"/>
      <c r="G728" s="27">
        <f>G729</f>
        <v>30701.13</v>
      </c>
      <c r="H728" s="56">
        <f>H729</f>
        <v>30701.13</v>
      </c>
      <c r="I728" s="130">
        <f t="shared" si="54"/>
        <v>1</v>
      </c>
      <c r="J728" s="24"/>
      <c r="K728" s="24"/>
    </row>
    <row r="729" spans="1:11" s="12" customFormat="1" ht="62.05" x14ac:dyDescent="0.3">
      <c r="A729" s="3" t="s">
        <v>394</v>
      </c>
      <c r="B729" s="4" t="s">
        <v>404</v>
      </c>
      <c r="C729" s="4" t="s">
        <v>15</v>
      </c>
      <c r="D729" s="4" t="s">
        <v>683</v>
      </c>
      <c r="E729" s="4" t="s">
        <v>267</v>
      </c>
      <c r="F729" s="4" t="s">
        <v>467</v>
      </c>
      <c r="G729" s="27">
        <v>30701.13</v>
      </c>
      <c r="H729" s="56">
        <v>30701.13</v>
      </c>
      <c r="I729" s="130">
        <f t="shared" si="54"/>
        <v>1</v>
      </c>
      <c r="J729" s="24"/>
      <c r="K729" s="24"/>
    </row>
    <row r="730" spans="1:11" s="12" customFormat="1" ht="77.55" x14ac:dyDescent="0.3">
      <c r="A730" s="3" t="s">
        <v>268</v>
      </c>
      <c r="B730" s="4" t="s">
        <v>404</v>
      </c>
      <c r="C730" s="4" t="s">
        <v>15</v>
      </c>
      <c r="D730" s="4" t="s">
        <v>683</v>
      </c>
      <c r="E730" s="4" t="s">
        <v>269</v>
      </c>
      <c r="F730" s="4"/>
      <c r="G730" s="27">
        <f>G731+G733</f>
        <v>190702809.23000002</v>
      </c>
      <c r="H730" s="56">
        <f>H731+H733</f>
        <v>190702808.56000003</v>
      </c>
      <c r="I730" s="130">
        <f t="shared" si="54"/>
        <v>0.99999999648668003</v>
      </c>
      <c r="J730" s="24"/>
      <c r="K730" s="24"/>
    </row>
    <row r="731" spans="1:11" s="12" customFormat="1" ht="93.05" x14ac:dyDescent="0.3">
      <c r="A731" s="3" t="s">
        <v>589</v>
      </c>
      <c r="B731" s="4" t="s">
        <v>404</v>
      </c>
      <c r="C731" s="4" t="s">
        <v>15</v>
      </c>
      <c r="D731" s="4" t="s">
        <v>683</v>
      </c>
      <c r="E731" s="4" t="s">
        <v>270</v>
      </c>
      <c r="F731" s="4"/>
      <c r="G731" s="27">
        <f>G732</f>
        <v>185254422.97000003</v>
      </c>
      <c r="H731" s="56">
        <f>H732</f>
        <v>185254422.97000003</v>
      </c>
      <c r="I731" s="130">
        <f>H731/G731</f>
        <v>1</v>
      </c>
      <c r="J731" s="24"/>
      <c r="K731" s="24"/>
    </row>
    <row r="732" spans="1:11" s="12" customFormat="1" ht="62.05" x14ac:dyDescent="0.3">
      <c r="A732" s="3" t="s">
        <v>394</v>
      </c>
      <c r="B732" s="4" t="s">
        <v>404</v>
      </c>
      <c r="C732" s="4" t="s">
        <v>15</v>
      </c>
      <c r="D732" s="4" t="s">
        <v>683</v>
      </c>
      <c r="E732" s="4" t="s">
        <v>270</v>
      </c>
      <c r="F732" s="4" t="s">
        <v>467</v>
      </c>
      <c r="G732" s="27">
        <f>181173162.67+7689590-650000-493000-6300010.14+1823219.61+2011460.83</f>
        <v>185254422.97000003</v>
      </c>
      <c r="H732" s="56">
        <f>181173162.67+7689590-650000-493000-6300010.14+1823219.61+2011460.83</f>
        <v>185254422.97000003</v>
      </c>
      <c r="I732" s="130">
        <f>H732/G732</f>
        <v>1</v>
      </c>
      <c r="J732" s="24"/>
      <c r="K732" s="24"/>
    </row>
    <row r="733" spans="1:11" s="12" customFormat="1" ht="31.05" x14ac:dyDescent="0.3">
      <c r="A733" s="3" t="s">
        <v>393</v>
      </c>
      <c r="B733" s="4" t="s">
        <v>404</v>
      </c>
      <c r="C733" s="4" t="s">
        <v>15</v>
      </c>
      <c r="D733" s="4" t="s">
        <v>683</v>
      </c>
      <c r="E733" s="4" t="s">
        <v>776</v>
      </c>
      <c r="F733" s="4"/>
      <c r="G733" s="27">
        <f>G734</f>
        <v>5448386.2599999998</v>
      </c>
      <c r="H733" s="56">
        <f>H734</f>
        <v>5448385.5899999999</v>
      </c>
      <c r="I733" s="130">
        <f t="shared" ref="I733:I755" si="55">H733/G733</f>
        <v>0.99999987702780824</v>
      </c>
      <c r="J733" s="24"/>
      <c r="K733" s="24"/>
    </row>
    <row r="734" spans="1:11" s="12" customFormat="1" ht="62.05" x14ac:dyDescent="0.3">
      <c r="A734" s="3" t="s">
        <v>394</v>
      </c>
      <c r="B734" s="4" t="s">
        <v>404</v>
      </c>
      <c r="C734" s="4" t="s">
        <v>15</v>
      </c>
      <c r="D734" s="4" t="s">
        <v>683</v>
      </c>
      <c r="E734" s="4" t="s">
        <v>776</v>
      </c>
      <c r="F734" s="4" t="s">
        <v>467</v>
      </c>
      <c r="G734" s="27">
        <f>5992432-164443.47-379602.27</f>
        <v>5448386.2599999998</v>
      </c>
      <c r="H734" s="56">
        <v>5448385.5899999999</v>
      </c>
      <c r="I734" s="130">
        <f t="shared" si="55"/>
        <v>0.99999987702780824</v>
      </c>
      <c r="J734" s="24"/>
      <c r="K734" s="24"/>
    </row>
    <row r="735" spans="1:11" ht="31.05" x14ac:dyDescent="0.3">
      <c r="A735" s="3" t="s">
        <v>271</v>
      </c>
      <c r="B735" s="4" t="s">
        <v>404</v>
      </c>
      <c r="C735" s="4" t="s">
        <v>15</v>
      </c>
      <c r="D735" s="4" t="s">
        <v>683</v>
      </c>
      <c r="E735" s="4" t="s">
        <v>272</v>
      </c>
      <c r="F735" s="4"/>
      <c r="G735" s="27">
        <f>G737</f>
        <v>9247901.1199999992</v>
      </c>
      <c r="H735" s="56">
        <f>H737</f>
        <v>9232858.7799999993</v>
      </c>
      <c r="I735" s="130">
        <f t="shared" si="55"/>
        <v>0.99837343200313111</v>
      </c>
    </row>
    <row r="736" spans="1:11" ht="93.05" x14ac:dyDescent="0.3">
      <c r="A736" s="3" t="s">
        <v>589</v>
      </c>
      <c r="B736" s="4" t="s">
        <v>404</v>
      </c>
      <c r="C736" s="4" t="s">
        <v>15</v>
      </c>
      <c r="D736" s="4" t="s">
        <v>683</v>
      </c>
      <c r="E736" s="4" t="s">
        <v>273</v>
      </c>
      <c r="F736" s="4"/>
      <c r="G736" s="27">
        <f>G737</f>
        <v>9247901.1199999992</v>
      </c>
      <c r="H736" s="56">
        <f>H737</f>
        <v>9232858.7799999993</v>
      </c>
      <c r="I736" s="130">
        <f t="shared" si="55"/>
        <v>0.99837343200313111</v>
      </c>
    </row>
    <row r="737" spans="1:11" s="12" customFormat="1" ht="62.05" x14ac:dyDescent="0.3">
      <c r="A737" s="3" t="s">
        <v>394</v>
      </c>
      <c r="B737" s="4" t="s">
        <v>404</v>
      </c>
      <c r="C737" s="4" t="s">
        <v>15</v>
      </c>
      <c r="D737" s="4" t="s">
        <v>683</v>
      </c>
      <c r="E737" s="4" t="s">
        <v>273</v>
      </c>
      <c r="F737" s="4" t="s">
        <v>467</v>
      </c>
      <c r="G737" s="27">
        <f>6503695+685472.64+771517.94+1046435.17+240780.37</f>
        <v>9247901.1199999992</v>
      </c>
      <c r="H737" s="56">
        <v>9232858.7799999993</v>
      </c>
      <c r="I737" s="130">
        <f t="shared" si="55"/>
        <v>0.99837343200313111</v>
      </c>
      <c r="J737" s="24"/>
      <c r="K737" s="24"/>
    </row>
    <row r="738" spans="1:11" s="12" customFormat="1" ht="62.05" x14ac:dyDescent="0.3">
      <c r="A738" s="3" t="s">
        <v>4</v>
      </c>
      <c r="B738" s="4" t="s">
        <v>404</v>
      </c>
      <c r="C738" s="4" t="s">
        <v>15</v>
      </c>
      <c r="D738" s="4" t="s">
        <v>683</v>
      </c>
      <c r="E738" s="4" t="s">
        <v>418</v>
      </c>
      <c r="F738" s="4"/>
      <c r="G738" s="27">
        <f>G739+G742</f>
        <v>7347256.3499999996</v>
      </c>
      <c r="H738" s="56">
        <f>H739+H742</f>
        <v>7347256.3499999996</v>
      </c>
      <c r="I738" s="130">
        <f t="shared" si="55"/>
        <v>1</v>
      </c>
      <c r="J738" s="24"/>
      <c r="K738" s="24"/>
    </row>
    <row r="739" spans="1:11" s="12" customFormat="1" ht="31.05" x14ac:dyDescent="0.3">
      <c r="A739" s="3" t="s">
        <v>687</v>
      </c>
      <c r="B739" s="4" t="s">
        <v>404</v>
      </c>
      <c r="C739" s="4" t="s">
        <v>15</v>
      </c>
      <c r="D739" s="4" t="s">
        <v>683</v>
      </c>
      <c r="E739" s="4" t="s">
        <v>688</v>
      </c>
      <c r="F739" s="4"/>
      <c r="G739" s="27">
        <f>G740</f>
        <v>6300010.1399999997</v>
      </c>
      <c r="H739" s="56">
        <f>H740</f>
        <v>6300010.1399999997</v>
      </c>
      <c r="I739" s="130">
        <f t="shared" si="55"/>
        <v>1</v>
      </c>
      <c r="J739" s="24"/>
      <c r="K739" s="24"/>
    </row>
    <row r="740" spans="1:11" s="12" customFormat="1" ht="31.05" x14ac:dyDescent="0.3">
      <c r="A740" s="3" t="s">
        <v>393</v>
      </c>
      <c r="B740" s="4" t="s">
        <v>404</v>
      </c>
      <c r="C740" s="4" t="s">
        <v>15</v>
      </c>
      <c r="D740" s="4" t="s">
        <v>683</v>
      </c>
      <c r="E740" s="4" t="s">
        <v>757</v>
      </c>
      <c r="F740" s="4"/>
      <c r="G740" s="27">
        <f>G741</f>
        <v>6300010.1399999997</v>
      </c>
      <c r="H740" s="56">
        <f>H741</f>
        <v>6300010.1399999997</v>
      </c>
      <c r="I740" s="130">
        <f t="shared" si="55"/>
        <v>1</v>
      </c>
      <c r="J740" s="24"/>
      <c r="K740" s="24"/>
    </row>
    <row r="741" spans="1:11" s="12" customFormat="1" ht="46.55" x14ac:dyDescent="0.3">
      <c r="A741" s="3" t="s">
        <v>543</v>
      </c>
      <c r="B741" s="4" t="s">
        <v>404</v>
      </c>
      <c r="C741" s="4" t="s">
        <v>15</v>
      </c>
      <c r="D741" s="4" t="s">
        <v>683</v>
      </c>
      <c r="E741" s="4" t="s">
        <v>757</v>
      </c>
      <c r="F741" s="4" t="s">
        <v>463</v>
      </c>
      <c r="G741" s="27">
        <f>6300010.14</f>
        <v>6300010.1399999997</v>
      </c>
      <c r="H741" s="56">
        <f>6300010.14</f>
        <v>6300010.1399999997</v>
      </c>
      <c r="I741" s="130">
        <f t="shared" si="55"/>
        <v>1</v>
      </c>
      <c r="J741" s="24"/>
      <c r="K741" s="24"/>
    </row>
    <row r="742" spans="1:11" s="12" customFormat="1" ht="62.05" x14ac:dyDescent="0.3">
      <c r="A742" s="3" t="s">
        <v>422</v>
      </c>
      <c r="B742" s="4" t="s">
        <v>404</v>
      </c>
      <c r="C742" s="4" t="s">
        <v>15</v>
      </c>
      <c r="D742" s="4" t="s">
        <v>683</v>
      </c>
      <c r="E742" s="4" t="s">
        <v>423</v>
      </c>
      <c r="F742" s="4"/>
      <c r="G742" s="27">
        <f>G743</f>
        <v>1047246.21</v>
      </c>
      <c r="H742" s="56">
        <f>H743</f>
        <v>1047246.21</v>
      </c>
      <c r="I742" s="130">
        <f t="shared" si="55"/>
        <v>1</v>
      </c>
      <c r="J742" s="24"/>
      <c r="K742" s="24"/>
    </row>
    <row r="743" spans="1:11" s="12" customFormat="1" ht="31.05" x14ac:dyDescent="0.3">
      <c r="A743" s="3" t="s">
        <v>393</v>
      </c>
      <c r="B743" s="4" t="s">
        <v>404</v>
      </c>
      <c r="C743" s="4" t="s">
        <v>15</v>
      </c>
      <c r="D743" s="4" t="s">
        <v>683</v>
      </c>
      <c r="E743" s="4" t="s">
        <v>787</v>
      </c>
      <c r="F743" s="4"/>
      <c r="G743" s="27">
        <f>G744</f>
        <v>1047246.21</v>
      </c>
      <c r="H743" s="56">
        <f>H744</f>
        <v>1047246.21</v>
      </c>
      <c r="I743" s="130">
        <f t="shared" si="55"/>
        <v>1</v>
      </c>
      <c r="J743" s="24"/>
      <c r="K743" s="24"/>
    </row>
    <row r="744" spans="1:11" s="12" customFormat="1" ht="62.05" x14ac:dyDescent="0.3">
      <c r="A744" s="3" t="s">
        <v>394</v>
      </c>
      <c r="B744" s="4" t="s">
        <v>404</v>
      </c>
      <c r="C744" s="4" t="s">
        <v>15</v>
      </c>
      <c r="D744" s="4" t="s">
        <v>683</v>
      </c>
      <c r="E744" s="4" t="s">
        <v>787</v>
      </c>
      <c r="F744" s="4" t="s">
        <v>467</v>
      </c>
      <c r="G744" s="27">
        <f>816445.54+241357.2-10556.53</f>
        <v>1047246.21</v>
      </c>
      <c r="H744" s="56">
        <f>816445.54+241357.2-10556.53</f>
        <v>1047246.21</v>
      </c>
      <c r="I744" s="130">
        <f t="shared" si="55"/>
        <v>1</v>
      </c>
      <c r="J744" s="24"/>
      <c r="K744" s="24"/>
    </row>
    <row r="745" spans="1:11" s="12" customFormat="1" x14ac:dyDescent="0.3">
      <c r="A745" s="1" t="s">
        <v>25</v>
      </c>
      <c r="B745" s="2" t="s">
        <v>404</v>
      </c>
      <c r="C745" s="2" t="s">
        <v>15</v>
      </c>
      <c r="D745" s="2" t="s">
        <v>17</v>
      </c>
      <c r="E745" s="4"/>
      <c r="F745" s="4"/>
      <c r="G745" s="31">
        <f>G746</f>
        <v>636499786.91999996</v>
      </c>
      <c r="H745" s="57">
        <f>H746</f>
        <v>636488651.79999995</v>
      </c>
      <c r="I745" s="130">
        <f t="shared" si="55"/>
        <v>0.99998250569720704</v>
      </c>
      <c r="J745" s="24"/>
      <c r="K745" s="24"/>
    </row>
    <row r="746" spans="1:11" ht="46.55" x14ac:dyDescent="0.3">
      <c r="A746" s="1" t="s">
        <v>60</v>
      </c>
      <c r="B746" s="2" t="s">
        <v>404</v>
      </c>
      <c r="C746" s="2" t="s">
        <v>15</v>
      </c>
      <c r="D746" s="2" t="s">
        <v>17</v>
      </c>
      <c r="E746" s="2" t="s">
        <v>417</v>
      </c>
      <c r="F746" s="2"/>
      <c r="G746" s="31">
        <f>G747+G782</f>
        <v>636499786.91999996</v>
      </c>
      <c r="H746" s="57">
        <f>H747+H782</f>
        <v>636488651.79999995</v>
      </c>
      <c r="I746" s="129">
        <f t="shared" si="55"/>
        <v>0.99998250569720704</v>
      </c>
    </row>
    <row r="747" spans="1:11" s="12" customFormat="1" ht="62.05" x14ac:dyDescent="0.3">
      <c r="A747" s="3" t="s">
        <v>398</v>
      </c>
      <c r="B747" s="4" t="s">
        <v>404</v>
      </c>
      <c r="C747" s="4" t="s">
        <v>15</v>
      </c>
      <c r="D747" s="4" t="s">
        <v>17</v>
      </c>
      <c r="E747" s="4" t="s">
        <v>381</v>
      </c>
      <c r="F747" s="4"/>
      <c r="G747" s="27">
        <f>G748+G755+G762+G765+G769+G772+G779</f>
        <v>635792582.31999993</v>
      </c>
      <c r="H747" s="56">
        <f>H748+H755+H762+H765+H769+H772+H779</f>
        <v>635781447.19999993</v>
      </c>
      <c r="I747" s="130">
        <f t="shared" si="55"/>
        <v>0.99998248623794983</v>
      </c>
      <c r="J747" s="24"/>
      <c r="K747" s="24"/>
    </row>
    <row r="748" spans="1:11" s="12" customFormat="1" ht="77.55" x14ac:dyDescent="0.3">
      <c r="A748" s="3" t="s">
        <v>382</v>
      </c>
      <c r="B748" s="4" t="s">
        <v>404</v>
      </c>
      <c r="C748" s="4" t="s">
        <v>15</v>
      </c>
      <c r="D748" s="4" t="s">
        <v>17</v>
      </c>
      <c r="E748" s="4" t="s">
        <v>383</v>
      </c>
      <c r="F748" s="4"/>
      <c r="G748" s="27">
        <f>G749+G751+G753</f>
        <v>130598022.34</v>
      </c>
      <c r="H748" s="56">
        <f>H749+H751+H753</f>
        <v>130598022.34</v>
      </c>
      <c r="I748" s="130">
        <f t="shared" si="55"/>
        <v>1</v>
      </c>
      <c r="J748" s="24"/>
      <c r="K748" s="24"/>
    </row>
    <row r="749" spans="1:11" s="12" customFormat="1" ht="139.6" x14ac:dyDescent="0.3">
      <c r="A749" s="3" t="s">
        <v>265</v>
      </c>
      <c r="B749" s="4" t="s">
        <v>404</v>
      </c>
      <c r="C749" s="4" t="s">
        <v>15</v>
      </c>
      <c r="D749" s="4" t="s">
        <v>17</v>
      </c>
      <c r="E749" s="4" t="s">
        <v>693</v>
      </c>
      <c r="F749" s="4"/>
      <c r="G749" s="27">
        <f>G750</f>
        <v>239756</v>
      </c>
      <c r="H749" s="56">
        <f>H750</f>
        <v>239756</v>
      </c>
      <c r="I749" s="130">
        <f t="shared" si="55"/>
        <v>1</v>
      </c>
      <c r="J749" s="24"/>
      <c r="K749" s="24"/>
    </row>
    <row r="750" spans="1:11" s="12" customFormat="1" ht="62.05" x14ac:dyDescent="0.3">
      <c r="A750" s="3" t="s">
        <v>394</v>
      </c>
      <c r="B750" s="4" t="s">
        <v>404</v>
      </c>
      <c r="C750" s="4" t="s">
        <v>15</v>
      </c>
      <c r="D750" s="4" t="s">
        <v>17</v>
      </c>
      <c r="E750" s="4" t="s">
        <v>693</v>
      </c>
      <c r="F750" s="4" t="s">
        <v>467</v>
      </c>
      <c r="G750" s="27">
        <v>239756</v>
      </c>
      <c r="H750" s="56">
        <v>239756</v>
      </c>
      <c r="I750" s="130">
        <f t="shared" si="55"/>
        <v>1</v>
      </c>
      <c r="J750" s="24"/>
      <c r="K750" s="24"/>
    </row>
    <row r="751" spans="1:11" s="12" customFormat="1" ht="139.6" x14ac:dyDescent="0.3">
      <c r="A751" s="3" t="s">
        <v>265</v>
      </c>
      <c r="B751" s="4" t="s">
        <v>404</v>
      </c>
      <c r="C751" s="4" t="s">
        <v>15</v>
      </c>
      <c r="D751" s="4" t="s">
        <v>17</v>
      </c>
      <c r="E751" s="4" t="s">
        <v>694</v>
      </c>
      <c r="F751" s="4"/>
      <c r="G751" s="27">
        <f>G752</f>
        <v>13285.36</v>
      </c>
      <c r="H751" s="56">
        <f>H752</f>
        <v>13285.36</v>
      </c>
      <c r="I751" s="130">
        <f t="shared" si="55"/>
        <v>1</v>
      </c>
      <c r="J751" s="24"/>
      <c r="K751" s="24"/>
    </row>
    <row r="752" spans="1:11" s="12" customFormat="1" ht="62.05" x14ac:dyDescent="0.3">
      <c r="A752" s="3" t="s">
        <v>394</v>
      </c>
      <c r="B752" s="4" t="s">
        <v>404</v>
      </c>
      <c r="C752" s="4" t="s">
        <v>15</v>
      </c>
      <c r="D752" s="4" t="s">
        <v>17</v>
      </c>
      <c r="E752" s="4" t="s">
        <v>694</v>
      </c>
      <c r="F752" s="4" t="s">
        <v>467</v>
      </c>
      <c r="G752" s="27">
        <v>13285.36</v>
      </c>
      <c r="H752" s="56">
        <v>13285.36</v>
      </c>
      <c r="I752" s="130">
        <f t="shared" si="55"/>
        <v>1</v>
      </c>
      <c r="J752" s="24"/>
      <c r="K752" s="24"/>
    </row>
    <row r="753" spans="1:11" s="12" customFormat="1" ht="93.05" x14ac:dyDescent="0.3">
      <c r="A753" s="3" t="s">
        <v>384</v>
      </c>
      <c r="B753" s="4" t="s">
        <v>404</v>
      </c>
      <c r="C753" s="4" t="s">
        <v>15</v>
      </c>
      <c r="D753" s="4" t="s">
        <v>17</v>
      </c>
      <c r="E753" s="4" t="s">
        <v>385</v>
      </c>
      <c r="F753" s="4"/>
      <c r="G753" s="27">
        <f>G754</f>
        <v>130344980.98</v>
      </c>
      <c r="H753" s="56">
        <f>H754</f>
        <v>130344980.98</v>
      </c>
      <c r="I753" s="130">
        <f t="shared" si="55"/>
        <v>1</v>
      </c>
      <c r="J753" s="24"/>
      <c r="K753" s="24"/>
    </row>
    <row r="754" spans="1:11" s="12" customFormat="1" ht="62.05" x14ac:dyDescent="0.3">
      <c r="A754" s="3" t="s">
        <v>394</v>
      </c>
      <c r="B754" s="4" t="s">
        <v>404</v>
      </c>
      <c r="C754" s="4" t="s">
        <v>15</v>
      </c>
      <c r="D754" s="4" t="s">
        <v>17</v>
      </c>
      <c r="E754" s="4" t="s">
        <v>385</v>
      </c>
      <c r="F754" s="4" t="s">
        <v>467</v>
      </c>
      <c r="G754" s="27">
        <f>130947250+2659572.39-3261841.41</f>
        <v>130344980.98</v>
      </c>
      <c r="H754" s="56">
        <f>130947250+2659572.39-3261841.41</f>
        <v>130344980.98</v>
      </c>
      <c r="I754" s="130">
        <f t="shared" si="55"/>
        <v>1</v>
      </c>
      <c r="J754" s="24"/>
      <c r="K754" s="24"/>
    </row>
    <row r="755" spans="1:11" s="12" customFormat="1" ht="77.55" x14ac:dyDescent="0.3">
      <c r="A755" s="3" t="s">
        <v>386</v>
      </c>
      <c r="B755" s="4" t="s">
        <v>404</v>
      </c>
      <c r="C755" s="4" t="s">
        <v>15</v>
      </c>
      <c r="D755" s="4" t="s">
        <v>17</v>
      </c>
      <c r="E755" s="4" t="s">
        <v>387</v>
      </c>
      <c r="F755" s="4"/>
      <c r="G755" s="27">
        <f>G756+G758+G760</f>
        <v>165212466.47000003</v>
      </c>
      <c r="H755" s="56">
        <f>H756+H758+H760</f>
        <v>165212466.47000003</v>
      </c>
      <c r="I755" s="130">
        <f t="shared" si="55"/>
        <v>1</v>
      </c>
      <c r="J755" s="24"/>
      <c r="K755" s="24"/>
    </row>
    <row r="756" spans="1:11" s="12" customFormat="1" ht="139.6" x14ac:dyDescent="0.3">
      <c r="A756" s="3" t="s">
        <v>265</v>
      </c>
      <c r="B756" s="4" t="s">
        <v>404</v>
      </c>
      <c r="C756" s="4" t="s">
        <v>15</v>
      </c>
      <c r="D756" s="4" t="s">
        <v>17</v>
      </c>
      <c r="E756" s="4" t="s">
        <v>695</v>
      </c>
      <c r="F756" s="4"/>
      <c r="G756" s="27">
        <f>G757</f>
        <v>204953</v>
      </c>
      <c r="H756" s="56">
        <f>H757</f>
        <v>204953</v>
      </c>
      <c r="I756" s="130">
        <f>H756/G756</f>
        <v>1</v>
      </c>
      <c r="J756" s="24"/>
      <c r="K756" s="24"/>
    </row>
    <row r="757" spans="1:11" s="12" customFormat="1" ht="62.05" x14ac:dyDescent="0.3">
      <c r="A757" s="3" t="s">
        <v>394</v>
      </c>
      <c r="B757" s="4" t="s">
        <v>404</v>
      </c>
      <c r="C757" s="4" t="s">
        <v>15</v>
      </c>
      <c r="D757" s="4" t="s">
        <v>17</v>
      </c>
      <c r="E757" s="4" t="s">
        <v>695</v>
      </c>
      <c r="F757" s="4" t="s">
        <v>467</v>
      </c>
      <c r="G757" s="27">
        <v>204953</v>
      </c>
      <c r="H757" s="56">
        <v>204953</v>
      </c>
      <c r="I757" s="130">
        <f>H757/G757</f>
        <v>1</v>
      </c>
      <c r="J757" s="24"/>
      <c r="K757" s="24"/>
    </row>
    <row r="758" spans="1:11" s="12" customFormat="1" ht="139.6" x14ac:dyDescent="0.3">
      <c r="A758" s="3" t="s">
        <v>265</v>
      </c>
      <c r="B758" s="4" t="s">
        <v>404</v>
      </c>
      <c r="C758" s="4" t="s">
        <v>15</v>
      </c>
      <c r="D758" s="4" t="s">
        <v>17</v>
      </c>
      <c r="E758" s="4" t="s">
        <v>696</v>
      </c>
      <c r="F758" s="4"/>
      <c r="G758" s="27">
        <f>G759</f>
        <v>11357.15</v>
      </c>
      <c r="H758" s="56">
        <f>H759</f>
        <v>11357.15</v>
      </c>
      <c r="I758" s="130">
        <f t="shared" ref="I758:I772" si="56">H758/G758</f>
        <v>1</v>
      </c>
      <c r="J758" s="24"/>
      <c r="K758" s="24"/>
    </row>
    <row r="759" spans="1:11" s="12" customFormat="1" ht="62.05" x14ac:dyDescent="0.3">
      <c r="A759" s="3" t="s">
        <v>394</v>
      </c>
      <c r="B759" s="4" t="s">
        <v>404</v>
      </c>
      <c r="C759" s="4" t="s">
        <v>15</v>
      </c>
      <c r="D759" s="4" t="s">
        <v>17</v>
      </c>
      <c r="E759" s="4" t="s">
        <v>696</v>
      </c>
      <c r="F759" s="4" t="s">
        <v>467</v>
      </c>
      <c r="G759" s="27">
        <v>11357.15</v>
      </c>
      <c r="H759" s="56">
        <v>11357.15</v>
      </c>
      <c r="I759" s="130">
        <f t="shared" si="56"/>
        <v>1</v>
      </c>
      <c r="J759" s="24"/>
      <c r="K759" s="24"/>
    </row>
    <row r="760" spans="1:11" s="12" customFormat="1" ht="93.05" x14ac:dyDescent="0.3">
      <c r="A760" s="3" t="s">
        <v>384</v>
      </c>
      <c r="B760" s="4" t="s">
        <v>404</v>
      </c>
      <c r="C760" s="4" t="s">
        <v>15</v>
      </c>
      <c r="D760" s="4" t="s">
        <v>17</v>
      </c>
      <c r="E760" s="4" t="s">
        <v>388</v>
      </c>
      <c r="F760" s="4"/>
      <c r="G760" s="27">
        <f>G761</f>
        <v>164996156.32000002</v>
      </c>
      <c r="H760" s="56">
        <f>H761</f>
        <v>164996156.32000002</v>
      </c>
      <c r="I760" s="130">
        <f t="shared" si="56"/>
        <v>1</v>
      </c>
      <c r="J760" s="24"/>
      <c r="K760" s="24"/>
    </row>
    <row r="761" spans="1:11" s="12" customFormat="1" ht="62.05" x14ac:dyDescent="0.3">
      <c r="A761" s="3" t="s">
        <v>394</v>
      </c>
      <c r="B761" s="4" t="s">
        <v>404</v>
      </c>
      <c r="C761" s="4" t="s">
        <v>15</v>
      </c>
      <c r="D761" s="4" t="s">
        <v>17</v>
      </c>
      <c r="E761" s="4" t="s">
        <v>388</v>
      </c>
      <c r="F761" s="4" t="s">
        <v>467</v>
      </c>
      <c r="G761" s="27">
        <f>164528250+169906.61+297999.71</f>
        <v>164996156.32000002</v>
      </c>
      <c r="H761" s="56">
        <f>164528250+169906.61+297999.71</f>
        <v>164996156.32000002</v>
      </c>
      <c r="I761" s="130">
        <f t="shared" si="56"/>
        <v>1</v>
      </c>
      <c r="J761" s="24"/>
      <c r="K761" s="24"/>
    </row>
    <row r="762" spans="1:11" s="12" customFormat="1" ht="77.55" x14ac:dyDescent="0.3">
      <c r="A762" s="3" t="s">
        <v>192</v>
      </c>
      <c r="B762" s="4" t="s">
        <v>404</v>
      </c>
      <c r="C762" s="4" t="s">
        <v>15</v>
      </c>
      <c r="D762" s="4" t="s">
        <v>17</v>
      </c>
      <c r="E762" s="4" t="s">
        <v>193</v>
      </c>
      <c r="F762" s="4"/>
      <c r="G762" s="27">
        <f>G763</f>
        <v>31629962.699999999</v>
      </c>
      <c r="H762" s="56">
        <f>H763</f>
        <v>31629962.699999999</v>
      </c>
      <c r="I762" s="130">
        <f t="shared" si="56"/>
        <v>1</v>
      </c>
      <c r="J762" s="24"/>
      <c r="K762" s="24"/>
    </row>
    <row r="763" spans="1:11" s="12" customFormat="1" ht="93.05" x14ac:dyDescent="0.3">
      <c r="A763" s="3" t="s">
        <v>384</v>
      </c>
      <c r="B763" s="4" t="s">
        <v>404</v>
      </c>
      <c r="C763" s="4" t="s">
        <v>15</v>
      </c>
      <c r="D763" s="4" t="s">
        <v>17</v>
      </c>
      <c r="E763" s="4" t="s">
        <v>194</v>
      </c>
      <c r="F763" s="4"/>
      <c r="G763" s="27">
        <f>G764</f>
        <v>31629962.699999999</v>
      </c>
      <c r="H763" s="56">
        <f>H764</f>
        <v>31629962.699999999</v>
      </c>
      <c r="I763" s="130">
        <f>H763/G763</f>
        <v>1</v>
      </c>
      <c r="J763" s="24"/>
      <c r="K763" s="24"/>
    </row>
    <row r="764" spans="1:11" s="12" customFormat="1" ht="62.05" x14ac:dyDescent="0.3">
      <c r="A764" s="3" t="s">
        <v>394</v>
      </c>
      <c r="B764" s="4" t="s">
        <v>404</v>
      </c>
      <c r="C764" s="4" t="s">
        <v>15</v>
      </c>
      <c r="D764" s="4" t="s">
        <v>17</v>
      </c>
      <c r="E764" s="4" t="s">
        <v>194</v>
      </c>
      <c r="F764" s="4" t="s">
        <v>467</v>
      </c>
      <c r="G764" s="27">
        <f>30434100-1767979+2963841.7</f>
        <v>31629962.699999999</v>
      </c>
      <c r="H764" s="56">
        <f>30434100-1767979+2963841.7</f>
        <v>31629962.699999999</v>
      </c>
      <c r="I764" s="130">
        <f t="shared" si="56"/>
        <v>1</v>
      </c>
      <c r="J764" s="24"/>
      <c r="K764" s="24"/>
    </row>
    <row r="765" spans="1:11" s="12" customFormat="1" ht="139.6" x14ac:dyDescent="0.3">
      <c r="A765" s="113" t="s">
        <v>37</v>
      </c>
      <c r="B765" s="248" t="s">
        <v>404</v>
      </c>
      <c r="C765" s="248" t="s">
        <v>15</v>
      </c>
      <c r="D765" s="248" t="s">
        <v>17</v>
      </c>
      <c r="E765" s="248" t="s">
        <v>195</v>
      </c>
      <c r="F765" s="248"/>
      <c r="G765" s="251">
        <f>G767</f>
        <v>100496919.17999999</v>
      </c>
      <c r="H765" s="250">
        <f>H767</f>
        <v>100496919.17999999</v>
      </c>
      <c r="I765" s="246">
        <f t="shared" si="56"/>
        <v>1</v>
      </c>
      <c r="J765" s="24"/>
      <c r="K765" s="24"/>
    </row>
    <row r="766" spans="1:11" s="12" customFormat="1" ht="62.05" x14ac:dyDescent="0.3">
      <c r="A766" s="3" t="s">
        <v>38</v>
      </c>
      <c r="B766" s="248"/>
      <c r="C766" s="248"/>
      <c r="D766" s="248"/>
      <c r="E766" s="248"/>
      <c r="F766" s="248"/>
      <c r="G766" s="251"/>
      <c r="H766" s="250"/>
      <c r="I766" s="247"/>
      <c r="J766" s="24"/>
      <c r="K766" s="24"/>
    </row>
    <row r="767" spans="1:11" s="12" customFormat="1" ht="93.05" x14ac:dyDescent="0.3">
      <c r="A767" s="3" t="s">
        <v>589</v>
      </c>
      <c r="B767" s="4" t="s">
        <v>404</v>
      </c>
      <c r="C767" s="4" t="s">
        <v>15</v>
      </c>
      <c r="D767" s="4" t="s">
        <v>17</v>
      </c>
      <c r="E767" s="4" t="s">
        <v>196</v>
      </c>
      <c r="F767" s="4"/>
      <c r="G767" s="27">
        <f>G768</f>
        <v>100496919.17999999</v>
      </c>
      <c r="H767" s="56">
        <f>H768</f>
        <v>100496919.17999999</v>
      </c>
      <c r="I767" s="130">
        <f t="shared" si="56"/>
        <v>1</v>
      </c>
      <c r="J767" s="24"/>
      <c r="K767" s="24"/>
    </row>
    <row r="768" spans="1:11" s="12" customFormat="1" ht="62.05" x14ac:dyDescent="0.3">
      <c r="A768" s="3" t="s">
        <v>394</v>
      </c>
      <c r="B768" s="4" t="s">
        <v>404</v>
      </c>
      <c r="C768" s="4" t="s">
        <v>15</v>
      </c>
      <c r="D768" s="4" t="s">
        <v>17</v>
      </c>
      <c r="E768" s="4" t="s">
        <v>196</v>
      </c>
      <c r="F768" s="4" t="s">
        <v>467</v>
      </c>
      <c r="G768" s="27">
        <f>100923704.24-426785.06</f>
        <v>100496919.17999999</v>
      </c>
      <c r="H768" s="56">
        <f>100923704.24-426785.06</f>
        <v>100496919.17999999</v>
      </c>
      <c r="I768" s="130">
        <f t="shared" si="56"/>
        <v>1</v>
      </c>
      <c r="J768" s="24"/>
      <c r="K768" s="24"/>
    </row>
    <row r="769" spans="1:11" s="12" customFormat="1" ht="31.05" x14ac:dyDescent="0.3">
      <c r="A769" s="3" t="s">
        <v>271</v>
      </c>
      <c r="B769" s="4" t="s">
        <v>404</v>
      </c>
      <c r="C769" s="4" t="s">
        <v>15</v>
      </c>
      <c r="D769" s="4" t="s">
        <v>17</v>
      </c>
      <c r="E769" s="4" t="s">
        <v>197</v>
      </c>
      <c r="F769" s="4"/>
      <c r="G769" s="27">
        <f>G770</f>
        <v>5902090.4500000002</v>
      </c>
      <c r="H769" s="56">
        <f>H770</f>
        <v>5890955.3300000001</v>
      </c>
      <c r="I769" s="130">
        <f t="shared" si="56"/>
        <v>0.99811335998756168</v>
      </c>
      <c r="J769" s="24"/>
      <c r="K769" s="24"/>
    </row>
    <row r="770" spans="1:11" s="12" customFormat="1" ht="93.05" x14ac:dyDescent="0.3">
      <c r="A770" s="3" t="s">
        <v>589</v>
      </c>
      <c r="B770" s="4" t="s">
        <v>404</v>
      </c>
      <c r="C770" s="4" t="s">
        <v>15</v>
      </c>
      <c r="D770" s="4" t="s">
        <v>17</v>
      </c>
      <c r="E770" s="4" t="s">
        <v>198</v>
      </c>
      <c r="F770" s="4"/>
      <c r="G770" s="27">
        <f>G771</f>
        <v>5902090.4500000002</v>
      </c>
      <c r="H770" s="56">
        <f>H771</f>
        <v>5890955.3300000001</v>
      </c>
      <c r="I770" s="130">
        <f t="shared" si="56"/>
        <v>0.99811335998756168</v>
      </c>
      <c r="J770" s="24"/>
      <c r="K770" s="24"/>
    </row>
    <row r="771" spans="1:11" s="12" customFormat="1" ht="62.05" x14ac:dyDescent="0.3">
      <c r="A771" s="3" t="s">
        <v>394</v>
      </c>
      <c r="B771" s="4" t="s">
        <v>404</v>
      </c>
      <c r="C771" s="4" t="s">
        <v>15</v>
      </c>
      <c r="D771" s="4" t="s">
        <v>17</v>
      </c>
      <c r="E771" s="4" t="s">
        <v>198</v>
      </c>
      <c r="F771" s="4" t="s">
        <v>467</v>
      </c>
      <c r="G771" s="27">
        <f>5326428.04-685472.64+834349.99+426785.06</f>
        <v>5902090.4500000002</v>
      </c>
      <c r="H771" s="56">
        <v>5890955.3300000001</v>
      </c>
      <c r="I771" s="130">
        <f t="shared" si="56"/>
        <v>0.99811335998756168</v>
      </c>
      <c r="J771" s="24"/>
      <c r="K771" s="24"/>
    </row>
    <row r="772" spans="1:11" s="12" customFormat="1" ht="46.55" x14ac:dyDescent="0.3">
      <c r="A772" s="3" t="s">
        <v>199</v>
      </c>
      <c r="B772" s="4" t="s">
        <v>404</v>
      </c>
      <c r="C772" s="4" t="s">
        <v>15</v>
      </c>
      <c r="D772" s="4" t="s">
        <v>17</v>
      </c>
      <c r="E772" s="4" t="s">
        <v>200</v>
      </c>
      <c r="F772" s="4"/>
      <c r="G772" s="27">
        <f>G773+G775+G777</f>
        <v>198785017.61999997</v>
      </c>
      <c r="H772" s="56">
        <f>H773+H775+H777</f>
        <v>198785017.61999997</v>
      </c>
      <c r="I772" s="130">
        <f t="shared" si="56"/>
        <v>1</v>
      </c>
      <c r="J772" s="24"/>
      <c r="K772" s="24"/>
    </row>
    <row r="773" spans="1:11" s="12" customFormat="1" ht="93.05" x14ac:dyDescent="0.3">
      <c r="A773" s="3" t="s">
        <v>589</v>
      </c>
      <c r="B773" s="4" t="s">
        <v>404</v>
      </c>
      <c r="C773" s="4" t="s">
        <v>15</v>
      </c>
      <c r="D773" s="4" t="s">
        <v>17</v>
      </c>
      <c r="E773" s="4" t="s">
        <v>201</v>
      </c>
      <c r="F773" s="4"/>
      <c r="G773" s="27">
        <f>G774</f>
        <v>193159607.10999998</v>
      </c>
      <c r="H773" s="56">
        <f>H774</f>
        <v>193159607.10999998</v>
      </c>
      <c r="I773" s="130">
        <f t="shared" ref="I773:I814" si="57">H773/G773</f>
        <v>1</v>
      </c>
      <c r="J773" s="24"/>
      <c r="K773" s="24"/>
    </row>
    <row r="774" spans="1:11" s="12" customFormat="1" ht="62.05" x14ac:dyDescent="0.3">
      <c r="A774" s="3" t="s">
        <v>394</v>
      </c>
      <c r="B774" s="4" t="s">
        <v>404</v>
      </c>
      <c r="C774" s="4" t="s">
        <v>15</v>
      </c>
      <c r="D774" s="4" t="s">
        <v>17</v>
      </c>
      <c r="E774" s="4" t="s">
        <v>201</v>
      </c>
      <c r="F774" s="4" t="s">
        <v>467</v>
      </c>
      <c r="G774" s="27">
        <f>202951085.01-2992432-2989805.55-2558652.27-9862.15-1083433.26-157292.67</f>
        <v>193159607.10999998</v>
      </c>
      <c r="H774" s="56">
        <f>202951085.01-2992432-2989805.55-2558652.27-9862.15-1083433.26-157292.67</f>
        <v>193159607.10999998</v>
      </c>
      <c r="I774" s="130">
        <f t="shared" si="57"/>
        <v>1</v>
      </c>
      <c r="J774" s="24"/>
      <c r="K774" s="24"/>
    </row>
    <row r="775" spans="1:11" s="12" customFormat="1" ht="108.55" x14ac:dyDescent="0.3">
      <c r="A775" s="3" t="s">
        <v>646</v>
      </c>
      <c r="B775" s="4" t="s">
        <v>404</v>
      </c>
      <c r="C775" s="4" t="s">
        <v>15</v>
      </c>
      <c r="D775" s="4" t="s">
        <v>17</v>
      </c>
      <c r="E775" s="4" t="s">
        <v>202</v>
      </c>
      <c r="F775" s="4"/>
      <c r="G775" s="27">
        <f>G776</f>
        <v>2958350</v>
      </c>
      <c r="H775" s="56">
        <f>H776</f>
        <v>2958350</v>
      </c>
      <c r="I775" s="130">
        <f t="shared" si="57"/>
        <v>1</v>
      </c>
      <c r="J775" s="24"/>
      <c r="K775" s="24"/>
    </row>
    <row r="776" spans="1:11" s="12" customFormat="1" ht="62.05" x14ac:dyDescent="0.3">
      <c r="A776" s="3" t="s">
        <v>394</v>
      </c>
      <c r="B776" s="4" t="s">
        <v>404</v>
      </c>
      <c r="C776" s="4" t="s">
        <v>15</v>
      </c>
      <c r="D776" s="4" t="s">
        <v>17</v>
      </c>
      <c r="E776" s="4" t="s">
        <v>202</v>
      </c>
      <c r="F776" s="4" t="s">
        <v>467</v>
      </c>
      <c r="G776" s="27">
        <v>2958350</v>
      </c>
      <c r="H776" s="56">
        <v>2958350</v>
      </c>
      <c r="I776" s="130">
        <f t="shared" si="57"/>
        <v>1</v>
      </c>
      <c r="J776" s="24"/>
      <c r="K776" s="24"/>
    </row>
    <row r="777" spans="1:11" s="12" customFormat="1" ht="108.55" x14ac:dyDescent="0.3">
      <c r="A777" s="3" t="s">
        <v>646</v>
      </c>
      <c r="B777" s="4" t="s">
        <v>404</v>
      </c>
      <c r="C777" s="4" t="s">
        <v>15</v>
      </c>
      <c r="D777" s="4" t="s">
        <v>17</v>
      </c>
      <c r="E777" s="4" t="s">
        <v>690</v>
      </c>
      <c r="F777" s="4"/>
      <c r="G777" s="27">
        <f>G778</f>
        <v>2667060.5099999998</v>
      </c>
      <c r="H777" s="56">
        <f>H778</f>
        <v>2667060.5099999998</v>
      </c>
      <c r="I777" s="130">
        <f t="shared" si="57"/>
        <v>1</v>
      </c>
      <c r="J777" s="24"/>
      <c r="K777" s="24"/>
    </row>
    <row r="778" spans="1:11" s="12" customFormat="1" ht="62.05" x14ac:dyDescent="0.3">
      <c r="A778" s="3" t="s">
        <v>394</v>
      </c>
      <c r="B778" s="4" t="s">
        <v>404</v>
      </c>
      <c r="C778" s="4" t="s">
        <v>15</v>
      </c>
      <c r="D778" s="4" t="s">
        <v>17</v>
      </c>
      <c r="E778" s="4" t="s">
        <v>690</v>
      </c>
      <c r="F778" s="4" t="s">
        <v>467</v>
      </c>
      <c r="G778" s="27">
        <v>2667060.5099999998</v>
      </c>
      <c r="H778" s="56">
        <v>2667060.5099999998</v>
      </c>
      <c r="I778" s="130">
        <f t="shared" si="57"/>
        <v>1</v>
      </c>
      <c r="J778" s="24"/>
      <c r="K778" s="24"/>
    </row>
    <row r="779" spans="1:11" s="12" customFormat="1" ht="31.05" x14ac:dyDescent="0.3">
      <c r="A779" s="3" t="s">
        <v>271</v>
      </c>
      <c r="B779" s="4" t="s">
        <v>404</v>
      </c>
      <c r="C779" s="4" t="s">
        <v>15</v>
      </c>
      <c r="D779" s="4" t="s">
        <v>17</v>
      </c>
      <c r="E779" s="4" t="s">
        <v>691</v>
      </c>
      <c r="F779" s="4"/>
      <c r="G779" s="27">
        <f>G780</f>
        <v>3168103.56</v>
      </c>
      <c r="H779" s="56">
        <f>H780</f>
        <v>3168103.56</v>
      </c>
      <c r="I779" s="130">
        <f t="shared" si="57"/>
        <v>1</v>
      </c>
      <c r="J779" s="24"/>
      <c r="K779" s="24"/>
    </row>
    <row r="780" spans="1:11" s="12" customFormat="1" ht="93.05" x14ac:dyDescent="0.3">
      <c r="A780" s="3" t="s">
        <v>589</v>
      </c>
      <c r="B780" s="4" t="s">
        <v>404</v>
      </c>
      <c r="C780" s="4" t="s">
        <v>15</v>
      </c>
      <c r="D780" s="4" t="s">
        <v>17</v>
      </c>
      <c r="E780" s="4" t="s">
        <v>692</v>
      </c>
      <c r="F780" s="4"/>
      <c r="G780" s="27">
        <f>G781</f>
        <v>3168103.56</v>
      </c>
      <c r="H780" s="56">
        <f>H781</f>
        <v>3168103.56</v>
      </c>
      <c r="I780" s="130">
        <f t="shared" si="57"/>
        <v>1</v>
      </c>
      <c r="J780" s="24"/>
      <c r="K780" s="24"/>
    </row>
    <row r="781" spans="1:11" s="12" customFormat="1" ht="62.05" x14ac:dyDescent="0.3">
      <c r="A781" s="3" t="s">
        <v>394</v>
      </c>
      <c r="B781" s="4" t="s">
        <v>404</v>
      </c>
      <c r="C781" s="4" t="s">
        <v>15</v>
      </c>
      <c r="D781" s="4" t="s">
        <v>17</v>
      </c>
      <c r="E781" s="4" t="s">
        <v>692</v>
      </c>
      <c r="F781" s="4" t="s">
        <v>467</v>
      </c>
      <c r="G781" s="27">
        <f>2534249.99+676733.02+9862.15-49672.41-3069.19</f>
        <v>3168103.56</v>
      </c>
      <c r="H781" s="56">
        <f>2534249.99+676733.02+9862.15-49672.41-3069.19</f>
        <v>3168103.56</v>
      </c>
      <c r="I781" s="130">
        <f t="shared" si="57"/>
        <v>1</v>
      </c>
      <c r="J781" s="24"/>
      <c r="K781" s="24"/>
    </row>
    <row r="782" spans="1:11" s="12" customFormat="1" ht="62.05" x14ac:dyDescent="0.3">
      <c r="A782" s="3" t="s">
        <v>4</v>
      </c>
      <c r="B782" s="4" t="s">
        <v>404</v>
      </c>
      <c r="C782" s="4" t="s">
        <v>15</v>
      </c>
      <c r="D782" s="4" t="s">
        <v>17</v>
      </c>
      <c r="E782" s="4" t="s">
        <v>418</v>
      </c>
      <c r="F782" s="4"/>
      <c r="G782" s="27">
        <f>G783+G786</f>
        <v>707204.6</v>
      </c>
      <c r="H782" s="56">
        <f>H783+H786</f>
        <v>707204.6</v>
      </c>
      <c r="I782" s="130">
        <f t="shared" si="57"/>
        <v>1</v>
      </c>
      <c r="J782" s="24"/>
      <c r="K782" s="24"/>
    </row>
    <row r="783" spans="1:11" s="12" customFormat="1" ht="62.05" x14ac:dyDescent="0.3">
      <c r="A783" s="3" t="s">
        <v>419</v>
      </c>
      <c r="B783" s="4" t="s">
        <v>404</v>
      </c>
      <c r="C783" s="4" t="s">
        <v>15</v>
      </c>
      <c r="D783" s="4" t="s">
        <v>17</v>
      </c>
      <c r="E783" s="4" t="s">
        <v>420</v>
      </c>
      <c r="F783" s="4"/>
      <c r="G783" s="27">
        <f>G784</f>
        <v>366885.6</v>
      </c>
      <c r="H783" s="56">
        <f>H784</f>
        <v>366885.6</v>
      </c>
      <c r="I783" s="130">
        <f t="shared" si="57"/>
        <v>1</v>
      </c>
      <c r="J783" s="24"/>
      <c r="K783" s="24"/>
    </row>
    <row r="784" spans="1:11" s="12" customFormat="1" ht="31.05" x14ac:dyDescent="0.3">
      <c r="A784" s="3" t="s">
        <v>393</v>
      </c>
      <c r="B784" s="4" t="s">
        <v>404</v>
      </c>
      <c r="C784" s="4" t="s">
        <v>15</v>
      </c>
      <c r="D784" s="4" t="s">
        <v>17</v>
      </c>
      <c r="E784" s="4" t="s">
        <v>764</v>
      </c>
      <c r="F784" s="4"/>
      <c r="G784" s="27">
        <f>G785</f>
        <v>366885.6</v>
      </c>
      <c r="H784" s="56">
        <f>H785</f>
        <v>366885.6</v>
      </c>
      <c r="I784" s="130">
        <f t="shared" si="57"/>
        <v>1</v>
      </c>
      <c r="J784" s="24"/>
      <c r="K784" s="24"/>
    </row>
    <row r="785" spans="1:11" s="12" customFormat="1" ht="62.05" x14ac:dyDescent="0.3">
      <c r="A785" s="3" t="s">
        <v>394</v>
      </c>
      <c r="B785" s="4" t="s">
        <v>404</v>
      </c>
      <c r="C785" s="4" t="s">
        <v>15</v>
      </c>
      <c r="D785" s="4" t="s">
        <v>17</v>
      </c>
      <c r="E785" s="4" t="s">
        <v>764</v>
      </c>
      <c r="F785" s="4" t="s">
        <v>467</v>
      </c>
      <c r="G785" s="27">
        <f>366885.6</f>
        <v>366885.6</v>
      </c>
      <c r="H785" s="56">
        <f>366885.6</f>
        <v>366885.6</v>
      </c>
      <c r="I785" s="130">
        <f t="shared" si="57"/>
        <v>1</v>
      </c>
      <c r="J785" s="24"/>
      <c r="K785" s="24"/>
    </row>
    <row r="786" spans="1:11" s="12" customFormat="1" ht="62.05" x14ac:dyDescent="0.3">
      <c r="A786" s="3" t="s">
        <v>422</v>
      </c>
      <c r="B786" s="4" t="s">
        <v>404</v>
      </c>
      <c r="C786" s="4" t="s">
        <v>15</v>
      </c>
      <c r="D786" s="4" t="s">
        <v>17</v>
      </c>
      <c r="E786" s="4" t="s">
        <v>423</v>
      </c>
      <c r="F786" s="4"/>
      <c r="G786" s="27">
        <f>G787</f>
        <v>340319</v>
      </c>
      <c r="H786" s="56">
        <f>H787</f>
        <v>340319</v>
      </c>
      <c r="I786" s="130">
        <f t="shared" si="57"/>
        <v>1</v>
      </c>
      <c r="J786" s="24"/>
      <c r="K786" s="24"/>
    </row>
    <row r="787" spans="1:11" s="12" customFormat="1" ht="46.55" x14ac:dyDescent="0.3">
      <c r="A787" s="3" t="s">
        <v>596</v>
      </c>
      <c r="B787" s="4" t="s">
        <v>404</v>
      </c>
      <c r="C787" s="4" t="s">
        <v>15</v>
      </c>
      <c r="D787" s="4" t="s">
        <v>17</v>
      </c>
      <c r="E787" s="4" t="s">
        <v>424</v>
      </c>
      <c r="F787" s="4"/>
      <c r="G787" s="27">
        <f>G788</f>
        <v>340319</v>
      </c>
      <c r="H787" s="56">
        <f>H788</f>
        <v>340319</v>
      </c>
      <c r="I787" s="130">
        <f t="shared" si="57"/>
        <v>1</v>
      </c>
      <c r="J787" s="24"/>
      <c r="K787" s="24"/>
    </row>
    <row r="788" spans="1:11" s="12" customFormat="1" ht="62.05" x14ac:dyDescent="0.3">
      <c r="A788" s="3" t="s">
        <v>394</v>
      </c>
      <c r="B788" s="4" t="s">
        <v>404</v>
      </c>
      <c r="C788" s="4" t="s">
        <v>15</v>
      </c>
      <c r="D788" s="4" t="s">
        <v>17</v>
      </c>
      <c r="E788" s="4" t="s">
        <v>424</v>
      </c>
      <c r="F788" s="4" t="s">
        <v>467</v>
      </c>
      <c r="G788" s="27">
        <f>158204+182115</f>
        <v>340319</v>
      </c>
      <c r="H788" s="56">
        <f>158204+182115</f>
        <v>340319</v>
      </c>
      <c r="I788" s="145">
        <f t="shared" si="57"/>
        <v>1</v>
      </c>
      <c r="J788" s="24"/>
      <c r="K788" s="24"/>
    </row>
    <row r="789" spans="1:11" s="12" customFormat="1" ht="31.05" x14ac:dyDescent="0.3">
      <c r="A789" s="13" t="s">
        <v>6</v>
      </c>
      <c r="B789" s="5" t="s">
        <v>404</v>
      </c>
      <c r="C789" s="5" t="s">
        <v>15</v>
      </c>
      <c r="D789" s="5" t="s">
        <v>15</v>
      </c>
      <c r="E789" s="21"/>
      <c r="F789" s="21"/>
      <c r="G789" s="26">
        <f>G790</f>
        <v>11579758.699999999</v>
      </c>
      <c r="H789" s="137">
        <f>H790</f>
        <v>11579758.699999999</v>
      </c>
      <c r="I789" s="129">
        <f t="shared" si="57"/>
        <v>1</v>
      </c>
      <c r="J789" s="24"/>
      <c r="K789" s="24"/>
    </row>
    <row r="790" spans="1:11" ht="46.55" x14ac:dyDescent="0.3">
      <c r="A790" s="1" t="s">
        <v>60</v>
      </c>
      <c r="B790" s="2" t="s">
        <v>404</v>
      </c>
      <c r="C790" s="2" t="s">
        <v>15</v>
      </c>
      <c r="D790" s="2" t="s">
        <v>15</v>
      </c>
      <c r="E790" s="2" t="s">
        <v>417</v>
      </c>
      <c r="F790" s="2"/>
      <c r="G790" s="31">
        <f>G791</f>
        <v>11579758.699999999</v>
      </c>
      <c r="H790" s="57">
        <f>H791</f>
        <v>11579758.699999999</v>
      </c>
      <c r="I790" s="129">
        <f t="shared" si="57"/>
        <v>1</v>
      </c>
    </row>
    <row r="791" spans="1:11" s="12" customFormat="1" ht="62.05" x14ac:dyDescent="0.3">
      <c r="A791" s="3" t="s">
        <v>592</v>
      </c>
      <c r="B791" s="4" t="s">
        <v>404</v>
      </c>
      <c r="C791" s="4" t="s">
        <v>15</v>
      </c>
      <c r="D791" s="4" t="s">
        <v>15</v>
      </c>
      <c r="E791" s="4" t="s">
        <v>697</v>
      </c>
      <c r="F791" s="4"/>
      <c r="G791" s="27">
        <f>G792+G795</f>
        <v>11579758.699999999</v>
      </c>
      <c r="H791" s="56">
        <f>H792+H795</f>
        <v>11579758.699999999</v>
      </c>
      <c r="I791" s="130">
        <f t="shared" si="57"/>
        <v>1</v>
      </c>
      <c r="J791" s="24"/>
      <c r="K791" s="24"/>
    </row>
    <row r="792" spans="1:11" s="12" customFormat="1" ht="31.05" x14ac:dyDescent="0.3">
      <c r="A792" s="3" t="s">
        <v>698</v>
      </c>
      <c r="B792" s="4" t="s">
        <v>404</v>
      </c>
      <c r="C792" s="4" t="s">
        <v>15</v>
      </c>
      <c r="D792" s="4" t="s">
        <v>15</v>
      </c>
      <c r="E792" s="4" t="s">
        <v>699</v>
      </c>
      <c r="F792" s="4"/>
      <c r="G792" s="27">
        <f>G793</f>
        <v>6431225.8999999994</v>
      </c>
      <c r="H792" s="56">
        <f>H793</f>
        <v>6431225.8999999994</v>
      </c>
      <c r="I792" s="130">
        <f t="shared" si="57"/>
        <v>1</v>
      </c>
      <c r="J792" s="24"/>
      <c r="K792" s="24"/>
    </row>
    <row r="793" spans="1:11" s="12" customFormat="1" ht="49.75" customHeight="1" x14ac:dyDescent="0.3">
      <c r="A793" s="3" t="s">
        <v>393</v>
      </c>
      <c r="B793" s="4" t="s">
        <v>404</v>
      </c>
      <c r="C793" s="4" t="s">
        <v>15</v>
      </c>
      <c r="D793" s="4" t="s">
        <v>15</v>
      </c>
      <c r="E793" s="4" t="s">
        <v>700</v>
      </c>
      <c r="F793" s="4"/>
      <c r="G793" s="27">
        <f>G794</f>
        <v>6431225.8999999994</v>
      </c>
      <c r="H793" s="56">
        <f>H794</f>
        <v>6431225.8999999994</v>
      </c>
      <c r="I793" s="130">
        <f t="shared" si="57"/>
        <v>1</v>
      </c>
      <c r="J793" s="24"/>
      <c r="K793" s="24"/>
    </row>
    <row r="794" spans="1:11" s="12" customFormat="1" ht="68.3" customHeight="1" x14ac:dyDescent="0.3">
      <c r="A794" s="3" t="s">
        <v>394</v>
      </c>
      <c r="B794" s="4" t="s">
        <v>404</v>
      </c>
      <c r="C794" s="4" t="s">
        <v>15</v>
      </c>
      <c r="D794" s="4" t="s">
        <v>15</v>
      </c>
      <c r="E794" s="4" t="s">
        <v>700</v>
      </c>
      <c r="F794" s="4" t="s">
        <v>467</v>
      </c>
      <c r="G794" s="27">
        <f>7038601.3-607375.4</f>
        <v>6431225.8999999994</v>
      </c>
      <c r="H794" s="56">
        <f>7038601.3-607375.4</f>
        <v>6431225.8999999994</v>
      </c>
      <c r="I794" s="130">
        <f t="shared" si="57"/>
        <v>1</v>
      </c>
      <c r="J794" s="24"/>
      <c r="K794" s="24"/>
    </row>
    <row r="795" spans="1:11" s="12" customFormat="1" ht="46.55" x14ac:dyDescent="0.3">
      <c r="A795" s="3" t="s">
        <v>701</v>
      </c>
      <c r="B795" s="4" t="s">
        <v>404</v>
      </c>
      <c r="C795" s="4" t="s">
        <v>15</v>
      </c>
      <c r="D795" s="4" t="s">
        <v>15</v>
      </c>
      <c r="E795" s="4" t="s">
        <v>702</v>
      </c>
      <c r="F795" s="4"/>
      <c r="G795" s="27">
        <f>G796+G798</f>
        <v>5148532.8</v>
      </c>
      <c r="H795" s="56">
        <f>H796+H798</f>
        <v>5148532.8</v>
      </c>
      <c r="I795" s="130">
        <f t="shared" si="57"/>
        <v>1</v>
      </c>
      <c r="J795" s="24"/>
      <c r="K795" s="24"/>
    </row>
    <row r="796" spans="1:11" s="12" customFormat="1" ht="93.05" x14ac:dyDescent="0.3">
      <c r="A796" s="3" t="s">
        <v>703</v>
      </c>
      <c r="B796" s="4" t="s">
        <v>404</v>
      </c>
      <c r="C796" s="4" t="s">
        <v>15</v>
      </c>
      <c r="D796" s="4" t="s">
        <v>15</v>
      </c>
      <c r="E796" s="4" t="s">
        <v>704</v>
      </c>
      <c r="F796" s="4"/>
      <c r="G796" s="27">
        <f>G797</f>
        <v>3124600</v>
      </c>
      <c r="H796" s="56">
        <f>H797</f>
        <v>3124600</v>
      </c>
      <c r="I796" s="130">
        <f t="shared" si="57"/>
        <v>1</v>
      </c>
      <c r="J796" s="24"/>
      <c r="K796" s="24"/>
    </row>
    <row r="797" spans="1:11" s="12" customFormat="1" ht="62.05" x14ac:dyDescent="0.3">
      <c r="A797" s="3" t="s">
        <v>394</v>
      </c>
      <c r="B797" s="4" t="s">
        <v>404</v>
      </c>
      <c r="C797" s="4" t="s">
        <v>15</v>
      </c>
      <c r="D797" s="4" t="s">
        <v>15</v>
      </c>
      <c r="E797" s="4" t="s">
        <v>704</v>
      </c>
      <c r="F797" s="4" t="s">
        <v>467</v>
      </c>
      <c r="G797" s="27">
        <f>3268700-144100</f>
        <v>3124600</v>
      </c>
      <c r="H797" s="56">
        <f>3268700-144100</f>
        <v>3124600</v>
      </c>
      <c r="I797" s="130">
        <f t="shared" si="57"/>
        <v>1</v>
      </c>
      <c r="J797" s="24"/>
      <c r="K797" s="24"/>
    </row>
    <row r="798" spans="1:11" s="12" customFormat="1" ht="93.05" x14ac:dyDescent="0.3">
      <c r="A798" s="3" t="s">
        <v>703</v>
      </c>
      <c r="B798" s="4" t="s">
        <v>404</v>
      </c>
      <c r="C798" s="4" t="s">
        <v>15</v>
      </c>
      <c r="D798" s="4" t="s">
        <v>15</v>
      </c>
      <c r="E798" s="4" t="s">
        <v>705</v>
      </c>
      <c r="F798" s="4"/>
      <c r="G798" s="27">
        <f>G799</f>
        <v>2023932.8</v>
      </c>
      <c r="H798" s="56">
        <f>H799</f>
        <v>2023932.8</v>
      </c>
      <c r="I798" s="130">
        <f t="shared" si="57"/>
        <v>1</v>
      </c>
      <c r="J798" s="24"/>
      <c r="K798" s="24"/>
    </row>
    <row r="799" spans="1:11" s="12" customFormat="1" ht="62.05" x14ac:dyDescent="0.3">
      <c r="A799" s="3" t="s">
        <v>394</v>
      </c>
      <c r="B799" s="4" t="s">
        <v>404</v>
      </c>
      <c r="C799" s="4" t="s">
        <v>15</v>
      </c>
      <c r="D799" s="4" t="s">
        <v>15</v>
      </c>
      <c r="E799" s="4" t="s">
        <v>705</v>
      </c>
      <c r="F799" s="4" t="s">
        <v>467</v>
      </c>
      <c r="G799" s="27">
        <v>2023932.8</v>
      </c>
      <c r="H799" s="56">
        <v>2023932.8</v>
      </c>
      <c r="I799" s="145">
        <f t="shared" si="57"/>
        <v>1</v>
      </c>
      <c r="J799" s="24"/>
      <c r="K799" s="24"/>
    </row>
    <row r="800" spans="1:11" s="12" customFormat="1" ht="31.05" x14ac:dyDescent="0.3">
      <c r="A800" s="13" t="s">
        <v>577</v>
      </c>
      <c r="B800" s="5" t="s">
        <v>404</v>
      </c>
      <c r="C800" s="5" t="s">
        <v>15</v>
      </c>
      <c r="D800" s="5" t="s">
        <v>18</v>
      </c>
      <c r="E800" s="21"/>
      <c r="F800" s="21"/>
      <c r="G800" s="26">
        <f>G801</f>
        <v>68204501.010000005</v>
      </c>
      <c r="H800" s="137">
        <f>H801</f>
        <v>68204499.260000005</v>
      </c>
      <c r="I800" s="129">
        <f t="shared" si="57"/>
        <v>0.99999997434186927</v>
      </c>
      <c r="J800" s="24"/>
      <c r="K800" s="24"/>
    </row>
    <row r="801" spans="1:11" ht="46.55" x14ac:dyDescent="0.3">
      <c r="A801" s="1" t="s">
        <v>60</v>
      </c>
      <c r="B801" s="2" t="s">
        <v>404</v>
      </c>
      <c r="C801" s="2" t="s">
        <v>15</v>
      </c>
      <c r="D801" s="2" t="s">
        <v>18</v>
      </c>
      <c r="E801" s="2" t="s">
        <v>417</v>
      </c>
      <c r="F801" s="2"/>
      <c r="G801" s="31">
        <f>G802+G809+G816</f>
        <v>68204501.010000005</v>
      </c>
      <c r="H801" s="57">
        <f>H802+H809+H816</f>
        <v>68204499.260000005</v>
      </c>
      <c r="I801" s="129">
        <f t="shared" si="57"/>
        <v>0.99999997434186927</v>
      </c>
    </row>
    <row r="802" spans="1:11" s="12" customFormat="1" ht="77.55" x14ac:dyDescent="0.3">
      <c r="A802" s="3" t="s">
        <v>590</v>
      </c>
      <c r="B802" s="4" t="s">
        <v>404</v>
      </c>
      <c r="C802" s="4" t="s">
        <v>15</v>
      </c>
      <c r="D802" s="4" t="s">
        <v>18</v>
      </c>
      <c r="E802" s="4" t="s">
        <v>706</v>
      </c>
      <c r="F802" s="4"/>
      <c r="G802" s="27">
        <f>G803+G806</f>
        <v>20404100.630000003</v>
      </c>
      <c r="H802" s="56">
        <f>H803+H806</f>
        <v>20404100.630000003</v>
      </c>
      <c r="I802" s="130">
        <f t="shared" si="57"/>
        <v>1</v>
      </c>
      <c r="J802" s="24"/>
      <c r="K802" s="24"/>
    </row>
    <row r="803" spans="1:11" s="12" customFormat="1" ht="62.05" x14ac:dyDescent="0.3">
      <c r="A803" s="3" t="s">
        <v>707</v>
      </c>
      <c r="B803" s="4" t="s">
        <v>404</v>
      </c>
      <c r="C803" s="4" t="s">
        <v>15</v>
      </c>
      <c r="D803" s="4" t="s">
        <v>18</v>
      </c>
      <c r="E803" s="4" t="s">
        <v>708</v>
      </c>
      <c r="F803" s="4"/>
      <c r="G803" s="27">
        <f>G804</f>
        <v>20167769.710000001</v>
      </c>
      <c r="H803" s="56">
        <f>H804</f>
        <v>20167769.710000001</v>
      </c>
      <c r="I803" s="130">
        <f t="shared" si="57"/>
        <v>1</v>
      </c>
      <c r="J803" s="24"/>
      <c r="K803" s="24"/>
    </row>
    <row r="804" spans="1:11" s="12" customFormat="1" ht="93.05" x14ac:dyDescent="0.3">
      <c r="A804" s="3" t="s">
        <v>589</v>
      </c>
      <c r="B804" s="4" t="s">
        <v>404</v>
      </c>
      <c r="C804" s="4" t="s">
        <v>15</v>
      </c>
      <c r="D804" s="4" t="s">
        <v>18</v>
      </c>
      <c r="E804" s="4" t="s">
        <v>489</v>
      </c>
      <c r="F804" s="4"/>
      <c r="G804" s="27">
        <f>G805</f>
        <v>20167769.710000001</v>
      </c>
      <c r="H804" s="56">
        <f>H805</f>
        <v>20167769.710000001</v>
      </c>
      <c r="I804" s="130">
        <f t="shared" si="57"/>
        <v>1</v>
      </c>
      <c r="J804" s="24"/>
      <c r="K804" s="24"/>
    </row>
    <row r="805" spans="1:11" s="12" customFormat="1" ht="62.05" x14ac:dyDescent="0.3">
      <c r="A805" s="3" t="s">
        <v>394</v>
      </c>
      <c r="B805" s="4" t="s">
        <v>404</v>
      </c>
      <c r="C805" s="4" t="s">
        <v>15</v>
      </c>
      <c r="D805" s="4" t="s">
        <v>18</v>
      </c>
      <c r="E805" s="4" t="s">
        <v>489</v>
      </c>
      <c r="F805" s="4" t="s">
        <v>467</v>
      </c>
      <c r="G805" s="27">
        <f>20043880+54889.71+69000</f>
        <v>20167769.710000001</v>
      </c>
      <c r="H805" s="56">
        <f>20043880+54889.71+69000</f>
        <v>20167769.710000001</v>
      </c>
      <c r="I805" s="130">
        <f t="shared" si="57"/>
        <v>1</v>
      </c>
      <c r="J805" s="24"/>
      <c r="K805" s="24"/>
    </row>
    <row r="806" spans="1:11" s="12" customFormat="1" ht="31.05" x14ac:dyDescent="0.3">
      <c r="A806" s="3" t="s">
        <v>271</v>
      </c>
      <c r="B806" s="4" t="s">
        <v>404</v>
      </c>
      <c r="C806" s="4" t="s">
        <v>15</v>
      </c>
      <c r="D806" s="4" t="s">
        <v>18</v>
      </c>
      <c r="E806" s="4" t="s">
        <v>490</v>
      </c>
      <c r="F806" s="4"/>
      <c r="G806" s="27">
        <f>G807</f>
        <v>236330.91999999998</v>
      </c>
      <c r="H806" s="56">
        <f>H807</f>
        <v>236330.91999999998</v>
      </c>
      <c r="I806" s="130">
        <f t="shared" si="57"/>
        <v>1</v>
      </c>
      <c r="J806" s="24"/>
      <c r="K806" s="24"/>
    </row>
    <row r="807" spans="1:11" s="12" customFormat="1" ht="93.05" x14ac:dyDescent="0.3">
      <c r="A807" s="3" t="s">
        <v>589</v>
      </c>
      <c r="B807" s="4" t="s">
        <v>404</v>
      </c>
      <c r="C807" s="4" t="s">
        <v>15</v>
      </c>
      <c r="D807" s="4" t="s">
        <v>18</v>
      </c>
      <c r="E807" s="4" t="s">
        <v>491</v>
      </c>
      <c r="F807" s="4"/>
      <c r="G807" s="27">
        <f>G808</f>
        <v>236330.91999999998</v>
      </c>
      <c r="H807" s="56">
        <f>H808</f>
        <v>236330.91999999998</v>
      </c>
      <c r="I807" s="130">
        <f t="shared" si="57"/>
        <v>1</v>
      </c>
      <c r="J807" s="24"/>
      <c r="K807" s="24"/>
    </row>
    <row r="808" spans="1:11" s="12" customFormat="1" ht="62.05" x14ac:dyDescent="0.3">
      <c r="A808" s="3" t="s">
        <v>394</v>
      </c>
      <c r="B808" s="4" t="s">
        <v>404</v>
      </c>
      <c r="C808" s="4" t="s">
        <v>15</v>
      </c>
      <c r="D808" s="4" t="s">
        <v>18</v>
      </c>
      <c r="E808" s="4" t="s">
        <v>491</v>
      </c>
      <c r="F808" s="4" t="s">
        <v>467</v>
      </c>
      <c r="G808" s="27">
        <f>295072.75-88472.01+29730.18</f>
        <v>236330.91999999998</v>
      </c>
      <c r="H808" s="56">
        <f>295072.75-88472.01+29730.18</f>
        <v>236330.91999999998</v>
      </c>
      <c r="I808" s="130">
        <f t="shared" si="57"/>
        <v>1</v>
      </c>
      <c r="J808" s="24"/>
      <c r="K808" s="24"/>
    </row>
    <row r="809" spans="1:11" s="12" customFormat="1" ht="62.05" x14ac:dyDescent="0.3">
      <c r="A809" s="3" t="s">
        <v>591</v>
      </c>
      <c r="B809" s="4" t="s">
        <v>404</v>
      </c>
      <c r="C809" s="4" t="s">
        <v>15</v>
      </c>
      <c r="D809" s="4" t="s">
        <v>18</v>
      </c>
      <c r="E809" s="4" t="s">
        <v>492</v>
      </c>
      <c r="F809" s="4"/>
      <c r="G809" s="27">
        <f>G810+G813</f>
        <v>26909030.619999997</v>
      </c>
      <c r="H809" s="56">
        <f>H810+H813</f>
        <v>26909030.619999997</v>
      </c>
      <c r="I809" s="130">
        <f t="shared" si="57"/>
        <v>1</v>
      </c>
      <c r="J809" s="24"/>
      <c r="K809" s="24"/>
    </row>
    <row r="810" spans="1:11" s="12" customFormat="1" ht="62.05" x14ac:dyDescent="0.3">
      <c r="A810" s="3" t="s">
        <v>493</v>
      </c>
      <c r="B810" s="4" t="s">
        <v>404</v>
      </c>
      <c r="C810" s="4" t="s">
        <v>15</v>
      </c>
      <c r="D810" s="4" t="s">
        <v>18</v>
      </c>
      <c r="E810" s="4" t="s">
        <v>494</v>
      </c>
      <c r="F810" s="4"/>
      <c r="G810" s="27">
        <f>G811</f>
        <v>26580375.559999999</v>
      </c>
      <c r="H810" s="56">
        <f>H811</f>
        <v>26580375.559999999</v>
      </c>
      <c r="I810" s="130">
        <f t="shared" si="57"/>
        <v>1</v>
      </c>
      <c r="J810" s="24"/>
      <c r="K810" s="24"/>
    </row>
    <row r="811" spans="1:11" s="12" customFormat="1" ht="93.05" x14ac:dyDescent="0.3">
      <c r="A811" s="3" t="s">
        <v>589</v>
      </c>
      <c r="B811" s="4" t="s">
        <v>404</v>
      </c>
      <c r="C811" s="4" t="s">
        <v>15</v>
      </c>
      <c r="D811" s="4" t="s">
        <v>18</v>
      </c>
      <c r="E811" s="4" t="s">
        <v>495</v>
      </c>
      <c r="F811" s="4"/>
      <c r="G811" s="27">
        <f>G812</f>
        <v>26580375.559999999</v>
      </c>
      <c r="H811" s="56">
        <f>H812</f>
        <v>26580375.559999999</v>
      </c>
      <c r="I811" s="130">
        <f t="shared" si="57"/>
        <v>1</v>
      </c>
      <c r="J811" s="24"/>
      <c r="K811" s="24"/>
    </row>
    <row r="812" spans="1:11" s="12" customFormat="1" ht="62.05" x14ac:dyDescent="0.3">
      <c r="A812" s="3" t="s">
        <v>394</v>
      </c>
      <c r="B812" s="4" t="s">
        <v>404</v>
      </c>
      <c r="C812" s="4" t="s">
        <v>15</v>
      </c>
      <c r="D812" s="4" t="s">
        <v>18</v>
      </c>
      <c r="E812" s="4" t="s">
        <v>495</v>
      </c>
      <c r="F812" s="4" t="s">
        <v>467</v>
      </c>
      <c r="G812" s="27">
        <v>26580375.559999999</v>
      </c>
      <c r="H812" s="56">
        <v>26580375.559999999</v>
      </c>
      <c r="I812" s="130">
        <f t="shared" si="57"/>
        <v>1</v>
      </c>
      <c r="J812" s="24"/>
      <c r="K812" s="24"/>
    </row>
    <row r="813" spans="1:11" s="12" customFormat="1" ht="39.75" customHeight="1" x14ac:dyDescent="0.3">
      <c r="A813" s="3" t="s">
        <v>271</v>
      </c>
      <c r="B813" s="4" t="s">
        <v>404</v>
      </c>
      <c r="C813" s="4" t="s">
        <v>15</v>
      </c>
      <c r="D813" s="4" t="s">
        <v>18</v>
      </c>
      <c r="E813" s="4" t="s">
        <v>496</v>
      </c>
      <c r="F813" s="4"/>
      <c r="G813" s="27">
        <f>G814</f>
        <v>328655.06</v>
      </c>
      <c r="H813" s="56">
        <f>H814</f>
        <v>328655.06</v>
      </c>
      <c r="I813" s="130">
        <f t="shared" si="57"/>
        <v>1</v>
      </c>
      <c r="J813" s="24"/>
      <c r="K813" s="24"/>
    </row>
    <row r="814" spans="1:11" s="12" customFormat="1" ht="120.05" customHeight="1" x14ac:dyDescent="0.3">
      <c r="A814" s="3" t="s">
        <v>589</v>
      </c>
      <c r="B814" s="4" t="s">
        <v>404</v>
      </c>
      <c r="C814" s="4" t="s">
        <v>15</v>
      </c>
      <c r="D814" s="4" t="s">
        <v>18</v>
      </c>
      <c r="E814" s="4" t="s">
        <v>497</v>
      </c>
      <c r="F814" s="4"/>
      <c r="G814" s="27">
        <f>G815</f>
        <v>328655.06</v>
      </c>
      <c r="H814" s="56">
        <f>H815</f>
        <v>328655.06</v>
      </c>
      <c r="I814" s="130">
        <f t="shared" si="57"/>
        <v>1</v>
      </c>
      <c r="J814" s="24"/>
      <c r="K814" s="24"/>
    </row>
    <row r="815" spans="1:11" s="12" customFormat="1" ht="71.45" customHeight="1" x14ac:dyDescent="0.3">
      <c r="A815" s="3" t="s">
        <v>394</v>
      </c>
      <c r="B815" s="4" t="s">
        <v>404</v>
      </c>
      <c r="C815" s="4" t="s">
        <v>15</v>
      </c>
      <c r="D815" s="4" t="s">
        <v>18</v>
      </c>
      <c r="E815" s="4" t="s">
        <v>497</v>
      </c>
      <c r="F815" s="4" t="s">
        <v>467</v>
      </c>
      <c r="G815" s="27">
        <f>295072.76+33582.3</f>
        <v>328655.06</v>
      </c>
      <c r="H815" s="56">
        <f>295072.76+33582.3</f>
        <v>328655.06</v>
      </c>
      <c r="I815" s="130">
        <f>H815/G815</f>
        <v>1</v>
      </c>
      <c r="J815" s="24"/>
      <c r="K815" s="24"/>
    </row>
    <row r="816" spans="1:11" s="12" customFormat="1" ht="31.05" x14ac:dyDescent="0.3">
      <c r="A816" s="3" t="s">
        <v>395</v>
      </c>
      <c r="B816" s="4" t="s">
        <v>404</v>
      </c>
      <c r="C816" s="4" t="s">
        <v>15</v>
      </c>
      <c r="D816" s="4" t="s">
        <v>18</v>
      </c>
      <c r="E816" s="4" t="s">
        <v>498</v>
      </c>
      <c r="F816" s="4"/>
      <c r="G816" s="27">
        <f>G817+G822+G825+G829</f>
        <v>20891369.760000002</v>
      </c>
      <c r="H816" s="56">
        <f>H817+H822+H825+H829</f>
        <v>20891368.010000002</v>
      </c>
      <c r="I816" s="130">
        <f>H816/G816</f>
        <v>0.99999991623335283</v>
      </c>
      <c r="J816" s="24"/>
      <c r="K816" s="24"/>
    </row>
    <row r="817" spans="1:11" s="12" customFormat="1" ht="31.05" x14ac:dyDescent="0.3">
      <c r="A817" s="3" t="s">
        <v>499</v>
      </c>
      <c r="B817" s="4" t="s">
        <v>404</v>
      </c>
      <c r="C817" s="4" t="s">
        <v>15</v>
      </c>
      <c r="D817" s="4" t="s">
        <v>18</v>
      </c>
      <c r="E817" s="4" t="s">
        <v>500</v>
      </c>
      <c r="F817" s="4"/>
      <c r="G817" s="27">
        <f>G818+G820</f>
        <v>6935497</v>
      </c>
      <c r="H817" s="56">
        <f>H818+H820</f>
        <v>6935497</v>
      </c>
      <c r="I817" s="130">
        <f>H817/G817</f>
        <v>1</v>
      </c>
      <c r="J817" s="24"/>
      <c r="K817" s="24"/>
    </row>
    <row r="818" spans="1:11" s="12" customFormat="1" ht="124.1" x14ac:dyDescent="0.3">
      <c r="A818" s="3" t="s">
        <v>501</v>
      </c>
      <c r="B818" s="4" t="s">
        <v>404</v>
      </c>
      <c r="C818" s="4" t="s">
        <v>15</v>
      </c>
      <c r="D818" s="4" t="s">
        <v>18</v>
      </c>
      <c r="E818" s="4" t="s">
        <v>502</v>
      </c>
      <c r="F818" s="4"/>
      <c r="G818" s="27">
        <f>G819</f>
        <v>1456900</v>
      </c>
      <c r="H818" s="56">
        <f>H819</f>
        <v>1456900</v>
      </c>
      <c r="I818" s="130">
        <f t="shared" ref="I818:I838" si="58">H818/G818</f>
        <v>1</v>
      </c>
      <c r="J818" s="24"/>
      <c r="K818" s="24"/>
    </row>
    <row r="819" spans="1:11" s="12" customFormat="1" ht="62.05" x14ac:dyDescent="0.3">
      <c r="A819" s="3" t="s">
        <v>394</v>
      </c>
      <c r="B819" s="4" t="s">
        <v>404</v>
      </c>
      <c r="C819" s="4" t="s">
        <v>15</v>
      </c>
      <c r="D819" s="4" t="s">
        <v>18</v>
      </c>
      <c r="E819" s="4" t="s">
        <v>502</v>
      </c>
      <c r="F819" s="4" t="s">
        <v>467</v>
      </c>
      <c r="G819" s="27">
        <f>1396800+60100</f>
        <v>1456900</v>
      </c>
      <c r="H819" s="56">
        <f>1396800+60100</f>
        <v>1456900</v>
      </c>
      <c r="I819" s="130">
        <f t="shared" si="58"/>
        <v>1</v>
      </c>
      <c r="J819" s="24"/>
      <c r="K819" s="24"/>
    </row>
    <row r="820" spans="1:11" s="12" customFormat="1" ht="124.1" x14ac:dyDescent="0.3">
      <c r="A820" s="3" t="s">
        <v>501</v>
      </c>
      <c r="B820" s="4" t="s">
        <v>404</v>
      </c>
      <c r="C820" s="4" t="s">
        <v>15</v>
      </c>
      <c r="D820" s="4" t="s">
        <v>18</v>
      </c>
      <c r="E820" s="4" t="s">
        <v>503</v>
      </c>
      <c r="F820" s="4"/>
      <c r="G820" s="27">
        <f>G821</f>
        <v>5478597</v>
      </c>
      <c r="H820" s="56">
        <f>H821</f>
        <v>5478597</v>
      </c>
      <c r="I820" s="130">
        <f t="shared" si="58"/>
        <v>1</v>
      </c>
      <c r="J820" s="24"/>
      <c r="K820" s="24"/>
    </row>
    <row r="821" spans="1:11" s="12" customFormat="1" ht="62.05" x14ac:dyDescent="0.3">
      <c r="A821" s="3" t="s">
        <v>394</v>
      </c>
      <c r="B821" s="4" t="s">
        <v>404</v>
      </c>
      <c r="C821" s="4" t="s">
        <v>15</v>
      </c>
      <c r="D821" s="4" t="s">
        <v>18</v>
      </c>
      <c r="E821" s="4" t="s">
        <v>503</v>
      </c>
      <c r="F821" s="4" t="s">
        <v>467</v>
      </c>
      <c r="G821" s="27">
        <v>5478597</v>
      </c>
      <c r="H821" s="56">
        <v>5478597</v>
      </c>
      <c r="I821" s="130">
        <f t="shared" si="58"/>
        <v>1</v>
      </c>
      <c r="J821" s="24"/>
      <c r="K821" s="24"/>
    </row>
    <row r="822" spans="1:11" s="12" customFormat="1" ht="57.05" customHeight="1" x14ac:dyDescent="0.3">
      <c r="A822" s="3" t="s">
        <v>504</v>
      </c>
      <c r="B822" s="4" t="s">
        <v>404</v>
      </c>
      <c r="C822" s="4" t="s">
        <v>15</v>
      </c>
      <c r="D822" s="4" t="s">
        <v>18</v>
      </c>
      <c r="E822" s="4" t="s">
        <v>505</v>
      </c>
      <c r="F822" s="4"/>
      <c r="G822" s="27">
        <f>G823</f>
        <v>13485800</v>
      </c>
      <c r="H822" s="56">
        <f>H823</f>
        <v>13485800</v>
      </c>
      <c r="I822" s="130">
        <f t="shared" si="58"/>
        <v>1</v>
      </c>
      <c r="J822" s="24"/>
      <c r="K822" s="24"/>
    </row>
    <row r="823" spans="1:11" s="12" customFormat="1" ht="46.55" x14ac:dyDescent="0.3">
      <c r="A823" s="3" t="s">
        <v>506</v>
      </c>
      <c r="B823" s="4" t="s">
        <v>404</v>
      </c>
      <c r="C823" s="4" t="s">
        <v>15</v>
      </c>
      <c r="D823" s="4" t="s">
        <v>18</v>
      </c>
      <c r="E823" s="4" t="s">
        <v>507</v>
      </c>
      <c r="F823" s="4"/>
      <c r="G823" s="27">
        <f>G824</f>
        <v>13485800</v>
      </c>
      <c r="H823" s="56">
        <f>H824</f>
        <v>13485800</v>
      </c>
      <c r="I823" s="130">
        <f t="shared" si="58"/>
        <v>1</v>
      </c>
      <c r="J823" s="24"/>
      <c r="K823" s="24"/>
    </row>
    <row r="824" spans="1:11" s="12" customFormat="1" ht="62.05" x14ac:dyDescent="0.3">
      <c r="A824" s="3" t="s">
        <v>394</v>
      </c>
      <c r="B824" s="4" t="s">
        <v>404</v>
      </c>
      <c r="C824" s="4" t="s">
        <v>15</v>
      </c>
      <c r="D824" s="4" t="s">
        <v>18</v>
      </c>
      <c r="E824" s="4" t="s">
        <v>507</v>
      </c>
      <c r="F824" s="4" t="s">
        <v>467</v>
      </c>
      <c r="G824" s="27">
        <f>13137100+348700</f>
        <v>13485800</v>
      </c>
      <c r="H824" s="56">
        <f>13137100+348700</f>
        <v>13485800</v>
      </c>
      <c r="I824" s="130">
        <f t="shared" si="58"/>
        <v>1</v>
      </c>
      <c r="J824" s="24"/>
      <c r="K824" s="24"/>
    </row>
    <row r="825" spans="1:11" s="12" customFormat="1" ht="46.55" x14ac:dyDescent="0.3">
      <c r="A825" s="3" t="s">
        <v>508</v>
      </c>
      <c r="B825" s="4" t="s">
        <v>404</v>
      </c>
      <c r="C825" s="4" t="s">
        <v>15</v>
      </c>
      <c r="D825" s="4" t="s">
        <v>18</v>
      </c>
      <c r="E825" s="4" t="s">
        <v>509</v>
      </c>
      <c r="F825" s="4"/>
      <c r="G825" s="27">
        <f>G826</f>
        <v>295072.76</v>
      </c>
      <c r="H825" s="56">
        <f>H826</f>
        <v>295072.76</v>
      </c>
      <c r="I825" s="130">
        <f t="shared" si="58"/>
        <v>1</v>
      </c>
      <c r="J825" s="24"/>
      <c r="K825" s="24"/>
    </row>
    <row r="826" spans="1:11" s="12" customFormat="1" ht="93.05" x14ac:dyDescent="0.3">
      <c r="A826" s="3" t="s">
        <v>589</v>
      </c>
      <c r="B826" s="4" t="s">
        <v>404</v>
      </c>
      <c r="C826" s="4" t="s">
        <v>15</v>
      </c>
      <c r="D826" s="4" t="s">
        <v>18</v>
      </c>
      <c r="E826" s="4" t="s">
        <v>510</v>
      </c>
      <c r="F826" s="4"/>
      <c r="G826" s="27">
        <f>G827</f>
        <v>295072.76</v>
      </c>
      <c r="H826" s="56">
        <f>H827</f>
        <v>295072.76</v>
      </c>
      <c r="I826" s="130">
        <f t="shared" si="58"/>
        <v>1</v>
      </c>
      <c r="J826" s="24"/>
      <c r="K826" s="24"/>
    </row>
    <row r="827" spans="1:11" s="12" customFormat="1" ht="62.05" x14ac:dyDescent="0.3">
      <c r="A827" s="3" t="s">
        <v>394</v>
      </c>
      <c r="B827" s="4" t="s">
        <v>404</v>
      </c>
      <c r="C827" s="4" t="s">
        <v>15</v>
      </c>
      <c r="D827" s="4" t="s">
        <v>18</v>
      </c>
      <c r="E827" s="4" t="s">
        <v>510</v>
      </c>
      <c r="F827" s="4" t="s">
        <v>467</v>
      </c>
      <c r="G827" s="27">
        <v>295072.76</v>
      </c>
      <c r="H827" s="56">
        <v>295072.76</v>
      </c>
      <c r="I827" s="130">
        <f t="shared" si="58"/>
        <v>1</v>
      </c>
      <c r="J827" s="24"/>
      <c r="K827" s="24"/>
    </row>
    <row r="828" spans="1:11" s="12" customFormat="1" ht="36" customHeight="1" x14ac:dyDescent="0.3">
      <c r="A828" s="3" t="s">
        <v>880</v>
      </c>
      <c r="B828" s="121" t="s">
        <v>404</v>
      </c>
      <c r="C828" s="121" t="s">
        <v>15</v>
      </c>
      <c r="D828" s="121" t="s">
        <v>18</v>
      </c>
      <c r="E828" s="121" t="s">
        <v>881</v>
      </c>
      <c r="F828" s="121"/>
      <c r="G828" s="27">
        <f>G829</f>
        <v>175000</v>
      </c>
      <c r="H828" s="56">
        <f>H829</f>
        <v>174998.25</v>
      </c>
      <c r="I828" s="146">
        <f t="shared" si="58"/>
        <v>0.99999000000000005</v>
      </c>
      <c r="J828" s="24"/>
      <c r="K828" s="24"/>
    </row>
    <row r="829" spans="1:11" s="12" customFormat="1" ht="120.05" customHeight="1" x14ac:dyDescent="0.3">
      <c r="A829" s="3" t="s">
        <v>589</v>
      </c>
      <c r="B829" s="121" t="s">
        <v>404</v>
      </c>
      <c r="C829" s="121" t="s">
        <v>15</v>
      </c>
      <c r="D829" s="121" t="s">
        <v>18</v>
      </c>
      <c r="E829" s="121" t="s">
        <v>882</v>
      </c>
      <c r="F829" s="121"/>
      <c r="G829" s="27">
        <f>G830</f>
        <v>175000</v>
      </c>
      <c r="H829" s="56">
        <f>H830</f>
        <v>174998.25</v>
      </c>
      <c r="I829" s="130">
        <f t="shared" si="58"/>
        <v>0.99999000000000005</v>
      </c>
      <c r="J829" s="24"/>
      <c r="K829" s="24"/>
    </row>
    <row r="830" spans="1:11" s="12" customFormat="1" ht="54.7" customHeight="1" x14ac:dyDescent="0.3">
      <c r="A830" s="3" t="s">
        <v>394</v>
      </c>
      <c r="B830" s="121" t="s">
        <v>404</v>
      </c>
      <c r="C830" s="121" t="s">
        <v>15</v>
      </c>
      <c r="D830" s="121" t="s">
        <v>18</v>
      </c>
      <c r="E830" s="121" t="s">
        <v>882</v>
      </c>
      <c r="F830" s="121" t="s">
        <v>467</v>
      </c>
      <c r="G830" s="27">
        <v>175000</v>
      </c>
      <c r="H830" s="56">
        <v>174998.25</v>
      </c>
      <c r="I830" s="145">
        <f t="shared" si="58"/>
        <v>0.99999000000000005</v>
      </c>
      <c r="J830" s="24"/>
      <c r="K830" s="24"/>
    </row>
    <row r="831" spans="1:11" s="12" customFormat="1" x14ac:dyDescent="0.3">
      <c r="A831" s="13" t="s">
        <v>26</v>
      </c>
      <c r="B831" s="5" t="s">
        <v>404</v>
      </c>
      <c r="C831" s="5" t="s">
        <v>20</v>
      </c>
      <c r="D831" s="5"/>
      <c r="E831" s="5"/>
      <c r="F831" s="5"/>
      <c r="G831" s="26">
        <f>G832+G863</f>
        <v>51382528</v>
      </c>
      <c r="H831" s="137">
        <f>H832+H863</f>
        <v>49501507.619999997</v>
      </c>
      <c r="I831" s="129">
        <f t="shared" si="58"/>
        <v>0.96339182883333407</v>
      </c>
      <c r="J831" s="24"/>
      <c r="K831" s="24"/>
    </row>
    <row r="832" spans="1:11" s="12" customFormat="1" ht="31.05" x14ac:dyDescent="0.3">
      <c r="A832" s="1" t="s">
        <v>579</v>
      </c>
      <c r="B832" s="2" t="s">
        <v>404</v>
      </c>
      <c r="C832" s="2" t="s">
        <v>20</v>
      </c>
      <c r="D832" s="2" t="s">
        <v>19</v>
      </c>
      <c r="E832" s="2"/>
      <c r="F832" s="2"/>
      <c r="G832" s="31">
        <f>G833</f>
        <v>3951628</v>
      </c>
      <c r="H832" s="57">
        <f>H833</f>
        <v>3438501.26</v>
      </c>
      <c r="I832" s="129">
        <f t="shared" si="58"/>
        <v>0.87014801494472649</v>
      </c>
      <c r="J832" s="24"/>
      <c r="K832" s="24"/>
    </row>
    <row r="833" spans="1:11" ht="46.55" x14ac:dyDescent="0.3">
      <c r="A833" s="1" t="s">
        <v>60</v>
      </c>
      <c r="B833" s="2" t="s">
        <v>404</v>
      </c>
      <c r="C833" s="2" t="s">
        <v>20</v>
      </c>
      <c r="D833" s="2" t="s">
        <v>19</v>
      </c>
      <c r="E833" s="2" t="s">
        <v>417</v>
      </c>
      <c r="F833" s="2"/>
      <c r="G833" s="31">
        <f>G834+G840+G846</f>
        <v>3951628</v>
      </c>
      <c r="H833" s="57">
        <f>H834+H840+H846</f>
        <v>3438501.26</v>
      </c>
      <c r="I833" s="129">
        <f t="shared" si="58"/>
        <v>0.87014801494472649</v>
      </c>
    </row>
    <row r="834" spans="1:11" s="12" customFormat="1" ht="31.05" x14ac:dyDescent="0.3">
      <c r="A834" s="3" t="s">
        <v>399</v>
      </c>
      <c r="B834" s="4" t="s">
        <v>404</v>
      </c>
      <c r="C834" s="4" t="s">
        <v>20</v>
      </c>
      <c r="D834" s="4" t="s">
        <v>19</v>
      </c>
      <c r="E834" s="4" t="s">
        <v>258</v>
      </c>
      <c r="F834" s="4"/>
      <c r="G834" s="27">
        <f>G835</f>
        <v>743465.43</v>
      </c>
      <c r="H834" s="56">
        <f>H835</f>
        <v>610785.43000000005</v>
      </c>
      <c r="I834" s="130">
        <f t="shared" si="58"/>
        <v>0.82153844059702952</v>
      </c>
      <c r="J834" s="24"/>
      <c r="K834" s="24"/>
    </row>
    <row r="835" spans="1:11" s="12" customFormat="1" ht="31.05" x14ac:dyDescent="0.3">
      <c r="A835" s="3" t="s">
        <v>271</v>
      </c>
      <c r="B835" s="4" t="s">
        <v>404</v>
      </c>
      <c r="C835" s="4" t="s">
        <v>20</v>
      </c>
      <c r="D835" s="4" t="s">
        <v>19</v>
      </c>
      <c r="E835" s="4" t="s">
        <v>272</v>
      </c>
      <c r="F835" s="4"/>
      <c r="G835" s="27">
        <f>G836+G838</f>
        <v>743465.43</v>
      </c>
      <c r="H835" s="56">
        <f>H836+H838</f>
        <v>610785.43000000005</v>
      </c>
      <c r="I835" s="130">
        <f t="shared" si="58"/>
        <v>0.82153844059702952</v>
      </c>
      <c r="J835" s="24"/>
      <c r="K835" s="24"/>
    </row>
    <row r="836" spans="1:11" s="12" customFormat="1" ht="124.1" x14ac:dyDescent="0.3">
      <c r="A836" s="3" t="s">
        <v>274</v>
      </c>
      <c r="B836" s="4" t="s">
        <v>404</v>
      </c>
      <c r="C836" s="4" t="s">
        <v>20</v>
      </c>
      <c r="D836" s="4" t="s">
        <v>19</v>
      </c>
      <c r="E836" s="4" t="s">
        <v>275</v>
      </c>
      <c r="F836" s="4"/>
      <c r="G836" s="27">
        <f>G837</f>
        <v>1785.4299999999998</v>
      </c>
      <c r="H836" s="56">
        <f>H837</f>
        <v>1785.4299999999998</v>
      </c>
      <c r="I836" s="130">
        <f t="shared" si="58"/>
        <v>1</v>
      </c>
      <c r="J836" s="24"/>
      <c r="K836" s="24"/>
    </row>
    <row r="837" spans="1:11" s="12" customFormat="1" ht="62.05" x14ac:dyDescent="0.3">
      <c r="A837" s="3" t="s">
        <v>394</v>
      </c>
      <c r="B837" s="4" t="s">
        <v>404</v>
      </c>
      <c r="C837" s="4" t="s">
        <v>20</v>
      </c>
      <c r="D837" s="4" t="s">
        <v>19</v>
      </c>
      <c r="E837" s="4" t="s">
        <v>275</v>
      </c>
      <c r="F837" s="4" t="s">
        <v>467</v>
      </c>
      <c r="G837" s="27">
        <f>1093+692.43</f>
        <v>1785.4299999999998</v>
      </c>
      <c r="H837" s="56">
        <f>1093+692.43</f>
        <v>1785.4299999999998</v>
      </c>
      <c r="I837" s="130">
        <f t="shared" si="58"/>
        <v>1</v>
      </c>
      <c r="J837" s="24"/>
      <c r="K837" s="24"/>
    </row>
    <row r="838" spans="1:11" s="12" customFormat="1" ht="124.1" x14ac:dyDescent="0.3">
      <c r="A838" s="3" t="s">
        <v>379</v>
      </c>
      <c r="B838" s="4" t="s">
        <v>404</v>
      </c>
      <c r="C838" s="4" t="s">
        <v>20</v>
      </c>
      <c r="D838" s="4" t="s">
        <v>19</v>
      </c>
      <c r="E838" s="4" t="s">
        <v>380</v>
      </c>
      <c r="F838" s="4"/>
      <c r="G838" s="27">
        <f>G839</f>
        <v>741680</v>
      </c>
      <c r="H838" s="56">
        <f>H839</f>
        <v>609000</v>
      </c>
      <c r="I838" s="130">
        <f t="shared" si="58"/>
        <v>0.82110883399848988</v>
      </c>
      <c r="J838" s="24"/>
      <c r="K838" s="24"/>
    </row>
    <row r="839" spans="1:11" s="12" customFormat="1" ht="62.05" x14ac:dyDescent="0.3">
      <c r="A839" s="3" t="s">
        <v>394</v>
      </c>
      <c r="B839" s="4" t="s">
        <v>404</v>
      </c>
      <c r="C839" s="4" t="s">
        <v>20</v>
      </c>
      <c r="D839" s="4" t="s">
        <v>19</v>
      </c>
      <c r="E839" s="4" t="s">
        <v>380</v>
      </c>
      <c r="F839" s="4" t="s">
        <v>467</v>
      </c>
      <c r="G839" s="27">
        <f>669680+72000</f>
        <v>741680</v>
      </c>
      <c r="H839" s="56">
        <v>609000</v>
      </c>
      <c r="I839" s="130">
        <f>H839/G839</f>
        <v>0.82110883399848988</v>
      </c>
      <c r="J839" s="24"/>
      <c r="K839" s="24"/>
    </row>
    <row r="840" spans="1:11" s="12" customFormat="1" ht="62.05" x14ac:dyDescent="0.3">
      <c r="A840" s="3" t="s">
        <v>398</v>
      </c>
      <c r="B840" s="4" t="s">
        <v>404</v>
      </c>
      <c r="C840" s="4" t="s">
        <v>20</v>
      </c>
      <c r="D840" s="4" t="s">
        <v>19</v>
      </c>
      <c r="E840" s="4" t="s">
        <v>381</v>
      </c>
      <c r="F840" s="4"/>
      <c r="G840" s="27">
        <f>G841</f>
        <v>1297262.57</v>
      </c>
      <c r="H840" s="56">
        <f>H841</f>
        <v>920224.57</v>
      </c>
      <c r="I840" s="130">
        <f>H840/G840</f>
        <v>0.70935876150346333</v>
      </c>
      <c r="J840" s="24"/>
      <c r="K840" s="24"/>
    </row>
    <row r="841" spans="1:11" s="12" customFormat="1" ht="31.05" x14ac:dyDescent="0.3">
      <c r="A841" s="3" t="s">
        <v>271</v>
      </c>
      <c r="B841" s="4" t="s">
        <v>404</v>
      </c>
      <c r="C841" s="4" t="s">
        <v>20</v>
      </c>
      <c r="D841" s="4" t="s">
        <v>19</v>
      </c>
      <c r="E841" s="4" t="s">
        <v>197</v>
      </c>
      <c r="F841" s="4"/>
      <c r="G841" s="27">
        <f>G842+G844</f>
        <v>1297262.57</v>
      </c>
      <c r="H841" s="56">
        <f>H842+H844</f>
        <v>920224.57</v>
      </c>
      <c r="I841" s="130">
        <f>H841/G841</f>
        <v>0.70935876150346333</v>
      </c>
      <c r="J841" s="24"/>
      <c r="K841" s="24"/>
    </row>
    <row r="842" spans="1:11" s="12" customFormat="1" ht="124.1" x14ac:dyDescent="0.3">
      <c r="A842" s="3" t="s">
        <v>274</v>
      </c>
      <c r="B842" s="4" t="s">
        <v>404</v>
      </c>
      <c r="C842" s="4" t="s">
        <v>20</v>
      </c>
      <c r="D842" s="4" t="s">
        <v>19</v>
      </c>
      <c r="E842" s="4" t="s">
        <v>511</v>
      </c>
      <c r="F842" s="4"/>
      <c r="G842" s="27">
        <f>G843</f>
        <v>2980.5699999999997</v>
      </c>
      <c r="H842" s="56">
        <f>H843</f>
        <v>2980.5699999999997</v>
      </c>
      <c r="I842" s="130">
        <f>H842/G842</f>
        <v>1</v>
      </c>
      <c r="J842" s="24"/>
      <c r="K842" s="24"/>
    </row>
    <row r="843" spans="1:11" s="12" customFormat="1" ht="62.05" x14ac:dyDescent="0.3">
      <c r="A843" s="3" t="s">
        <v>394</v>
      </c>
      <c r="B843" s="4" t="s">
        <v>404</v>
      </c>
      <c r="C843" s="4" t="s">
        <v>20</v>
      </c>
      <c r="D843" s="4" t="s">
        <v>19</v>
      </c>
      <c r="E843" s="4" t="s">
        <v>511</v>
      </c>
      <c r="F843" s="4" t="s">
        <v>467</v>
      </c>
      <c r="G843" s="27">
        <f>1240+1740.57</f>
        <v>2980.5699999999997</v>
      </c>
      <c r="H843" s="56">
        <f>1240+1740.57</f>
        <v>2980.5699999999997</v>
      </c>
      <c r="I843" s="130">
        <f t="shared" ref="I843:I906" si="59">H843/G843</f>
        <v>1</v>
      </c>
      <c r="J843" s="24"/>
      <c r="K843" s="24"/>
    </row>
    <row r="844" spans="1:11" s="12" customFormat="1" ht="124.1" x14ac:dyDescent="0.3">
      <c r="A844" s="3" t="s">
        <v>379</v>
      </c>
      <c r="B844" s="4" t="s">
        <v>404</v>
      </c>
      <c r="C844" s="4" t="s">
        <v>20</v>
      </c>
      <c r="D844" s="4" t="s">
        <v>19</v>
      </c>
      <c r="E844" s="4" t="s">
        <v>512</v>
      </c>
      <c r="F844" s="4"/>
      <c r="G844" s="27">
        <f>G845</f>
        <v>1294282</v>
      </c>
      <c r="H844" s="56">
        <f>H845</f>
        <v>917244</v>
      </c>
      <c r="I844" s="130">
        <f t="shared" si="59"/>
        <v>0.70868945098517944</v>
      </c>
      <c r="J844" s="24"/>
      <c r="K844" s="24"/>
    </row>
    <row r="845" spans="1:11" s="12" customFormat="1" ht="62.05" x14ac:dyDescent="0.3">
      <c r="A845" s="3" t="s">
        <v>394</v>
      </c>
      <c r="B845" s="4" t="s">
        <v>404</v>
      </c>
      <c r="C845" s="4" t="s">
        <v>20</v>
      </c>
      <c r="D845" s="4" t="s">
        <v>19</v>
      </c>
      <c r="E845" s="4" t="s">
        <v>512</v>
      </c>
      <c r="F845" s="4" t="s">
        <v>467</v>
      </c>
      <c r="G845" s="27">
        <f>871882+422400</f>
        <v>1294282</v>
      </c>
      <c r="H845" s="56">
        <v>917244</v>
      </c>
      <c r="I845" s="130">
        <f t="shared" si="59"/>
        <v>0.70868945098517944</v>
      </c>
      <c r="J845" s="24"/>
      <c r="K845" s="24"/>
    </row>
    <row r="846" spans="1:11" s="12" customFormat="1" ht="62.05" x14ac:dyDescent="0.3">
      <c r="A846" s="20" t="s">
        <v>402</v>
      </c>
      <c r="B846" s="4" t="s">
        <v>404</v>
      </c>
      <c r="C846" s="4" t="s">
        <v>20</v>
      </c>
      <c r="D846" s="4" t="s">
        <v>19</v>
      </c>
      <c r="E846" s="4" t="s">
        <v>244</v>
      </c>
      <c r="F846" s="4"/>
      <c r="G846" s="27">
        <f>G847+G852+G858</f>
        <v>1910900</v>
      </c>
      <c r="H846" s="56">
        <f>H847+H852+H858</f>
        <v>1907491.26</v>
      </c>
      <c r="I846" s="130">
        <f t="shared" si="59"/>
        <v>0.99821615992464285</v>
      </c>
      <c r="J846" s="24"/>
      <c r="K846" s="24"/>
    </row>
    <row r="847" spans="1:11" s="12" customFormat="1" ht="139.6" x14ac:dyDescent="0.3">
      <c r="A847" s="109" t="s">
        <v>39</v>
      </c>
      <c r="B847" s="248" t="s">
        <v>404</v>
      </c>
      <c r="C847" s="248" t="s">
        <v>20</v>
      </c>
      <c r="D847" s="248" t="s">
        <v>19</v>
      </c>
      <c r="E847" s="248" t="s">
        <v>513</v>
      </c>
      <c r="F847" s="248"/>
      <c r="G847" s="251">
        <f>G849</f>
        <v>147200</v>
      </c>
      <c r="H847" s="250">
        <f>H849</f>
        <v>147132</v>
      </c>
      <c r="I847" s="246">
        <f t="shared" si="59"/>
        <v>0.99953804347826092</v>
      </c>
      <c r="J847" s="24"/>
      <c r="K847" s="24"/>
    </row>
    <row r="848" spans="1:11" s="12" customFormat="1" ht="93.05" x14ac:dyDescent="0.3">
      <c r="A848" s="111" t="s">
        <v>40</v>
      </c>
      <c r="B848" s="248"/>
      <c r="C848" s="248"/>
      <c r="D848" s="248"/>
      <c r="E848" s="248"/>
      <c r="F848" s="248"/>
      <c r="G848" s="251"/>
      <c r="H848" s="250"/>
      <c r="I848" s="247"/>
      <c r="J848" s="24"/>
      <c r="K848" s="24"/>
    </row>
    <row r="849" spans="1:11" s="12" customFormat="1" ht="124.1" x14ac:dyDescent="0.3">
      <c r="A849" s="20" t="s">
        <v>514</v>
      </c>
      <c r="B849" s="248" t="s">
        <v>404</v>
      </c>
      <c r="C849" s="248" t="s">
        <v>20</v>
      </c>
      <c r="D849" s="248" t="s">
        <v>19</v>
      </c>
      <c r="E849" s="248" t="s">
        <v>277</v>
      </c>
      <c r="F849" s="248"/>
      <c r="G849" s="251">
        <f>G851</f>
        <v>147200</v>
      </c>
      <c r="H849" s="250">
        <f>H851</f>
        <v>147132</v>
      </c>
      <c r="I849" s="246">
        <f t="shared" si="59"/>
        <v>0.99953804347826092</v>
      </c>
      <c r="J849" s="24"/>
      <c r="K849" s="24"/>
    </row>
    <row r="850" spans="1:11" s="12" customFormat="1" ht="124.1" x14ac:dyDescent="0.3">
      <c r="A850" s="20" t="s">
        <v>276</v>
      </c>
      <c r="B850" s="248"/>
      <c r="C850" s="248"/>
      <c r="D850" s="248"/>
      <c r="E850" s="248"/>
      <c r="F850" s="248"/>
      <c r="G850" s="251"/>
      <c r="H850" s="250"/>
      <c r="I850" s="247" t="e">
        <f t="shared" si="59"/>
        <v>#DIV/0!</v>
      </c>
      <c r="J850" s="24"/>
      <c r="K850" s="24"/>
    </row>
    <row r="851" spans="1:11" s="12" customFormat="1" ht="31.05" x14ac:dyDescent="0.3">
      <c r="A851" s="20" t="s">
        <v>430</v>
      </c>
      <c r="B851" s="4" t="s">
        <v>404</v>
      </c>
      <c r="C851" s="4" t="s">
        <v>20</v>
      </c>
      <c r="D851" s="4" t="s">
        <v>19</v>
      </c>
      <c r="E851" s="4" t="s">
        <v>277</v>
      </c>
      <c r="F851" s="4" t="s">
        <v>431</v>
      </c>
      <c r="G851" s="27">
        <f>73600+73600</f>
        <v>147200</v>
      </c>
      <c r="H851" s="56">
        <v>147132</v>
      </c>
      <c r="I851" s="130">
        <f t="shared" si="59"/>
        <v>0.99953804347826092</v>
      </c>
      <c r="J851" s="24"/>
      <c r="K851" s="24"/>
    </row>
    <row r="852" spans="1:11" s="12" customFormat="1" ht="139.6" x14ac:dyDescent="0.3">
      <c r="A852" s="20" t="s">
        <v>278</v>
      </c>
      <c r="B852" s="4" t="s">
        <v>404</v>
      </c>
      <c r="C852" s="4" t="s">
        <v>20</v>
      </c>
      <c r="D852" s="4" t="s">
        <v>19</v>
      </c>
      <c r="E852" s="4" t="s">
        <v>279</v>
      </c>
      <c r="F852" s="4"/>
      <c r="G852" s="27">
        <f>G853+G855</f>
        <v>1563700</v>
      </c>
      <c r="H852" s="56">
        <f>H853+H855</f>
        <v>1560425.56</v>
      </c>
      <c r="I852" s="130">
        <f t="shared" si="59"/>
        <v>0.99790596661763764</v>
      </c>
      <c r="J852" s="24"/>
      <c r="K852" s="24"/>
    </row>
    <row r="853" spans="1:11" s="12" customFormat="1" ht="124.1" x14ac:dyDescent="0.3">
      <c r="A853" s="20" t="s">
        <v>280</v>
      </c>
      <c r="B853" s="4" t="s">
        <v>404</v>
      </c>
      <c r="C853" s="4" t="s">
        <v>20</v>
      </c>
      <c r="D853" s="4" t="s">
        <v>19</v>
      </c>
      <c r="E853" s="4" t="s">
        <v>281</v>
      </c>
      <c r="F853" s="4"/>
      <c r="G853" s="27">
        <f>G854</f>
        <v>1542000</v>
      </c>
      <c r="H853" s="56">
        <f>H854</f>
        <v>1542000</v>
      </c>
      <c r="I853" s="130">
        <f t="shared" si="59"/>
        <v>1</v>
      </c>
      <c r="J853" s="24"/>
      <c r="K853" s="24"/>
    </row>
    <row r="854" spans="1:11" s="12" customFormat="1" ht="31.05" x14ac:dyDescent="0.3">
      <c r="A854" s="20" t="s">
        <v>430</v>
      </c>
      <c r="B854" s="4" t="s">
        <v>404</v>
      </c>
      <c r="C854" s="4" t="s">
        <v>20</v>
      </c>
      <c r="D854" s="4" t="s">
        <v>19</v>
      </c>
      <c r="E854" s="4" t="s">
        <v>281</v>
      </c>
      <c r="F854" s="4" t="s">
        <v>431</v>
      </c>
      <c r="G854" s="27">
        <f>1594000-52000</f>
        <v>1542000</v>
      </c>
      <c r="H854" s="56">
        <f>1594000-52000</f>
        <v>1542000</v>
      </c>
      <c r="I854" s="130">
        <f t="shared" si="59"/>
        <v>1</v>
      </c>
      <c r="J854" s="24"/>
      <c r="K854" s="24"/>
    </row>
    <row r="855" spans="1:11" s="12" customFormat="1" ht="139.6" x14ac:dyDescent="0.3">
      <c r="A855" s="20" t="s">
        <v>282</v>
      </c>
      <c r="B855" s="4" t="s">
        <v>404</v>
      </c>
      <c r="C855" s="4" t="s">
        <v>20</v>
      </c>
      <c r="D855" s="4" t="s">
        <v>19</v>
      </c>
      <c r="E855" s="4" t="s">
        <v>283</v>
      </c>
      <c r="F855" s="4"/>
      <c r="G855" s="27">
        <f>G856+G857</f>
        <v>21700</v>
      </c>
      <c r="H855" s="56">
        <f>H856+H857</f>
        <v>18425.560000000001</v>
      </c>
      <c r="I855" s="130">
        <f t="shared" si="59"/>
        <v>0.84910414746543783</v>
      </c>
      <c r="J855" s="24"/>
      <c r="K855" s="24"/>
    </row>
    <row r="856" spans="1:11" s="12" customFormat="1" ht="108.55" x14ac:dyDescent="0.3">
      <c r="A856" s="20" t="s">
        <v>50</v>
      </c>
      <c r="B856" s="4" t="s">
        <v>404</v>
      </c>
      <c r="C856" s="4" t="s">
        <v>20</v>
      </c>
      <c r="D856" s="4" t="s">
        <v>19</v>
      </c>
      <c r="E856" s="4" t="s">
        <v>283</v>
      </c>
      <c r="F856" s="4" t="s">
        <v>462</v>
      </c>
      <c r="G856" s="27">
        <f>22400-1298.91-4301.09+3763.44+1136.56</f>
        <v>21700</v>
      </c>
      <c r="H856" s="56">
        <v>18425.560000000001</v>
      </c>
      <c r="I856" s="130">
        <f t="shared" si="59"/>
        <v>0.84910414746543783</v>
      </c>
      <c r="J856" s="24"/>
      <c r="K856" s="24"/>
    </row>
    <row r="857" spans="1:11" s="12" customFormat="1" ht="47.25" hidden="1" customHeight="1" x14ac:dyDescent="0.3">
      <c r="A857" s="3" t="s">
        <v>543</v>
      </c>
      <c r="B857" s="4" t="s">
        <v>404</v>
      </c>
      <c r="C857" s="4" t="s">
        <v>20</v>
      </c>
      <c r="D857" s="4" t="s">
        <v>19</v>
      </c>
      <c r="E857" s="4" t="s">
        <v>283</v>
      </c>
      <c r="F857" s="4" t="s">
        <v>463</v>
      </c>
      <c r="G857" s="27">
        <f>4900-4900</f>
        <v>0</v>
      </c>
      <c r="H857" s="56">
        <f>4900-4900</f>
        <v>0</v>
      </c>
      <c r="I857" s="130" t="e">
        <f t="shared" si="59"/>
        <v>#DIV/0!</v>
      </c>
      <c r="J857" s="24"/>
      <c r="K857" s="24"/>
    </row>
    <row r="858" spans="1:11" s="12" customFormat="1" ht="93.05" x14ac:dyDescent="0.3">
      <c r="A858" s="109" t="s">
        <v>41</v>
      </c>
      <c r="B858" s="248" t="s">
        <v>404</v>
      </c>
      <c r="C858" s="248" t="s">
        <v>20</v>
      </c>
      <c r="D858" s="248" t="s">
        <v>19</v>
      </c>
      <c r="E858" s="248" t="s">
        <v>284</v>
      </c>
      <c r="F858" s="248"/>
      <c r="G858" s="251">
        <f>G860</f>
        <v>200000</v>
      </c>
      <c r="H858" s="250">
        <f>H860</f>
        <v>199933.7</v>
      </c>
      <c r="I858" s="246">
        <f t="shared" si="59"/>
        <v>0.99966850000000007</v>
      </c>
      <c r="J858" s="24"/>
      <c r="K858" s="24"/>
    </row>
    <row r="859" spans="1:11" s="12" customFormat="1" ht="46.55" x14ac:dyDescent="0.3">
      <c r="A859" s="111" t="s">
        <v>42</v>
      </c>
      <c r="B859" s="248"/>
      <c r="C859" s="248"/>
      <c r="D859" s="248"/>
      <c r="E859" s="248"/>
      <c r="F859" s="248"/>
      <c r="G859" s="251"/>
      <c r="H859" s="250"/>
      <c r="I859" s="247"/>
      <c r="J859" s="24"/>
      <c r="K859" s="24"/>
    </row>
    <row r="860" spans="1:11" s="12" customFormat="1" ht="139.6" x14ac:dyDescent="0.3">
      <c r="A860" s="109" t="s">
        <v>285</v>
      </c>
      <c r="B860" s="248" t="s">
        <v>404</v>
      </c>
      <c r="C860" s="248" t="s">
        <v>20</v>
      </c>
      <c r="D860" s="248" t="s">
        <v>19</v>
      </c>
      <c r="E860" s="248" t="s">
        <v>287</v>
      </c>
      <c r="F860" s="248"/>
      <c r="G860" s="251">
        <f>G862</f>
        <v>200000</v>
      </c>
      <c r="H860" s="250">
        <f>H862</f>
        <v>199933.7</v>
      </c>
      <c r="I860" s="246">
        <f t="shared" si="59"/>
        <v>0.99966850000000007</v>
      </c>
      <c r="J860" s="24"/>
      <c r="K860" s="24"/>
    </row>
    <row r="861" spans="1:11" s="12" customFormat="1" ht="93.05" x14ac:dyDescent="0.3">
      <c r="A861" s="111" t="s">
        <v>286</v>
      </c>
      <c r="B861" s="248"/>
      <c r="C861" s="248"/>
      <c r="D861" s="248"/>
      <c r="E861" s="248"/>
      <c r="F861" s="248"/>
      <c r="G861" s="251"/>
      <c r="H861" s="250"/>
      <c r="I861" s="247" t="e">
        <f t="shared" si="59"/>
        <v>#DIV/0!</v>
      </c>
      <c r="J861" s="24"/>
      <c r="K861" s="24"/>
    </row>
    <row r="862" spans="1:11" s="12" customFormat="1" ht="31.05" x14ac:dyDescent="0.3">
      <c r="A862" s="20" t="s">
        <v>430</v>
      </c>
      <c r="B862" s="4" t="s">
        <v>404</v>
      </c>
      <c r="C862" s="4" t="s">
        <v>20</v>
      </c>
      <c r="D862" s="4" t="s">
        <v>19</v>
      </c>
      <c r="E862" s="4" t="s">
        <v>287</v>
      </c>
      <c r="F862" s="4" t="s">
        <v>431</v>
      </c>
      <c r="G862" s="27">
        <f>209400-9400</f>
        <v>200000</v>
      </c>
      <c r="H862" s="56">
        <v>199933.7</v>
      </c>
      <c r="I862" s="145">
        <f t="shared" si="59"/>
        <v>0.99966850000000007</v>
      </c>
      <c r="J862" s="24"/>
      <c r="K862" s="24"/>
    </row>
    <row r="863" spans="1:11" s="12" customFormat="1" x14ac:dyDescent="0.3">
      <c r="A863" s="13" t="s">
        <v>360</v>
      </c>
      <c r="B863" s="5" t="s">
        <v>404</v>
      </c>
      <c r="C863" s="5" t="s">
        <v>20</v>
      </c>
      <c r="D863" s="5" t="s">
        <v>22</v>
      </c>
      <c r="E863" s="21"/>
      <c r="F863" s="21"/>
      <c r="G863" s="41">
        <f>G864</f>
        <v>47430900</v>
      </c>
      <c r="H863" s="138">
        <f>H864</f>
        <v>46063006.359999999</v>
      </c>
      <c r="I863" s="129">
        <f t="shared" si="59"/>
        <v>0.97116028496191298</v>
      </c>
      <c r="J863" s="24"/>
      <c r="K863" s="24"/>
    </row>
    <row r="864" spans="1:11" ht="70.5" customHeight="1" x14ac:dyDescent="0.3">
      <c r="A864" s="1" t="s">
        <v>60</v>
      </c>
      <c r="B864" s="2" t="s">
        <v>404</v>
      </c>
      <c r="C864" s="2" t="s">
        <v>20</v>
      </c>
      <c r="D864" s="2" t="s">
        <v>22</v>
      </c>
      <c r="E864" s="2" t="s">
        <v>417</v>
      </c>
      <c r="F864" s="2"/>
      <c r="G864" s="42">
        <f>G865+G874</f>
        <v>47430900</v>
      </c>
      <c r="H864" s="153">
        <f>H865+H874</f>
        <v>46063006.359999999</v>
      </c>
      <c r="I864" s="129">
        <f t="shared" si="59"/>
        <v>0.97116028496191298</v>
      </c>
    </row>
    <row r="865" spans="1:11" s="12" customFormat="1" ht="31.05" x14ac:dyDescent="0.3">
      <c r="A865" s="3" t="s">
        <v>399</v>
      </c>
      <c r="B865" s="4" t="s">
        <v>404</v>
      </c>
      <c r="C865" s="4" t="s">
        <v>20</v>
      </c>
      <c r="D865" s="4" t="s">
        <v>22</v>
      </c>
      <c r="E865" s="4" t="s">
        <v>258</v>
      </c>
      <c r="F865" s="4"/>
      <c r="G865" s="35">
        <f>G866+G871</f>
        <v>12737000</v>
      </c>
      <c r="H865" s="139">
        <f>H866+H871</f>
        <v>11712194.710000001</v>
      </c>
      <c r="I865" s="130">
        <f t="shared" si="59"/>
        <v>0.91954107796184348</v>
      </c>
      <c r="J865" s="24"/>
      <c r="K865" s="24"/>
    </row>
    <row r="866" spans="1:11" s="12" customFormat="1" ht="77.55" x14ac:dyDescent="0.3">
      <c r="A866" s="3" t="s">
        <v>752</v>
      </c>
      <c r="B866" s="4" t="s">
        <v>404</v>
      </c>
      <c r="C866" s="4" t="s">
        <v>20</v>
      </c>
      <c r="D866" s="4" t="s">
        <v>22</v>
      </c>
      <c r="E866" s="4" t="s">
        <v>753</v>
      </c>
      <c r="F866" s="4"/>
      <c r="G866" s="35">
        <f>G867</f>
        <v>310700</v>
      </c>
      <c r="H866" s="139">
        <f>H867</f>
        <v>199751.23</v>
      </c>
      <c r="I866" s="130">
        <f t="shared" si="59"/>
        <v>0.64290708078532355</v>
      </c>
      <c r="J866" s="24"/>
      <c r="K866" s="24"/>
    </row>
    <row r="867" spans="1:11" s="12" customFormat="1" ht="77.55" x14ac:dyDescent="0.3">
      <c r="A867" s="3" t="s">
        <v>754</v>
      </c>
      <c r="B867" s="248" t="s">
        <v>404</v>
      </c>
      <c r="C867" s="248" t="s">
        <v>20</v>
      </c>
      <c r="D867" s="248" t="s">
        <v>22</v>
      </c>
      <c r="E867" s="248" t="s">
        <v>756</v>
      </c>
      <c r="F867" s="248"/>
      <c r="G867" s="251">
        <f>G869+G870</f>
        <v>310700</v>
      </c>
      <c r="H867" s="250">
        <f>H869+H870</f>
        <v>199751.23</v>
      </c>
      <c r="I867" s="246">
        <f t="shared" si="59"/>
        <v>0.64290708078532355</v>
      </c>
      <c r="J867" s="24"/>
      <c r="K867" s="24"/>
    </row>
    <row r="868" spans="1:11" s="12" customFormat="1" ht="124.1" x14ac:dyDescent="0.3">
      <c r="A868" s="3" t="s">
        <v>755</v>
      </c>
      <c r="B868" s="248"/>
      <c r="C868" s="248"/>
      <c r="D868" s="248"/>
      <c r="E868" s="248"/>
      <c r="F868" s="248"/>
      <c r="G868" s="251"/>
      <c r="H868" s="250"/>
      <c r="I868" s="247"/>
      <c r="J868" s="24"/>
      <c r="K868" s="24"/>
    </row>
    <row r="869" spans="1:11" s="12" customFormat="1" ht="46.55" x14ac:dyDescent="0.3">
      <c r="A869" s="3" t="s">
        <v>543</v>
      </c>
      <c r="B869" s="4" t="s">
        <v>404</v>
      </c>
      <c r="C869" s="4" t="s">
        <v>20</v>
      </c>
      <c r="D869" s="4" t="s">
        <v>22</v>
      </c>
      <c r="E869" s="4" t="s">
        <v>756</v>
      </c>
      <c r="F869" s="4" t="s">
        <v>463</v>
      </c>
      <c r="G869" s="35">
        <f>168257.5-43952</f>
        <v>124305.5</v>
      </c>
      <c r="H869" s="139">
        <v>37833.040000000001</v>
      </c>
      <c r="I869" s="130">
        <f t="shared" si="59"/>
        <v>0.30435531814762823</v>
      </c>
      <c r="J869" s="24"/>
      <c r="K869" s="24"/>
    </row>
    <row r="870" spans="1:11" s="12" customFormat="1" ht="62.05" x14ac:dyDescent="0.3">
      <c r="A870" s="3" t="s">
        <v>394</v>
      </c>
      <c r="B870" s="4" t="s">
        <v>404</v>
      </c>
      <c r="C870" s="4" t="s">
        <v>20</v>
      </c>
      <c r="D870" s="4" t="s">
        <v>22</v>
      </c>
      <c r="E870" s="4" t="s">
        <v>756</v>
      </c>
      <c r="F870" s="4" t="s">
        <v>467</v>
      </c>
      <c r="G870" s="35">
        <f>252442.5-66048</f>
        <v>186394.5</v>
      </c>
      <c r="H870" s="139">
        <v>161918.19</v>
      </c>
      <c r="I870" s="130">
        <f t="shared" si="59"/>
        <v>0.8686854494097197</v>
      </c>
      <c r="J870" s="24"/>
      <c r="K870" s="24"/>
    </row>
    <row r="871" spans="1:11" s="12" customFormat="1" ht="46.55" x14ac:dyDescent="0.3">
      <c r="A871" s="3" t="s">
        <v>288</v>
      </c>
      <c r="B871" s="4" t="s">
        <v>404</v>
      </c>
      <c r="C871" s="4" t="s">
        <v>20</v>
      </c>
      <c r="D871" s="4" t="s">
        <v>22</v>
      </c>
      <c r="E871" s="4" t="s">
        <v>749</v>
      </c>
      <c r="F871" s="4"/>
      <c r="G871" s="35">
        <f>G872</f>
        <v>12426300</v>
      </c>
      <c r="H871" s="139">
        <f>H872</f>
        <v>11512443.48</v>
      </c>
      <c r="I871" s="130">
        <f t="shared" si="59"/>
        <v>0.92645787402525293</v>
      </c>
      <c r="J871" s="24"/>
      <c r="K871" s="24"/>
    </row>
    <row r="872" spans="1:11" s="12" customFormat="1" ht="108.55" x14ac:dyDescent="0.3">
      <c r="A872" s="3" t="s">
        <v>750</v>
      </c>
      <c r="B872" s="4" t="s">
        <v>404</v>
      </c>
      <c r="C872" s="4" t="s">
        <v>20</v>
      </c>
      <c r="D872" s="4" t="s">
        <v>22</v>
      </c>
      <c r="E872" s="4" t="s">
        <v>751</v>
      </c>
      <c r="F872" s="4"/>
      <c r="G872" s="35">
        <f>G873</f>
        <v>12426300</v>
      </c>
      <c r="H872" s="139">
        <f>H873</f>
        <v>11512443.48</v>
      </c>
      <c r="I872" s="130">
        <f t="shared" si="59"/>
        <v>0.92645787402525293</v>
      </c>
      <c r="J872" s="24"/>
      <c r="K872" s="24"/>
    </row>
    <row r="873" spans="1:11" s="12" customFormat="1" ht="31.05" x14ac:dyDescent="0.3">
      <c r="A873" s="3" t="s">
        <v>430</v>
      </c>
      <c r="B873" s="4" t="s">
        <v>404</v>
      </c>
      <c r="C873" s="4" t="s">
        <v>20</v>
      </c>
      <c r="D873" s="4" t="s">
        <v>22</v>
      </c>
      <c r="E873" s="4" t="s">
        <v>751</v>
      </c>
      <c r="F873" s="4" t="s">
        <v>431</v>
      </c>
      <c r="G873" s="35">
        <f>16829500-4403200</f>
        <v>12426300</v>
      </c>
      <c r="H873" s="139">
        <v>11512443.48</v>
      </c>
      <c r="I873" s="130">
        <f t="shared" si="59"/>
        <v>0.92645787402525293</v>
      </c>
      <c r="J873" s="24"/>
      <c r="K873" s="24"/>
    </row>
    <row r="874" spans="1:11" s="12" customFormat="1" ht="74.25" customHeight="1" x14ac:dyDescent="0.3">
      <c r="A874" s="20" t="s">
        <v>402</v>
      </c>
      <c r="B874" s="4" t="s">
        <v>404</v>
      </c>
      <c r="C874" s="4" t="s">
        <v>20</v>
      </c>
      <c r="D874" s="4" t="s">
        <v>22</v>
      </c>
      <c r="E874" s="4" t="s">
        <v>244</v>
      </c>
      <c r="F874" s="4"/>
      <c r="G874" s="35">
        <f>G875+G880+G883</f>
        <v>34693900</v>
      </c>
      <c r="H874" s="139">
        <f>H875+H880+H883</f>
        <v>34350811.649999999</v>
      </c>
      <c r="I874" s="130">
        <f t="shared" si="59"/>
        <v>0.99011098925171281</v>
      </c>
      <c r="J874" s="24"/>
      <c r="K874" s="24"/>
    </row>
    <row r="875" spans="1:11" s="12" customFormat="1" ht="85.75" customHeight="1" x14ac:dyDescent="0.3">
      <c r="A875" s="98" t="s">
        <v>107</v>
      </c>
      <c r="B875" s="4" t="s">
        <v>404</v>
      </c>
      <c r="C875" s="4" t="s">
        <v>20</v>
      </c>
      <c r="D875" s="4" t="s">
        <v>22</v>
      </c>
      <c r="E875" s="4" t="s">
        <v>110</v>
      </c>
      <c r="F875" s="4"/>
      <c r="G875" s="35">
        <f>G876</f>
        <v>4405000</v>
      </c>
      <c r="H875" s="139">
        <f>H876</f>
        <v>4404829.63</v>
      </c>
      <c r="I875" s="130">
        <f t="shared" si="59"/>
        <v>0.99996132349602718</v>
      </c>
      <c r="J875" s="24"/>
      <c r="K875" s="24"/>
    </row>
    <row r="876" spans="1:11" s="12" customFormat="1" ht="79.5" customHeight="1" x14ac:dyDescent="0.3">
      <c r="A876" s="98" t="s">
        <v>108</v>
      </c>
      <c r="B876" s="248" t="s">
        <v>404</v>
      </c>
      <c r="C876" s="248" t="s">
        <v>20</v>
      </c>
      <c r="D876" s="248" t="s">
        <v>22</v>
      </c>
      <c r="E876" s="248" t="s">
        <v>111</v>
      </c>
      <c r="F876" s="248"/>
      <c r="G876" s="251">
        <f>G878+G879</f>
        <v>4405000</v>
      </c>
      <c r="H876" s="250">
        <f>H878+H879</f>
        <v>4404829.63</v>
      </c>
      <c r="I876" s="246">
        <f t="shared" si="59"/>
        <v>0.99996132349602718</v>
      </c>
      <c r="J876" s="24"/>
      <c r="K876" s="24"/>
    </row>
    <row r="877" spans="1:11" s="12" customFormat="1" ht="90" customHeight="1" x14ac:dyDescent="0.3">
      <c r="A877" s="98" t="s">
        <v>109</v>
      </c>
      <c r="B877" s="248"/>
      <c r="C877" s="248"/>
      <c r="D877" s="248"/>
      <c r="E877" s="248"/>
      <c r="F877" s="248"/>
      <c r="G877" s="251"/>
      <c r="H877" s="250"/>
      <c r="I877" s="247"/>
      <c r="J877" s="24"/>
      <c r="K877" s="24"/>
    </row>
    <row r="878" spans="1:11" s="12" customFormat="1" ht="138.05000000000001" customHeight="1" x14ac:dyDescent="0.3">
      <c r="A878" s="3" t="s">
        <v>50</v>
      </c>
      <c r="B878" s="4" t="s">
        <v>404</v>
      </c>
      <c r="C878" s="4" t="s">
        <v>20</v>
      </c>
      <c r="D878" s="4" t="s">
        <v>22</v>
      </c>
      <c r="E878" s="4" t="s">
        <v>111</v>
      </c>
      <c r="F878" s="4" t="s">
        <v>462</v>
      </c>
      <c r="G878" s="35">
        <f>3524723+29392.42-56467.54</f>
        <v>3497647.88</v>
      </c>
      <c r="H878" s="139">
        <v>3497477.51</v>
      </c>
      <c r="I878" s="130">
        <f t="shared" si="59"/>
        <v>0.999951290122435</v>
      </c>
      <c r="J878" s="24"/>
      <c r="K878" s="24"/>
    </row>
    <row r="879" spans="1:11" s="12" customFormat="1" ht="50.95" customHeight="1" x14ac:dyDescent="0.3">
      <c r="A879" s="3" t="s">
        <v>543</v>
      </c>
      <c r="B879" s="4" t="s">
        <v>404</v>
      </c>
      <c r="C879" s="4" t="s">
        <v>20</v>
      </c>
      <c r="D879" s="4" t="s">
        <v>22</v>
      </c>
      <c r="E879" s="4" t="s">
        <v>111</v>
      </c>
      <c r="F879" s="4" t="s">
        <v>463</v>
      </c>
      <c r="G879" s="35">
        <f>880277-29392.42+56467.54</f>
        <v>907352.12</v>
      </c>
      <c r="H879" s="139">
        <f>880277-29392.42+56467.54</f>
        <v>907352.12</v>
      </c>
      <c r="I879" s="130">
        <f t="shared" si="59"/>
        <v>1</v>
      </c>
      <c r="J879" s="24"/>
      <c r="K879" s="24"/>
    </row>
    <row r="880" spans="1:11" s="12" customFormat="1" ht="104.3" customHeight="1" x14ac:dyDescent="0.3">
      <c r="A880" s="98" t="s">
        <v>112</v>
      </c>
      <c r="B880" s="4" t="s">
        <v>404</v>
      </c>
      <c r="C880" s="4" t="s">
        <v>20</v>
      </c>
      <c r="D880" s="4" t="s">
        <v>22</v>
      </c>
      <c r="E880" s="4" t="s">
        <v>113</v>
      </c>
      <c r="F880" s="4"/>
      <c r="G880" s="35">
        <f>G881</f>
        <v>619300</v>
      </c>
      <c r="H880" s="139">
        <f>H881</f>
        <v>605509.02</v>
      </c>
      <c r="I880" s="130">
        <f t="shared" si="59"/>
        <v>0.97773134183755861</v>
      </c>
      <c r="J880" s="24"/>
      <c r="K880" s="24"/>
    </row>
    <row r="881" spans="1:11" s="12" customFormat="1" ht="147.05000000000001" customHeight="1" x14ac:dyDescent="0.3">
      <c r="A881" s="98" t="s">
        <v>114</v>
      </c>
      <c r="B881" s="4" t="s">
        <v>404</v>
      </c>
      <c r="C881" s="4" t="s">
        <v>20</v>
      </c>
      <c r="D881" s="4" t="s">
        <v>22</v>
      </c>
      <c r="E881" s="4" t="s">
        <v>115</v>
      </c>
      <c r="F881" s="4"/>
      <c r="G881" s="35">
        <f>G882</f>
        <v>619300</v>
      </c>
      <c r="H881" s="139">
        <f>H882</f>
        <v>605509.02</v>
      </c>
      <c r="I881" s="130">
        <f t="shared" si="59"/>
        <v>0.97773134183755861</v>
      </c>
      <c r="J881" s="24"/>
      <c r="K881" s="24"/>
    </row>
    <row r="882" spans="1:11" s="12" customFormat="1" ht="31.05" x14ac:dyDescent="0.3">
      <c r="A882" s="3" t="s">
        <v>430</v>
      </c>
      <c r="B882" s="4" t="s">
        <v>404</v>
      </c>
      <c r="C882" s="4" t="s">
        <v>20</v>
      </c>
      <c r="D882" s="4" t="s">
        <v>22</v>
      </c>
      <c r="E882" s="4" t="s">
        <v>115</v>
      </c>
      <c r="F882" s="4" t="s">
        <v>431</v>
      </c>
      <c r="G882" s="35">
        <f>491500+127800</f>
        <v>619300</v>
      </c>
      <c r="H882" s="139">
        <v>605509.02</v>
      </c>
      <c r="I882" s="130">
        <f t="shared" si="59"/>
        <v>0.97773134183755861</v>
      </c>
      <c r="J882" s="24"/>
      <c r="K882" s="24"/>
    </row>
    <row r="883" spans="1:11" s="12" customFormat="1" ht="77.55" x14ac:dyDescent="0.3">
      <c r="A883" s="98" t="s">
        <v>116</v>
      </c>
      <c r="B883" s="4" t="s">
        <v>404</v>
      </c>
      <c r="C883" s="4" t="s">
        <v>20</v>
      </c>
      <c r="D883" s="4" t="s">
        <v>22</v>
      </c>
      <c r="E883" s="4" t="s">
        <v>117</v>
      </c>
      <c r="F883" s="4"/>
      <c r="G883" s="35">
        <f>G884</f>
        <v>29669600</v>
      </c>
      <c r="H883" s="139">
        <f>H884</f>
        <v>29340473</v>
      </c>
      <c r="I883" s="130">
        <f t="shared" si="59"/>
        <v>0.98890692830371829</v>
      </c>
      <c r="J883" s="24"/>
      <c r="K883" s="24"/>
    </row>
    <row r="884" spans="1:11" s="12" customFormat="1" ht="77.55" x14ac:dyDescent="0.3">
      <c r="A884" s="98" t="s">
        <v>118</v>
      </c>
      <c r="B884" s="4" t="s">
        <v>404</v>
      </c>
      <c r="C884" s="4" t="s">
        <v>20</v>
      </c>
      <c r="D884" s="4" t="s">
        <v>22</v>
      </c>
      <c r="E884" s="4" t="s">
        <v>119</v>
      </c>
      <c r="F884" s="4"/>
      <c r="G884" s="35">
        <f>G885+G886</f>
        <v>29669600</v>
      </c>
      <c r="H884" s="139">
        <f>H885+H886</f>
        <v>29340473</v>
      </c>
      <c r="I884" s="130">
        <f t="shared" si="59"/>
        <v>0.98890692830371829</v>
      </c>
      <c r="J884" s="24"/>
      <c r="K884" s="24"/>
    </row>
    <row r="885" spans="1:11" s="12" customFormat="1" ht="47.25" hidden="1" customHeight="1" x14ac:dyDescent="0.3">
      <c r="A885" s="3" t="s">
        <v>543</v>
      </c>
      <c r="B885" s="4" t="s">
        <v>404</v>
      </c>
      <c r="C885" s="4" t="s">
        <v>20</v>
      </c>
      <c r="D885" s="4" t="s">
        <v>22</v>
      </c>
      <c r="E885" s="4" t="s">
        <v>119</v>
      </c>
      <c r="F885" s="4" t="s">
        <v>463</v>
      </c>
      <c r="G885" s="35">
        <f>12275000-12275000</f>
        <v>0</v>
      </c>
      <c r="H885" s="139">
        <f>12275000-12275000</f>
        <v>0</v>
      </c>
      <c r="I885" s="130" t="e">
        <f t="shared" si="59"/>
        <v>#DIV/0!</v>
      </c>
      <c r="J885" s="24"/>
      <c r="K885" s="24"/>
    </row>
    <row r="886" spans="1:11" s="12" customFormat="1" ht="31.05" x14ac:dyDescent="0.3">
      <c r="A886" s="6" t="s">
        <v>430</v>
      </c>
      <c r="B886" s="7" t="s">
        <v>404</v>
      </c>
      <c r="C886" s="7" t="s">
        <v>20</v>
      </c>
      <c r="D886" s="7" t="s">
        <v>22</v>
      </c>
      <c r="E886" s="7" t="s">
        <v>119</v>
      </c>
      <c r="F886" s="7" t="s">
        <v>431</v>
      </c>
      <c r="G886" s="114">
        <f>21905300+12275000-5160700+650000</f>
        <v>29669600</v>
      </c>
      <c r="H886" s="140">
        <v>29340473</v>
      </c>
      <c r="I886" s="145">
        <f t="shared" si="59"/>
        <v>0.98890692830371829</v>
      </c>
      <c r="J886" s="24"/>
      <c r="K886" s="24"/>
    </row>
    <row r="887" spans="1:11" s="14" customFormat="1" ht="75.349999999999994" x14ac:dyDescent="0.3">
      <c r="A887" s="32" t="s">
        <v>358</v>
      </c>
      <c r="B887" s="22" t="s">
        <v>11</v>
      </c>
      <c r="C887" s="11"/>
      <c r="D887" s="11"/>
      <c r="E887" s="11"/>
      <c r="F887" s="11"/>
      <c r="G887" s="33">
        <f>G888+G911+G921+G959+G1050+G1065</f>
        <v>267934806.77999994</v>
      </c>
      <c r="H887" s="135">
        <f>H888+H911+H921+H959+H1050+H1065</f>
        <v>267280759.58999994</v>
      </c>
      <c r="I887" s="129">
        <f t="shared" si="59"/>
        <v>0.99755893160033882</v>
      </c>
      <c r="J887" s="47"/>
      <c r="K887" s="47"/>
    </row>
    <row r="888" spans="1:11" s="14" customFormat="1" ht="17.2" x14ac:dyDescent="0.3">
      <c r="A888" s="1" t="s">
        <v>31</v>
      </c>
      <c r="B888" s="2" t="s">
        <v>11</v>
      </c>
      <c r="C888" s="2" t="s">
        <v>683</v>
      </c>
      <c r="D888" s="9"/>
      <c r="E888" s="2"/>
      <c r="F888" s="2"/>
      <c r="G888" s="31">
        <f>G889+G897</f>
        <v>7383423.4500000002</v>
      </c>
      <c r="H888" s="57">
        <f>H889+H897</f>
        <v>7373846.9899999993</v>
      </c>
      <c r="I888" s="129">
        <f t="shared" si="59"/>
        <v>0.99870297835890731</v>
      </c>
      <c r="J888" s="47"/>
      <c r="K888" s="47"/>
    </row>
    <row r="889" spans="1:11" s="14" customFormat="1" ht="108.55" x14ac:dyDescent="0.3">
      <c r="A889" s="1" t="s">
        <v>458</v>
      </c>
      <c r="B889" s="2" t="s">
        <v>11</v>
      </c>
      <c r="C889" s="2" t="s">
        <v>683</v>
      </c>
      <c r="D889" s="2" t="s">
        <v>22</v>
      </c>
      <c r="E889" s="2"/>
      <c r="F889" s="2"/>
      <c r="G889" s="31">
        <f>G891</f>
        <v>7276477</v>
      </c>
      <c r="H889" s="57">
        <f>H891</f>
        <v>7269246.4899999993</v>
      </c>
      <c r="I889" s="129">
        <f t="shared" si="59"/>
        <v>0.99900631720542776</v>
      </c>
      <c r="J889" s="47"/>
      <c r="K889" s="47"/>
    </row>
    <row r="890" spans="1:11" s="14" customFormat="1" ht="62.05" x14ac:dyDescent="0.3">
      <c r="A890" s="46" t="s">
        <v>62</v>
      </c>
      <c r="B890" s="2" t="s">
        <v>11</v>
      </c>
      <c r="C890" s="2" t="s">
        <v>683</v>
      </c>
      <c r="D890" s="2" t="s">
        <v>22</v>
      </c>
      <c r="E890" s="2" t="s">
        <v>547</v>
      </c>
      <c r="F890" s="2"/>
      <c r="G890" s="31">
        <f>G891</f>
        <v>7276477</v>
      </c>
      <c r="H890" s="57">
        <f>H891</f>
        <v>7269246.4899999993</v>
      </c>
      <c r="I890" s="129">
        <f t="shared" si="59"/>
        <v>0.99900631720542776</v>
      </c>
      <c r="J890" s="47"/>
      <c r="K890" s="47"/>
    </row>
    <row r="891" spans="1:11" s="14" customFormat="1" ht="77.55" x14ac:dyDescent="0.3">
      <c r="A891" s="20" t="s">
        <v>97</v>
      </c>
      <c r="B891" s="4" t="s">
        <v>11</v>
      </c>
      <c r="C891" s="4" t="s">
        <v>683</v>
      </c>
      <c r="D891" s="4" t="s">
        <v>22</v>
      </c>
      <c r="E891" s="4" t="s">
        <v>527</v>
      </c>
      <c r="F891" s="4"/>
      <c r="G891" s="27">
        <f>G892</f>
        <v>7276477</v>
      </c>
      <c r="H891" s="56">
        <f>H892</f>
        <v>7269246.4899999993</v>
      </c>
      <c r="I891" s="130">
        <f t="shared" si="59"/>
        <v>0.99900631720542776</v>
      </c>
      <c r="J891" s="47"/>
      <c r="K891" s="47"/>
    </row>
    <row r="892" spans="1:11" s="14" customFormat="1" ht="77.55" x14ac:dyDescent="0.3">
      <c r="A892" s="20" t="s">
        <v>528</v>
      </c>
      <c r="B892" s="4" t="s">
        <v>11</v>
      </c>
      <c r="C892" s="4" t="s">
        <v>683</v>
      </c>
      <c r="D892" s="4" t="s">
        <v>22</v>
      </c>
      <c r="E892" s="4" t="s">
        <v>529</v>
      </c>
      <c r="F892" s="4"/>
      <c r="G892" s="27">
        <f>G893+G895</f>
        <v>7276477</v>
      </c>
      <c r="H892" s="56">
        <f>H893+H895</f>
        <v>7269246.4899999993</v>
      </c>
      <c r="I892" s="130">
        <f t="shared" si="59"/>
        <v>0.99900631720542776</v>
      </c>
      <c r="J892" s="47"/>
      <c r="K892" s="47"/>
    </row>
    <row r="893" spans="1:11" s="14" customFormat="1" ht="46.55" x14ac:dyDescent="0.3">
      <c r="A893" s="20" t="s">
        <v>450</v>
      </c>
      <c r="B893" s="4" t="s">
        <v>11</v>
      </c>
      <c r="C893" s="4" t="s">
        <v>683</v>
      </c>
      <c r="D893" s="4" t="s">
        <v>22</v>
      </c>
      <c r="E893" s="4" t="s">
        <v>530</v>
      </c>
      <c r="F893" s="4"/>
      <c r="G893" s="27">
        <f>G894</f>
        <v>7191409.7800000003</v>
      </c>
      <c r="H893" s="56">
        <f>H894</f>
        <v>7184179.2699999996</v>
      </c>
      <c r="I893" s="130">
        <f t="shared" si="59"/>
        <v>0.99899456292699251</v>
      </c>
      <c r="J893" s="47"/>
      <c r="K893" s="47"/>
    </row>
    <row r="894" spans="1:11" s="14" customFormat="1" ht="108.55" x14ac:dyDescent="0.3">
      <c r="A894" s="20" t="s">
        <v>389</v>
      </c>
      <c r="B894" s="4" t="s">
        <v>11</v>
      </c>
      <c r="C894" s="4" t="s">
        <v>683</v>
      </c>
      <c r="D894" s="4" t="s">
        <v>22</v>
      </c>
      <c r="E894" s="4" t="s">
        <v>530</v>
      </c>
      <c r="F894" s="4" t="s">
        <v>462</v>
      </c>
      <c r="G894" s="27">
        <f>6916196.46+195789+59128+20296.32</f>
        <v>7191409.7800000003</v>
      </c>
      <c r="H894" s="56">
        <v>7184179.2699999996</v>
      </c>
      <c r="I894" s="130">
        <f t="shared" si="59"/>
        <v>0.99899456292699251</v>
      </c>
      <c r="J894" s="47"/>
      <c r="K894" s="47"/>
    </row>
    <row r="895" spans="1:11" s="14" customFormat="1" ht="93.05" x14ac:dyDescent="0.3">
      <c r="A895" s="20" t="s">
        <v>448</v>
      </c>
      <c r="B895" s="4" t="s">
        <v>11</v>
      </c>
      <c r="C895" s="4" t="s">
        <v>683</v>
      </c>
      <c r="D895" s="4" t="s">
        <v>22</v>
      </c>
      <c r="E895" s="4" t="s">
        <v>531</v>
      </c>
      <c r="F895" s="4"/>
      <c r="G895" s="27">
        <f>G896</f>
        <v>85067.22</v>
      </c>
      <c r="H895" s="56">
        <f>H896</f>
        <v>85067.22</v>
      </c>
      <c r="I895" s="130">
        <f t="shared" si="59"/>
        <v>1</v>
      </c>
      <c r="J895" s="47"/>
      <c r="K895" s="47"/>
    </row>
    <row r="896" spans="1:11" s="14" customFormat="1" ht="108.55" x14ac:dyDescent="0.3">
      <c r="A896" s="20" t="s">
        <v>389</v>
      </c>
      <c r="B896" s="4" t="s">
        <v>11</v>
      </c>
      <c r="C896" s="4" t="s">
        <v>683</v>
      </c>
      <c r="D896" s="4" t="s">
        <v>22</v>
      </c>
      <c r="E896" s="4" t="s">
        <v>531</v>
      </c>
      <c r="F896" s="4" t="s">
        <v>462</v>
      </c>
      <c r="G896" s="27">
        <f>105363.54-20296.32</f>
        <v>85067.22</v>
      </c>
      <c r="H896" s="56">
        <f>105363.54-20296.32</f>
        <v>85067.22</v>
      </c>
      <c r="I896" s="130">
        <f t="shared" si="59"/>
        <v>1</v>
      </c>
      <c r="J896" s="47"/>
      <c r="K896" s="47"/>
    </row>
    <row r="897" spans="1:11" s="14" customFormat="1" ht="31.05" x14ac:dyDescent="0.3">
      <c r="A897" s="1" t="s">
        <v>582</v>
      </c>
      <c r="B897" s="2" t="s">
        <v>11</v>
      </c>
      <c r="C897" s="2" t="s">
        <v>683</v>
      </c>
      <c r="D897" s="2" t="s">
        <v>460</v>
      </c>
      <c r="E897" s="2"/>
      <c r="F897" s="2"/>
      <c r="G897" s="31">
        <f>G898</f>
        <v>106946.45</v>
      </c>
      <c r="H897" s="57">
        <f>H898</f>
        <v>104600.5</v>
      </c>
      <c r="I897" s="129">
        <f t="shared" si="59"/>
        <v>0.97806425552227305</v>
      </c>
      <c r="J897" s="47"/>
      <c r="K897" s="47"/>
    </row>
    <row r="898" spans="1:11" s="14" customFormat="1" ht="62.05" x14ac:dyDescent="0.3">
      <c r="A898" s="46" t="s">
        <v>62</v>
      </c>
      <c r="B898" s="2" t="s">
        <v>11</v>
      </c>
      <c r="C898" s="2" t="s">
        <v>683</v>
      </c>
      <c r="D898" s="2" t="s">
        <v>460</v>
      </c>
      <c r="E898" s="2" t="s">
        <v>547</v>
      </c>
      <c r="F898" s="2"/>
      <c r="G898" s="31">
        <f>G903+G899</f>
        <v>106946.45</v>
      </c>
      <c r="H898" s="57">
        <f>H903+H899</f>
        <v>104600.5</v>
      </c>
      <c r="I898" s="129">
        <f t="shared" si="59"/>
        <v>0.97806425552227305</v>
      </c>
      <c r="J898" s="47"/>
      <c r="K898" s="47"/>
    </row>
    <row r="899" spans="1:11" s="14" customFormat="1" ht="77.55" x14ac:dyDescent="0.3">
      <c r="A899" s="25" t="s">
        <v>819</v>
      </c>
      <c r="B899" s="4" t="s">
        <v>11</v>
      </c>
      <c r="C899" s="4" t="s">
        <v>683</v>
      </c>
      <c r="D899" s="4" t="s">
        <v>460</v>
      </c>
      <c r="E899" s="4" t="s">
        <v>527</v>
      </c>
      <c r="F899" s="4"/>
      <c r="G899" s="27">
        <f t="shared" ref="G899:H901" si="60">G900</f>
        <v>12836.5</v>
      </c>
      <c r="H899" s="56">
        <f t="shared" si="60"/>
        <v>12836.5</v>
      </c>
      <c r="I899" s="130">
        <f t="shared" si="59"/>
        <v>1</v>
      </c>
      <c r="J899" s="47"/>
      <c r="K899" s="47"/>
    </row>
    <row r="900" spans="1:11" s="14" customFormat="1" ht="77.55" x14ac:dyDescent="0.3">
      <c r="A900" s="25" t="s">
        <v>528</v>
      </c>
      <c r="B900" s="4" t="s">
        <v>11</v>
      </c>
      <c r="C900" s="4" t="s">
        <v>683</v>
      </c>
      <c r="D900" s="4" t="s">
        <v>460</v>
      </c>
      <c r="E900" s="4" t="s">
        <v>529</v>
      </c>
      <c r="F900" s="4"/>
      <c r="G900" s="27">
        <f t="shared" si="60"/>
        <v>12836.5</v>
      </c>
      <c r="H900" s="56">
        <f t="shared" si="60"/>
        <v>12836.5</v>
      </c>
      <c r="I900" s="130">
        <f t="shared" si="59"/>
        <v>1</v>
      </c>
      <c r="J900" s="47"/>
      <c r="K900" s="47"/>
    </row>
    <row r="901" spans="1:11" s="14" customFormat="1" ht="31.05" x14ac:dyDescent="0.3">
      <c r="A901" s="25" t="s">
        <v>393</v>
      </c>
      <c r="B901" s="4" t="s">
        <v>11</v>
      </c>
      <c r="C901" s="4" t="s">
        <v>683</v>
      </c>
      <c r="D901" s="4" t="s">
        <v>460</v>
      </c>
      <c r="E901" s="4" t="s">
        <v>820</v>
      </c>
      <c r="F901" s="4"/>
      <c r="G901" s="27">
        <f t="shared" si="60"/>
        <v>12836.5</v>
      </c>
      <c r="H901" s="56">
        <f t="shared" si="60"/>
        <v>12836.5</v>
      </c>
      <c r="I901" s="130">
        <f t="shared" si="59"/>
        <v>1</v>
      </c>
      <c r="J901" s="47"/>
      <c r="K901" s="47"/>
    </row>
    <row r="902" spans="1:11" s="14" customFormat="1" ht="31.05" x14ac:dyDescent="0.3">
      <c r="A902" s="3" t="s">
        <v>430</v>
      </c>
      <c r="B902" s="4" t="s">
        <v>11</v>
      </c>
      <c r="C902" s="4" t="s">
        <v>683</v>
      </c>
      <c r="D902" s="4" t="s">
        <v>460</v>
      </c>
      <c r="E902" s="4" t="s">
        <v>820</v>
      </c>
      <c r="F902" s="4" t="s">
        <v>431</v>
      </c>
      <c r="G902" s="27">
        <f>12836.5</f>
        <v>12836.5</v>
      </c>
      <c r="H902" s="56">
        <f>12836.5</f>
        <v>12836.5</v>
      </c>
      <c r="I902" s="130">
        <f t="shared" si="59"/>
        <v>1</v>
      </c>
      <c r="J902" s="47"/>
      <c r="K902" s="47"/>
    </row>
    <row r="903" spans="1:11" s="14" customFormat="1" ht="46.55" x14ac:dyDescent="0.3">
      <c r="A903" s="3" t="s">
        <v>91</v>
      </c>
      <c r="B903" s="4" t="s">
        <v>11</v>
      </c>
      <c r="C903" s="4" t="s">
        <v>683</v>
      </c>
      <c r="D903" s="4" t="s">
        <v>460</v>
      </c>
      <c r="E903" s="4" t="s">
        <v>550</v>
      </c>
      <c r="F903" s="4"/>
      <c r="G903" s="27">
        <f>G904+G908</f>
        <v>94109.95</v>
      </c>
      <c r="H903" s="56">
        <f>H904+H908</f>
        <v>91764</v>
      </c>
      <c r="I903" s="130">
        <f t="shared" si="59"/>
        <v>0.97507224262684233</v>
      </c>
      <c r="J903" s="47"/>
      <c r="K903" s="47"/>
    </row>
    <row r="904" spans="1:11" s="14" customFormat="1" ht="77.55" x14ac:dyDescent="0.3">
      <c r="A904" s="3" t="s">
        <v>553</v>
      </c>
      <c r="B904" s="4" t="s">
        <v>11</v>
      </c>
      <c r="C904" s="4" t="s">
        <v>683</v>
      </c>
      <c r="D904" s="4" t="s">
        <v>460</v>
      </c>
      <c r="E904" s="4" t="s">
        <v>524</v>
      </c>
      <c r="F904" s="53"/>
      <c r="G904" s="27">
        <f>G905</f>
        <v>53516</v>
      </c>
      <c r="H904" s="56">
        <f>H905</f>
        <v>53516</v>
      </c>
      <c r="I904" s="130">
        <f t="shared" si="59"/>
        <v>1</v>
      </c>
      <c r="J904" s="47"/>
      <c r="K904" s="47"/>
    </row>
    <row r="905" spans="1:11" s="14" customFormat="1" ht="48.05" customHeight="1" x14ac:dyDescent="0.3">
      <c r="A905" s="3" t="s">
        <v>451</v>
      </c>
      <c r="B905" s="4" t="s">
        <v>11</v>
      </c>
      <c r="C905" s="4" t="s">
        <v>683</v>
      </c>
      <c r="D905" s="4" t="s">
        <v>460</v>
      </c>
      <c r="E905" s="4" t="s">
        <v>782</v>
      </c>
      <c r="F905" s="53"/>
      <c r="G905" s="27">
        <f>G906+G907</f>
        <v>53516</v>
      </c>
      <c r="H905" s="56">
        <f>H906+H907</f>
        <v>53516</v>
      </c>
      <c r="I905" s="130">
        <f t="shared" si="59"/>
        <v>1</v>
      </c>
      <c r="J905" s="47"/>
      <c r="K905" s="47"/>
    </row>
    <row r="906" spans="1:11" s="14" customFormat="1" ht="108.55" x14ac:dyDescent="0.3">
      <c r="A906" s="3" t="s">
        <v>389</v>
      </c>
      <c r="B906" s="4" t="s">
        <v>11</v>
      </c>
      <c r="C906" s="4" t="s">
        <v>683</v>
      </c>
      <c r="D906" s="4" t="s">
        <v>460</v>
      </c>
      <c r="E906" s="4" t="s">
        <v>782</v>
      </c>
      <c r="F906" s="53">
        <v>100</v>
      </c>
      <c r="G906" s="27">
        <f>34296.95+12219.05</f>
        <v>46516</v>
      </c>
      <c r="H906" s="56">
        <f>34296.95+12219.05</f>
        <v>46516</v>
      </c>
      <c r="I906" s="130">
        <f t="shared" si="59"/>
        <v>1</v>
      </c>
      <c r="J906" s="47"/>
      <c r="K906" s="47"/>
    </row>
    <row r="907" spans="1:11" s="14" customFormat="1" ht="46.55" x14ac:dyDescent="0.3">
      <c r="A907" s="3" t="s">
        <v>543</v>
      </c>
      <c r="B907" s="4" t="s">
        <v>11</v>
      </c>
      <c r="C907" s="4" t="s">
        <v>683</v>
      </c>
      <c r="D907" s="4" t="s">
        <v>460</v>
      </c>
      <c r="E907" s="4" t="s">
        <v>782</v>
      </c>
      <c r="F907" s="53">
        <v>200</v>
      </c>
      <c r="G907" s="27">
        <f>46913-36000-3913</f>
        <v>7000</v>
      </c>
      <c r="H907" s="56">
        <f>46913-36000-3913</f>
        <v>7000</v>
      </c>
      <c r="I907" s="130">
        <f t="shared" ref="I907:I970" si="61">H907/G907</f>
        <v>1</v>
      </c>
      <c r="J907" s="47"/>
      <c r="K907" s="47"/>
    </row>
    <row r="908" spans="1:11" s="14" customFormat="1" ht="31.05" x14ac:dyDescent="0.3">
      <c r="A908" s="3" t="s">
        <v>153</v>
      </c>
      <c r="B908" s="4" t="s">
        <v>11</v>
      </c>
      <c r="C908" s="4" t="s">
        <v>683</v>
      </c>
      <c r="D908" s="4" t="s">
        <v>460</v>
      </c>
      <c r="E908" s="4" t="s">
        <v>154</v>
      </c>
      <c r="F908" s="53"/>
      <c r="G908" s="27">
        <f>G910</f>
        <v>40593.949999999997</v>
      </c>
      <c r="H908" s="56">
        <f>H910</f>
        <v>38248</v>
      </c>
      <c r="I908" s="130">
        <f t="shared" si="61"/>
        <v>0.94220936863744476</v>
      </c>
      <c r="J908" s="47"/>
      <c r="K908" s="47"/>
    </row>
    <row r="909" spans="1:11" s="14" customFormat="1" ht="46.55" x14ac:dyDescent="0.3">
      <c r="A909" s="3" t="s">
        <v>451</v>
      </c>
      <c r="B909" s="4" t="s">
        <v>11</v>
      </c>
      <c r="C909" s="4" t="s">
        <v>683</v>
      </c>
      <c r="D909" s="4" t="s">
        <v>460</v>
      </c>
      <c r="E909" s="4" t="s">
        <v>783</v>
      </c>
      <c r="F909" s="53"/>
      <c r="G909" s="27">
        <f>G910</f>
        <v>40593.949999999997</v>
      </c>
      <c r="H909" s="56">
        <f>H910</f>
        <v>38248</v>
      </c>
      <c r="I909" s="130">
        <f t="shared" si="61"/>
        <v>0.94220936863744476</v>
      </c>
      <c r="J909" s="47"/>
      <c r="K909" s="47"/>
    </row>
    <row r="910" spans="1:11" s="14" customFormat="1" ht="46.55" x14ac:dyDescent="0.3">
      <c r="A910" s="3" t="s">
        <v>543</v>
      </c>
      <c r="B910" s="4" t="s">
        <v>11</v>
      </c>
      <c r="C910" s="4" t="s">
        <v>683</v>
      </c>
      <c r="D910" s="4" t="s">
        <v>460</v>
      </c>
      <c r="E910" s="4" t="s">
        <v>783</v>
      </c>
      <c r="F910" s="53">
        <v>200</v>
      </c>
      <c r="G910" s="27">
        <f>48900-8306.05</f>
        <v>40593.949999999997</v>
      </c>
      <c r="H910" s="56">
        <v>38248</v>
      </c>
      <c r="I910" s="145">
        <f t="shared" si="61"/>
        <v>0.94220936863744476</v>
      </c>
      <c r="J910" s="47"/>
      <c r="K910" s="47"/>
    </row>
    <row r="911" spans="1:11" s="14" customFormat="1" ht="17.2" x14ac:dyDescent="0.3">
      <c r="A911" s="13" t="s">
        <v>33</v>
      </c>
      <c r="B911" s="5" t="s">
        <v>11</v>
      </c>
      <c r="C911" s="5" t="s">
        <v>22</v>
      </c>
      <c r="D911" s="5"/>
      <c r="E911" s="5"/>
      <c r="F911" s="5"/>
      <c r="G911" s="26">
        <f t="shared" ref="G911:H913" si="62">G912</f>
        <v>1854859.7999999998</v>
      </c>
      <c r="H911" s="137">
        <f t="shared" si="62"/>
        <v>1731580.8599999999</v>
      </c>
      <c r="I911" s="129">
        <f t="shared" si="61"/>
        <v>0.93353732718774762</v>
      </c>
      <c r="J911" s="47"/>
      <c r="K911" s="47"/>
    </row>
    <row r="912" spans="1:11" s="14" customFormat="1" ht="17.2" x14ac:dyDescent="0.3">
      <c r="A912" s="1" t="s">
        <v>456</v>
      </c>
      <c r="B912" s="2" t="s">
        <v>11</v>
      </c>
      <c r="C912" s="2" t="s">
        <v>22</v>
      </c>
      <c r="D912" s="2" t="s">
        <v>20</v>
      </c>
      <c r="E912" s="2"/>
      <c r="F912" s="2"/>
      <c r="G912" s="31">
        <f t="shared" si="62"/>
        <v>1854859.7999999998</v>
      </c>
      <c r="H912" s="57">
        <f t="shared" si="62"/>
        <v>1731580.8599999999</v>
      </c>
      <c r="I912" s="129">
        <f t="shared" si="61"/>
        <v>0.93353732718774762</v>
      </c>
      <c r="J912" s="47"/>
      <c r="K912" s="47"/>
    </row>
    <row r="913" spans="1:11" s="14" customFormat="1" ht="46.55" x14ac:dyDescent="0.3">
      <c r="A913" s="1" t="s">
        <v>726</v>
      </c>
      <c r="B913" s="2" t="s">
        <v>11</v>
      </c>
      <c r="C913" s="2" t="s">
        <v>22</v>
      </c>
      <c r="D913" s="2" t="s">
        <v>20</v>
      </c>
      <c r="E913" s="2" t="s">
        <v>554</v>
      </c>
      <c r="F913" s="2"/>
      <c r="G913" s="31">
        <f t="shared" si="62"/>
        <v>1854859.7999999998</v>
      </c>
      <c r="H913" s="57">
        <f t="shared" si="62"/>
        <v>1731580.8599999999</v>
      </c>
      <c r="I913" s="129">
        <f t="shared" si="61"/>
        <v>0.93353732718774762</v>
      </c>
      <c r="J913" s="47"/>
      <c r="K913" s="47"/>
    </row>
    <row r="914" spans="1:11" s="14" customFormat="1" ht="62.05" x14ac:dyDescent="0.3">
      <c r="A914" s="3" t="s">
        <v>52</v>
      </c>
      <c r="B914" s="4" t="s">
        <v>11</v>
      </c>
      <c r="C914" s="4" t="s">
        <v>22</v>
      </c>
      <c r="D914" s="4" t="s">
        <v>20</v>
      </c>
      <c r="E914" s="4" t="s">
        <v>555</v>
      </c>
      <c r="F914" s="4"/>
      <c r="G914" s="27">
        <f>G915+G918</f>
        <v>1854859.7999999998</v>
      </c>
      <c r="H914" s="56">
        <f>H915+H918</f>
        <v>1731580.8599999999</v>
      </c>
      <c r="I914" s="130">
        <f t="shared" si="61"/>
        <v>0.93353732718774762</v>
      </c>
      <c r="J914" s="47"/>
      <c r="K914" s="47"/>
    </row>
    <row r="915" spans="1:11" s="14" customFormat="1" ht="46.55" x14ac:dyDescent="0.3">
      <c r="A915" s="3" t="s">
        <v>219</v>
      </c>
      <c r="B915" s="4" t="s">
        <v>11</v>
      </c>
      <c r="C915" s="4" t="s">
        <v>22</v>
      </c>
      <c r="D915" s="4" t="s">
        <v>20</v>
      </c>
      <c r="E915" s="4" t="s">
        <v>220</v>
      </c>
      <c r="F915" s="4"/>
      <c r="G915" s="27">
        <f>G916</f>
        <v>347499.79999999993</v>
      </c>
      <c r="H915" s="56">
        <f>H916</f>
        <v>224220.86</v>
      </c>
      <c r="I915" s="130">
        <f t="shared" si="61"/>
        <v>0.64524025625338499</v>
      </c>
      <c r="J915" s="47"/>
      <c r="K915" s="47"/>
    </row>
    <row r="916" spans="1:11" s="14" customFormat="1" ht="31.05" x14ac:dyDescent="0.3">
      <c r="A916" s="3" t="s">
        <v>393</v>
      </c>
      <c r="B916" s="4" t="s">
        <v>11</v>
      </c>
      <c r="C916" s="4" t="s">
        <v>22</v>
      </c>
      <c r="D916" s="4" t="s">
        <v>20</v>
      </c>
      <c r="E916" s="4" t="s">
        <v>221</v>
      </c>
      <c r="F916" s="4"/>
      <c r="G916" s="27">
        <f>G917</f>
        <v>347499.79999999993</v>
      </c>
      <c r="H916" s="56">
        <f>H917</f>
        <v>224220.86</v>
      </c>
      <c r="I916" s="130">
        <f t="shared" si="61"/>
        <v>0.64524025625338499</v>
      </c>
      <c r="J916" s="47"/>
      <c r="K916" s="47"/>
    </row>
    <row r="917" spans="1:11" s="14" customFormat="1" ht="46.55" x14ac:dyDescent="0.3">
      <c r="A917" s="3" t="s">
        <v>543</v>
      </c>
      <c r="B917" s="4" t="s">
        <v>11</v>
      </c>
      <c r="C917" s="4" t="s">
        <v>22</v>
      </c>
      <c r="D917" s="4" t="s">
        <v>20</v>
      </c>
      <c r="E917" s="4" t="s">
        <v>221</v>
      </c>
      <c r="F917" s="4" t="s">
        <v>463</v>
      </c>
      <c r="G917" s="27">
        <f>619602.83-40000-12836.5-219266.53</f>
        <v>347499.79999999993</v>
      </c>
      <c r="H917" s="56">
        <v>224220.86</v>
      </c>
      <c r="I917" s="130">
        <f t="shared" si="61"/>
        <v>0.64524025625338499</v>
      </c>
      <c r="J917" s="47"/>
      <c r="K917" s="47"/>
    </row>
    <row r="918" spans="1:11" s="14" customFormat="1" ht="46.55" x14ac:dyDescent="0.3">
      <c r="A918" s="3" t="s">
        <v>227</v>
      </c>
      <c r="B918" s="4" t="s">
        <v>11</v>
      </c>
      <c r="C918" s="4" t="s">
        <v>22</v>
      </c>
      <c r="D918" s="4" t="s">
        <v>20</v>
      </c>
      <c r="E918" s="4" t="s">
        <v>228</v>
      </c>
      <c r="F918" s="4"/>
      <c r="G918" s="27">
        <f>G919</f>
        <v>1507360</v>
      </c>
      <c r="H918" s="56">
        <f>H919</f>
        <v>1507360</v>
      </c>
      <c r="I918" s="130">
        <f t="shared" si="61"/>
        <v>1</v>
      </c>
      <c r="J918" s="47"/>
      <c r="K918" s="47"/>
    </row>
    <row r="919" spans="1:11" s="14" customFormat="1" ht="31.05" x14ac:dyDescent="0.3">
      <c r="A919" s="3" t="s">
        <v>393</v>
      </c>
      <c r="B919" s="4" t="s">
        <v>11</v>
      </c>
      <c r="C919" s="4" t="s">
        <v>22</v>
      </c>
      <c r="D919" s="4" t="s">
        <v>20</v>
      </c>
      <c r="E919" s="4" t="s">
        <v>229</v>
      </c>
      <c r="F919" s="4"/>
      <c r="G919" s="27">
        <f>G920</f>
        <v>1507360</v>
      </c>
      <c r="H919" s="56">
        <f>H920</f>
        <v>1507360</v>
      </c>
      <c r="I919" s="130">
        <f t="shared" si="61"/>
        <v>1</v>
      </c>
      <c r="J919" s="47"/>
      <c r="K919" s="47"/>
    </row>
    <row r="920" spans="1:11" s="14" customFormat="1" ht="62.05" x14ac:dyDescent="0.3">
      <c r="A920" s="3" t="s">
        <v>394</v>
      </c>
      <c r="B920" s="4" t="s">
        <v>11</v>
      </c>
      <c r="C920" s="4" t="s">
        <v>22</v>
      </c>
      <c r="D920" s="4" t="s">
        <v>20</v>
      </c>
      <c r="E920" s="4" t="s">
        <v>229</v>
      </c>
      <c r="F920" s="4" t="s">
        <v>467</v>
      </c>
      <c r="G920" s="27">
        <f>1602320-70000-24960</f>
        <v>1507360</v>
      </c>
      <c r="H920" s="56">
        <f>1602320-70000-24960</f>
        <v>1507360</v>
      </c>
      <c r="I920" s="145">
        <f t="shared" si="61"/>
        <v>1</v>
      </c>
      <c r="J920" s="47"/>
      <c r="K920" s="47"/>
    </row>
    <row r="921" spans="1:11" s="14" customFormat="1" ht="17.2" x14ac:dyDescent="0.3">
      <c r="A921" s="13" t="s">
        <v>23</v>
      </c>
      <c r="B921" s="5" t="s">
        <v>11</v>
      </c>
      <c r="C921" s="5" t="s">
        <v>15</v>
      </c>
      <c r="D921" s="5"/>
      <c r="E921" s="5"/>
      <c r="F921" s="5"/>
      <c r="G921" s="26">
        <f>G922+G935</f>
        <v>78770532.25</v>
      </c>
      <c r="H921" s="137">
        <f>H922+H935</f>
        <v>78753209.400000006</v>
      </c>
      <c r="I921" s="129">
        <f t="shared" si="61"/>
        <v>0.99978008463945611</v>
      </c>
      <c r="J921" s="47"/>
      <c r="K921" s="47"/>
    </row>
    <row r="922" spans="1:11" s="14" customFormat="1" ht="17.2" x14ac:dyDescent="0.3">
      <c r="A922" s="1" t="s">
        <v>25</v>
      </c>
      <c r="B922" s="2" t="s">
        <v>11</v>
      </c>
      <c r="C922" s="2" t="s">
        <v>15</v>
      </c>
      <c r="D922" s="2" t="s">
        <v>17</v>
      </c>
      <c r="E922" s="2"/>
      <c r="F922" s="2"/>
      <c r="G922" s="31">
        <f>G923</f>
        <v>59634731.07</v>
      </c>
      <c r="H922" s="57">
        <f>H923</f>
        <v>59622934.219999999</v>
      </c>
      <c r="I922" s="129">
        <f t="shared" si="61"/>
        <v>0.999802181551114</v>
      </c>
      <c r="J922" s="47"/>
      <c r="K922" s="47"/>
    </row>
    <row r="923" spans="1:11" s="14" customFormat="1" ht="77.55" x14ac:dyDescent="0.3">
      <c r="A923" s="1" t="s">
        <v>65</v>
      </c>
      <c r="B923" s="2" t="s">
        <v>11</v>
      </c>
      <c r="C923" s="2" t="s">
        <v>15</v>
      </c>
      <c r="D923" s="2" t="s">
        <v>17</v>
      </c>
      <c r="E923" s="2" t="s">
        <v>532</v>
      </c>
      <c r="F923" s="2"/>
      <c r="G923" s="31">
        <f>G924</f>
        <v>59634731.07</v>
      </c>
      <c r="H923" s="57">
        <f>H924</f>
        <v>59622934.219999999</v>
      </c>
      <c r="I923" s="129">
        <f t="shared" si="61"/>
        <v>0.999802181551114</v>
      </c>
      <c r="J923" s="47"/>
      <c r="K923" s="47"/>
    </row>
    <row r="924" spans="1:11" s="14" customFormat="1" ht="62.05" x14ac:dyDescent="0.3">
      <c r="A924" s="3" t="s">
        <v>106</v>
      </c>
      <c r="B924" s="4" t="s">
        <v>11</v>
      </c>
      <c r="C924" s="4" t="s">
        <v>15</v>
      </c>
      <c r="D924" s="4" t="s">
        <v>17</v>
      </c>
      <c r="E924" s="4" t="s">
        <v>533</v>
      </c>
      <c r="F924" s="4"/>
      <c r="G924" s="27">
        <f>G925+G932</f>
        <v>59634731.07</v>
      </c>
      <c r="H924" s="56">
        <f>H925+H932</f>
        <v>59622934.219999999</v>
      </c>
      <c r="I924" s="130">
        <f t="shared" si="61"/>
        <v>0.999802181551114</v>
      </c>
      <c r="J924" s="47"/>
      <c r="K924" s="47"/>
    </row>
    <row r="925" spans="1:11" s="14" customFormat="1" ht="46.55" x14ac:dyDescent="0.3">
      <c r="A925" s="3" t="s">
        <v>534</v>
      </c>
      <c r="B925" s="4" t="s">
        <v>11</v>
      </c>
      <c r="C925" s="4" t="s">
        <v>15</v>
      </c>
      <c r="D925" s="4" t="s">
        <v>17</v>
      </c>
      <c r="E925" s="4" t="s">
        <v>535</v>
      </c>
      <c r="F925" s="4"/>
      <c r="G925" s="27">
        <f>G926+G929+G931</f>
        <v>59589606.07</v>
      </c>
      <c r="H925" s="56">
        <f>H926+H929+H931</f>
        <v>59577809.219999999</v>
      </c>
      <c r="I925" s="130">
        <f t="shared" si="61"/>
        <v>0.99980203175053473</v>
      </c>
      <c r="J925" s="47"/>
      <c r="K925" s="47"/>
    </row>
    <row r="926" spans="1:11" s="14" customFormat="1" ht="93.05" x14ac:dyDescent="0.3">
      <c r="A926" s="3" t="s">
        <v>589</v>
      </c>
      <c r="B926" s="4" t="s">
        <v>11</v>
      </c>
      <c r="C926" s="4" t="s">
        <v>15</v>
      </c>
      <c r="D926" s="4" t="s">
        <v>17</v>
      </c>
      <c r="E926" s="4" t="s">
        <v>536</v>
      </c>
      <c r="F926" s="4"/>
      <c r="G926" s="27">
        <f>G927</f>
        <v>58703512.07</v>
      </c>
      <c r="H926" s="56">
        <f>H927</f>
        <v>58691715.219999999</v>
      </c>
      <c r="I926" s="130">
        <f t="shared" si="61"/>
        <v>0.99979904353957672</v>
      </c>
      <c r="J926" s="47"/>
      <c r="K926" s="47"/>
    </row>
    <row r="927" spans="1:11" s="14" customFormat="1" ht="62.05" x14ac:dyDescent="0.3">
      <c r="A927" s="3" t="s">
        <v>394</v>
      </c>
      <c r="B927" s="4" t="s">
        <v>11</v>
      </c>
      <c r="C927" s="4" t="s">
        <v>15</v>
      </c>
      <c r="D927" s="4" t="s">
        <v>17</v>
      </c>
      <c r="E927" s="4" t="s">
        <v>536</v>
      </c>
      <c r="F927" s="4" t="s">
        <v>467</v>
      </c>
      <c r="G927" s="27">
        <f>58502046+69962.25+117399.36+14104.46</f>
        <v>58703512.07</v>
      </c>
      <c r="H927" s="56">
        <v>58691715.219999999</v>
      </c>
      <c r="I927" s="130">
        <f t="shared" si="61"/>
        <v>0.99979904353957672</v>
      </c>
      <c r="J927" s="47"/>
      <c r="K927" s="47"/>
    </row>
    <row r="928" spans="1:11" s="14" customFormat="1" ht="108.55" x14ac:dyDescent="0.3">
      <c r="A928" s="3" t="s">
        <v>646</v>
      </c>
      <c r="B928" s="4" t="s">
        <v>11</v>
      </c>
      <c r="C928" s="4" t="s">
        <v>15</v>
      </c>
      <c r="D928" s="4" t="s">
        <v>17</v>
      </c>
      <c r="E928" s="4" t="s">
        <v>537</v>
      </c>
      <c r="F928" s="4"/>
      <c r="G928" s="27">
        <f>G929</f>
        <v>264254</v>
      </c>
      <c r="H928" s="56">
        <f>H929</f>
        <v>264254</v>
      </c>
      <c r="I928" s="130">
        <f t="shared" si="61"/>
        <v>1</v>
      </c>
      <c r="J928" s="47"/>
      <c r="K928" s="47"/>
    </row>
    <row r="929" spans="1:11" s="14" customFormat="1" ht="62.05" x14ac:dyDescent="0.3">
      <c r="A929" s="3" t="s">
        <v>394</v>
      </c>
      <c r="B929" s="4" t="s">
        <v>11</v>
      </c>
      <c r="C929" s="4" t="s">
        <v>15</v>
      </c>
      <c r="D929" s="4" t="s">
        <v>17</v>
      </c>
      <c r="E929" s="4" t="s">
        <v>537</v>
      </c>
      <c r="F929" s="4" t="s">
        <v>467</v>
      </c>
      <c r="G929" s="27">
        <v>264254</v>
      </c>
      <c r="H929" s="56">
        <v>264254</v>
      </c>
      <c r="I929" s="130">
        <f t="shared" si="61"/>
        <v>1</v>
      </c>
      <c r="J929" s="47"/>
      <c r="K929" s="47"/>
    </row>
    <row r="930" spans="1:11" s="14" customFormat="1" ht="108.55" x14ac:dyDescent="0.3">
      <c r="A930" s="3" t="s">
        <v>646</v>
      </c>
      <c r="B930" s="4" t="s">
        <v>11</v>
      </c>
      <c r="C930" s="4" t="s">
        <v>15</v>
      </c>
      <c r="D930" s="4" t="s">
        <v>17</v>
      </c>
      <c r="E930" s="4" t="s">
        <v>538</v>
      </c>
      <c r="F930" s="4"/>
      <c r="G930" s="27">
        <f>G931</f>
        <v>621840</v>
      </c>
      <c r="H930" s="56">
        <f>H931</f>
        <v>621840</v>
      </c>
      <c r="I930" s="130">
        <f t="shared" si="61"/>
        <v>1</v>
      </c>
      <c r="J930" s="47"/>
      <c r="K930" s="47"/>
    </row>
    <row r="931" spans="1:11" s="14" customFormat="1" ht="62.05" x14ac:dyDescent="0.3">
      <c r="A931" s="3" t="s">
        <v>394</v>
      </c>
      <c r="B931" s="4" t="s">
        <v>11</v>
      </c>
      <c r="C931" s="4" t="s">
        <v>15</v>
      </c>
      <c r="D931" s="4" t="s">
        <v>17</v>
      </c>
      <c r="E931" s="4" t="s">
        <v>538</v>
      </c>
      <c r="F931" s="4" t="s">
        <v>467</v>
      </c>
      <c r="G931" s="27">
        <v>621840</v>
      </c>
      <c r="H931" s="56">
        <v>621840</v>
      </c>
      <c r="I931" s="130">
        <f t="shared" si="61"/>
        <v>1</v>
      </c>
      <c r="J931" s="47"/>
      <c r="K931" s="47"/>
    </row>
    <row r="932" spans="1:11" s="14" customFormat="1" ht="62.05" x14ac:dyDescent="0.3">
      <c r="A932" s="3" t="s">
        <v>43</v>
      </c>
      <c r="B932" s="4" t="s">
        <v>11</v>
      </c>
      <c r="C932" s="4" t="s">
        <v>15</v>
      </c>
      <c r="D932" s="4" t="s">
        <v>17</v>
      </c>
      <c r="E932" s="4" t="s">
        <v>308</v>
      </c>
      <c r="F932" s="4"/>
      <c r="G932" s="27">
        <f>G934</f>
        <v>45125</v>
      </c>
      <c r="H932" s="56">
        <f>H934</f>
        <v>45125</v>
      </c>
      <c r="I932" s="130">
        <f t="shared" si="61"/>
        <v>1</v>
      </c>
      <c r="J932" s="47"/>
      <c r="K932" s="47"/>
    </row>
    <row r="933" spans="1:11" s="14" customFormat="1" ht="93.05" x14ac:dyDescent="0.3">
      <c r="A933" s="3" t="s">
        <v>589</v>
      </c>
      <c r="B933" s="4" t="s">
        <v>11</v>
      </c>
      <c r="C933" s="4" t="s">
        <v>15</v>
      </c>
      <c r="D933" s="4" t="s">
        <v>17</v>
      </c>
      <c r="E933" s="4" t="s">
        <v>309</v>
      </c>
      <c r="F933" s="4"/>
      <c r="G933" s="27">
        <f>G934</f>
        <v>45125</v>
      </c>
      <c r="H933" s="56">
        <f>H934</f>
        <v>45125</v>
      </c>
      <c r="I933" s="130">
        <f t="shared" si="61"/>
        <v>1</v>
      </c>
      <c r="J933" s="47"/>
      <c r="K933" s="47"/>
    </row>
    <row r="934" spans="1:11" s="14" customFormat="1" ht="62.05" x14ac:dyDescent="0.3">
      <c r="A934" s="3" t="s">
        <v>394</v>
      </c>
      <c r="B934" s="4" t="s">
        <v>11</v>
      </c>
      <c r="C934" s="4" t="s">
        <v>15</v>
      </c>
      <c r="D934" s="4" t="s">
        <v>17</v>
      </c>
      <c r="E934" s="4" t="s">
        <v>309</v>
      </c>
      <c r="F934" s="4" t="s">
        <v>467</v>
      </c>
      <c r="G934" s="27">
        <v>45125</v>
      </c>
      <c r="H934" s="56">
        <v>45125</v>
      </c>
      <c r="I934" s="130">
        <f t="shared" si="61"/>
        <v>1</v>
      </c>
      <c r="J934" s="47"/>
      <c r="K934" s="47"/>
    </row>
    <row r="935" spans="1:11" s="14" customFormat="1" ht="31.05" x14ac:dyDescent="0.3">
      <c r="A935" s="1" t="s">
        <v>6</v>
      </c>
      <c r="B935" s="2" t="s">
        <v>11</v>
      </c>
      <c r="C935" s="2" t="s">
        <v>15</v>
      </c>
      <c r="D935" s="2" t="s">
        <v>15</v>
      </c>
      <c r="E935" s="2"/>
      <c r="F935" s="2"/>
      <c r="G935" s="31">
        <f>G936</f>
        <v>19135801.18</v>
      </c>
      <c r="H935" s="57">
        <f>H936</f>
        <v>19130275.18</v>
      </c>
      <c r="I935" s="129">
        <f t="shared" si="61"/>
        <v>0.99971122191602957</v>
      </c>
      <c r="J935" s="47"/>
      <c r="K935" s="47"/>
    </row>
    <row r="936" spans="1:11" s="14" customFormat="1" ht="77.55" x14ac:dyDescent="0.3">
      <c r="A936" s="1" t="s">
        <v>64</v>
      </c>
      <c r="B936" s="2" t="s">
        <v>11</v>
      </c>
      <c r="C936" s="2" t="s">
        <v>15</v>
      </c>
      <c r="D936" s="2" t="s">
        <v>15</v>
      </c>
      <c r="E936" s="2" t="s">
        <v>567</v>
      </c>
      <c r="F936" s="2"/>
      <c r="G936" s="31">
        <f>G937+G952</f>
        <v>19135801.18</v>
      </c>
      <c r="H936" s="57">
        <f>H937+H952</f>
        <v>19130275.18</v>
      </c>
      <c r="I936" s="129">
        <f t="shared" si="61"/>
        <v>0.99971122191602957</v>
      </c>
      <c r="J936" s="47"/>
      <c r="K936" s="47"/>
    </row>
    <row r="937" spans="1:11" s="14" customFormat="1" ht="31.05" x14ac:dyDescent="0.3">
      <c r="A937" s="3" t="s">
        <v>94</v>
      </c>
      <c r="B937" s="4" t="s">
        <v>11</v>
      </c>
      <c r="C937" s="4" t="s">
        <v>15</v>
      </c>
      <c r="D937" s="4" t="s">
        <v>15</v>
      </c>
      <c r="E937" s="4" t="s">
        <v>539</v>
      </c>
      <c r="F937" s="4"/>
      <c r="G937" s="27">
        <f>G938+G942+G946+G949</f>
        <v>846250</v>
      </c>
      <c r="H937" s="56">
        <f>H938+H942+H946+H949</f>
        <v>840724</v>
      </c>
      <c r="I937" s="130">
        <f t="shared" si="61"/>
        <v>0.99347001477104879</v>
      </c>
      <c r="J937" s="47"/>
      <c r="K937" s="47"/>
    </row>
    <row r="938" spans="1:11" s="14" customFormat="1" ht="62.05" x14ac:dyDescent="0.3">
      <c r="A938" s="3" t="s">
        <v>289</v>
      </c>
      <c r="B938" s="4" t="s">
        <v>11</v>
      </c>
      <c r="C938" s="4" t="s">
        <v>15</v>
      </c>
      <c r="D938" s="4" t="s">
        <v>15</v>
      </c>
      <c r="E938" s="4" t="s">
        <v>290</v>
      </c>
      <c r="F938" s="4"/>
      <c r="G938" s="27">
        <f>G939</f>
        <v>460250</v>
      </c>
      <c r="H938" s="56">
        <f>H939</f>
        <v>460250</v>
      </c>
      <c r="I938" s="130">
        <f t="shared" si="61"/>
        <v>1</v>
      </c>
      <c r="J938" s="47"/>
      <c r="K938" s="47"/>
    </row>
    <row r="939" spans="1:11" s="14" customFormat="1" ht="31.05" x14ac:dyDescent="0.3">
      <c r="A939" s="3" t="s">
        <v>393</v>
      </c>
      <c r="B939" s="4" t="s">
        <v>11</v>
      </c>
      <c r="C939" s="4" t="s">
        <v>15</v>
      </c>
      <c r="D939" s="4" t="s">
        <v>15</v>
      </c>
      <c r="E939" s="4" t="s">
        <v>291</v>
      </c>
      <c r="F939" s="4"/>
      <c r="G939" s="27">
        <f>G940+G941</f>
        <v>460250</v>
      </c>
      <c r="H939" s="56">
        <f>H940+H941</f>
        <v>460250</v>
      </c>
      <c r="I939" s="130">
        <f t="shared" si="61"/>
        <v>1</v>
      </c>
      <c r="J939" s="47"/>
      <c r="K939" s="47"/>
    </row>
    <row r="940" spans="1:11" s="14" customFormat="1" ht="46.55" x14ac:dyDescent="0.3">
      <c r="A940" s="3" t="s">
        <v>543</v>
      </c>
      <c r="B940" s="4" t="s">
        <v>11</v>
      </c>
      <c r="C940" s="4" t="s">
        <v>15</v>
      </c>
      <c r="D940" s="4" t="s">
        <v>15</v>
      </c>
      <c r="E940" s="4" t="s">
        <v>291</v>
      </c>
      <c r="F940" s="4" t="s">
        <v>463</v>
      </c>
      <c r="G940" s="27">
        <f>373750-196500+70000+8125+8375</f>
        <v>263750</v>
      </c>
      <c r="H940" s="56">
        <f>373750-196500+70000+8125+8375</f>
        <v>263750</v>
      </c>
      <c r="I940" s="130">
        <f t="shared" si="61"/>
        <v>1</v>
      </c>
      <c r="J940" s="47"/>
      <c r="K940" s="47"/>
    </row>
    <row r="941" spans="1:11" s="14" customFormat="1" ht="62.05" x14ac:dyDescent="0.3">
      <c r="A941" s="3" t="s">
        <v>394</v>
      </c>
      <c r="B941" s="4" t="s">
        <v>11</v>
      </c>
      <c r="C941" s="4" t="s">
        <v>15</v>
      </c>
      <c r="D941" s="4" t="s">
        <v>15</v>
      </c>
      <c r="E941" s="4" t="s">
        <v>291</v>
      </c>
      <c r="F941" s="4" t="s">
        <v>467</v>
      </c>
      <c r="G941" s="27">
        <f>196500</f>
        <v>196500</v>
      </c>
      <c r="H941" s="56">
        <f>196500</f>
        <v>196500</v>
      </c>
      <c r="I941" s="130">
        <f t="shared" si="61"/>
        <v>1</v>
      </c>
      <c r="J941" s="47"/>
      <c r="K941" s="47"/>
    </row>
    <row r="942" spans="1:11" s="14" customFormat="1" ht="108.55" x14ac:dyDescent="0.3">
      <c r="A942" s="3" t="s">
        <v>292</v>
      </c>
      <c r="B942" s="4" t="s">
        <v>11</v>
      </c>
      <c r="C942" s="4" t="s">
        <v>15</v>
      </c>
      <c r="D942" s="4" t="s">
        <v>15</v>
      </c>
      <c r="E942" s="4" t="s">
        <v>293</v>
      </c>
      <c r="F942" s="4"/>
      <c r="G942" s="27">
        <f>G943</f>
        <v>51000</v>
      </c>
      <c r="H942" s="56">
        <f>H943</f>
        <v>46680</v>
      </c>
      <c r="I942" s="130">
        <f t="shared" si="61"/>
        <v>0.91529411764705881</v>
      </c>
      <c r="J942" s="47"/>
      <c r="K942" s="47"/>
    </row>
    <row r="943" spans="1:11" s="14" customFormat="1" ht="31.05" x14ac:dyDescent="0.3">
      <c r="A943" s="3" t="s">
        <v>393</v>
      </c>
      <c r="B943" s="4" t="s">
        <v>11</v>
      </c>
      <c r="C943" s="4" t="s">
        <v>15</v>
      </c>
      <c r="D943" s="4" t="s">
        <v>15</v>
      </c>
      <c r="E943" s="4" t="s">
        <v>294</v>
      </c>
      <c r="F943" s="4"/>
      <c r="G943" s="27">
        <f>G944+G945</f>
        <v>51000</v>
      </c>
      <c r="H943" s="56">
        <f>H944+H945</f>
        <v>46680</v>
      </c>
      <c r="I943" s="130">
        <f t="shared" si="61"/>
        <v>0.91529411764705881</v>
      </c>
      <c r="J943" s="47"/>
      <c r="K943" s="47"/>
    </row>
    <row r="944" spans="1:11" s="14" customFormat="1" ht="46.55" x14ac:dyDescent="0.3">
      <c r="A944" s="3" t="s">
        <v>543</v>
      </c>
      <c r="B944" s="4" t="s">
        <v>11</v>
      </c>
      <c r="C944" s="4" t="s">
        <v>15</v>
      </c>
      <c r="D944" s="4" t="s">
        <v>15</v>
      </c>
      <c r="E944" s="4" t="s">
        <v>294</v>
      </c>
      <c r="F944" s="4" t="s">
        <v>463</v>
      </c>
      <c r="G944" s="27">
        <f>167500-35000-70000-38125-8375</f>
        <v>16000</v>
      </c>
      <c r="H944" s="56">
        <f>167500-35000-70000-38125-8375</f>
        <v>16000</v>
      </c>
      <c r="I944" s="130">
        <f t="shared" si="61"/>
        <v>1</v>
      </c>
      <c r="J944" s="47"/>
      <c r="K944" s="47"/>
    </row>
    <row r="945" spans="1:11" s="14" customFormat="1" ht="62.05" x14ac:dyDescent="0.3">
      <c r="A945" s="3" t="s">
        <v>394</v>
      </c>
      <c r="B945" s="4" t="s">
        <v>11</v>
      </c>
      <c r="C945" s="4" t="s">
        <v>15</v>
      </c>
      <c r="D945" s="4" t="s">
        <v>15</v>
      </c>
      <c r="E945" s="4" t="s">
        <v>294</v>
      </c>
      <c r="F945" s="4" t="s">
        <v>467</v>
      </c>
      <c r="G945" s="27">
        <f>35000</f>
        <v>35000</v>
      </c>
      <c r="H945" s="56">
        <v>30680</v>
      </c>
      <c r="I945" s="130">
        <f t="shared" si="61"/>
        <v>0.87657142857142856</v>
      </c>
      <c r="J945" s="47"/>
      <c r="K945" s="47"/>
    </row>
    <row r="946" spans="1:11" s="14" customFormat="1" ht="46.55" x14ac:dyDescent="0.3">
      <c r="A946" s="3" t="s">
        <v>295</v>
      </c>
      <c r="B946" s="4" t="s">
        <v>11</v>
      </c>
      <c r="C946" s="4" t="s">
        <v>15</v>
      </c>
      <c r="D946" s="4" t="s">
        <v>15</v>
      </c>
      <c r="E946" s="4" t="s">
        <v>296</v>
      </c>
      <c r="F946" s="4"/>
      <c r="G946" s="27">
        <f>G948</f>
        <v>35000</v>
      </c>
      <c r="H946" s="56">
        <f>H948</f>
        <v>35000</v>
      </c>
      <c r="I946" s="130">
        <f t="shared" si="61"/>
        <v>1</v>
      </c>
      <c r="J946" s="47"/>
      <c r="K946" s="47"/>
    </row>
    <row r="947" spans="1:11" s="14" customFormat="1" ht="31.05" x14ac:dyDescent="0.3">
      <c r="A947" s="3" t="s">
        <v>393</v>
      </c>
      <c r="B947" s="4" t="s">
        <v>11</v>
      </c>
      <c r="C947" s="4" t="s">
        <v>15</v>
      </c>
      <c r="D947" s="4" t="s">
        <v>15</v>
      </c>
      <c r="E947" s="4" t="s">
        <v>297</v>
      </c>
      <c r="F947" s="4"/>
      <c r="G947" s="27">
        <f>G948</f>
        <v>35000</v>
      </c>
      <c r="H947" s="56">
        <f>H948</f>
        <v>35000</v>
      </c>
      <c r="I947" s="130">
        <f t="shared" si="61"/>
        <v>1</v>
      </c>
      <c r="J947" s="47"/>
      <c r="K947" s="47"/>
    </row>
    <row r="948" spans="1:11" s="14" customFormat="1" ht="46.55" x14ac:dyDescent="0.3">
      <c r="A948" s="3" t="s">
        <v>543</v>
      </c>
      <c r="B948" s="4" t="s">
        <v>11</v>
      </c>
      <c r="C948" s="4" t="s">
        <v>15</v>
      </c>
      <c r="D948" s="4" t="s">
        <v>15</v>
      </c>
      <c r="E948" s="4" t="s">
        <v>297</v>
      </c>
      <c r="F948" s="4" t="s">
        <v>463</v>
      </c>
      <c r="G948" s="27">
        <f>5000+30000</f>
        <v>35000</v>
      </c>
      <c r="H948" s="56">
        <f>5000+30000</f>
        <v>35000</v>
      </c>
      <c r="I948" s="130">
        <f t="shared" si="61"/>
        <v>1</v>
      </c>
      <c r="J948" s="47"/>
      <c r="K948" s="47"/>
    </row>
    <row r="949" spans="1:11" s="14" customFormat="1" ht="62.05" x14ac:dyDescent="0.3">
      <c r="A949" s="3" t="s">
        <v>540</v>
      </c>
      <c r="B949" s="4" t="s">
        <v>11</v>
      </c>
      <c r="C949" s="4" t="s">
        <v>15</v>
      </c>
      <c r="D949" s="4" t="s">
        <v>15</v>
      </c>
      <c r="E949" s="4" t="s">
        <v>541</v>
      </c>
      <c r="F949" s="4"/>
      <c r="G949" s="27">
        <f>G950</f>
        <v>300000</v>
      </c>
      <c r="H949" s="56">
        <f>H950</f>
        <v>298794</v>
      </c>
      <c r="I949" s="130">
        <f t="shared" si="61"/>
        <v>0.99597999999999998</v>
      </c>
      <c r="J949" s="47"/>
      <c r="K949" s="47"/>
    </row>
    <row r="950" spans="1:11" s="14" customFormat="1" ht="46.55" x14ac:dyDescent="0.3">
      <c r="A950" s="3" t="s">
        <v>95</v>
      </c>
      <c r="B950" s="4" t="s">
        <v>11</v>
      </c>
      <c r="C950" s="4" t="s">
        <v>15</v>
      </c>
      <c r="D950" s="4" t="s">
        <v>15</v>
      </c>
      <c r="E950" s="4" t="s">
        <v>542</v>
      </c>
      <c r="F950" s="4"/>
      <c r="G950" s="27">
        <f>G951</f>
        <v>300000</v>
      </c>
      <c r="H950" s="56">
        <f>H951</f>
        <v>298794</v>
      </c>
      <c r="I950" s="130">
        <f t="shared" si="61"/>
        <v>0.99597999999999998</v>
      </c>
      <c r="J950" s="47"/>
      <c r="K950" s="47"/>
    </row>
    <row r="951" spans="1:11" s="14" customFormat="1" ht="31.05" x14ac:dyDescent="0.3">
      <c r="A951" s="3" t="s">
        <v>430</v>
      </c>
      <c r="B951" s="4" t="s">
        <v>11</v>
      </c>
      <c r="C951" s="4" t="s">
        <v>15</v>
      </c>
      <c r="D951" s="4" t="s">
        <v>15</v>
      </c>
      <c r="E951" s="4" t="s">
        <v>542</v>
      </c>
      <c r="F951" s="4" t="s">
        <v>431</v>
      </c>
      <c r="G951" s="27">
        <v>300000</v>
      </c>
      <c r="H951" s="56">
        <v>298794</v>
      </c>
      <c r="I951" s="130">
        <f t="shared" si="61"/>
        <v>0.99597999999999998</v>
      </c>
      <c r="J951" s="47"/>
      <c r="K951" s="47"/>
    </row>
    <row r="952" spans="1:11" ht="31.05" x14ac:dyDescent="0.3">
      <c r="A952" s="3" t="s">
        <v>96</v>
      </c>
      <c r="B952" s="4" t="s">
        <v>11</v>
      </c>
      <c r="C952" s="4" t="s">
        <v>15</v>
      </c>
      <c r="D952" s="4" t="s">
        <v>15</v>
      </c>
      <c r="E952" s="4" t="s">
        <v>425</v>
      </c>
      <c r="F952" s="4"/>
      <c r="G952" s="27">
        <f>G953+G956</f>
        <v>18289551.18</v>
      </c>
      <c r="H952" s="56">
        <f>H953+H956</f>
        <v>18289551.18</v>
      </c>
      <c r="I952" s="130">
        <f t="shared" si="61"/>
        <v>1</v>
      </c>
    </row>
    <row r="953" spans="1:11" ht="62.05" x14ac:dyDescent="0.3">
      <c r="A953" s="3" t="s">
        <v>298</v>
      </c>
      <c r="B953" s="4" t="s">
        <v>11</v>
      </c>
      <c r="C953" s="4" t="s">
        <v>15</v>
      </c>
      <c r="D953" s="4" t="s">
        <v>15</v>
      </c>
      <c r="E953" s="4" t="s">
        <v>299</v>
      </c>
      <c r="F953" s="4"/>
      <c r="G953" s="27">
        <f>G954</f>
        <v>18216781.18</v>
      </c>
      <c r="H953" s="56">
        <f>H954</f>
        <v>18216781.18</v>
      </c>
      <c r="I953" s="130">
        <f t="shared" si="61"/>
        <v>1</v>
      </c>
    </row>
    <row r="954" spans="1:11" ht="93.05" x14ac:dyDescent="0.3">
      <c r="A954" s="3" t="s">
        <v>589</v>
      </c>
      <c r="B954" s="4" t="s">
        <v>11</v>
      </c>
      <c r="C954" s="4" t="s">
        <v>15</v>
      </c>
      <c r="D954" s="4" t="s">
        <v>15</v>
      </c>
      <c r="E954" s="4" t="s">
        <v>300</v>
      </c>
      <c r="F954" s="4"/>
      <c r="G954" s="27">
        <f>G955</f>
        <v>18216781.18</v>
      </c>
      <c r="H954" s="56">
        <f>H955</f>
        <v>18216781.18</v>
      </c>
      <c r="I954" s="130">
        <f t="shared" si="61"/>
        <v>1</v>
      </c>
    </row>
    <row r="955" spans="1:11" ht="62.05" x14ac:dyDescent="0.3">
      <c r="A955" s="3" t="s">
        <v>394</v>
      </c>
      <c r="B955" s="4" t="s">
        <v>11</v>
      </c>
      <c r="C955" s="4" t="s">
        <v>15</v>
      </c>
      <c r="D955" s="4" t="s">
        <v>15</v>
      </c>
      <c r="E955" s="4" t="s">
        <v>300</v>
      </c>
      <c r="F955" s="4" t="s">
        <v>467</v>
      </c>
      <c r="G955" s="27">
        <f>15009055+3221694-5678.07-8289.75</f>
        <v>18216781.18</v>
      </c>
      <c r="H955" s="56">
        <f>15009055+3221694-5678.07-8289.75</f>
        <v>18216781.18</v>
      </c>
      <c r="I955" s="130">
        <f t="shared" si="61"/>
        <v>1</v>
      </c>
    </row>
    <row r="956" spans="1:11" ht="77.55" x14ac:dyDescent="0.3">
      <c r="A956" s="45" t="s">
        <v>301</v>
      </c>
      <c r="B956" s="4" t="s">
        <v>11</v>
      </c>
      <c r="C956" s="4" t="s">
        <v>15</v>
      </c>
      <c r="D956" s="4" t="s">
        <v>15</v>
      </c>
      <c r="E956" s="4" t="s">
        <v>302</v>
      </c>
      <c r="F956" s="4"/>
      <c r="G956" s="27">
        <f>G957</f>
        <v>72770</v>
      </c>
      <c r="H956" s="56">
        <f>H957</f>
        <v>72770</v>
      </c>
      <c r="I956" s="130">
        <f t="shared" si="61"/>
        <v>1</v>
      </c>
    </row>
    <row r="957" spans="1:11" ht="93.05" x14ac:dyDescent="0.3">
      <c r="A957" s="3" t="s">
        <v>589</v>
      </c>
      <c r="B957" s="4" t="s">
        <v>11</v>
      </c>
      <c r="C957" s="4" t="s">
        <v>15</v>
      </c>
      <c r="D957" s="4" t="s">
        <v>15</v>
      </c>
      <c r="E957" s="4" t="s">
        <v>303</v>
      </c>
      <c r="F957" s="4"/>
      <c r="G957" s="27">
        <f>G958</f>
        <v>72770</v>
      </c>
      <c r="H957" s="56">
        <f>H958</f>
        <v>72770</v>
      </c>
      <c r="I957" s="130">
        <f t="shared" si="61"/>
        <v>1</v>
      </c>
    </row>
    <row r="958" spans="1:11" ht="67.75" customHeight="1" x14ac:dyDescent="0.3">
      <c r="A958" s="3" t="s">
        <v>394</v>
      </c>
      <c r="B958" s="4" t="s">
        <v>11</v>
      </c>
      <c r="C958" s="4" t="s">
        <v>15</v>
      </c>
      <c r="D958" s="4" t="s">
        <v>15</v>
      </c>
      <c r="E958" s="4" t="s">
        <v>303</v>
      </c>
      <c r="F958" s="4" t="s">
        <v>467</v>
      </c>
      <c r="G958" s="27">
        <v>72770</v>
      </c>
      <c r="H958" s="56">
        <v>72770</v>
      </c>
      <c r="I958" s="145">
        <f t="shared" si="61"/>
        <v>1</v>
      </c>
    </row>
    <row r="959" spans="1:11" x14ac:dyDescent="0.3">
      <c r="A959" s="13" t="s">
        <v>464</v>
      </c>
      <c r="B959" s="5" t="s">
        <v>11</v>
      </c>
      <c r="C959" s="5" t="s">
        <v>16</v>
      </c>
      <c r="D959" s="5" t="s">
        <v>583</v>
      </c>
      <c r="E959" s="21"/>
      <c r="F959" s="21"/>
      <c r="G959" s="26">
        <f>G960</f>
        <v>177843669.27999994</v>
      </c>
      <c r="H959" s="137">
        <f>H960</f>
        <v>177574352.28999996</v>
      </c>
      <c r="I959" s="129">
        <f t="shared" si="61"/>
        <v>0.99848565320829064</v>
      </c>
    </row>
    <row r="960" spans="1:11" x14ac:dyDescent="0.3">
      <c r="A960" s="1" t="s">
        <v>578</v>
      </c>
      <c r="B960" s="2" t="s">
        <v>11</v>
      </c>
      <c r="C960" s="2" t="s">
        <v>16</v>
      </c>
      <c r="D960" s="2" t="s">
        <v>683</v>
      </c>
      <c r="E960" s="4"/>
      <c r="F960" s="4"/>
      <c r="G960" s="31">
        <f>G961+G967+G1039</f>
        <v>177843669.27999994</v>
      </c>
      <c r="H960" s="57">
        <f>H961+H967+H1039</f>
        <v>177574352.28999996</v>
      </c>
      <c r="I960" s="129">
        <f t="shared" si="61"/>
        <v>0.99848565320829064</v>
      </c>
    </row>
    <row r="961" spans="1:9" ht="93.05" x14ac:dyDescent="0.3">
      <c r="A961" s="1" t="s">
        <v>44</v>
      </c>
      <c r="B961" s="2" t="s">
        <v>11</v>
      </c>
      <c r="C961" s="2" t="s">
        <v>16</v>
      </c>
      <c r="D961" s="2" t="s">
        <v>683</v>
      </c>
      <c r="E961" s="2" t="s">
        <v>566</v>
      </c>
      <c r="F961" s="2"/>
      <c r="G961" s="31">
        <f>G963+G965</f>
        <v>672638</v>
      </c>
      <c r="H961" s="57">
        <f>H963+H965</f>
        <v>672638</v>
      </c>
      <c r="I961" s="129">
        <f t="shared" si="61"/>
        <v>1</v>
      </c>
    </row>
    <row r="962" spans="1:9" ht="93.05" x14ac:dyDescent="0.3">
      <c r="A962" s="3" t="s">
        <v>45</v>
      </c>
      <c r="B962" s="4" t="s">
        <v>11</v>
      </c>
      <c r="C962" s="4" t="s">
        <v>16</v>
      </c>
      <c r="D962" s="4" t="s">
        <v>683</v>
      </c>
      <c r="E962" s="4" t="s">
        <v>46</v>
      </c>
      <c r="F962" s="4"/>
      <c r="G962" s="27">
        <f>G963+G965</f>
        <v>672638</v>
      </c>
      <c r="H962" s="56">
        <f>H963+H965</f>
        <v>672638</v>
      </c>
      <c r="I962" s="130">
        <f t="shared" si="61"/>
        <v>1</v>
      </c>
    </row>
    <row r="963" spans="1:9" ht="62.05" x14ac:dyDescent="0.3">
      <c r="A963" s="3" t="s">
        <v>814</v>
      </c>
      <c r="B963" s="4" t="s">
        <v>11</v>
      </c>
      <c r="C963" s="4" t="s">
        <v>16</v>
      </c>
      <c r="D963" s="4" t="s">
        <v>683</v>
      </c>
      <c r="E963" s="4" t="s">
        <v>816</v>
      </c>
      <c r="F963" s="4"/>
      <c r="G963" s="27">
        <f>G964</f>
        <v>158000</v>
      </c>
      <c r="H963" s="56">
        <f>H964</f>
        <v>158000</v>
      </c>
      <c r="I963" s="130">
        <f t="shared" si="61"/>
        <v>1</v>
      </c>
    </row>
    <row r="964" spans="1:9" ht="62.05" x14ac:dyDescent="0.3">
      <c r="A964" s="3" t="s">
        <v>394</v>
      </c>
      <c r="B964" s="4" t="s">
        <v>11</v>
      </c>
      <c r="C964" s="4" t="s">
        <v>16</v>
      </c>
      <c r="D964" s="4" t="s">
        <v>683</v>
      </c>
      <c r="E964" s="4" t="s">
        <v>816</v>
      </c>
      <c r="F964" s="4" t="s">
        <v>467</v>
      </c>
      <c r="G964" s="27">
        <f>158000</f>
        <v>158000</v>
      </c>
      <c r="H964" s="56">
        <f>158000</f>
        <v>158000</v>
      </c>
      <c r="I964" s="130">
        <f t="shared" si="61"/>
        <v>1</v>
      </c>
    </row>
    <row r="965" spans="1:9" ht="71.45" customHeight="1" x14ac:dyDescent="0.3">
      <c r="A965" s="3" t="s">
        <v>814</v>
      </c>
      <c r="B965" s="4" t="s">
        <v>11</v>
      </c>
      <c r="C965" s="4" t="s">
        <v>16</v>
      </c>
      <c r="D965" s="4" t="s">
        <v>683</v>
      </c>
      <c r="E965" s="4" t="s">
        <v>815</v>
      </c>
      <c r="F965" s="4"/>
      <c r="G965" s="27">
        <f>G966</f>
        <v>514638</v>
      </c>
      <c r="H965" s="56">
        <f>H966</f>
        <v>514638</v>
      </c>
      <c r="I965" s="130">
        <f t="shared" si="61"/>
        <v>1</v>
      </c>
    </row>
    <row r="966" spans="1:9" ht="62.05" x14ac:dyDescent="0.3">
      <c r="A966" s="3" t="s">
        <v>394</v>
      </c>
      <c r="B966" s="4" t="s">
        <v>11</v>
      </c>
      <c r="C966" s="4" t="s">
        <v>16</v>
      </c>
      <c r="D966" s="4" t="s">
        <v>683</v>
      </c>
      <c r="E966" s="4" t="s">
        <v>815</v>
      </c>
      <c r="F966" s="4" t="s">
        <v>467</v>
      </c>
      <c r="G966" s="27">
        <f>514638</f>
        <v>514638</v>
      </c>
      <c r="H966" s="56">
        <f>514638</f>
        <v>514638</v>
      </c>
      <c r="I966" s="130">
        <f t="shared" si="61"/>
        <v>1</v>
      </c>
    </row>
    <row r="967" spans="1:9" ht="77.55" x14ac:dyDescent="0.3">
      <c r="A967" s="1" t="s">
        <v>65</v>
      </c>
      <c r="B967" s="2" t="s">
        <v>11</v>
      </c>
      <c r="C967" s="2" t="s">
        <v>16</v>
      </c>
      <c r="D967" s="2" t="s">
        <v>683</v>
      </c>
      <c r="E967" s="2" t="s">
        <v>532</v>
      </c>
      <c r="F967" s="2"/>
      <c r="G967" s="31">
        <f>G968+G989+G1014+G1028+G1032</f>
        <v>175157842.82999995</v>
      </c>
      <c r="H967" s="57">
        <f>H968+H989+H1014+H1028+H1032</f>
        <v>174888525.83999997</v>
      </c>
      <c r="I967" s="129">
        <f t="shared" si="61"/>
        <v>0.9984624325942324</v>
      </c>
    </row>
    <row r="968" spans="1:9" ht="62.05" x14ac:dyDescent="0.3">
      <c r="A968" s="3" t="s">
        <v>106</v>
      </c>
      <c r="B968" s="4" t="s">
        <v>11</v>
      </c>
      <c r="C968" s="4" t="s">
        <v>16</v>
      </c>
      <c r="D968" s="4" t="s">
        <v>683</v>
      </c>
      <c r="E968" s="4" t="s">
        <v>533</v>
      </c>
      <c r="F968" s="4"/>
      <c r="G968" s="27">
        <f>G969+G973+G986</f>
        <v>109701052.18999997</v>
      </c>
      <c r="H968" s="56">
        <f>H969+H973+H986</f>
        <v>109431735.19999997</v>
      </c>
      <c r="I968" s="130">
        <f t="shared" si="61"/>
        <v>0.99754499173322841</v>
      </c>
    </row>
    <row r="969" spans="1:9" ht="46.55" x14ac:dyDescent="0.3">
      <c r="A969" s="3" t="s">
        <v>304</v>
      </c>
      <c r="B969" s="4" t="s">
        <v>11</v>
      </c>
      <c r="C969" s="4" t="s">
        <v>16</v>
      </c>
      <c r="D969" s="4" t="s">
        <v>683</v>
      </c>
      <c r="E969" s="4" t="s">
        <v>305</v>
      </c>
      <c r="F969" s="4"/>
      <c r="G969" s="27">
        <f>G970</f>
        <v>2299220</v>
      </c>
      <c r="H969" s="56">
        <f>H970</f>
        <v>2266149</v>
      </c>
      <c r="I969" s="130">
        <f t="shared" si="61"/>
        <v>0.98561642644027103</v>
      </c>
    </row>
    <row r="970" spans="1:9" ht="31.05" x14ac:dyDescent="0.3">
      <c r="A970" s="3" t="s">
        <v>393</v>
      </c>
      <c r="B970" s="4" t="s">
        <v>11</v>
      </c>
      <c r="C970" s="4" t="s">
        <v>16</v>
      </c>
      <c r="D970" s="4" t="s">
        <v>683</v>
      </c>
      <c r="E970" s="4" t="s">
        <v>306</v>
      </c>
      <c r="F970" s="4"/>
      <c r="G970" s="27">
        <f>G971+G972</f>
        <v>2299220</v>
      </c>
      <c r="H970" s="56">
        <f>H971+H972</f>
        <v>2266149</v>
      </c>
      <c r="I970" s="130">
        <f t="shared" si="61"/>
        <v>0.98561642644027103</v>
      </c>
    </row>
    <row r="971" spans="1:9" ht="46.55" x14ac:dyDescent="0.3">
      <c r="A971" s="3" t="s">
        <v>51</v>
      </c>
      <c r="B971" s="4" t="s">
        <v>11</v>
      </c>
      <c r="C971" s="4" t="s">
        <v>16</v>
      </c>
      <c r="D971" s="4" t="s">
        <v>683</v>
      </c>
      <c r="E971" s="4" t="s">
        <v>306</v>
      </c>
      <c r="F971" s="4" t="s">
        <v>463</v>
      </c>
      <c r="G971" s="27">
        <f>1623020-456091-257000+76200-110000-40000</f>
        <v>836129</v>
      </c>
      <c r="H971" s="56">
        <v>803058</v>
      </c>
      <c r="I971" s="130">
        <f t="shared" ref="I971:I1034" si="63">H971/G971</f>
        <v>0.96044749075800506</v>
      </c>
    </row>
    <row r="972" spans="1:9" ht="62.05" x14ac:dyDescent="0.3">
      <c r="A972" s="3" t="s">
        <v>394</v>
      </c>
      <c r="B972" s="4" t="s">
        <v>11</v>
      </c>
      <c r="C972" s="4" t="s">
        <v>16</v>
      </c>
      <c r="D972" s="4" t="s">
        <v>683</v>
      </c>
      <c r="E972" s="4" t="s">
        <v>306</v>
      </c>
      <c r="F972" s="4" t="s">
        <v>467</v>
      </c>
      <c r="G972" s="27">
        <f>456091+257000+110000+40000+600000</f>
        <v>1463091</v>
      </c>
      <c r="H972" s="56">
        <f>456091+257000+110000+40000+600000</f>
        <v>1463091</v>
      </c>
      <c r="I972" s="130">
        <f t="shared" si="63"/>
        <v>1</v>
      </c>
    </row>
    <row r="973" spans="1:9" ht="31.05" x14ac:dyDescent="0.3">
      <c r="A973" s="3" t="s">
        <v>310</v>
      </c>
      <c r="B973" s="4" t="s">
        <v>11</v>
      </c>
      <c r="C973" s="4" t="s">
        <v>16</v>
      </c>
      <c r="D973" s="4" t="s">
        <v>683</v>
      </c>
      <c r="E973" s="4" t="s">
        <v>311</v>
      </c>
      <c r="F973" s="4"/>
      <c r="G973" s="27">
        <f>G974+G978+G980+G982+G985+G976</f>
        <v>107001832.18999997</v>
      </c>
      <c r="H973" s="56">
        <f>H974+H978+H980+H982+H985+H976</f>
        <v>106765586.19999997</v>
      </c>
      <c r="I973" s="130">
        <f t="shared" si="63"/>
        <v>0.99779213135733513</v>
      </c>
    </row>
    <row r="974" spans="1:9" ht="93.05" x14ac:dyDescent="0.3">
      <c r="A974" s="3" t="s">
        <v>589</v>
      </c>
      <c r="B974" s="4" t="s">
        <v>11</v>
      </c>
      <c r="C974" s="4" t="s">
        <v>16</v>
      </c>
      <c r="D974" s="4" t="s">
        <v>683</v>
      </c>
      <c r="E974" s="4" t="s">
        <v>312</v>
      </c>
      <c r="F974" s="4"/>
      <c r="G974" s="27">
        <f>G975</f>
        <v>94925294.62999998</v>
      </c>
      <c r="H974" s="56">
        <f>H975</f>
        <v>94925294.62999998</v>
      </c>
      <c r="I974" s="130">
        <f t="shared" si="63"/>
        <v>1</v>
      </c>
    </row>
    <row r="975" spans="1:9" ht="62.05" x14ac:dyDescent="0.3">
      <c r="A975" s="3" t="s">
        <v>394</v>
      </c>
      <c r="B975" s="4" t="s">
        <v>11</v>
      </c>
      <c r="C975" s="4" t="s">
        <v>16</v>
      </c>
      <c r="D975" s="4" t="s">
        <v>683</v>
      </c>
      <c r="E975" s="4" t="s">
        <v>312</v>
      </c>
      <c r="F975" s="4" t="s">
        <v>467</v>
      </c>
      <c r="G975" s="27">
        <f>95771939.32-1000000-3200.93+15030+141526.24</f>
        <v>94925294.62999998</v>
      </c>
      <c r="H975" s="56">
        <f>95771939.32-1000000-3200.93+15030+141526.24</f>
        <v>94925294.62999998</v>
      </c>
      <c r="I975" s="130">
        <f t="shared" si="63"/>
        <v>1</v>
      </c>
    </row>
    <row r="976" spans="1:9" ht="78.8" hidden="1" customHeight="1" x14ac:dyDescent="0.3">
      <c r="A976" s="3" t="s">
        <v>817</v>
      </c>
      <c r="B976" s="4" t="s">
        <v>404</v>
      </c>
      <c r="C976" s="4" t="s">
        <v>16</v>
      </c>
      <c r="D976" s="4" t="s">
        <v>683</v>
      </c>
      <c r="E976" s="4" t="s">
        <v>818</v>
      </c>
      <c r="F976" s="4"/>
      <c r="G976" s="27">
        <f>G977</f>
        <v>0</v>
      </c>
      <c r="H976" s="56">
        <f>H977</f>
        <v>0</v>
      </c>
      <c r="I976" s="130" t="e">
        <f t="shared" si="63"/>
        <v>#DIV/0!</v>
      </c>
    </row>
    <row r="977" spans="1:11" ht="63" hidden="1" customHeight="1" x14ac:dyDescent="0.3">
      <c r="A977" s="3" t="s">
        <v>394</v>
      </c>
      <c r="B977" s="4" t="s">
        <v>11</v>
      </c>
      <c r="C977" s="4" t="s">
        <v>16</v>
      </c>
      <c r="D977" s="4" t="s">
        <v>683</v>
      </c>
      <c r="E977" s="4" t="s">
        <v>818</v>
      </c>
      <c r="F977" s="4" t="s">
        <v>467</v>
      </c>
      <c r="G977" s="27">
        <f>50000-50000</f>
        <v>0</v>
      </c>
      <c r="H977" s="56">
        <f>50000-50000</f>
        <v>0</v>
      </c>
      <c r="I977" s="130" t="e">
        <f t="shared" si="63"/>
        <v>#DIV/0!</v>
      </c>
    </row>
    <row r="978" spans="1:11" ht="108.55" x14ac:dyDescent="0.3">
      <c r="A978" s="3" t="s">
        <v>646</v>
      </c>
      <c r="B978" s="4" t="s">
        <v>11</v>
      </c>
      <c r="C978" s="4" t="s">
        <v>16</v>
      </c>
      <c r="D978" s="4" t="s">
        <v>683</v>
      </c>
      <c r="E978" s="4" t="s">
        <v>313</v>
      </c>
      <c r="F978" s="4"/>
      <c r="G978" s="27">
        <f>G979</f>
        <v>4529401</v>
      </c>
      <c r="H978" s="56">
        <f>H979</f>
        <v>4529401</v>
      </c>
      <c r="I978" s="130">
        <f t="shared" si="63"/>
        <v>1</v>
      </c>
    </row>
    <row r="979" spans="1:11" ht="62.05" x14ac:dyDescent="0.3">
      <c r="A979" s="3" t="s">
        <v>394</v>
      </c>
      <c r="B979" s="4" t="s">
        <v>11</v>
      </c>
      <c r="C979" s="4" t="s">
        <v>16</v>
      </c>
      <c r="D979" s="4" t="s">
        <v>683</v>
      </c>
      <c r="E979" s="4" t="s">
        <v>313</v>
      </c>
      <c r="F979" s="4" t="s">
        <v>467</v>
      </c>
      <c r="G979" s="27">
        <v>4529401</v>
      </c>
      <c r="H979" s="56">
        <v>4529401</v>
      </c>
      <c r="I979" s="130">
        <f t="shared" si="63"/>
        <v>1</v>
      </c>
    </row>
    <row r="980" spans="1:11" s="12" customFormat="1" ht="108.55" x14ac:dyDescent="0.3">
      <c r="A980" s="3" t="s">
        <v>646</v>
      </c>
      <c r="B980" s="4" t="s">
        <v>11</v>
      </c>
      <c r="C980" s="4" t="s">
        <v>16</v>
      </c>
      <c r="D980" s="4" t="s">
        <v>683</v>
      </c>
      <c r="E980" s="4" t="s">
        <v>314</v>
      </c>
      <c r="F980" s="4"/>
      <c r="G980" s="27">
        <f>G981</f>
        <v>6292309.0800000001</v>
      </c>
      <c r="H980" s="56">
        <f>H981</f>
        <v>6292309.0800000001</v>
      </c>
      <c r="I980" s="130">
        <f t="shared" si="63"/>
        <v>1</v>
      </c>
      <c r="J980" s="24"/>
      <c r="K980" s="24"/>
    </row>
    <row r="981" spans="1:11" s="12" customFormat="1" ht="62.05" x14ac:dyDescent="0.3">
      <c r="A981" s="3" t="s">
        <v>394</v>
      </c>
      <c r="B981" s="4" t="s">
        <v>11</v>
      </c>
      <c r="C981" s="4" t="s">
        <v>16</v>
      </c>
      <c r="D981" s="4" t="s">
        <v>683</v>
      </c>
      <c r="E981" s="4" t="s">
        <v>314</v>
      </c>
      <c r="F981" s="4" t="s">
        <v>467</v>
      </c>
      <c r="G981" s="27">
        <v>6292309.0800000001</v>
      </c>
      <c r="H981" s="56">
        <v>6292309.0800000001</v>
      </c>
      <c r="I981" s="130">
        <f t="shared" si="63"/>
        <v>1</v>
      </c>
      <c r="J981" s="24"/>
      <c r="K981" s="24"/>
    </row>
    <row r="982" spans="1:11" s="12" customFormat="1" ht="139.6" x14ac:dyDescent="0.3">
      <c r="A982" s="3" t="s">
        <v>265</v>
      </c>
      <c r="B982" s="4" t="s">
        <v>11</v>
      </c>
      <c r="C982" s="4" t="s">
        <v>16</v>
      </c>
      <c r="D982" s="4" t="s">
        <v>683</v>
      </c>
      <c r="E982" s="4" t="s">
        <v>315</v>
      </c>
      <c r="F982" s="4"/>
      <c r="G982" s="27">
        <f>G983</f>
        <v>1192051.1299999999</v>
      </c>
      <c r="H982" s="56">
        <f>H983</f>
        <v>955805.14</v>
      </c>
      <c r="I982" s="130">
        <f t="shared" si="63"/>
        <v>0.80181555635117774</v>
      </c>
      <c r="J982" s="24"/>
      <c r="K982" s="24"/>
    </row>
    <row r="983" spans="1:11" s="12" customFormat="1" ht="62.05" x14ac:dyDescent="0.3">
      <c r="A983" s="3" t="s">
        <v>394</v>
      </c>
      <c r="B983" s="4" t="s">
        <v>11</v>
      </c>
      <c r="C983" s="4" t="s">
        <v>16</v>
      </c>
      <c r="D983" s="4" t="s">
        <v>683</v>
      </c>
      <c r="E983" s="4" t="s">
        <v>315</v>
      </c>
      <c r="F983" s="4" t="s">
        <v>467</v>
      </c>
      <c r="G983" s="27">
        <f>1216352-24300.87</f>
        <v>1192051.1299999999</v>
      </c>
      <c r="H983" s="56">
        <v>955805.14</v>
      </c>
      <c r="I983" s="130">
        <f t="shared" si="63"/>
        <v>0.80181555635117774</v>
      </c>
      <c r="J983" s="24"/>
      <c r="K983" s="24"/>
    </row>
    <row r="984" spans="1:11" s="12" customFormat="1" ht="139.6" x14ac:dyDescent="0.3">
      <c r="A984" s="3" t="s">
        <v>265</v>
      </c>
      <c r="B984" s="4" t="s">
        <v>11</v>
      </c>
      <c r="C984" s="4" t="s">
        <v>16</v>
      </c>
      <c r="D984" s="4" t="s">
        <v>683</v>
      </c>
      <c r="E984" s="4" t="s">
        <v>316</v>
      </c>
      <c r="F984" s="4"/>
      <c r="G984" s="27">
        <f>G985</f>
        <v>62776.35</v>
      </c>
      <c r="H984" s="56">
        <f>H985</f>
        <v>62776.35</v>
      </c>
      <c r="I984" s="130">
        <f t="shared" si="63"/>
        <v>1</v>
      </c>
      <c r="J984" s="24"/>
      <c r="K984" s="24"/>
    </row>
    <row r="985" spans="1:11" s="12" customFormat="1" ht="62.05" x14ac:dyDescent="0.3">
      <c r="A985" s="3" t="s">
        <v>394</v>
      </c>
      <c r="B985" s="4" t="s">
        <v>11</v>
      </c>
      <c r="C985" s="4" t="s">
        <v>16</v>
      </c>
      <c r="D985" s="4" t="s">
        <v>683</v>
      </c>
      <c r="E985" s="4" t="s">
        <v>316</v>
      </c>
      <c r="F985" s="4" t="s">
        <v>467</v>
      </c>
      <c r="G985" s="27">
        <f>60817.6+3200.93-1242.18</f>
        <v>62776.35</v>
      </c>
      <c r="H985" s="56">
        <f>60817.6+3200.93-1242.18</f>
        <v>62776.35</v>
      </c>
      <c r="I985" s="130">
        <f t="shared" si="63"/>
        <v>1</v>
      </c>
      <c r="J985" s="24"/>
      <c r="K985" s="24"/>
    </row>
    <row r="986" spans="1:11" s="12" customFormat="1" ht="62.05" x14ac:dyDescent="0.3">
      <c r="A986" s="3" t="s">
        <v>307</v>
      </c>
      <c r="B986" s="4" t="s">
        <v>11</v>
      </c>
      <c r="C986" s="4" t="s">
        <v>16</v>
      </c>
      <c r="D986" s="4" t="s">
        <v>683</v>
      </c>
      <c r="E986" s="4" t="s">
        <v>317</v>
      </c>
      <c r="F986" s="4"/>
      <c r="G986" s="27">
        <f>G987</f>
        <v>400000</v>
      </c>
      <c r="H986" s="56">
        <f>H987</f>
        <v>400000</v>
      </c>
      <c r="I986" s="130">
        <f t="shared" si="63"/>
        <v>1</v>
      </c>
      <c r="J986" s="24"/>
      <c r="K986" s="24"/>
    </row>
    <row r="987" spans="1:11" s="12" customFormat="1" ht="93.05" x14ac:dyDescent="0.3">
      <c r="A987" s="3" t="s">
        <v>589</v>
      </c>
      <c r="B987" s="4" t="s">
        <v>11</v>
      </c>
      <c r="C987" s="4" t="s">
        <v>16</v>
      </c>
      <c r="D987" s="4" t="s">
        <v>683</v>
      </c>
      <c r="E987" s="4" t="s">
        <v>318</v>
      </c>
      <c r="F987" s="4"/>
      <c r="G987" s="27">
        <f>G988</f>
        <v>400000</v>
      </c>
      <c r="H987" s="56">
        <f>H988</f>
        <v>400000</v>
      </c>
      <c r="I987" s="130">
        <f t="shared" si="63"/>
        <v>1</v>
      </c>
      <c r="J987" s="24"/>
      <c r="K987" s="24"/>
    </row>
    <row r="988" spans="1:11" s="12" customFormat="1" ht="62.05" x14ac:dyDescent="0.3">
      <c r="A988" s="3" t="s">
        <v>394</v>
      </c>
      <c r="B988" s="4" t="s">
        <v>11</v>
      </c>
      <c r="C988" s="4" t="s">
        <v>16</v>
      </c>
      <c r="D988" s="4" t="s">
        <v>683</v>
      </c>
      <c r="E988" s="4" t="s">
        <v>318</v>
      </c>
      <c r="F988" s="4" t="s">
        <v>467</v>
      </c>
      <c r="G988" s="27">
        <v>400000</v>
      </c>
      <c r="H988" s="56">
        <v>400000</v>
      </c>
      <c r="I988" s="130">
        <f t="shared" si="63"/>
        <v>1</v>
      </c>
      <c r="J988" s="24"/>
      <c r="K988" s="24"/>
    </row>
    <row r="989" spans="1:11" s="12" customFormat="1" ht="31.05" x14ac:dyDescent="0.3">
      <c r="A989" s="3" t="s">
        <v>3</v>
      </c>
      <c r="B989" s="4" t="s">
        <v>11</v>
      </c>
      <c r="C989" s="4" t="s">
        <v>16</v>
      </c>
      <c r="D989" s="4" t="s">
        <v>683</v>
      </c>
      <c r="E989" s="4" t="s">
        <v>319</v>
      </c>
      <c r="F989" s="4"/>
      <c r="G989" s="27">
        <f>G990+G1001+G1006+G1009</f>
        <v>50791107.199999996</v>
      </c>
      <c r="H989" s="56">
        <f>H990+H1001+H1006+H1009</f>
        <v>50791107.199999996</v>
      </c>
      <c r="I989" s="130">
        <f t="shared" si="63"/>
        <v>1</v>
      </c>
      <c r="J989" s="24"/>
      <c r="K989" s="24"/>
    </row>
    <row r="990" spans="1:11" s="12" customFormat="1" ht="62.05" x14ac:dyDescent="0.3">
      <c r="A990" s="3" t="s">
        <v>320</v>
      </c>
      <c r="B990" s="4" t="s">
        <v>11</v>
      </c>
      <c r="C990" s="4" t="s">
        <v>16</v>
      </c>
      <c r="D990" s="4" t="s">
        <v>683</v>
      </c>
      <c r="E990" s="4" t="s">
        <v>321</v>
      </c>
      <c r="F990" s="4"/>
      <c r="G990" s="27">
        <f>G991+G993+G995+G997+G999</f>
        <v>42095092.649999999</v>
      </c>
      <c r="H990" s="56">
        <f>H991+H993+H995+H997+H999</f>
        <v>42095092.649999999</v>
      </c>
      <c r="I990" s="130">
        <f t="shared" si="63"/>
        <v>1</v>
      </c>
      <c r="J990" s="24"/>
      <c r="K990" s="24"/>
    </row>
    <row r="991" spans="1:11" s="12" customFormat="1" ht="93.05" x14ac:dyDescent="0.3">
      <c r="A991" s="3" t="s">
        <v>589</v>
      </c>
      <c r="B991" s="4" t="s">
        <v>11</v>
      </c>
      <c r="C991" s="4" t="s">
        <v>16</v>
      </c>
      <c r="D991" s="4" t="s">
        <v>683</v>
      </c>
      <c r="E991" s="4" t="s">
        <v>322</v>
      </c>
      <c r="F991" s="4"/>
      <c r="G991" s="27">
        <f>G992</f>
        <v>39071794.629999995</v>
      </c>
      <c r="H991" s="56">
        <f>H992</f>
        <v>39071794.629999995</v>
      </c>
      <c r="I991" s="130">
        <f t="shared" si="63"/>
        <v>1</v>
      </c>
      <c r="J991" s="24"/>
      <c r="K991" s="24"/>
    </row>
    <row r="992" spans="1:11" s="12" customFormat="1" ht="62.05" x14ac:dyDescent="0.3">
      <c r="A992" s="3" t="s">
        <v>394</v>
      </c>
      <c r="B992" s="4" t="s">
        <v>11</v>
      </c>
      <c r="C992" s="4" t="s">
        <v>16</v>
      </c>
      <c r="D992" s="4" t="s">
        <v>683</v>
      </c>
      <c r="E992" s="4" t="s">
        <v>322</v>
      </c>
      <c r="F992" s="4" t="s">
        <v>467</v>
      </c>
      <c r="G992" s="27">
        <f>41450487.11-2221694-552.63-109470-46975.85</f>
        <v>39071794.629999995</v>
      </c>
      <c r="H992" s="56">
        <f>41450487.11-2221694-552.63-109470-46975.85</f>
        <v>39071794.629999995</v>
      </c>
      <c r="I992" s="130">
        <f t="shared" si="63"/>
        <v>1</v>
      </c>
      <c r="J992" s="24"/>
      <c r="K992" s="24"/>
    </row>
    <row r="993" spans="1:11" s="12" customFormat="1" ht="108.55" x14ac:dyDescent="0.3">
      <c r="A993" s="3" t="s">
        <v>646</v>
      </c>
      <c r="B993" s="4" t="s">
        <v>11</v>
      </c>
      <c r="C993" s="4" t="s">
        <v>16</v>
      </c>
      <c r="D993" s="4" t="s">
        <v>683</v>
      </c>
      <c r="E993" s="4" t="s">
        <v>323</v>
      </c>
      <c r="F993" s="4"/>
      <c r="G993" s="27">
        <f>G994</f>
        <v>2023853</v>
      </c>
      <c r="H993" s="56">
        <f>H994</f>
        <v>2023853</v>
      </c>
      <c r="I993" s="130">
        <f t="shared" si="63"/>
        <v>1</v>
      </c>
      <c r="J993" s="24"/>
      <c r="K993" s="24"/>
    </row>
    <row r="994" spans="1:11" s="12" customFormat="1" ht="86.95" customHeight="1" x14ac:dyDescent="0.3">
      <c r="A994" s="3" t="s">
        <v>394</v>
      </c>
      <c r="B994" s="4" t="s">
        <v>11</v>
      </c>
      <c r="C994" s="4" t="s">
        <v>16</v>
      </c>
      <c r="D994" s="4" t="s">
        <v>683</v>
      </c>
      <c r="E994" s="4" t="s">
        <v>323</v>
      </c>
      <c r="F994" s="4" t="s">
        <v>467</v>
      </c>
      <c r="G994" s="27">
        <f>2023853</f>
        <v>2023853</v>
      </c>
      <c r="H994" s="56">
        <f>2023853</f>
        <v>2023853</v>
      </c>
      <c r="I994" s="130">
        <f t="shared" si="63"/>
        <v>1</v>
      </c>
      <c r="J994" s="24"/>
      <c r="K994" s="24"/>
    </row>
    <row r="995" spans="1:11" s="12" customFormat="1" ht="134.44999999999999" customHeight="1" x14ac:dyDescent="0.3">
      <c r="A995" s="3" t="s">
        <v>646</v>
      </c>
      <c r="B995" s="4" t="s">
        <v>11</v>
      </c>
      <c r="C995" s="4" t="s">
        <v>16</v>
      </c>
      <c r="D995" s="4" t="s">
        <v>683</v>
      </c>
      <c r="E995" s="4" t="s">
        <v>324</v>
      </c>
      <c r="F995" s="4"/>
      <c r="G995" s="27">
        <f>G996</f>
        <v>752849.34</v>
      </c>
      <c r="H995" s="56">
        <f>H996</f>
        <v>752849.34</v>
      </c>
      <c r="I995" s="130">
        <f t="shared" si="63"/>
        <v>1</v>
      </c>
      <c r="J995" s="24"/>
      <c r="K995" s="24"/>
    </row>
    <row r="996" spans="1:11" s="12" customFormat="1" ht="79.5" customHeight="1" x14ac:dyDescent="0.3">
      <c r="A996" s="3" t="s">
        <v>394</v>
      </c>
      <c r="B996" s="4" t="s">
        <v>11</v>
      </c>
      <c r="C996" s="4" t="s">
        <v>16</v>
      </c>
      <c r="D996" s="4" t="s">
        <v>683</v>
      </c>
      <c r="E996" s="4" t="s">
        <v>324</v>
      </c>
      <c r="F996" s="4" t="s">
        <v>467</v>
      </c>
      <c r="G996" s="27">
        <v>752849.34</v>
      </c>
      <c r="H996" s="56">
        <v>752849.34</v>
      </c>
      <c r="I996" s="130">
        <f t="shared" si="63"/>
        <v>1</v>
      </c>
      <c r="J996" s="24"/>
      <c r="K996" s="24"/>
    </row>
    <row r="997" spans="1:11" s="12" customFormat="1" ht="153.69999999999999" customHeight="1" x14ac:dyDescent="0.3">
      <c r="A997" s="3" t="s">
        <v>265</v>
      </c>
      <c r="B997" s="4" t="s">
        <v>11</v>
      </c>
      <c r="C997" s="4" t="s">
        <v>16</v>
      </c>
      <c r="D997" s="4" t="s">
        <v>683</v>
      </c>
      <c r="E997" s="4" t="s">
        <v>325</v>
      </c>
      <c r="F997" s="4"/>
      <c r="G997" s="27">
        <f>G998</f>
        <v>234300.87</v>
      </c>
      <c r="H997" s="56">
        <f>H998</f>
        <v>234300.87</v>
      </c>
      <c r="I997" s="130">
        <f t="shared" si="63"/>
        <v>1</v>
      </c>
      <c r="J997" s="24"/>
      <c r="K997" s="24"/>
    </row>
    <row r="998" spans="1:11" s="12" customFormat="1" ht="84.05" customHeight="1" x14ac:dyDescent="0.3">
      <c r="A998" s="3" t="s">
        <v>394</v>
      </c>
      <c r="B998" s="4" t="s">
        <v>11</v>
      </c>
      <c r="C998" s="4" t="s">
        <v>16</v>
      </c>
      <c r="D998" s="4" t="s">
        <v>683</v>
      </c>
      <c r="E998" s="4" t="s">
        <v>325</v>
      </c>
      <c r="F998" s="4" t="s">
        <v>467</v>
      </c>
      <c r="G998" s="27">
        <f>210000+24300.87</f>
        <v>234300.87</v>
      </c>
      <c r="H998" s="56">
        <f>210000+24300.87</f>
        <v>234300.87</v>
      </c>
      <c r="I998" s="130">
        <f t="shared" si="63"/>
        <v>1</v>
      </c>
      <c r="J998" s="24"/>
      <c r="K998" s="24"/>
    </row>
    <row r="999" spans="1:11" s="12" customFormat="1" ht="145.55000000000001" customHeight="1" x14ac:dyDescent="0.3">
      <c r="A999" s="3" t="s">
        <v>265</v>
      </c>
      <c r="B999" s="4" t="s">
        <v>11</v>
      </c>
      <c r="C999" s="4" t="s">
        <v>16</v>
      </c>
      <c r="D999" s="4" t="s">
        <v>683</v>
      </c>
      <c r="E999" s="4" t="s">
        <v>326</v>
      </c>
      <c r="F999" s="4"/>
      <c r="G999" s="27">
        <f>G1000</f>
        <v>12294.81</v>
      </c>
      <c r="H999" s="56">
        <f>H1000</f>
        <v>12294.81</v>
      </c>
      <c r="I999" s="130">
        <f t="shared" si="63"/>
        <v>1</v>
      </c>
      <c r="J999" s="24"/>
      <c r="K999" s="24"/>
    </row>
    <row r="1000" spans="1:11" s="12" customFormat="1" ht="62.05" x14ac:dyDescent="0.3">
      <c r="A1000" s="3" t="s">
        <v>394</v>
      </c>
      <c r="B1000" s="4" t="s">
        <v>11</v>
      </c>
      <c r="C1000" s="4" t="s">
        <v>16</v>
      </c>
      <c r="D1000" s="4" t="s">
        <v>683</v>
      </c>
      <c r="E1000" s="4" t="s">
        <v>326</v>
      </c>
      <c r="F1000" s="4" t="s">
        <v>467</v>
      </c>
      <c r="G1000" s="27">
        <f>10500+552.63+1242.18</f>
        <v>12294.81</v>
      </c>
      <c r="H1000" s="56">
        <f>10500+552.63+1242.18</f>
        <v>12294.81</v>
      </c>
      <c r="I1000" s="130">
        <f t="shared" si="63"/>
        <v>1</v>
      </c>
      <c r="J1000" s="24"/>
      <c r="K1000" s="24"/>
    </row>
    <row r="1001" spans="1:11" s="12" customFormat="1" ht="46.55" x14ac:dyDescent="0.3">
      <c r="A1001" s="3" t="s">
        <v>327</v>
      </c>
      <c r="B1001" s="4" t="s">
        <v>11</v>
      </c>
      <c r="C1001" s="4" t="s">
        <v>16</v>
      </c>
      <c r="D1001" s="4" t="s">
        <v>683</v>
      </c>
      <c r="E1001" s="4" t="s">
        <v>328</v>
      </c>
      <c r="F1001" s="4"/>
      <c r="G1001" s="27">
        <f>G1002+G1004</f>
        <v>4103071</v>
      </c>
      <c r="H1001" s="56">
        <f>H1002+H1004</f>
        <v>4103071</v>
      </c>
      <c r="I1001" s="130">
        <f t="shared" si="63"/>
        <v>1</v>
      </c>
      <c r="J1001" s="24"/>
      <c r="K1001" s="24"/>
    </row>
    <row r="1002" spans="1:11" s="12" customFormat="1" ht="93.05" x14ac:dyDescent="0.3">
      <c r="A1002" s="3" t="s">
        <v>589</v>
      </c>
      <c r="B1002" s="4" t="s">
        <v>11</v>
      </c>
      <c r="C1002" s="4" t="s">
        <v>16</v>
      </c>
      <c r="D1002" s="4" t="s">
        <v>683</v>
      </c>
      <c r="E1002" s="4" t="s">
        <v>329</v>
      </c>
      <c r="F1002" s="4"/>
      <c r="G1002" s="27">
        <f>G1003</f>
        <v>4089958</v>
      </c>
      <c r="H1002" s="56">
        <f>H1003</f>
        <v>4089958</v>
      </c>
      <c r="I1002" s="130">
        <f t="shared" si="63"/>
        <v>1</v>
      </c>
      <c r="J1002" s="24"/>
      <c r="K1002" s="24"/>
    </row>
    <row r="1003" spans="1:11" s="12" customFormat="1" ht="62.05" x14ac:dyDescent="0.3">
      <c r="A1003" s="3" t="s">
        <v>394</v>
      </c>
      <c r="B1003" s="4" t="s">
        <v>11</v>
      </c>
      <c r="C1003" s="4" t="s">
        <v>16</v>
      </c>
      <c r="D1003" s="4" t="s">
        <v>683</v>
      </c>
      <c r="E1003" s="4" t="s">
        <v>329</v>
      </c>
      <c r="F1003" s="4" t="s">
        <v>467</v>
      </c>
      <c r="G1003" s="27">
        <v>4089958</v>
      </c>
      <c r="H1003" s="56">
        <v>4089958</v>
      </c>
      <c r="I1003" s="130">
        <f t="shared" si="63"/>
        <v>1</v>
      </c>
      <c r="J1003" s="24"/>
      <c r="K1003" s="24"/>
    </row>
    <row r="1004" spans="1:11" s="12" customFormat="1" ht="77.55" x14ac:dyDescent="0.3">
      <c r="A1004" s="3" t="s">
        <v>804</v>
      </c>
      <c r="B1004" s="4" t="s">
        <v>11</v>
      </c>
      <c r="C1004" s="4" t="s">
        <v>16</v>
      </c>
      <c r="D1004" s="4" t="s">
        <v>683</v>
      </c>
      <c r="E1004" s="4" t="s">
        <v>330</v>
      </c>
      <c r="F1004" s="4"/>
      <c r="G1004" s="27">
        <f>G1005</f>
        <v>13113</v>
      </c>
      <c r="H1004" s="56">
        <f>H1005</f>
        <v>13113</v>
      </c>
      <c r="I1004" s="130">
        <f t="shared" si="63"/>
        <v>1</v>
      </c>
      <c r="J1004" s="24"/>
      <c r="K1004" s="24"/>
    </row>
    <row r="1005" spans="1:11" s="12" customFormat="1" ht="62.05" x14ac:dyDescent="0.3">
      <c r="A1005" s="3" t="s">
        <v>394</v>
      </c>
      <c r="B1005" s="4" t="s">
        <v>11</v>
      </c>
      <c r="C1005" s="4" t="s">
        <v>16</v>
      </c>
      <c r="D1005" s="4" t="s">
        <v>683</v>
      </c>
      <c r="E1005" s="4" t="s">
        <v>330</v>
      </c>
      <c r="F1005" s="4" t="s">
        <v>467</v>
      </c>
      <c r="G1005" s="27">
        <f>14937-1824</f>
        <v>13113</v>
      </c>
      <c r="H1005" s="56">
        <f>14937-1824</f>
        <v>13113</v>
      </c>
      <c r="I1005" s="130">
        <f t="shared" si="63"/>
        <v>1</v>
      </c>
      <c r="J1005" s="24"/>
      <c r="K1005" s="24"/>
    </row>
    <row r="1006" spans="1:11" s="12" customFormat="1" ht="62.05" x14ac:dyDescent="0.3">
      <c r="A1006" s="3" t="s">
        <v>803</v>
      </c>
      <c r="B1006" s="4" t="s">
        <v>11</v>
      </c>
      <c r="C1006" s="4" t="s">
        <v>16</v>
      </c>
      <c r="D1006" s="4" t="s">
        <v>683</v>
      </c>
      <c r="E1006" s="4" t="s">
        <v>331</v>
      </c>
      <c r="F1006" s="4"/>
      <c r="G1006" s="27">
        <f>G1007</f>
        <v>4434436.55</v>
      </c>
      <c r="H1006" s="56">
        <f>H1007</f>
        <v>4434436.55</v>
      </c>
      <c r="I1006" s="130">
        <f t="shared" si="63"/>
        <v>1</v>
      </c>
      <c r="J1006" s="24"/>
      <c r="K1006" s="24"/>
    </row>
    <row r="1007" spans="1:11" s="12" customFormat="1" ht="93.05" x14ac:dyDescent="0.3">
      <c r="A1007" s="3" t="s">
        <v>589</v>
      </c>
      <c r="B1007" s="4" t="s">
        <v>11</v>
      </c>
      <c r="C1007" s="4" t="s">
        <v>16</v>
      </c>
      <c r="D1007" s="4" t="s">
        <v>683</v>
      </c>
      <c r="E1007" s="4" t="s">
        <v>332</v>
      </c>
      <c r="F1007" s="4"/>
      <c r="G1007" s="27">
        <f>G1008</f>
        <v>4434436.55</v>
      </c>
      <c r="H1007" s="56">
        <f>H1008</f>
        <v>4434436.55</v>
      </c>
      <c r="I1007" s="130">
        <f t="shared" si="63"/>
        <v>1</v>
      </c>
      <c r="J1007" s="24"/>
      <c r="K1007" s="24"/>
    </row>
    <row r="1008" spans="1:11" s="12" customFormat="1" ht="62.05" x14ac:dyDescent="0.3">
      <c r="A1008" s="3" t="s">
        <v>394</v>
      </c>
      <c r="B1008" s="4" t="s">
        <v>11</v>
      </c>
      <c r="C1008" s="4" t="s">
        <v>16</v>
      </c>
      <c r="D1008" s="4" t="s">
        <v>683</v>
      </c>
      <c r="E1008" s="4" t="s">
        <v>332</v>
      </c>
      <c r="F1008" s="4" t="s">
        <v>467</v>
      </c>
      <c r="G1008" s="27">
        <v>4434436.55</v>
      </c>
      <c r="H1008" s="56">
        <v>4434436.55</v>
      </c>
      <c r="I1008" s="130">
        <f t="shared" si="63"/>
        <v>1</v>
      </c>
      <c r="J1008" s="24"/>
      <c r="K1008" s="24"/>
    </row>
    <row r="1009" spans="1:11" s="12" customFormat="1" ht="93.05" x14ac:dyDescent="0.3">
      <c r="A1009" s="3" t="s">
        <v>333</v>
      </c>
      <c r="B1009" s="4" t="s">
        <v>11</v>
      </c>
      <c r="C1009" s="4" t="s">
        <v>16</v>
      </c>
      <c r="D1009" s="4" t="s">
        <v>683</v>
      </c>
      <c r="E1009" s="4" t="s">
        <v>334</v>
      </c>
      <c r="F1009" s="4"/>
      <c r="G1009" s="27">
        <f>G1010+G1013</f>
        <v>158507</v>
      </c>
      <c r="H1009" s="56">
        <f>H1010+H1013</f>
        <v>158507</v>
      </c>
      <c r="I1009" s="130">
        <f t="shared" si="63"/>
        <v>1</v>
      </c>
      <c r="J1009" s="24"/>
      <c r="K1009" s="24"/>
    </row>
    <row r="1010" spans="1:11" s="12" customFormat="1" ht="93.05" x14ac:dyDescent="0.3">
      <c r="A1010" s="3" t="s">
        <v>589</v>
      </c>
      <c r="B1010" s="4" t="s">
        <v>11</v>
      </c>
      <c r="C1010" s="4" t="s">
        <v>16</v>
      </c>
      <c r="D1010" s="4" t="s">
        <v>683</v>
      </c>
      <c r="E1010" s="4" t="s">
        <v>335</v>
      </c>
      <c r="F1010" s="4"/>
      <c r="G1010" s="27">
        <f>G1011</f>
        <v>108507</v>
      </c>
      <c r="H1010" s="56">
        <f>H1011</f>
        <v>108507</v>
      </c>
      <c r="I1010" s="130">
        <f t="shared" si="63"/>
        <v>1</v>
      </c>
      <c r="J1010" s="24"/>
      <c r="K1010" s="24"/>
    </row>
    <row r="1011" spans="1:11" s="12" customFormat="1" ht="62.05" x14ac:dyDescent="0.3">
      <c r="A1011" s="3" t="s">
        <v>394</v>
      </c>
      <c r="B1011" s="4" t="s">
        <v>11</v>
      </c>
      <c r="C1011" s="4" t="s">
        <v>16</v>
      </c>
      <c r="D1011" s="4" t="s">
        <v>683</v>
      </c>
      <c r="E1011" s="4" t="s">
        <v>335</v>
      </c>
      <c r="F1011" s="4" t="s">
        <v>467</v>
      </c>
      <c r="G1011" s="27">
        <v>108507</v>
      </c>
      <c r="H1011" s="56">
        <v>108507</v>
      </c>
      <c r="I1011" s="130">
        <f t="shared" si="63"/>
        <v>1</v>
      </c>
      <c r="J1011" s="24"/>
      <c r="K1011" s="24"/>
    </row>
    <row r="1012" spans="1:11" s="12" customFormat="1" ht="62.05" x14ac:dyDescent="0.3">
      <c r="A1012" s="3" t="s">
        <v>817</v>
      </c>
      <c r="B1012" s="4" t="s">
        <v>11</v>
      </c>
      <c r="C1012" s="4" t="s">
        <v>16</v>
      </c>
      <c r="D1012" s="4" t="s">
        <v>683</v>
      </c>
      <c r="E1012" s="4" t="s">
        <v>846</v>
      </c>
      <c r="F1012" s="4"/>
      <c r="G1012" s="27">
        <f>G1013</f>
        <v>50000</v>
      </c>
      <c r="H1012" s="56">
        <f>H1013</f>
        <v>50000</v>
      </c>
      <c r="I1012" s="130">
        <f t="shared" si="63"/>
        <v>1</v>
      </c>
      <c r="J1012" s="24"/>
      <c r="K1012" s="24"/>
    </row>
    <row r="1013" spans="1:11" s="12" customFormat="1" ht="62.05" x14ac:dyDescent="0.3">
      <c r="A1013" s="3" t="s">
        <v>394</v>
      </c>
      <c r="B1013" s="4" t="s">
        <v>11</v>
      </c>
      <c r="C1013" s="4" t="s">
        <v>16</v>
      </c>
      <c r="D1013" s="4" t="s">
        <v>683</v>
      </c>
      <c r="E1013" s="4" t="s">
        <v>846</v>
      </c>
      <c r="F1013" s="4" t="s">
        <v>467</v>
      </c>
      <c r="G1013" s="27">
        <f>50000</f>
        <v>50000</v>
      </c>
      <c r="H1013" s="56">
        <f>50000</f>
        <v>50000</v>
      </c>
      <c r="I1013" s="130">
        <f t="shared" si="63"/>
        <v>1</v>
      </c>
      <c r="J1013" s="24"/>
      <c r="K1013" s="24"/>
    </row>
    <row r="1014" spans="1:11" s="12" customFormat="1" ht="31.05" x14ac:dyDescent="0.3">
      <c r="A1014" s="3" t="s">
        <v>93</v>
      </c>
      <c r="B1014" s="4" t="s">
        <v>11</v>
      </c>
      <c r="C1014" s="4" t="s">
        <v>16</v>
      </c>
      <c r="D1014" s="4" t="s">
        <v>683</v>
      </c>
      <c r="E1014" s="4" t="s">
        <v>336</v>
      </c>
      <c r="F1014" s="4"/>
      <c r="G1014" s="27">
        <f>G1015+G1018+G1021</f>
        <v>13702326.439999998</v>
      </c>
      <c r="H1014" s="56">
        <f>H1015+H1018+H1021</f>
        <v>13702326.439999998</v>
      </c>
      <c r="I1014" s="130">
        <f t="shared" si="63"/>
        <v>1</v>
      </c>
      <c r="J1014" s="24"/>
      <c r="K1014" s="24"/>
    </row>
    <row r="1015" spans="1:11" s="12" customFormat="1" ht="31.05" x14ac:dyDescent="0.3">
      <c r="A1015" s="3" t="s">
        <v>337</v>
      </c>
      <c r="B1015" s="4" t="s">
        <v>11</v>
      </c>
      <c r="C1015" s="4" t="s">
        <v>16</v>
      </c>
      <c r="D1015" s="4" t="s">
        <v>683</v>
      </c>
      <c r="E1015" s="4" t="s">
        <v>338</v>
      </c>
      <c r="F1015" s="4"/>
      <c r="G1015" s="27">
        <f>G1016</f>
        <v>46980</v>
      </c>
      <c r="H1015" s="56">
        <f>H1016</f>
        <v>46980</v>
      </c>
      <c r="I1015" s="130">
        <f t="shared" si="63"/>
        <v>1</v>
      </c>
      <c r="J1015" s="24"/>
      <c r="K1015" s="24"/>
    </row>
    <row r="1016" spans="1:11" s="12" customFormat="1" ht="93.05" x14ac:dyDescent="0.3">
      <c r="A1016" s="3" t="s">
        <v>589</v>
      </c>
      <c r="B1016" s="4" t="s">
        <v>11</v>
      </c>
      <c r="C1016" s="4" t="s">
        <v>16</v>
      </c>
      <c r="D1016" s="4" t="s">
        <v>683</v>
      </c>
      <c r="E1016" s="4" t="s">
        <v>339</v>
      </c>
      <c r="F1016" s="4"/>
      <c r="G1016" s="27">
        <f>G1017</f>
        <v>46980</v>
      </c>
      <c r="H1016" s="56">
        <f>H1017</f>
        <v>46980</v>
      </c>
      <c r="I1016" s="130">
        <f t="shared" si="63"/>
        <v>1</v>
      </c>
      <c r="J1016" s="24"/>
      <c r="K1016" s="24"/>
    </row>
    <row r="1017" spans="1:11" s="12" customFormat="1" ht="62.05" x14ac:dyDescent="0.3">
      <c r="A1017" s="3" t="s">
        <v>394</v>
      </c>
      <c r="B1017" s="4" t="s">
        <v>11</v>
      </c>
      <c r="C1017" s="4" t="s">
        <v>16</v>
      </c>
      <c r="D1017" s="4" t="s">
        <v>683</v>
      </c>
      <c r="E1017" s="4" t="s">
        <v>339</v>
      </c>
      <c r="F1017" s="4" t="s">
        <v>467</v>
      </c>
      <c r="G1017" s="27">
        <v>46980</v>
      </c>
      <c r="H1017" s="56">
        <v>46980</v>
      </c>
      <c r="I1017" s="130">
        <f t="shared" si="63"/>
        <v>1</v>
      </c>
      <c r="J1017" s="24"/>
      <c r="K1017" s="24"/>
    </row>
    <row r="1018" spans="1:11" s="12" customFormat="1" ht="62.05" x14ac:dyDescent="0.3">
      <c r="A1018" s="3" t="s">
        <v>340</v>
      </c>
      <c r="B1018" s="4" t="s">
        <v>11</v>
      </c>
      <c r="C1018" s="4" t="s">
        <v>16</v>
      </c>
      <c r="D1018" s="4" t="s">
        <v>683</v>
      </c>
      <c r="E1018" s="4" t="s">
        <v>341</v>
      </c>
      <c r="F1018" s="4"/>
      <c r="G1018" s="27">
        <f>G1019</f>
        <v>377557.2</v>
      </c>
      <c r="H1018" s="56">
        <f>H1019</f>
        <v>377557.2</v>
      </c>
      <c r="I1018" s="130">
        <f t="shared" si="63"/>
        <v>1</v>
      </c>
      <c r="J1018" s="24"/>
      <c r="K1018" s="24"/>
    </row>
    <row r="1019" spans="1:11" s="12" customFormat="1" ht="93.05" x14ac:dyDescent="0.3">
      <c r="A1019" s="3" t="s">
        <v>589</v>
      </c>
      <c r="B1019" s="4" t="s">
        <v>11</v>
      </c>
      <c r="C1019" s="4" t="s">
        <v>16</v>
      </c>
      <c r="D1019" s="4" t="s">
        <v>683</v>
      </c>
      <c r="E1019" s="4" t="s">
        <v>342</v>
      </c>
      <c r="F1019" s="4"/>
      <c r="G1019" s="27">
        <f>G1020</f>
        <v>377557.2</v>
      </c>
      <c r="H1019" s="56">
        <f>H1020</f>
        <v>377557.2</v>
      </c>
      <c r="I1019" s="130">
        <f t="shared" si="63"/>
        <v>1</v>
      </c>
      <c r="J1019" s="24"/>
      <c r="K1019" s="24"/>
    </row>
    <row r="1020" spans="1:11" s="12" customFormat="1" ht="62.05" x14ac:dyDescent="0.3">
      <c r="A1020" s="3" t="s">
        <v>394</v>
      </c>
      <c r="B1020" s="4" t="s">
        <v>11</v>
      </c>
      <c r="C1020" s="4" t="s">
        <v>16</v>
      </c>
      <c r="D1020" s="4" t="s">
        <v>683</v>
      </c>
      <c r="E1020" s="4" t="s">
        <v>342</v>
      </c>
      <c r="F1020" s="4" t="s">
        <v>467</v>
      </c>
      <c r="G1020" s="27">
        <v>377557.2</v>
      </c>
      <c r="H1020" s="56">
        <v>377557.2</v>
      </c>
      <c r="I1020" s="130">
        <f t="shared" si="63"/>
        <v>1</v>
      </c>
      <c r="J1020" s="24"/>
      <c r="K1020" s="24"/>
    </row>
    <row r="1021" spans="1:11" s="12" customFormat="1" ht="108.55" x14ac:dyDescent="0.3">
      <c r="A1021" s="3" t="s">
        <v>343</v>
      </c>
      <c r="B1021" s="4" t="s">
        <v>11</v>
      </c>
      <c r="C1021" s="4" t="s">
        <v>16</v>
      </c>
      <c r="D1021" s="4" t="s">
        <v>683</v>
      </c>
      <c r="E1021" s="4" t="s">
        <v>344</v>
      </c>
      <c r="F1021" s="4"/>
      <c r="G1021" s="27">
        <f>G1022+G1024+G1026</f>
        <v>13277789.239999998</v>
      </c>
      <c r="H1021" s="56">
        <f>H1022+H1024+H1026</f>
        <v>13277789.239999998</v>
      </c>
      <c r="I1021" s="130">
        <f t="shared" si="63"/>
        <v>1</v>
      </c>
      <c r="J1021" s="24"/>
      <c r="K1021" s="24"/>
    </row>
    <row r="1022" spans="1:11" s="12" customFormat="1" ht="86.95" customHeight="1" x14ac:dyDescent="0.3">
      <c r="A1022" s="3" t="s">
        <v>589</v>
      </c>
      <c r="B1022" s="4" t="s">
        <v>11</v>
      </c>
      <c r="C1022" s="4" t="s">
        <v>16</v>
      </c>
      <c r="D1022" s="4" t="s">
        <v>683</v>
      </c>
      <c r="E1022" s="4" t="s">
        <v>345</v>
      </c>
      <c r="F1022" s="4"/>
      <c r="G1022" s="27">
        <f>G1023</f>
        <v>12506516.129999999</v>
      </c>
      <c r="H1022" s="56">
        <f>H1023</f>
        <v>12506516.129999999</v>
      </c>
      <c r="I1022" s="130">
        <f t="shared" si="63"/>
        <v>1</v>
      </c>
      <c r="J1022" s="24"/>
      <c r="K1022" s="24"/>
    </row>
    <row r="1023" spans="1:11" s="12" customFormat="1" ht="62.05" x14ac:dyDescent="0.3">
      <c r="A1023" s="3" t="s">
        <v>394</v>
      </c>
      <c r="B1023" s="4" t="s">
        <v>11</v>
      </c>
      <c r="C1023" s="4" t="s">
        <v>16</v>
      </c>
      <c r="D1023" s="4" t="s">
        <v>683</v>
      </c>
      <c r="E1023" s="4" t="s">
        <v>345</v>
      </c>
      <c r="F1023" s="4" t="s">
        <v>467</v>
      </c>
      <c r="G1023" s="27">
        <f>12468937.69+30155.82+7422.62</f>
        <v>12506516.129999999</v>
      </c>
      <c r="H1023" s="56">
        <f>12468937.69+30155.82+7422.62</f>
        <v>12506516.129999999</v>
      </c>
      <c r="I1023" s="130">
        <f t="shared" si="63"/>
        <v>1</v>
      </c>
      <c r="J1023" s="24"/>
      <c r="K1023" s="24"/>
    </row>
    <row r="1024" spans="1:11" s="12" customFormat="1" ht="108.55" x14ac:dyDescent="0.3">
      <c r="A1024" s="3" t="s">
        <v>646</v>
      </c>
      <c r="B1024" s="4" t="s">
        <v>11</v>
      </c>
      <c r="C1024" s="4" t="s">
        <v>16</v>
      </c>
      <c r="D1024" s="4" t="s">
        <v>683</v>
      </c>
      <c r="E1024" s="4" t="s">
        <v>346</v>
      </c>
      <c r="F1024" s="4"/>
      <c r="G1024" s="27">
        <f>G1025</f>
        <v>582512</v>
      </c>
      <c r="H1024" s="56">
        <f>H1025</f>
        <v>582512</v>
      </c>
      <c r="I1024" s="130">
        <f t="shared" si="63"/>
        <v>1</v>
      </c>
      <c r="J1024" s="24"/>
      <c r="K1024" s="24"/>
    </row>
    <row r="1025" spans="1:11" s="12" customFormat="1" ht="62.05" x14ac:dyDescent="0.3">
      <c r="A1025" s="3" t="s">
        <v>394</v>
      </c>
      <c r="B1025" s="4" t="s">
        <v>11</v>
      </c>
      <c r="C1025" s="4" t="s">
        <v>16</v>
      </c>
      <c r="D1025" s="4" t="s">
        <v>683</v>
      </c>
      <c r="E1025" s="4" t="s">
        <v>346</v>
      </c>
      <c r="F1025" s="4" t="s">
        <v>467</v>
      </c>
      <c r="G1025" s="27">
        <v>582512</v>
      </c>
      <c r="H1025" s="56">
        <v>582512</v>
      </c>
      <c r="I1025" s="130">
        <f t="shared" si="63"/>
        <v>1</v>
      </c>
      <c r="J1025" s="24"/>
      <c r="K1025" s="24"/>
    </row>
    <row r="1026" spans="1:11" s="12" customFormat="1" ht="108.55" x14ac:dyDescent="0.3">
      <c r="A1026" s="3" t="s">
        <v>646</v>
      </c>
      <c r="B1026" s="4" t="s">
        <v>11</v>
      </c>
      <c r="C1026" s="4" t="s">
        <v>16</v>
      </c>
      <c r="D1026" s="4" t="s">
        <v>683</v>
      </c>
      <c r="E1026" s="4" t="s">
        <v>347</v>
      </c>
      <c r="F1026" s="4"/>
      <c r="G1026" s="27">
        <f>G1027</f>
        <v>188761.11</v>
      </c>
      <c r="H1026" s="56">
        <f>H1027</f>
        <v>188761.11</v>
      </c>
      <c r="I1026" s="130">
        <f t="shared" si="63"/>
        <v>1</v>
      </c>
      <c r="J1026" s="24"/>
      <c r="K1026" s="24"/>
    </row>
    <row r="1027" spans="1:11" s="12" customFormat="1" ht="62.05" x14ac:dyDescent="0.3">
      <c r="A1027" s="3" t="s">
        <v>394</v>
      </c>
      <c r="B1027" s="4" t="s">
        <v>11</v>
      </c>
      <c r="C1027" s="4" t="s">
        <v>16</v>
      </c>
      <c r="D1027" s="4" t="s">
        <v>683</v>
      </c>
      <c r="E1027" s="4" t="s">
        <v>347</v>
      </c>
      <c r="F1027" s="4" t="s">
        <v>467</v>
      </c>
      <c r="G1027" s="27">
        <v>188761.11</v>
      </c>
      <c r="H1027" s="56">
        <v>188761.11</v>
      </c>
      <c r="I1027" s="130">
        <f t="shared" si="63"/>
        <v>1</v>
      </c>
      <c r="J1027" s="24"/>
      <c r="K1027" s="24"/>
    </row>
    <row r="1028" spans="1:11" s="12" customFormat="1" ht="62.05" x14ac:dyDescent="0.3">
      <c r="A1028" s="3" t="s">
        <v>788</v>
      </c>
      <c r="B1028" s="4" t="s">
        <v>11</v>
      </c>
      <c r="C1028" s="4" t="s">
        <v>16</v>
      </c>
      <c r="D1028" s="4" t="s">
        <v>683</v>
      </c>
      <c r="E1028" s="4" t="s">
        <v>789</v>
      </c>
      <c r="F1028" s="4"/>
      <c r="G1028" s="27">
        <f t="shared" ref="G1028:H1030" si="64">G1029</f>
        <v>25000</v>
      </c>
      <c r="H1028" s="56">
        <f t="shared" si="64"/>
        <v>25000</v>
      </c>
      <c r="I1028" s="130">
        <f t="shared" si="63"/>
        <v>1</v>
      </c>
      <c r="J1028" s="24"/>
      <c r="K1028" s="24"/>
    </row>
    <row r="1029" spans="1:11" s="12" customFormat="1" ht="77.55" x14ac:dyDescent="0.3">
      <c r="A1029" s="3" t="s">
        <v>821</v>
      </c>
      <c r="B1029" s="4" t="s">
        <v>11</v>
      </c>
      <c r="C1029" s="4" t="s">
        <v>16</v>
      </c>
      <c r="D1029" s="4" t="s">
        <v>683</v>
      </c>
      <c r="E1029" s="4" t="s">
        <v>822</v>
      </c>
      <c r="F1029" s="4"/>
      <c r="G1029" s="27">
        <f t="shared" si="64"/>
        <v>25000</v>
      </c>
      <c r="H1029" s="56">
        <f t="shared" si="64"/>
        <v>25000</v>
      </c>
      <c r="I1029" s="130">
        <f t="shared" si="63"/>
        <v>1</v>
      </c>
      <c r="J1029" s="24"/>
      <c r="K1029" s="24"/>
    </row>
    <row r="1030" spans="1:11" s="12" customFormat="1" ht="31.05" x14ac:dyDescent="0.3">
      <c r="A1030" s="3" t="s">
        <v>393</v>
      </c>
      <c r="B1030" s="4" t="s">
        <v>11</v>
      </c>
      <c r="C1030" s="4" t="s">
        <v>16</v>
      </c>
      <c r="D1030" s="4" t="s">
        <v>683</v>
      </c>
      <c r="E1030" s="4" t="s">
        <v>823</v>
      </c>
      <c r="F1030" s="4"/>
      <c r="G1030" s="27">
        <f t="shared" si="64"/>
        <v>25000</v>
      </c>
      <c r="H1030" s="56">
        <f t="shared" si="64"/>
        <v>25000</v>
      </c>
      <c r="I1030" s="130">
        <f t="shared" si="63"/>
        <v>1</v>
      </c>
      <c r="J1030" s="24"/>
      <c r="K1030" s="24"/>
    </row>
    <row r="1031" spans="1:11" s="12" customFormat="1" ht="62.05" x14ac:dyDescent="0.3">
      <c r="A1031" s="3" t="s">
        <v>394</v>
      </c>
      <c r="B1031" s="4" t="s">
        <v>11</v>
      </c>
      <c r="C1031" s="4" t="s">
        <v>16</v>
      </c>
      <c r="D1031" s="4" t="s">
        <v>683</v>
      </c>
      <c r="E1031" s="4" t="s">
        <v>823</v>
      </c>
      <c r="F1031" s="4" t="s">
        <v>467</v>
      </c>
      <c r="G1031" s="27">
        <f>25000</f>
        <v>25000</v>
      </c>
      <c r="H1031" s="56">
        <f>25000</f>
        <v>25000</v>
      </c>
      <c r="I1031" s="130">
        <f t="shared" si="63"/>
        <v>1</v>
      </c>
      <c r="J1031" s="24"/>
      <c r="K1031" s="24"/>
    </row>
    <row r="1032" spans="1:11" s="12" customFormat="1" ht="77.55" x14ac:dyDescent="0.3">
      <c r="A1032" s="3" t="s">
        <v>824</v>
      </c>
      <c r="B1032" s="4" t="s">
        <v>11</v>
      </c>
      <c r="C1032" s="4" t="s">
        <v>16</v>
      </c>
      <c r="D1032" s="4" t="s">
        <v>683</v>
      </c>
      <c r="E1032" s="4" t="s">
        <v>825</v>
      </c>
      <c r="F1032" s="4"/>
      <c r="G1032" s="27">
        <f>G1033+G1036</f>
        <v>938357</v>
      </c>
      <c r="H1032" s="56">
        <f>H1033+H1036</f>
        <v>938357</v>
      </c>
      <c r="I1032" s="130">
        <f t="shared" si="63"/>
        <v>1</v>
      </c>
      <c r="J1032" s="24"/>
      <c r="K1032" s="24"/>
    </row>
    <row r="1033" spans="1:11" s="12" customFormat="1" ht="77.55" x14ac:dyDescent="0.3">
      <c r="A1033" s="3" t="s">
        <v>826</v>
      </c>
      <c r="B1033" s="4" t="s">
        <v>11</v>
      </c>
      <c r="C1033" s="4" t="s">
        <v>16</v>
      </c>
      <c r="D1033" s="4" t="s">
        <v>683</v>
      </c>
      <c r="E1033" s="4" t="s">
        <v>827</v>
      </c>
      <c r="F1033" s="4"/>
      <c r="G1033" s="27">
        <f>G1034</f>
        <v>34960</v>
      </c>
      <c r="H1033" s="56">
        <f>H1034</f>
        <v>34960</v>
      </c>
      <c r="I1033" s="130">
        <f t="shared" si="63"/>
        <v>1</v>
      </c>
      <c r="J1033" s="24"/>
      <c r="K1033" s="24"/>
    </row>
    <row r="1034" spans="1:11" s="12" customFormat="1" ht="31.05" x14ac:dyDescent="0.3">
      <c r="A1034" s="3" t="s">
        <v>393</v>
      </c>
      <c r="B1034" s="4" t="s">
        <v>11</v>
      </c>
      <c r="C1034" s="4" t="s">
        <v>16</v>
      </c>
      <c r="D1034" s="4" t="s">
        <v>683</v>
      </c>
      <c r="E1034" s="4" t="s">
        <v>828</v>
      </c>
      <c r="F1034" s="4"/>
      <c r="G1034" s="27">
        <f>G1035</f>
        <v>34960</v>
      </c>
      <c r="H1034" s="56">
        <f>H1035</f>
        <v>34960</v>
      </c>
      <c r="I1034" s="130">
        <f t="shared" si="63"/>
        <v>1</v>
      </c>
      <c r="J1034" s="24"/>
      <c r="K1034" s="24"/>
    </row>
    <row r="1035" spans="1:11" s="12" customFormat="1" ht="62.05" x14ac:dyDescent="0.3">
      <c r="A1035" s="3" t="s">
        <v>394</v>
      </c>
      <c r="B1035" s="4" t="s">
        <v>11</v>
      </c>
      <c r="C1035" s="4" t="s">
        <v>16</v>
      </c>
      <c r="D1035" s="4" t="s">
        <v>683</v>
      </c>
      <c r="E1035" s="4" t="s">
        <v>828</v>
      </c>
      <c r="F1035" s="4" t="s">
        <v>467</v>
      </c>
      <c r="G1035" s="27">
        <f>10000+24960</f>
        <v>34960</v>
      </c>
      <c r="H1035" s="56">
        <f>10000+24960</f>
        <v>34960</v>
      </c>
      <c r="I1035" s="130">
        <f t="shared" ref="I1035:I1098" si="65">H1035/G1035</f>
        <v>1</v>
      </c>
      <c r="J1035" s="24"/>
      <c r="K1035" s="24"/>
    </row>
    <row r="1036" spans="1:11" s="12" customFormat="1" ht="74.25" customHeight="1" x14ac:dyDescent="0.3">
      <c r="A1036" s="3" t="s">
        <v>865</v>
      </c>
      <c r="B1036" s="4" t="s">
        <v>11</v>
      </c>
      <c r="C1036" s="4" t="s">
        <v>16</v>
      </c>
      <c r="D1036" s="4" t="s">
        <v>683</v>
      </c>
      <c r="E1036" s="4" t="s">
        <v>866</v>
      </c>
      <c r="F1036" s="4"/>
      <c r="G1036" s="27">
        <f>G1037</f>
        <v>903397</v>
      </c>
      <c r="H1036" s="56">
        <f>H1037</f>
        <v>903397</v>
      </c>
      <c r="I1036" s="130">
        <f t="shared" si="65"/>
        <v>1</v>
      </c>
      <c r="J1036" s="24"/>
      <c r="K1036" s="24"/>
    </row>
    <row r="1037" spans="1:11" s="12" customFormat="1" ht="31.05" x14ac:dyDescent="0.3">
      <c r="A1037" s="3" t="s">
        <v>393</v>
      </c>
      <c r="B1037" s="4" t="s">
        <v>11</v>
      </c>
      <c r="C1037" s="4" t="s">
        <v>16</v>
      </c>
      <c r="D1037" s="4" t="s">
        <v>683</v>
      </c>
      <c r="E1037" s="4" t="s">
        <v>867</v>
      </c>
      <c r="F1037" s="4"/>
      <c r="G1037" s="27">
        <f>G1038</f>
        <v>903397</v>
      </c>
      <c r="H1037" s="56">
        <f>H1038</f>
        <v>903397</v>
      </c>
      <c r="I1037" s="130">
        <f t="shared" si="65"/>
        <v>1</v>
      </c>
      <c r="J1037" s="24"/>
      <c r="K1037" s="24"/>
    </row>
    <row r="1038" spans="1:11" s="12" customFormat="1" ht="62.05" x14ac:dyDescent="0.3">
      <c r="A1038" s="3" t="s">
        <v>394</v>
      </c>
      <c r="B1038" s="4" t="s">
        <v>11</v>
      </c>
      <c r="C1038" s="4" t="s">
        <v>16</v>
      </c>
      <c r="D1038" s="4" t="s">
        <v>683</v>
      </c>
      <c r="E1038" s="4" t="s">
        <v>867</v>
      </c>
      <c r="F1038" s="4" t="s">
        <v>467</v>
      </c>
      <c r="G1038" s="27">
        <f>903397</f>
        <v>903397</v>
      </c>
      <c r="H1038" s="56">
        <f>903397</f>
        <v>903397</v>
      </c>
      <c r="I1038" s="130">
        <f t="shared" si="65"/>
        <v>1</v>
      </c>
      <c r="J1038" s="24"/>
      <c r="K1038" s="24"/>
    </row>
    <row r="1039" spans="1:11" ht="62.05" x14ac:dyDescent="0.3">
      <c r="A1039" s="1" t="s">
        <v>47</v>
      </c>
      <c r="B1039" s="2" t="s">
        <v>11</v>
      </c>
      <c r="C1039" s="2" t="s">
        <v>16</v>
      </c>
      <c r="D1039" s="2" t="s">
        <v>683</v>
      </c>
      <c r="E1039" s="2" t="s">
        <v>622</v>
      </c>
      <c r="F1039" s="2"/>
      <c r="G1039" s="31">
        <f>G1044+G1040+G1047</f>
        <v>2013188.45</v>
      </c>
      <c r="H1039" s="57">
        <f>H1044+H1040+H1047</f>
        <v>2013188.45</v>
      </c>
      <c r="I1039" s="129">
        <f t="shared" si="65"/>
        <v>1</v>
      </c>
    </row>
    <row r="1040" spans="1:11" s="12" customFormat="1" ht="124.1" x14ac:dyDescent="0.3">
      <c r="A1040" s="3" t="s">
        <v>829</v>
      </c>
      <c r="B1040" s="248" t="s">
        <v>11</v>
      </c>
      <c r="C1040" s="248" t="s">
        <v>16</v>
      </c>
      <c r="D1040" s="248" t="s">
        <v>683</v>
      </c>
      <c r="E1040" s="248" t="s">
        <v>831</v>
      </c>
      <c r="F1040" s="248"/>
      <c r="G1040" s="249">
        <f>G1042</f>
        <v>35000</v>
      </c>
      <c r="H1040" s="249">
        <f>H1042</f>
        <v>35000</v>
      </c>
      <c r="I1040" s="246">
        <f t="shared" si="65"/>
        <v>1</v>
      </c>
      <c r="J1040" s="24"/>
      <c r="K1040" s="24"/>
    </row>
    <row r="1041" spans="1:11" s="12" customFormat="1" ht="62.05" x14ac:dyDescent="0.3">
      <c r="A1041" s="3" t="s">
        <v>830</v>
      </c>
      <c r="B1041" s="248"/>
      <c r="C1041" s="248"/>
      <c r="D1041" s="248"/>
      <c r="E1041" s="248"/>
      <c r="F1041" s="248"/>
      <c r="G1041" s="249"/>
      <c r="H1041" s="249"/>
      <c r="I1041" s="247"/>
      <c r="J1041" s="24"/>
      <c r="K1041" s="24"/>
    </row>
    <row r="1042" spans="1:11" s="12" customFormat="1" ht="31.05" x14ac:dyDescent="0.3">
      <c r="A1042" s="3" t="s">
        <v>393</v>
      </c>
      <c r="B1042" s="4" t="s">
        <v>11</v>
      </c>
      <c r="C1042" s="4" t="s">
        <v>16</v>
      </c>
      <c r="D1042" s="4" t="s">
        <v>683</v>
      </c>
      <c r="E1042" s="4" t="s">
        <v>832</v>
      </c>
      <c r="F1042" s="4"/>
      <c r="G1042" s="27">
        <f>G1043</f>
        <v>35000</v>
      </c>
      <c r="H1042" s="56">
        <f>H1043</f>
        <v>35000</v>
      </c>
      <c r="I1042" s="130">
        <f t="shared" si="65"/>
        <v>1</v>
      </c>
      <c r="J1042" s="24"/>
      <c r="K1042" s="24"/>
    </row>
    <row r="1043" spans="1:11" s="12" customFormat="1" ht="62.05" x14ac:dyDescent="0.3">
      <c r="A1043" s="3" t="s">
        <v>394</v>
      </c>
      <c r="B1043" s="4" t="s">
        <v>11</v>
      </c>
      <c r="C1043" s="4" t="s">
        <v>16</v>
      </c>
      <c r="D1043" s="4" t="s">
        <v>683</v>
      </c>
      <c r="E1043" s="4" t="s">
        <v>832</v>
      </c>
      <c r="F1043" s="4" t="s">
        <v>467</v>
      </c>
      <c r="G1043" s="27">
        <f>35000</f>
        <v>35000</v>
      </c>
      <c r="H1043" s="56">
        <f>35000</f>
        <v>35000</v>
      </c>
      <c r="I1043" s="130">
        <f t="shared" si="65"/>
        <v>1</v>
      </c>
      <c r="J1043" s="24"/>
      <c r="K1043" s="24"/>
    </row>
    <row r="1044" spans="1:11" s="12" customFormat="1" ht="46.55" x14ac:dyDescent="0.3">
      <c r="A1044" s="3" t="s">
        <v>793</v>
      </c>
      <c r="B1044" s="4" t="s">
        <v>11</v>
      </c>
      <c r="C1044" s="4" t="s">
        <v>16</v>
      </c>
      <c r="D1044" s="4" t="s">
        <v>683</v>
      </c>
      <c r="E1044" s="4" t="s">
        <v>794</v>
      </c>
      <c r="F1044" s="4"/>
      <c r="G1044" s="27">
        <f>G1045</f>
        <v>1178188.45</v>
      </c>
      <c r="H1044" s="56">
        <f>H1045</f>
        <v>1178188.45</v>
      </c>
      <c r="I1044" s="130">
        <f t="shared" si="65"/>
        <v>1</v>
      </c>
      <c r="J1044" s="24"/>
      <c r="K1044" s="24"/>
    </row>
    <row r="1045" spans="1:11" s="12" customFormat="1" ht="46.55" x14ac:dyDescent="0.3">
      <c r="A1045" s="3" t="s">
        <v>596</v>
      </c>
      <c r="B1045" s="4" t="s">
        <v>11</v>
      </c>
      <c r="C1045" s="4" t="s">
        <v>16</v>
      </c>
      <c r="D1045" s="4" t="s">
        <v>683</v>
      </c>
      <c r="E1045" s="4" t="s">
        <v>795</v>
      </c>
      <c r="F1045" s="4"/>
      <c r="G1045" s="27">
        <f>G1046</f>
        <v>1178188.45</v>
      </c>
      <c r="H1045" s="56">
        <f>H1046</f>
        <v>1178188.45</v>
      </c>
      <c r="I1045" s="130">
        <f t="shared" si="65"/>
        <v>1</v>
      </c>
      <c r="J1045" s="24"/>
      <c r="K1045" s="24"/>
    </row>
    <row r="1046" spans="1:11" s="12" customFormat="1" ht="62.05" x14ac:dyDescent="0.3">
      <c r="A1046" s="3" t="s">
        <v>394</v>
      </c>
      <c r="B1046" s="4" t="s">
        <v>11</v>
      </c>
      <c r="C1046" s="4" t="s">
        <v>16</v>
      </c>
      <c r="D1046" s="4" t="s">
        <v>683</v>
      </c>
      <c r="E1046" s="4" t="s">
        <v>795</v>
      </c>
      <c r="F1046" s="4" t="s">
        <v>467</v>
      </c>
      <c r="G1046" s="27">
        <f>1184109-5920.55</f>
        <v>1178188.45</v>
      </c>
      <c r="H1046" s="56">
        <f>1184109-5920.55</f>
        <v>1178188.45</v>
      </c>
      <c r="I1046" s="130">
        <f t="shared" si="65"/>
        <v>1</v>
      </c>
      <c r="J1046" s="24"/>
      <c r="K1046" s="24"/>
    </row>
    <row r="1047" spans="1:11" s="12" customFormat="1" ht="31.05" x14ac:dyDescent="0.3">
      <c r="A1047" s="3" t="s">
        <v>847</v>
      </c>
      <c r="B1047" s="4" t="s">
        <v>11</v>
      </c>
      <c r="C1047" s="4" t="s">
        <v>16</v>
      </c>
      <c r="D1047" s="4" t="s">
        <v>683</v>
      </c>
      <c r="E1047" s="4" t="s">
        <v>848</v>
      </c>
      <c r="F1047" s="4"/>
      <c r="G1047" s="27">
        <f>G1048</f>
        <v>800000</v>
      </c>
      <c r="H1047" s="56">
        <f>H1048</f>
        <v>800000</v>
      </c>
      <c r="I1047" s="130">
        <f t="shared" si="65"/>
        <v>1</v>
      </c>
      <c r="J1047" s="24"/>
      <c r="K1047" s="24"/>
    </row>
    <row r="1048" spans="1:11" s="12" customFormat="1" ht="108.55" x14ac:dyDescent="0.3">
      <c r="A1048" s="3" t="s">
        <v>868</v>
      </c>
      <c r="B1048" s="4" t="s">
        <v>11</v>
      </c>
      <c r="C1048" s="4" t="s">
        <v>16</v>
      </c>
      <c r="D1048" s="4" t="s">
        <v>683</v>
      </c>
      <c r="E1048" s="4" t="s">
        <v>869</v>
      </c>
      <c r="F1048" s="4"/>
      <c r="G1048" s="27">
        <f>G1049</f>
        <v>800000</v>
      </c>
      <c r="H1048" s="56">
        <f>H1049</f>
        <v>800000</v>
      </c>
      <c r="I1048" s="130">
        <f t="shared" si="65"/>
        <v>1</v>
      </c>
      <c r="J1048" s="24"/>
      <c r="K1048" s="24"/>
    </row>
    <row r="1049" spans="1:11" s="12" customFormat="1" ht="62.05" x14ac:dyDescent="0.3">
      <c r="A1049" s="3" t="s">
        <v>394</v>
      </c>
      <c r="B1049" s="4" t="s">
        <v>11</v>
      </c>
      <c r="C1049" s="4" t="s">
        <v>16</v>
      </c>
      <c r="D1049" s="4" t="s">
        <v>683</v>
      </c>
      <c r="E1049" s="4" t="s">
        <v>869</v>
      </c>
      <c r="F1049" s="4" t="s">
        <v>467</v>
      </c>
      <c r="G1049" s="27">
        <v>800000</v>
      </c>
      <c r="H1049" s="56">
        <v>800000</v>
      </c>
      <c r="I1049" s="145">
        <f t="shared" si="65"/>
        <v>1</v>
      </c>
      <c r="J1049" s="24"/>
      <c r="K1049" s="24"/>
    </row>
    <row r="1050" spans="1:11" s="12" customFormat="1" x14ac:dyDescent="0.3">
      <c r="A1050" s="13" t="s">
        <v>26</v>
      </c>
      <c r="B1050" s="5" t="s">
        <v>11</v>
      </c>
      <c r="C1050" s="5" t="s">
        <v>20</v>
      </c>
      <c r="D1050" s="5"/>
      <c r="E1050" s="5"/>
      <c r="F1050" s="21"/>
      <c r="G1050" s="26">
        <f>G1051</f>
        <v>682272</v>
      </c>
      <c r="H1050" s="137">
        <f>H1051</f>
        <v>503428.35000000003</v>
      </c>
      <c r="I1050" s="129">
        <f t="shared" si="65"/>
        <v>0.73787045342619961</v>
      </c>
      <c r="J1050" s="24"/>
      <c r="K1050" s="24"/>
    </row>
    <row r="1051" spans="1:11" s="12" customFormat="1" ht="31.05" x14ac:dyDescent="0.3">
      <c r="A1051" s="1" t="s">
        <v>579</v>
      </c>
      <c r="B1051" s="2" t="s">
        <v>11</v>
      </c>
      <c r="C1051" s="2" t="s">
        <v>20</v>
      </c>
      <c r="D1051" s="2" t="s">
        <v>19</v>
      </c>
      <c r="E1051" s="2"/>
      <c r="F1051" s="4"/>
      <c r="G1051" s="31">
        <f>G1052</f>
        <v>682272</v>
      </c>
      <c r="H1051" s="57">
        <f>H1052</f>
        <v>503428.35000000003</v>
      </c>
      <c r="I1051" s="129">
        <f t="shared" si="65"/>
        <v>0.73787045342619961</v>
      </c>
      <c r="J1051" s="24"/>
      <c r="K1051" s="24"/>
    </row>
    <row r="1052" spans="1:11" ht="77.55" x14ac:dyDescent="0.3">
      <c r="A1052" s="1" t="s">
        <v>65</v>
      </c>
      <c r="B1052" s="2" t="s">
        <v>11</v>
      </c>
      <c r="C1052" s="2" t="s">
        <v>20</v>
      </c>
      <c r="D1052" s="2" t="s">
        <v>19</v>
      </c>
      <c r="E1052" s="2" t="s">
        <v>532</v>
      </c>
      <c r="F1052" s="2"/>
      <c r="G1052" s="31">
        <f>G1053+G1059</f>
        <v>682272</v>
      </c>
      <c r="H1052" s="57">
        <f>H1053+H1059</f>
        <v>503428.35000000003</v>
      </c>
      <c r="I1052" s="129">
        <f t="shared" si="65"/>
        <v>0.73787045342619961</v>
      </c>
    </row>
    <row r="1053" spans="1:11" s="12" customFormat="1" ht="62.05" x14ac:dyDescent="0.3">
      <c r="A1053" s="3" t="s">
        <v>106</v>
      </c>
      <c r="B1053" s="4" t="s">
        <v>11</v>
      </c>
      <c r="C1053" s="4" t="s">
        <v>20</v>
      </c>
      <c r="D1053" s="4" t="s">
        <v>19</v>
      </c>
      <c r="E1053" s="4" t="s">
        <v>533</v>
      </c>
      <c r="F1053" s="4"/>
      <c r="G1053" s="27">
        <f>G1055+G1057</f>
        <v>497854</v>
      </c>
      <c r="H1053" s="56">
        <f>H1055+H1057</f>
        <v>370767.28</v>
      </c>
      <c r="I1053" s="130">
        <f t="shared" si="65"/>
        <v>0.74473094521687089</v>
      </c>
      <c r="J1053" s="24"/>
      <c r="K1053" s="24"/>
    </row>
    <row r="1054" spans="1:11" s="12" customFormat="1" ht="31.05" x14ac:dyDescent="0.3">
      <c r="A1054" s="3" t="s">
        <v>310</v>
      </c>
      <c r="B1054" s="4" t="s">
        <v>11</v>
      </c>
      <c r="C1054" s="4" t="s">
        <v>20</v>
      </c>
      <c r="D1054" s="4" t="s">
        <v>19</v>
      </c>
      <c r="E1054" s="4" t="s">
        <v>311</v>
      </c>
      <c r="F1054" s="4"/>
      <c r="G1054" s="27">
        <f>G1055+G1057</f>
        <v>497854</v>
      </c>
      <c r="H1054" s="56">
        <f>H1055+H1057</f>
        <v>370767.28</v>
      </c>
      <c r="I1054" s="130">
        <f t="shared" si="65"/>
        <v>0.74473094521687089</v>
      </c>
      <c r="J1054" s="24"/>
      <c r="K1054" s="24"/>
    </row>
    <row r="1055" spans="1:11" s="12" customFormat="1" ht="124.1" x14ac:dyDescent="0.3">
      <c r="A1055" s="3" t="s">
        <v>274</v>
      </c>
      <c r="B1055" s="4" t="s">
        <v>11</v>
      </c>
      <c r="C1055" s="4" t="s">
        <v>20</v>
      </c>
      <c r="D1055" s="4" t="s">
        <v>19</v>
      </c>
      <c r="E1055" s="4" t="s">
        <v>348</v>
      </c>
      <c r="F1055" s="4"/>
      <c r="G1055" s="27">
        <f>G1056</f>
        <v>6654</v>
      </c>
      <c r="H1055" s="56">
        <f>H1056</f>
        <v>6654</v>
      </c>
      <c r="I1055" s="130">
        <f t="shared" si="65"/>
        <v>1</v>
      </c>
      <c r="J1055" s="24"/>
      <c r="K1055" s="24"/>
    </row>
    <row r="1056" spans="1:11" s="12" customFormat="1" ht="62.05" x14ac:dyDescent="0.3">
      <c r="A1056" s="3" t="s">
        <v>394</v>
      </c>
      <c r="B1056" s="4" t="s">
        <v>11</v>
      </c>
      <c r="C1056" s="4" t="s">
        <v>20</v>
      </c>
      <c r="D1056" s="4" t="s">
        <v>19</v>
      </c>
      <c r="E1056" s="4" t="s">
        <v>348</v>
      </c>
      <c r="F1056" s="4" t="s">
        <v>467</v>
      </c>
      <c r="G1056" s="27">
        <f>3327+3327</f>
        <v>6654</v>
      </c>
      <c r="H1056" s="56">
        <f>3327+3327</f>
        <v>6654</v>
      </c>
      <c r="I1056" s="130">
        <f t="shared" si="65"/>
        <v>1</v>
      </c>
      <c r="J1056" s="24"/>
      <c r="K1056" s="24"/>
    </row>
    <row r="1057" spans="1:11" s="12" customFormat="1" ht="124.1" x14ac:dyDescent="0.3">
      <c r="A1057" s="3" t="s">
        <v>379</v>
      </c>
      <c r="B1057" s="4" t="s">
        <v>11</v>
      </c>
      <c r="C1057" s="4" t="s">
        <v>20</v>
      </c>
      <c r="D1057" s="4" t="s">
        <v>19</v>
      </c>
      <c r="E1057" s="4" t="s">
        <v>349</v>
      </c>
      <c r="F1057" s="4"/>
      <c r="G1057" s="27">
        <f>G1058</f>
        <v>491200</v>
      </c>
      <c r="H1057" s="56">
        <f>H1058</f>
        <v>364113.28</v>
      </c>
      <c r="I1057" s="130">
        <f t="shared" si="65"/>
        <v>0.74127296416938115</v>
      </c>
      <c r="J1057" s="24"/>
      <c r="K1057" s="24"/>
    </row>
    <row r="1058" spans="1:11" s="12" customFormat="1" ht="62.05" x14ac:dyDescent="0.3">
      <c r="A1058" s="3" t="s">
        <v>394</v>
      </c>
      <c r="B1058" s="4" t="s">
        <v>11</v>
      </c>
      <c r="C1058" s="4" t="s">
        <v>20</v>
      </c>
      <c r="D1058" s="4" t="s">
        <v>19</v>
      </c>
      <c r="E1058" s="4" t="s">
        <v>349</v>
      </c>
      <c r="F1058" s="4" t="s">
        <v>467</v>
      </c>
      <c r="G1058" s="27">
        <f>300000+191200</f>
        <v>491200</v>
      </c>
      <c r="H1058" s="56">
        <v>364113.28</v>
      </c>
      <c r="I1058" s="130">
        <f t="shared" si="65"/>
        <v>0.74127296416938115</v>
      </c>
      <c r="J1058" s="24"/>
      <c r="K1058" s="24"/>
    </row>
    <row r="1059" spans="1:11" s="12" customFormat="1" ht="31.05" x14ac:dyDescent="0.3">
      <c r="A1059" s="3" t="s">
        <v>3</v>
      </c>
      <c r="B1059" s="4" t="s">
        <v>11</v>
      </c>
      <c r="C1059" s="4" t="s">
        <v>20</v>
      </c>
      <c r="D1059" s="4" t="s">
        <v>19</v>
      </c>
      <c r="E1059" s="4" t="s">
        <v>319</v>
      </c>
      <c r="F1059" s="4"/>
      <c r="G1059" s="27">
        <f>G1061+G1063</f>
        <v>184418</v>
      </c>
      <c r="H1059" s="56">
        <f>H1061+H1063</f>
        <v>132661.07</v>
      </c>
      <c r="I1059" s="130">
        <f t="shared" si="65"/>
        <v>0.71934990076890548</v>
      </c>
      <c r="J1059" s="24"/>
      <c r="K1059" s="24"/>
    </row>
    <row r="1060" spans="1:11" s="12" customFormat="1" ht="62.05" x14ac:dyDescent="0.3">
      <c r="A1060" s="3" t="s">
        <v>320</v>
      </c>
      <c r="B1060" s="4" t="s">
        <v>11</v>
      </c>
      <c r="C1060" s="4" t="s">
        <v>20</v>
      </c>
      <c r="D1060" s="4" t="s">
        <v>19</v>
      </c>
      <c r="E1060" s="4" t="s">
        <v>321</v>
      </c>
      <c r="F1060" s="4"/>
      <c r="G1060" s="27">
        <f>G1061+G1063</f>
        <v>184418</v>
      </c>
      <c r="H1060" s="56">
        <f>H1061+H1063</f>
        <v>132661.07</v>
      </c>
      <c r="I1060" s="130">
        <f t="shared" si="65"/>
        <v>0.71934990076890548</v>
      </c>
      <c r="J1060" s="24"/>
      <c r="K1060" s="24"/>
    </row>
    <row r="1061" spans="1:11" s="12" customFormat="1" ht="124.1" x14ac:dyDescent="0.3">
      <c r="A1061" s="3" t="s">
        <v>274</v>
      </c>
      <c r="B1061" s="4" t="s">
        <v>11</v>
      </c>
      <c r="C1061" s="4" t="s">
        <v>20</v>
      </c>
      <c r="D1061" s="4" t="s">
        <v>19</v>
      </c>
      <c r="E1061" s="4" t="s">
        <v>350</v>
      </c>
      <c r="F1061" s="4"/>
      <c r="G1061" s="27">
        <f>G1062</f>
        <v>2680</v>
      </c>
      <c r="H1061" s="56">
        <f>H1062</f>
        <v>2680</v>
      </c>
      <c r="I1061" s="130">
        <f t="shared" si="65"/>
        <v>1</v>
      </c>
      <c r="J1061" s="24"/>
      <c r="K1061" s="24"/>
    </row>
    <row r="1062" spans="1:11" s="12" customFormat="1" ht="80.45" customHeight="1" x14ac:dyDescent="0.3">
      <c r="A1062" s="3" t="s">
        <v>394</v>
      </c>
      <c r="B1062" s="121" t="s">
        <v>11</v>
      </c>
      <c r="C1062" s="121" t="s">
        <v>20</v>
      </c>
      <c r="D1062" s="121" t="s">
        <v>19</v>
      </c>
      <c r="E1062" s="121" t="s">
        <v>350</v>
      </c>
      <c r="F1062" s="121" t="s">
        <v>467</v>
      </c>
      <c r="G1062" s="27">
        <f>1340+1340</f>
        <v>2680</v>
      </c>
      <c r="H1062" s="56">
        <f>1340+1340</f>
        <v>2680</v>
      </c>
      <c r="I1062" s="130">
        <f t="shared" si="65"/>
        <v>1</v>
      </c>
      <c r="J1062" s="24"/>
      <c r="K1062" s="24"/>
    </row>
    <row r="1063" spans="1:11" s="12" customFormat="1" ht="133.5" customHeight="1" x14ac:dyDescent="0.3">
      <c r="A1063" s="3" t="s">
        <v>379</v>
      </c>
      <c r="B1063" s="121" t="s">
        <v>11</v>
      </c>
      <c r="C1063" s="121" t="s">
        <v>20</v>
      </c>
      <c r="D1063" s="121" t="s">
        <v>19</v>
      </c>
      <c r="E1063" s="121" t="s">
        <v>351</v>
      </c>
      <c r="F1063" s="121"/>
      <c r="G1063" s="27">
        <f>G1064</f>
        <v>181738</v>
      </c>
      <c r="H1063" s="56">
        <f>H1064</f>
        <v>129981.07</v>
      </c>
      <c r="I1063" s="130">
        <f t="shared" si="65"/>
        <v>0.71521129318029253</v>
      </c>
      <c r="J1063" s="24"/>
      <c r="K1063" s="24"/>
    </row>
    <row r="1064" spans="1:11" s="12" customFormat="1" ht="87.8" customHeight="1" x14ac:dyDescent="0.3">
      <c r="A1064" s="3" t="s">
        <v>394</v>
      </c>
      <c r="B1064" s="121" t="s">
        <v>11</v>
      </c>
      <c r="C1064" s="121" t="s">
        <v>20</v>
      </c>
      <c r="D1064" s="121" t="s">
        <v>19</v>
      </c>
      <c r="E1064" s="121" t="s">
        <v>351</v>
      </c>
      <c r="F1064" s="121" t="s">
        <v>467</v>
      </c>
      <c r="G1064" s="27">
        <f>181738</f>
        <v>181738</v>
      </c>
      <c r="H1064" s="56">
        <v>129981.07</v>
      </c>
      <c r="I1064" s="145">
        <f t="shared" si="65"/>
        <v>0.71521129318029253</v>
      </c>
      <c r="J1064" s="24"/>
      <c r="K1064" s="24"/>
    </row>
    <row r="1065" spans="1:11" s="12" customFormat="1" ht="27.7" customHeight="1" x14ac:dyDescent="0.3">
      <c r="A1065" s="37" t="s">
        <v>100</v>
      </c>
      <c r="B1065" s="5" t="s">
        <v>11</v>
      </c>
      <c r="C1065" s="5" t="s">
        <v>102</v>
      </c>
      <c r="D1065" s="5" t="s">
        <v>583</v>
      </c>
      <c r="E1065" s="11"/>
      <c r="F1065" s="11"/>
      <c r="G1065" s="30">
        <f t="shared" ref="G1065:H1067" si="66">G1066</f>
        <v>1400050</v>
      </c>
      <c r="H1065" s="141">
        <f t="shared" si="66"/>
        <v>1344341.7</v>
      </c>
      <c r="I1065" s="129">
        <f t="shared" si="65"/>
        <v>0.96020977822220632</v>
      </c>
      <c r="J1065" s="24"/>
      <c r="K1065" s="24"/>
    </row>
    <row r="1066" spans="1:11" s="12" customFormat="1" ht="17.2" x14ac:dyDescent="0.3">
      <c r="A1066" s="46" t="s">
        <v>454</v>
      </c>
      <c r="B1066" s="2" t="s">
        <v>11</v>
      </c>
      <c r="C1066" s="2" t="s">
        <v>102</v>
      </c>
      <c r="D1066" s="2" t="s">
        <v>683</v>
      </c>
      <c r="E1066" s="9"/>
      <c r="F1066" s="9"/>
      <c r="G1066" s="31">
        <f t="shared" si="66"/>
        <v>1400050</v>
      </c>
      <c r="H1066" s="57">
        <f t="shared" si="66"/>
        <v>1344341.7</v>
      </c>
      <c r="I1066" s="129">
        <f t="shared" si="65"/>
        <v>0.96020977822220632</v>
      </c>
      <c r="J1066" s="24"/>
      <c r="K1066" s="24"/>
    </row>
    <row r="1067" spans="1:11" ht="77.55" x14ac:dyDescent="0.3">
      <c r="A1067" s="46" t="s">
        <v>64</v>
      </c>
      <c r="B1067" s="2" t="s">
        <v>11</v>
      </c>
      <c r="C1067" s="2" t="s">
        <v>102</v>
      </c>
      <c r="D1067" s="2" t="s">
        <v>683</v>
      </c>
      <c r="E1067" s="2" t="s">
        <v>567</v>
      </c>
      <c r="F1067" s="9"/>
      <c r="G1067" s="31">
        <f t="shared" si="66"/>
        <v>1400050</v>
      </c>
      <c r="H1067" s="57">
        <f t="shared" si="66"/>
        <v>1344341.7</v>
      </c>
      <c r="I1067" s="129">
        <f t="shared" si="65"/>
        <v>0.96020977822220632</v>
      </c>
    </row>
    <row r="1068" spans="1:11" s="12" customFormat="1" ht="31.05" x14ac:dyDescent="0.3">
      <c r="A1068" s="25" t="s">
        <v>397</v>
      </c>
      <c r="B1068" s="4" t="s">
        <v>11</v>
      </c>
      <c r="C1068" s="4" t="s">
        <v>102</v>
      </c>
      <c r="D1068" s="4" t="s">
        <v>683</v>
      </c>
      <c r="E1068" s="4" t="s">
        <v>352</v>
      </c>
      <c r="F1068" s="36"/>
      <c r="G1068" s="27">
        <f>G1069+G1073</f>
        <v>1400050</v>
      </c>
      <c r="H1068" s="56">
        <f>H1069+H1073</f>
        <v>1344341.7</v>
      </c>
      <c r="I1068" s="130">
        <f t="shared" si="65"/>
        <v>0.96020977822220632</v>
      </c>
      <c r="J1068" s="24"/>
      <c r="K1068" s="24"/>
    </row>
    <row r="1069" spans="1:11" s="12" customFormat="1" ht="62.05" x14ac:dyDescent="0.3">
      <c r="A1069" s="25" t="s">
        <v>353</v>
      </c>
      <c r="B1069" s="4" t="s">
        <v>11</v>
      </c>
      <c r="C1069" s="4" t="s">
        <v>102</v>
      </c>
      <c r="D1069" s="4" t="s">
        <v>683</v>
      </c>
      <c r="E1069" s="4" t="s">
        <v>354</v>
      </c>
      <c r="F1069" s="36"/>
      <c r="G1069" s="27">
        <f>G1070</f>
        <v>739418.3</v>
      </c>
      <c r="H1069" s="56">
        <f>H1070</f>
        <v>723550</v>
      </c>
      <c r="I1069" s="130">
        <f t="shared" si="65"/>
        <v>0.97853948164388138</v>
      </c>
      <c r="J1069" s="24"/>
      <c r="K1069" s="24"/>
    </row>
    <row r="1070" spans="1:11" s="12" customFormat="1" ht="31.05" x14ac:dyDescent="0.3">
      <c r="A1070" s="25" t="s">
        <v>393</v>
      </c>
      <c r="B1070" s="4" t="s">
        <v>11</v>
      </c>
      <c r="C1070" s="4" t="s">
        <v>102</v>
      </c>
      <c r="D1070" s="4" t="s">
        <v>683</v>
      </c>
      <c r="E1070" s="4" t="s">
        <v>355</v>
      </c>
      <c r="F1070" s="36"/>
      <c r="G1070" s="27">
        <f>G1072+G1071</f>
        <v>739418.3</v>
      </c>
      <c r="H1070" s="56">
        <f>H1072+H1071</f>
        <v>723550</v>
      </c>
      <c r="I1070" s="130">
        <f t="shared" si="65"/>
        <v>0.97853948164388138</v>
      </c>
      <c r="J1070" s="24"/>
      <c r="K1070" s="24"/>
    </row>
    <row r="1071" spans="1:11" s="12" customFormat="1" ht="108.55" x14ac:dyDescent="0.3">
      <c r="A1071" s="25" t="s">
        <v>50</v>
      </c>
      <c r="B1071" s="4" t="s">
        <v>11</v>
      </c>
      <c r="C1071" s="4" t="s">
        <v>102</v>
      </c>
      <c r="D1071" s="4" t="s">
        <v>683</v>
      </c>
      <c r="E1071" s="4" t="s">
        <v>355</v>
      </c>
      <c r="F1071" s="36" t="s">
        <v>462</v>
      </c>
      <c r="G1071" s="27">
        <f>470000-107503.6-8691.3-24275.1</f>
        <v>329530.00000000006</v>
      </c>
      <c r="H1071" s="56">
        <v>317340</v>
      </c>
      <c r="I1071" s="130">
        <f t="shared" si="65"/>
        <v>0.9630079203714379</v>
      </c>
      <c r="J1071" s="24"/>
      <c r="K1071" s="24"/>
    </row>
    <row r="1072" spans="1:11" s="12" customFormat="1" ht="46.55" x14ac:dyDescent="0.3">
      <c r="A1072" s="3" t="s">
        <v>543</v>
      </c>
      <c r="B1072" s="4" t="s">
        <v>11</v>
      </c>
      <c r="C1072" s="4" t="s">
        <v>102</v>
      </c>
      <c r="D1072" s="4" t="s">
        <v>683</v>
      </c>
      <c r="E1072" s="4" t="s">
        <v>355</v>
      </c>
      <c r="F1072" s="4" t="s">
        <v>463</v>
      </c>
      <c r="G1072" s="27">
        <f>871197-470000+8691.3</f>
        <v>409888.3</v>
      </c>
      <c r="H1072" s="56">
        <v>406210</v>
      </c>
      <c r="I1072" s="130">
        <f t="shared" si="65"/>
        <v>0.99102609174255529</v>
      </c>
      <c r="J1072" s="24"/>
      <c r="K1072" s="24"/>
    </row>
    <row r="1073" spans="1:11" s="12" customFormat="1" ht="93.05" x14ac:dyDescent="0.3">
      <c r="A1073" s="3" t="s">
        <v>378</v>
      </c>
      <c r="B1073" s="4" t="s">
        <v>11</v>
      </c>
      <c r="C1073" s="4" t="s">
        <v>102</v>
      </c>
      <c r="D1073" s="4" t="s">
        <v>683</v>
      </c>
      <c r="E1073" s="4" t="s">
        <v>356</v>
      </c>
      <c r="F1073" s="4"/>
      <c r="G1073" s="27">
        <f>G1074</f>
        <v>660631.69999999995</v>
      </c>
      <c r="H1073" s="56">
        <f>H1074</f>
        <v>620791.69999999995</v>
      </c>
      <c r="I1073" s="130">
        <f t="shared" si="65"/>
        <v>0.93969408370806307</v>
      </c>
      <c r="J1073" s="24"/>
      <c r="K1073" s="24"/>
    </row>
    <row r="1074" spans="1:11" s="12" customFormat="1" ht="31.05" x14ac:dyDescent="0.3">
      <c r="A1074" s="25" t="s">
        <v>393</v>
      </c>
      <c r="B1074" s="4" t="s">
        <v>11</v>
      </c>
      <c r="C1074" s="4" t="s">
        <v>102</v>
      </c>
      <c r="D1074" s="4" t="s">
        <v>683</v>
      </c>
      <c r="E1074" s="4" t="s">
        <v>357</v>
      </c>
      <c r="F1074" s="36"/>
      <c r="G1074" s="27">
        <f>G1076+G1075</f>
        <v>660631.69999999995</v>
      </c>
      <c r="H1074" s="56">
        <f>H1076+H1075</f>
        <v>620791.69999999995</v>
      </c>
      <c r="I1074" s="130">
        <f t="shared" si="65"/>
        <v>0.93969408370806307</v>
      </c>
      <c r="J1074" s="24"/>
      <c r="K1074" s="24"/>
    </row>
    <row r="1075" spans="1:11" s="12" customFormat="1" ht="108.55" x14ac:dyDescent="0.3">
      <c r="A1075" s="25" t="s">
        <v>50</v>
      </c>
      <c r="B1075" s="4" t="s">
        <v>11</v>
      </c>
      <c r="C1075" s="4" t="s">
        <v>102</v>
      </c>
      <c r="D1075" s="4" t="s">
        <v>683</v>
      </c>
      <c r="E1075" s="4" t="s">
        <v>357</v>
      </c>
      <c r="F1075" s="36" t="s">
        <v>462</v>
      </c>
      <c r="G1075" s="27">
        <f>200000+107503.6+48604.9+24275.1</f>
        <v>380383.6</v>
      </c>
      <c r="H1075" s="56">
        <v>340543.6</v>
      </c>
      <c r="I1075" s="130">
        <f t="shared" si="65"/>
        <v>0.89526362335284693</v>
      </c>
      <c r="J1075" s="24"/>
      <c r="K1075" s="24"/>
    </row>
    <row r="1076" spans="1:11" s="12" customFormat="1" ht="46.55" x14ac:dyDescent="0.3">
      <c r="A1076" s="6" t="s">
        <v>543</v>
      </c>
      <c r="B1076" s="7" t="s">
        <v>11</v>
      </c>
      <c r="C1076" s="7" t="s">
        <v>102</v>
      </c>
      <c r="D1076" s="7" t="s">
        <v>683</v>
      </c>
      <c r="E1076" s="7" t="s">
        <v>357</v>
      </c>
      <c r="F1076" s="7" t="s">
        <v>463</v>
      </c>
      <c r="G1076" s="29">
        <f>528853-200000-48604.9</f>
        <v>280248.09999999998</v>
      </c>
      <c r="H1076" s="134">
        <f>528853-200000-48604.9</f>
        <v>280248.09999999998</v>
      </c>
      <c r="I1076" s="145">
        <f t="shared" si="65"/>
        <v>1</v>
      </c>
      <c r="J1076" s="24"/>
      <c r="K1076" s="24"/>
    </row>
    <row r="1077" spans="1:11" s="12" customFormat="1" ht="37.700000000000003" x14ac:dyDescent="0.3">
      <c r="A1077" s="32" t="s">
        <v>105</v>
      </c>
      <c r="B1077" s="22" t="s">
        <v>76</v>
      </c>
      <c r="C1077" s="22"/>
      <c r="D1077" s="22"/>
      <c r="E1077" s="21"/>
      <c r="F1077" s="22"/>
      <c r="G1077" s="26">
        <f>G1078+G1099</f>
        <v>3720301.5</v>
      </c>
      <c r="H1077" s="137">
        <f>H1078+H1099</f>
        <v>3641968.98</v>
      </c>
      <c r="I1077" s="129">
        <f t="shared" si="65"/>
        <v>0.97894457747577712</v>
      </c>
      <c r="J1077" s="24"/>
      <c r="K1077" s="24"/>
    </row>
    <row r="1078" spans="1:11" s="12" customFormat="1" x14ac:dyDescent="0.3">
      <c r="A1078" s="1" t="s">
        <v>31</v>
      </c>
      <c r="B1078" s="2" t="s">
        <v>76</v>
      </c>
      <c r="C1078" s="2" t="s">
        <v>683</v>
      </c>
      <c r="D1078" s="2" t="s">
        <v>583</v>
      </c>
      <c r="E1078" s="4"/>
      <c r="F1078" s="2"/>
      <c r="G1078" s="31">
        <f>G1079+G1089</f>
        <v>3546194.48</v>
      </c>
      <c r="H1078" s="57">
        <f>H1079+H1089</f>
        <v>3486521.98</v>
      </c>
      <c r="I1078" s="129">
        <f t="shared" si="65"/>
        <v>0.98317280669840756</v>
      </c>
      <c r="J1078" s="24"/>
      <c r="K1078" s="24"/>
    </row>
    <row r="1079" spans="1:11" s="12" customFormat="1" ht="77.55" x14ac:dyDescent="0.3">
      <c r="A1079" s="1" t="s">
        <v>77</v>
      </c>
      <c r="B1079" s="2" t="s">
        <v>76</v>
      </c>
      <c r="C1079" s="2" t="s">
        <v>683</v>
      </c>
      <c r="D1079" s="2" t="s">
        <v>13</v>
      </c>
      <c r="E1079" s="4"/>
      <c r="F1079" s="2"/>
      <c r="G1079" s="31">
        <f>SUM(G1080)</f>
        <v>3433784.48</v>
      </c>
      <c r="H1079" s="57">
        <f>SUM(H1080)</f>
        <v>3387845.98</v>
      </c>
      <c r="I1079" s="129">
        <f t="shared" si="65"/>
        <v>0.9866216123150513</v>
      </c>
      <c r="J1079" s="24"/>
      <c r="K1079" s="24"/>
    </row>
    <row r="1080" spans="1:11" x14ac:dyDescent="0.3">
      <c r="A1080" s="46" t="s">
        <v>49</v>
      </c>
      <c r="B1080" s="2" t="s">
        <v>76</v>
      </c>
      <c r="C1080" s="2" t="s">
        <v>683</v>
      </c>
      <c r="D1080" s="2" t="s">
        <v>13</v>
      </c>
      <c r="E1080" s="2" t="s">
        <v>575</v>
      </c>
      <c r="F1080" s="2"/>
      <c r="G1080" s="31">
        <f>G1081+G1084+G1087</f>
        <v>3433784.48</v>
      </c>
      <c r="H1080" s="57">
        <f>H1081+H1084+H1087</f>
        <v>3387845.98</v>
      </c>
      <c r="I1080" s="129">
        <f t="shared" si="65"/>
        <v>0.9866216123150513</v>
      </c>
    </row>
    <row r="1081" spans="1:11" s="12" customFormat="1" ht="62.05" x14ac:dyDescent="0.3">
      <c r="A1081" s="25" t="s">
        <v>453</v>
      </c>
      <c r="B1081" s="4" t="s">
        <v>76</v>
      </c>
      <c r="C1081" s="4" t="s">
        <v>683</v>
      </c>
      <c r="D1081" s="4" t="s">
        <v>13</v>
      </c>
      <c r="E1081" s="4" t="s">
        <v>588</v>
      </c>
      <c r="F1081" s="4"/>
      <c r="G1081" s="27">
        <f>G1082+G1083</f>
        <v>1328644.3600000001</v>
      </c>
      <c r="H1081" s="56">
        <f>H1082+H1083</f>
        <v>1328644.27</v>
      </c>
      <c r="I1081" s="130">
        <f t="shared" si="65"/>
        <v>0.99999993226178296</v>
      </c>
      <c r="J1081" s="24"/>
      <c r="K1081" s="24"/>
    </row>
    <row r="1082" spans="1:11" s="12" customFormat="1" ht="108.55" x14ac:dyDescent="0.3">
      <c r="A1082" s="25" t="s">
        <v>389</v>
      </c>
      <c r="B1082" s="4" t="s">
        <v>76</v>
      </c>
      <c r="C1082" s="4" t="s">
        <v>683</v>
      </c>
      <c r="D1082" s="4" t="s">
        <v>13</v>
      </c>
      <c r="E1082" s="4" t="s">
        <v>588</v>
      </c>
      <c r="F1082" s="4" t="s">
        <v>462</v>
      </c>
      <c r="G1082" s="27">
        <f>1213568+56705.59+18368+37789</f>
        <v>1326430.5900000001</v>
      </c>
      <c r="H1082" s="56">
        <v>1326430.5</v>
      </c>
      <c r="I1082" s="130">
        <f t="shared" si="65"/>
        <v>0.99999993214873006</v>
      </c>
      <c r="J1082" s="24"/>
      <c r="K1082" s="24"/>
    </row>
    <row r="1083" spans="1:11" s="12" customFormat="1" x14ac:dyDescent="0.3">
      <c r="A1083" s="3" t="s">
        <v>732</v>
      </c>
      <c r="B1083" s="122" t="s">
        <v>76</v>
      </c>
      <c r="C1083" s="122" t="s">
        <v>683</v>
      </c>
      <c r="D1083" s="122" t="s">
        <v>13</v>
      </c>
      <c r="E1083" s="122" t="s">
        <v>588</v>
      </c>
      <c r="F1083" s="122" t="s">
        <v>466</v>
      </c>
      <c r="G1083" s="27">
        <f>2213.77</f>
        <v>2213.77</v>
      </c>
      <c r="H1083" s="56">
        <f>2213.77</f>
        <v>2213.77</v>
      </c>
      <c r="I1083" s="130">
        <f t="shared" si="65"/>
        <v>1</v>
      </c>
      <c r="J1083" s="24"/>
      <c r="K1083" s="24"/>
    </row>
    <row r="1084" spans="1:11" s="12" customFormat="1" ht="61.5" customHeight="1" x14ac:dyDescent="0.3">
      <c r="A1084" s="25" t="s">
        <v>450</v>
      </c>
      <c r="B1084" s="4" t="s">
        <v>76</v>
      </c>
      <c r="C1084" s="4" t="s">
        <v>683</v>
      </c>
      <c r="D1084" s="4" t="s">
        <v>13</v>
      </c>
      <c r="E1084" s="4" t="s">
        <v>546</v>
      </c>
      <c r="F1084" s="4"/>
      <c r="G1084" s="27">
        <f>G1085+G1086</f>
        <v>2070060.3699999999</v>
      </c>
      <c r="H1084" s="56">
        <f>H1085+H1086</f>
        <v>2059064.82</v>
      </c>
      <c r="I1084" s="130">
        <f t="shared" si="65"/>
        <v>0.99468829500851719</v>
      </c>
      <c r="J1084" s="24"/>
      <c r="K1084" s="24"/>
    </row>
    <row r="1085" spans="1:11" s="12" customFormat="1" ht="145.55000000000001" customHeight="1" x14ac:dyDescent="0.3">
      <c r="A1085" s="25" t="s">
        <v>389</v>
      </c>
      <c r="B1085" s="4" t="s">
        <v>76</v>
      </c>
      <c r="C1085" s="4" t="s">
        <v>683</v>
      </c>
      <c r="D1085" s="4" t="s">
        <v>13</v>
      </c>
      <c r="E1085" s="4" t="s">
        <v>546</v>
      </c>
      <c r="F1085" s="4" t="s">
        <v>462</v>
      </c>
      <c r="G1085" s="27">
        <f>1931263+3421.66+133753</f>
        <v>2068437.66</v>
      </c>
      <c r="H1085" s="56">
        <v>2057442.11</v>
      </c>
      <c r="I1085" s="130">
        <f t="shared" si="65"/>
        <v>0.99468412792290783</v>
      </c>
      <c r="J1085" s="24"/>
      <c r="K1085" s="24"/>
    </row>
    <row r="1086" spans="1:11" s="12" customFormat="1" ht="29.25" customHeight="1" x14ac:dyDescent="0.3">
      <c r="A1086" s="3" t="s">
        <v>732</v>
      </c>
      <c r="B1086" s="122" t="s">
        <v>76</v>
      </c>
      <c r="C1086" s="122" t="s">
        <v>683</v>
      </c>
      <c r="D1086" s="122" t="s">
        <v>13</v>
      </c>
      <c r="E1086" s="122" t="s">
        <v>546</v>
      </c>
      <c r="F1086" s="122" t="s">
        <v>466</v>
      </c>
      <c r="G1086" s="27">
        <f>1622.71</f>
        <v>1622.71</v>
      </c>
      <c r="H1086" s="56">
        <f>1622.71</f>
        <v>1622.71</v>
      </c>
      <c r="I1086" s="130">
        <f t="shared" si="65"/>
        <v>1</v>
      </c>
      <c r="J1086" s="24"/>
      <c r="K1086" s="24"/>
    </row>
    <row r="1087" spans="1:11" s="12" customFormat="1" ht="93.05" x14ac:dyDescent="0.3">
      <c r="A1087" s="3" t="s">
        <v>448</v>
      </c>
      <c r="B1087" s="4" t="s">
        <v>76</v>
      </c>
      <c r="C1087" s="4" t="s">
        <v>683</v>
      </c>
      <c r="D1087" s="4" t="s">
        <v>13</v>
      </c>
      <c r="E1087" s="4" t="s">
        <v>544</v>
      </c>
      <c r="F1087" s="4"/>
      <c r="G1087" s="27">
        <f>SUM(G1088)</f>
        <v>35079.75</v>
      </c>
      <c r="H1087" s="56">
        <f>SUM(H1088)</f>
        <v>136.88999999999999</v>
      </c>
      <c r="I1087" s="130">
        <f t="shared" si="65"/>
        <v>3.9022512988262457E-3</v>
      </c>
      <c r="J1087" s="24"/>
      <c r="K1087" s="24"/>
    </row>
    <row r="1088" spans="1:11" s="12" customFormat="1" ht="108.55" x14ac:dyDescent="0.3">
      <c r="A1088" s="3" t="s">
        <v>389</v>
      </c>
      <c r="B1088" s="4" t="s">
        <v>76</v>
      </c>
      <c r="C1088" s="4" t="s">
        <v>683</v>
      </c>
      <c r="D1088" s="4" t="s">
        <v>13</v>
      </c>
      <c r="E1088" s="4" t="s">
        <v>544</v>
      </c>
      <c r="F1088" s="4" t="s">
        <v>462</v>
      </c>
      <c r="G1088" s="27">
        <f>111321-60127.25-16114</f>
        <v>35079.75</v>
      </c>
      <c r="H1088" s="56">
        <v>136.88999999999999</v>
      </c>
      <c r="I1088" s="130">
        <f t="shared" si="65"/>
        <v>3.9022512988262457E-3</v>
      </c>
      <c r="J1088" s="24"/>
      <c r="K1088" s="24"/>
    </row>
    <row r="1089" spans="1:11" s="12" customFormat="1" ht="31.05" x14ac:dyDescent="0.3">
      <c r="A1089" s="115" t="s">
        <v>582</v>
      </c>
      <c r="B1089" s="116" t="s">
        <v>76</v>
      </c>
      <c r="C1089" s="116" t="s">
        <v>683</v>
      </c>
      <c r="D1089" s="116" t="s">
        <v>460</v>
      </c>
      <c r="E1089" s="116"/>
      <c r="F1089" s="116"/>
      <c r="G1089" s="119">
        <f>SUM(G1090)</f>
        <v>112410</v>
      </c>
      <c r="H1089" s="142">
        <f>SUM(H1090)</f>
        <v>98676</v>
      </c>
      <c r="I1089" s="157">
        <f t="shared" si="65"/>
        <v>0.87782225780624501</v>
      </c>
      <c r="J1089" s="24"/>
      <c r="K1089" s="24"/>
    </row>
    <row r="1090" spans="1:11" ht="62.05" x14ac:dyDescent="0.3">
      <c r="A1090" s="37" t="s">
        <v>62</v>
      </c>
      <c r="B1090" s="5" t="s">
        <v>76</v>
      </c>
      <c r="C1090" s="5" t="s">
        <v>683</v>
      </c>
      <c r="D1090" s="5" t="s">
        <v>460</v>
      </c>
      <c r="E1090" s="5" t="s">
        <v>547</v>
      </c>
      <c r="F1090" s="5"/>
      <c r="G1090" s="26">
        <f>SUM(G1091)</f>
        <v>112410</v>
      </c>
      <c r="H1090" s="137">
        <f>SUM(H1091)</f>
        <v>98676</v>
      </c>
      <c r="I1090" s="129">
        <f t="shared" si="65"/>
        <v>0.87782225780624501</v>
      </c>
    </row>
    <row r="1091" spans="1:11" s="12" customFormat="1" ht="46.55" x14ac:dyDescent="0.3">
      <c r="A1091" s="3" t="s">
        <v>91</v>
      </c>
      <c r="B1091" s="4" t="s">
        <v>76</v>
      </c>
      <c r="C1091" s="4" t="s">
        <v>683</v>
      </c>
      <c r="D1091" s="4" t="s">
        <v>460</v>
      </c>
      <c r="E1091" s="4" t="s">
        <v>550</v>
      </c>
      <c r="F1091" s="4"/>
      <c r="G1091" s="27">
        <f>G1092+G1096</f>
        <v>112410</v>
      </c>
      <c r="H1091" s="56">
        <f>H1092+H1096</f>
        <v>98676</v>
      </c>
      <c r="I1091" s="130">
        <f t="shared" si="65"/>
        <v>0.87782225780624501</v>
      </c>
      <c r="J1091" s="24"/>
      <c r="K1091" s="24"/>
    </row>
    <row r="1092" spans="1:11" s="12" customFormat="1" ht="77.55" x14ac:dyDescent="0.3">
      <c r="A1092" s="3" t="s">
        <v>553</v>
      </c>
      <c r="B1092" s="4" t="s">
        <v>76</v>
      </c>
      <c r="C1092" s="4" t="s">
        <v>683</v>
      </c>
      <c r="D1092" s="4" t="s">
        <v>460</v>
      </c>
      <c r="E1092" s="4" t="s">
        <v>524</v>
      </c>
      <c r="F1092" s="4"/>
      <c r="G1092" s="27">
        <f>G1093</f>
        <v>95835</v>
      </c>
      <c r="H1092" s="56">
        <f>H1093</f>
        <v>88635</v>
      </c>
      <c r="I1092" s="130">
        <f t="shared" si="65"/>
        <v>0.92487087181092498</v>
      </c>
      <c r="J1092" s="24"/>
      <c r="K1092" s="24"/>
    </row>
    <row r="1093" spans="1:11" s="12" customFormat="1" ht="46.55" x14ac:dyDescent="0.3">
      <c r="A1093" s="3" t="s">
        <v>451</v>
      </c>
      <c r="B1093" s="4" t="s">
        <v>76</v>
      </c>
      <c r="C1093" s="4" t="s">
        <v>683</v>
      </c>
      <c r="D1093" s="4" t="s">
        <v>460</v>
      </c>
      <c r="E1093" s="4" t="s">
        <v>782</v>
      </c>
      <c r="F1093" s="53"/>
      <c r="G1093" s="27">
        <f>G1094+G1095</f>
        <v>95835</v>
      </c>
      <c r="H1093" s="56">
        <f>H1094+H1095</f>
        <v>88635</v>
      </c>
      <c r="I1093" s="130">
        <f t="shared" si="65"/>
        <v>0.92487087181092498</v>
      </c>
      <c r="J1093" s="24"/>
      <c r="K1093" s="24"/>
    </row>
    <row r="1094" spans="1:11" s="12" customFormat="1" ht="108.55" x14ac:dyDescent="0.3">
      <c r="A1094" s="3" t="s">
        <v>50</v>
      </c>
      <c r="B1094" s="4" t="s">
        <v>76</v>
      </c>
      <c r="C1094" s="4" t="s">
        <v>683</v>
      </c>
      <c r="D1094" s="4" t="s">
        <v>460</v>
      </c>
      <c r="E1094" s="4" t="s">
        <v>782</v>
      </c>
      <c r="F1094" s="53">
        <v>100</v>
      </c>
      <c r="G1094" s="27">
        <f>60000-5177.5-687.5</f>
        <v>54135</v>
      </c>
      <c r="H1094" s="56">
        <f>60000-5177.5-687.5</f>
        <v>54135</v>
      </c>
      <c r="I1094" s="130">
        <f t="shared" si="65"/>
        <v>1</v>
      </c>
      <c r="J1094" s="24"/>
      <c r="K1094" s="24"/>
    </row>
    <row r="1095" spans="1:11" s="12" customFormat="1" ht="46.55" x14ac:dyDescent="0.3">
      <c r="A1095" s="3" t="s">
        <v>51</v>
      </c>
      <c r="B1095" s="4" t="s">
        <v>76</v>
      </c>
      <c r="C1095" s="4" t="s">
        <v>683</v>
      </c>
      <c r="D1095" s="4" t="s">
        <v>460</v>
      </c>
      <c r="E1095" s="4" t="s">
        <v>782</v>
      </c>
      <c r="F1095" s="53">
        <v>200</v>
      </c>
      <c r="G1095" s="27">
        <f>96522.5-60000+5177.5</f>
        <v>41700</v>
      </c>
      <c r="H1095" s="56">
        <v>34500</v>
      </c>
      <c r="I1095" s="130">
        <f t="shared" si="65"/>
        <v>0.82733812949640284</v>
      </c>
      <c r="J1095" s="24"/>
      <c r="K1095" s="24"/>
    </row>
    <row r="1096" spans="1:11" s="12" customFormat="1" ht="31.05" x14ac:dyDescent="0.3">
      <c r="A1096" s="3" t="s">
        <v>153</v>
      </c>
      <c r="B1096" s="4" t="s">
        <v>76</v>
      </c>
      <c r="C1096" s="4" t="s">
        <v>683</v>
      </c>
      <c r="D1096" s="4" t="s">
        <v>460</v>
      </c>
      <c r="E1096" s="4" t="s">
        <v>154</v>
      </c>
      <c r="F1096" s="53"/>
      <c r="G1096" s="27">
        <f>G1097</f>
        <v>16575</v>
      </c>
      <c r="H1096" s="56">
        <f>H1097</f>
        <v>10041</v>
      </c>
      <c r="I1096" s="130">
        <f t="shared" si="65"/>
        <v>0.60579185520361989</v>
      </c>
      <c r="J1096" s="24"/>
      <c r="K1096" s="24"/>
    </row>
    <row r="1097" spans="1:11" s="12" customFormat="1" ht="46.55" x14ac:dyDescent="0.3">
      <c r="A1097" s="3" t="s">
        <v>451</v>
      </c>
      <c r="B1097" s="4" t="s">
        <v>76</v>
      </c>
      <c r="C1097" s="4" t="s">
        <v>683</v>
      </c>
      <c r="D1097" s="4" t="s">
        <v>460</v>
      </c>
      <c r="E1097" s="4" t="s">
        <v>783</v>
      </c>
      <c r="F1097" s="53"/>
      <c r="G1097" s="27">
        <f>G1098</f>
        <v>16575</v>
      </c>
      <c r="H1097" s="56">
        <f>H1098</f>
        <v>10041</v>
      </c>
      <c r="I1097" s="130">
        <f t="shared" si="65"/>
        <v>0.60579185520361989</v>
      </c>
      <c r="J1097" s="24"/>
      <c r="K1097" s="24"/>
    </row>
    <row r="1098" spans="1:11" s="12" customFormat="1" ht="46.55" x14ac:dyDescent="0.3">
      <c r="A1098" s="3" t="s">
        <v>543</v>
      </c>
      <c r="B1098" s="4" t="s">
        <v>76</v>
      </c>
      <c r="C1098" s="4" t="s">
        <v>683</v>
      </c>
      <c r="D1098" s="4" t="s">
        <v>460</v>
      </c>
      <c r="E1098" s="4" t="s">
        <v>783</v>
      </c>
      <c r="F1098" s="53">
        <v>200</v>
      </c>
      <c r="G1098" s="27">
        <f>16114+461</f>
        <v>16575</v>
      </c>
      <c r="H1098" s="56">
        <v>10041</v>
      </c>
      <c r="I1098" s="130">
        <f t="shared" si="65"/>
        <v>0.60579185520361989</v>
      </c>
      <c r="J1098" s="24"/>
      <c r="K1098" s="24"/>
    </row>
    <row r="1099" spans="1:11" s="12" customFormat="1" x14ac:dyDescent="0.3">
      <c r="A1099" s="1" t="s">
        <v>33</v>
      </c>
      <c r="B1099" s="2" t="s">
        <v>76</v>
      </c>
      <c r="C1099" s="2" t="s">
        <v>22</v>
      </c>
      <c r="D1099" s="2"/>
      <c r="E1099" s="2"/>
      <c r="F1099" s="2"/>
      <c r="G1099" s="31">
        <f t="shared" ref="G1099:H1101" si="67">SUM(G1100)</f>
        <v>174107.02000000002</v>
      </c>
      <c r="H1099" s="57">
        <f t="shared" si="67"/>
        <v>155447</v>
      </c>
      <c r="I1099" s="129">
        <f t="shared" ref="I1099:I1115" si="68">H1099/G1099</f>
        <v>0.89282442488533764</v>
      </c>
      <c r="J1099" s="24"/>
      <c r="K1099" s="24"/>
    </row>
    <row r="1100" spans="1:11" s="12" customFormat="1" x14ac:dyDescent="0.3">
      <c r="A1100" s="1" t="s">
        <v>456</v>
      </c>
      <c r="B1100" s="2" t="s">
        <v>76</v>
      </c>
      <c r="C1100" s="2" t="s">
        <v>22</v>
      </c>
      <c r="D1100" s="2" t="s">
        <v>20</v>
      </c>
      <c r="E1100" s="2"/>
      <c r="F1100" s="2"/>
      <c r="G1100" s="31">
        <f t="shared" si="67"/>
        <v>174107.02000000002</v>
      </c>
      <c r="H1100" s="57">
        <f t="shared" si="67"/>
        <v>155447</v>
      </c>
      <c r="I1100" s="129">
        <f t="shared" si="68"/>
        <v>0.89282442488533764</v>
      </c>
      <c r="J1100" s="24"/>
      <c r="K1100" s="24"/>
    </row>
    <row r="1101" spans="1:11" ht="46.55" x14ac:dyDescent="0.3">
      <c r="A1101" s="1" t="s">
        <v>726</v>
      </c>
      <c r="B1101" s="2" t="s">
        <v>76</v>
      </c>
      <c r="C1101" s="2" t="s">
        <v>22</v>
      </c>
      <c r="D1101" s="2" t="s">
        <v>20</v>
      </c>
      <c r="E1101" s="2" t="s">
        <v>554</v>
      </c>
      <c r="F1101" s="2"/>
      <c r="G1101" s="31">
        <f t="shared" si="67"/>
        <v>174107.02000000002</v>
      </c>
      <c r="H1101" s="57">
        <f t="shared" si="67"/>
        <v>155447</v>
      </c>
      <c r="I1101" s="129">
        <f t="shared" si="68"/>
        <v>0.89282442488533764</v>
      </c>
    </row>
    <row r="1102" spans="1:11" s="12" customFormat="1" ht="62.05" x14ac:dyDescent="0.3">
      <c r="A1102" s="3" t="s">
        <v>52</v>
      </c>
      <c r="B1102" s="4" t="s">
        <v>76</v>
      </c>
      <c r="C1102" s="4" t="s">
        <v>22</v>
      </c>
      <c r="D1102" s="4" t="s">
        <v>20</v>
      </c>
      <c r="E1102" s="4" t="s">
        <v>555</v>
      </c>
      <c r="F1102" s="4"/>
      <c r="G1102" s="27">
        <f>G1105+G1108+G1109+G1112</f>
        <v>174107.02000000002</v>
      </c>
      <c r="H1102" s="56">
        <f>H1105+H1108+H1109+H1112</f>
        <v>155447</v>
      </c>
      <c r="I1102" s="130">
        <f t="shared" si="68"/>
        <v>0.89282442488533764</v>
      </c>
      <c r="J1102" s="24"/>
      <c r="K1102" s="24"/>
    </row>
    <row r="1103" spans="1:11" s="12" customFormat="1" ht="47.25" hidden="1" customHeight="1" x14ac:dyDescent="0.3">
      <c r="A1103" s="3" t="s">
        <v>556</v>
      </c>
      <c r="B1103" s="4" t="s">
        <v>76</v>
      </c>
      <c r="C1103" s="4" t="s">
        <v>22</v>
      </c>
      <c r="D1103" s="4" t="s">
        <v>20</v>
      </c>
      <c r="E1103" s="4" t="s">
        <v>557</v>
      </c>
      <c r="F1103" s="4"/>
      <c r="G1103" s="27">
        <f>G1104</f>
        <v>0</v>
      </c>
      <c r="H1103" s="56">
        <f>H1104</f>
        <v>0</v>
      </c>
      <c r="I1103" s="130" t="e">
        <f t="shared" si="68"/>
        <v>#DIV/0!</v>
      </c>
      <c r="J1103" s="24"/>
      <c r="K1103" s="24"/>
    </row>
    <row r="1104" spans="1:11" s="12" customFormat="1" ht="31.6" hidden="1" customHeight="1" x14ac:dyDescent="0.3">
      <c r="A1104" s="3" t="s">
        <v>53</v>
      </c>
      <c r="B1104" s="4" t="s">
        <v>76</v>
      </c>
      <c r="C1104" s="4" t="s">
        <v>22</v>
      </c>
      <c r="D1104" s="4" t="s">
        <v>20</v>
      </c>
      <c r="E1104" s="4" t="s">
        <v>558</v>
      </c>
      <c r="F1104" s="4"/>
      <c r="G1104" s="27">
        <f>SUM(G1105)</f>
        <v>0</v>
      </c>
      <c r="H1104" s="56">
        <f>SUM(H1105)</f>
        <v>0</v>
      </c>
      <c r="I1104" s="130" t="e">
        <f t="shared" si="68"/>
        <v>#DIV/0!</v>
      </c>
      <c r="J1104" s="24"/>
      <c r="K1104" s="24"/>
    </row>
    <row r="1105" spans="1:11" s="12" customFormat="1" ht="47.25" hidden="1" customHeight="1" x14ac:dyDescent="0.3">
      <c r="A1105" s="3" t="s">
        <v>51</v>
      </c>
      <c r="B1105" s="4" t="s">
        <v>76</v>
      </c>
      <c r="C1105" s="4" t="s">
        <v>22</v>
      </c>
      <c r="D1105" s="4" t="s">
        <v>20</v>
      </c>
      <c r="E1105" s="4" t="s">
        <v>558</v>
      </c>
      <c r="F1105" s="4" t="s">
        <v>463</v>
      </c>
      <c r="G1105" s="27">
        <f>112717-112717</f>
        <v>0</v>
      </c>
      <c r="H1105" s="56">
        <f>112717-112717</f>
        <v>0</v>
      </c>
      <c r="I1105" s="130" t="e">
        <f t="shared" si="68"/>
        <v>#DIV/0!</v>
      </c>
      <c r="J1105" s="24"/>
      <c r="K1105" s="24"/>
    </row>
    <row r="1106" spans="1:11" s="12" customFormat="1" ht="62.05" x14ac:dyDescent="0.3">
      <c r="A1106" s="3" t="s">
        <v>216</v>
      </c>
      <c r="B1106" s="4" t="s">
        <v>76</v>
      </c>
      <c r="C1106" s="4" t="s">
        <v>22</v>
      </c>
      <c r="D1106" s="4" t="s">
        <v>20</v>
      </c>
      <c r="E1106" s="4" t="s">
        <v>217</v>
      </c>
      <c r="F1106" s="4"/>
      <c r="G1106" s="27">
        <f>G1107</f>
        <v>51650.020000000004</v>
      </c>
      <c r="H1106" s="56">
        <f>H1107</f>
        <v>32990</v>
      </c>
      <c r="I1106" s="130">
        <f t="shared" si="68"/>
        <v>0.63872192111445447</v>
      </c>
      <c r="J1106" s="24"/>
      <c r="K1106" s="24"/>
    </row>
    <row r="1107" spans="1:11" s="12" customFormat="1" ht="31.05" x14ac:dyDescent="0.3">
      <c r="A1107" s="3" t="s">
        <v>53</v>
      </c>
      <c r="B1107" s="4" t="s">
        <v>76</v>
      </c>
      <c r="C1107" s="4" t="s">
        <v>22</v>
      </c>
      <c r="D1107" s="4" t="s">
        <v>20</v>
      </c>
      <c r="E1107" s="4" t="s">
        <v>218</v>
      </c>
      <c r="F1107" s="4"/>
      <c r="G1107" s="27">
        <f>G1108</f>
        <v>51650.020000000004</v>
      </c>
      <c r="H1107" s="56">
        <f>H1108</f>
        <v>32990</v>
      </c>
      <c r="I1107" s="130">
        <f t="shared" si="68"/>
        <v>0.63872192111445447</v>
      </c>
      <c r="J1107" s="24"/>
      <c r="K1107" s="24"/>
    </row>
    <row r="1108" spans="1:11" s="12" customFormat="1" ht="46.55" x14ac:dyDescent="0.3">
      <c r="A1108" s="3" t="s">
        <v>51</v>
      </c>
      <c r="B1108" s="4" t="s">
        <v>76</v>
      </c>
      <c r="C1108" s="4" t="s">
        <v>22</v>
      </c>
      <c r="D1108" s="4" t="s">
        <v>20</v>
      </c>
      <c r="E1108" s="4" t="s">
        <v>218</v>
      </c>
      <c r="F1108" s="4" t="s">
        <v>463</v>
      </c>
      <c r="G1108" s="27">
        <f>65000-13349.98</f>
        <v>51650.020000000004</v>
      </c>
      <c r="H1108" s="56">
        <v>32990</v>
      </c>
      <c r="I1108" s="130">
        <f t="shared" si="68"/>
        <v>0.63872192111445447</v>
      </c>
      <c r="J1108" s="24"/>
      <c r="K1108" s="24"/>
    </row>
    <row r="1109" spans="1:11" s="12" customFormat="1" ht="46.55" x14ac:dyDescent="0.3">
      <c r="A1109" s="3" t="s">
        <v>219</v>
      </c>
      <c r="B1109" s="4" t="s">
        <v>76</v>
      </c>
      <c r="C1109" s="4" t="s">
        <v>22</v>
      </c>
      <c r="D1109" s="4" t="s">
        <v>20</v>
      </c>
      <c r="E1109" s="4" t="s">
        <v>220</v>
      </c>
      <c r="F1109" s="4"/>
      <c r="G1109" s="27">
        <f>G1110</f>
        <v>112717</v>
      </c>
      <c r="H1109" s="56">
        <f>H1110</f>
        <v>112717</v>
      </c>
      <c r="I1109" s="130">
        <f t="shared" si="68"/>
        <v>1</v>
      </c>
      <c r="J1109" s="24"/>
      <c r="K1109" s="24"/>
    </row>
    <row r="1110" spans="1:11" s="12" customFormat="1" ht="31.05" x14ac:dyDescent="0.3">
      <c r="A1110" s="3" t="s">
        <v>393</v>
      </c>
      <c r="B1110" s="4" t="s">
        <v>76</v>
      </c>
      <c r="C1110" s="4" t="s">
        <v>22</v>
      </c>
      <c r="D1110" s="4" t="s">
        <v>20</v>
      </c>
      <c r="E1110" s="4" t="s">
        <v>221</v>
      </c>
      <c r="F1110" s="4"/>
      <c r="G1110" s="27">
        <f>G1111</f>
        <v>112717</v>
      </c>
      <c r="H1110" s="56">
        <f>H1111</f>
        <v>112717</v>
      </c>
      <c r="I1110" s="130">
        <f t="shared" si="68"/>
        <v>1</v>
      </c>
      <c r="J1110" s="24"/>
      <c r="K1110" s="24"/>
    </row>
    <row r="1111" spans="1:11" s="12" customFormat="1" ht="46.55" x14ac:dyDescent="0.3">
      <c r="A1111" s="3" t="s">
        <v>543</v>
      </c>
      <c r="B1111" s="4" t="s">
        <v>76</v>
      </c>
      <c r="C1111" s="4" t="s">
        <v>22</v>
      </c>
      <c r="D1111" s="4" t="s">
        <v>20</v>
      </c>
      <c r="E1111" s="4" t="s">
        <v>221</v>
      </c>
      <c r="F1111" s="4" t="s">
        <v>463</v>
      </c>
      <c r="G1111" s="27">
        <v>112717</v>
      </c>
      <c r="H1111" s="56">
        <v>112717</v>
      </c>
      <c r="I1111" s="130">
        <f t="shared" si="68"/>
        <v>1</v>
      </c>
      <c r="J1111" s="24"/>
      <c r="K1111" s="24"/>
    </row>
    <row r="1112" spans="1:11" s="12" customFormat="1" ht="62.05" x14ac:dyDescent="0.3">
      <c r="A1112" s="3" t="s">
        <v>225</v>
      </c>
      <c r="B1112" s="122" t="s">
        <v>76</v>
      </c>
      <c r="C1112" s="122" t="s">
        <v>22</v>
      </c>
      <c r="D1112" s="122" t="s">
        <v>20</v>
      </c>
      <c r="E1112" s="122" t="s">
        <v>226</v>
      </c>
      <c r="F1112" s="122"/>
      <c r="G1112" s="27">
        <f>G1113</f>
        <v>9740</v>
      </c>
      <c r="H1112" s="56">
        <f>H1113</f>
        <v>9740</v>
      </c>
      <c r="I1112" s="130">
        <f t="shared" si="68"/>
        <v>1</v>
      </c>
      <c r="J1112" s="24"/>
      <c r="K1112" s="24"/>
    </row>
    <row r="1113" spans="1:11" s="12" customFormat="1" ht="31.05" x14ac:dyDescent="0.3">
      <c r="A1113" s="3" t="s">
        <v>53</v>
      </c>
      <c r="B1113" s="122" t="s">
        <v>76</v>
      </c>
      <c r="C1113" s="122" t="s">
        <v>22</v>
      </c>
      <c r="D1113" s="122" t="s">
        <v>20</v>
      </c>
      <c r="E1113" s="122" t="s">
        <v>58</v>
      </c>
      <c r="F1113" s="122"/>
      <c r="G1113" s="27">
        <f>G1114</f>
        <v>9740</v>
      </c>
      <c r="H1113" s="56">
        <f>H1114</f>
        <v>9740</v>
      </c>
      <c r="I1113" s="130">
        <f t="shared" si="68"/>
        <v>1</v>
      </c>
      <c r="J1113" s="24"/>
      <c r="K1113" s="24"/>
    </row>
    <row r="1114" spans="1:11" s="12" customFormat="1" ht="46.55" x14ac:dyDescent="0.3">
      <c r="A1114" s="3" t="s">
        <v>543</v>
      </c>
      <c r="B1114" s="122" t="s">
        <v>76</v>
      </c>
      <c r="C1114" s="122" t="s">
        <v>22</v>
      </c>
      <c r="D1114" s="122" t="s">
        <v>20</v>
      </c>
      <c r="E1114" s="122" t="s">
        <v>58</v>
      </c>
      <c r="F1114" s="122" t="s">
        <v>463</v>
      </c>
      <c r="G1114" s="27">
        <f>9740</f>
        <v>9740</v>
      </c>
      <c r="H1114" s="56">
        <f>9740</f>
        <v>9740</v>
      </c>
      <c r="I1114" s="130">
        <f t="shared" si="68"/>
        <v>1</v>
      </c>
      <c r="J1114" s="24"/>
      <c r="K1114" s="24"/>
    </row>
    <row r="1115" spans="1:11" s="14" customFormat="1" ht="17.2" x14ac:dyDescent="0.3">
      <c r="A1115" s="48" t="s">
        <v>400</v>
      </c>
      <c r="B1115" s="49"/>
      <c r="C1115" s="49"/>
      <c r="D1115" s="49"/>
      <c r="E1115" s="49"/>
      <c r="F1115" s="49"/>
      <c r="G1115" s="51">
        <f>G9+G58+G290+G603+G656+G887+G1077</f>
        <v>2221749898.25</v>
      </c>
      <c r="H1115" s="143">
        <f>H9+H58+H290+H603+H656+H887+H1077</f>
        <v>2185010875.0099998</v>
      </c>
      <c r="I1115" s="133">
        <f t="shared" si="68"/>
        <v>0.98346392486888901</v>
      </c>
      <c r="J1115" s="47"/>
      <c r="K1115" s="47"/>
    </row>
    <row r="1116" spans="1:11" x14ac:dyDescent="0.3">
      <c r="A1116" s="154"/>
      <c r="B1116" s="154"/>
      <c r="C1116" s="155"/>
      <c r="D1116" s="155"/>
      <c r="E1116" s="155"/>
      <c r="F1116" s="155"/>
      <c r="G1116" s="120"/>
      <c r="H1116" s="120"/>
    </row>
    <row r="1117" spans="1:11" s="12" customFormat="1" ht="15.8" hidden="1" customHeight="1" x14ac:dyDescent="0.3">
      <c r="A1117" s="16"/>
      <c r="B1117" s="16"/>
      <c r="C1117" s="17"/>
      <c r="D1117" s="17"/>
      <c r="E1117" s="17"/>
      <c r="F1117" s="17"/>
      <c r="G1117" s="40">
        <f>2150432763.17</f>
        <v>2150432763.1700001</v>
      </c>
      <c r="H1117" s="40">
        <f>2150432763.17</f>
        <v>2150432763.1700001</v>
      </c>
      <c r="I1117" s="144"/>
      <c r="J1117" s="24"/>
      <c r="K1117" s="24"/>
    </row>
    <row r="1118" spans="1:11" s="12" customFormat="1" ht="15.8" hidden="1" customHeight="1" x14ac:dyDescent="0.3">
      <c r="A1118" s="16"/>
      <c r="B1118" s="16"/>
      <c r="C1118" s="17"/>
      <c r="D1118" s="17"/>
      <c r="E1118" s="17"/>
      <c r="F1118" s="17"/>
      <c r="G1118" s="40"/>
      <c r="H1118" s="40"/>
      <c r="I1118" s="144"/>
      <c r="J1118" s="24"/>
      <c r="K1118" s="24"/>
    </row>
    <row r="1119" spans="1:11" s="12" customFormat="1" ht="15.8" hidden="1" customHeight="1" x14ac:dyDescent="0.3">
      <c r="A1119" s="16"/>
      <c r="B1119" s="16"/>
      <c r="C1119" s="17"/>
      <c r="D1119" s="17"/>
      <c r="E1119" s="17"/>
      <c r="F1119" s="17"/>
      <c r="G1119" s="40">
        <f>G1115-G1117</f>
        <v>71317135.079999924</v>
      </c>
      <c r="H1119" s="40">
        <f>H1115-H1117</f>
        <v>34578111.839999676</v>
      </c>
      <c r="I1119" s="144"/>
      <c r="J1119" s="24"/>
      <c r="K1119" s="24"/>
    </row>
    <row r="1120" spans="1:11" s="12" customFormat="1" ht="15.8" hidden="1" customHeight="1" x14ac:dyDescent="0.3">
      <c r="A1120" s="16"/>
      <c r="B1120" s="16"/>
      <c r="C1120" s="17"/>
      <c r="D1120" s="17"/>
      <c r="E1120" s="17"/>
      <c r="F1120" s="17"/>
      <c r="G1120" s="40"/>
      <c r="H1120" s="40"/>
      <c r="I1120" s="144"/>
      <c r="J1120" s="24"/>
      <c r="K1120" s="24"/>
    </row>
    <row r="1121" spans="1:11" s="12" customFormat="1" ht="15.8" hidden="1" customHeight="1" x14ac:dyDescent="0.3">
      <c r="A1121" s="16"/>
      <c r="B1121" s="16"/>
      <c r="C1121" s="17"/>
      <c r="D1121" s="17"/>
      <c r="E1121" s="17"/>
      <c r="F1121" s="17"/>
      <c r="G1121" s="40">
        <f>H1119-G1119</f>
        <v>-36739023.240000248</v>
      </c>
      <c r="H1121" s="40">
        <f>I1119-H1119</f>
        <v>-34578111.839999676</v>
      </c>
      <c r="I1121" s="144"/>
      <c r="J1121" s="24"/>
      <c r="K1121" s="24"/>
    </row>
    <row r="1122" spans="1:11" s="12" customFormat="1" ht="15.8" hidden="1" customHeight="1" x14ac:dyDescent="0.3">
      <c r="A1122" s="16"/>
      <c r="B1122" s="16"/>
      <c r="C1122" s="17"/>
      <c r="D1122" s="17"/>
      <c r="E1122" s="17"/>
      <c r="F1122" s="17"/>
      <c r="G1122" s="40"/>
      <c r="H1122" s="40"/>
      <c r="I1122" s="144"/>
      <c r="J1122" s="24"/>
      <c r="K1122" s="24"/>
    </row>
    <row r="1123" spans="1:11" s="12" customFormat="1" ht="15.8" hidden="1" customHeight="1" x14ac:dyDescent="0.3">
      <c r="A1123" s="16"/>
      <c r="B1123" s="16"/>
      <c r="C1123" s="17"/>
      <c r="D1123" s="17"/>
      <c r="E1123" s="17"/>
      <c r="F1123" s="17"/>
      <c r="G1123" s="40" t="e">
        <f>#REF!</f>
        <v>#REF!</v>
      </c>
      <c r="H1123" s="40" t="e">
        <f>#REF!</f>
        <v>#REF!</v>
      </c>
      <c r="I1123" s="144"/>
      <c r="J1123" s="24"/>
      <c r="K1123" s="24"/>
    </row>
    <row r="1124" spans="1:11" s="12" customFormat="1" ht="15.8" hidden="1" customHeight="1" x14ac:dyDescent="0.3">
      <c r="A1124" s="16"/>
      <c r="B1124" s="16"/>
      <c r="C1124" s="17"/>
      <c r="D1124" s="17"/>
      <c r="E1124" s="17"/>
      <c r="F1124" s="17"/>
      <c r="G1124" s="16"/>
      <c r="H1124" s="16"/>
      <c r="I1124" s="144"/>
      <c r="J1124" s="24"/>
      <c r="K1124" s="24"/>
    </row>
    <row r="1125" spans="1:11" s="12" customFormat="1" ht="15.8" hidden="1" customHeight="1" x14ac:dyDescent="0.3">
      <c r="A1125" s="16"/>
      <c r="B1125" s="16"/>
      <c r="C1125" s="17"/>
      <c r="D1125" s="17"/>
      <c r="E1125" s="17"/>
      <c r="F1125" s="17"/>
      <c r="G1125" s="40" t="e">
        <f>G1119-G1123</f>
        <v>#REF!</v>
      </c>
      <c r="H1125" s="40" t="e">
        <f>H1119-H1123</f>
        <v>#REF!</v>
      </c>
      <c r="I1125" s="144"/>
      <c r="J1125" s="24"/>
      <c r="K1125" s="24"/>
    </row>
    <row r="1126" spans="1:11" x14ac:dyDescent="0.3">
      <c r="A1126" s="154"/>
      <c r="B1126" s="154"/>
      <c r="C1126" s="155"/>
      <c r="D1126" s="155"/>
      <c r="E1126" s="155"/>
      <c r="F1126" s="155"/>
      <c r="G1126" s="120"/>
      <c r="H1126" s="120"/>
    </row>
    <row r="1127" spans="1:11" x14ac:dyDescent="0.3">
      <c r="A1127" s="154"/>
      <c r="B1127" s="154"/>
      <c r="C1127" s="155"/>
      <c r="D1127" s="155"/>
      <c r="E1127" s="155"/>
      <c r="F1127" s="155"/>
      <c r="G1127" s="120"/>
      <c r="H1127" s="120"/>
    </row>
    <row r="1128" spans="1:11" x14ac:dyDescent="0.3">
      <c r="A1128" s="154"/>
      <c r="B1128" s="154"/>
      <c r="C1128" s="155"/>
      <c r="D1128" s="155"/>
      <c r="E1128" s="155"/>
      <c r="F1128" s="155"/>
      <c r="G1128" s="120"/>
      <c r="H1128" s="120"/>
    </row>
    <row r="1129" spans="1:11" x14ac:dyDescent="0.3">
      <c r="A1129" s="154"/>
      <c r="B1129" s="154"/>
      <c r="C1129" s="155"/>
      <c r="D1129" s="155"/>
      <c r="E1129" s="155"/>
      <c r="F1129" s="155"/>
      <c r="G1129" s="120"/>
      <c r="H1129" s="120"/>
    </row>
    <row r="1130" spans="1:11" x14ac:dyDescent="0.3">
      <c r="A1130" s="154"/>
      <c r="B1130" s="154"/>
      <c r="C1130" s="155"/>
      <c r="D1130" s="155"/>
      <c r="E1130" s="155"/>
      <c r="F1130" s="155"/>
      <c r="G1130" s="120"/>
      <c r="H1130" s="120"/>
    </row>
    <row r="1131" spans="1:11" x14ac:dyDescent="0.3">
      <c r="A1131" s="154"/>
      <c r="B1131" s="154"/>
      <c r="C1131" s="155"/>
      <c r="D1131" s="155"/>
      <c r="E1131" s="155"/>
      <c r="F1131" s="155"/>
      <c r="G1131" s="120"/>
      <c r="H1131" s="120"/>
    </row>
    <row r="1132" spans="1:11" x14ac:dyDescent="0.3">
      <c r="A1132" s="154"/>
      <c r="B1132" s="154"/>
      <c r="C1132" s="155"/>
      <c r="D1132" s="155"/>
      <c r="E1132" s="155"/>
      <c r="F1132" s="155"/>
      <c r="G1132" s="120"/>
      <c r="H1132" s="120"/>
    </row>
    <row r="1133" spans="1:11" x14ac:dyDescent="0.3">
      <c r="A1133" s="154"/>
      <c r="B1133" s="154"/>
      <c r="C1133" s="155"/>
      <c r="D1133" s="155"/>
      <c r="E1133" s="155"/>
      <c r="F1133" s="155"/>
      <c r="G1133" s="120"/>
      <c r="H1133" s="120"/>
    </row>
    <row r="1134" spans="1:11" x14ac:dyDescent="0.3">
      <c r="A1134" s="154"/>
      <c r="B1134" s="154"/>
      <c r="C1134" s="155"/>
      <c r="D1134" s="155"/>
      <c r="E1134" s="155"/>
      <c r="F1134" s="155"/>
      <c r="G1134" s="120"/>
      <c r="H1134" s="120"/>
    </row>
    <row r="1135" spans="1:11" x14ac:dyDescent="0.3">
      <c r="A1135" s="154"/>
      <c r="B1135" s="154"/>
      <c r="C1135" s="155"/>
      <c r="D1135" s="155"/>
      <c r="E1135" s="155"/>
      <c r="F1135" s="155"/>
      <c r="G1135" s="120"/>
      <c r="H1135" s="120"/>
    </row>
    <row r="1136" spans="1:11" x14ac:dyDescent="0.3">
      <c r="A1136" s="154"/>
      <c r="B1136" s="154"/>
      <c r="C1136" s="155"/>
      <c r="D1136" s="155"/>
      <c r="E1136" s="155"/>
      <c r="F1136" s="155"/>
      <c r="G1136" s="120"/>
      <c r="H1136" s="120"/>
    </row>
    <row r="1137" spans="1:8" x14ac:dyDescent="0.3">
      <c r="A1137" s="154"/>
      <c r="B1137" s="154"/>
      <c r="C1137" s="155"/>
      <c r="D1137" s="155"/>
      <c r="E1137" s="155"/>
      <c r="F1137" s="155"/>
      <c r="G1137" s="120"/>
      <c r="H1137" s="120"/>
    </row>
    <row r="1138" spans="1:8" x14ac:dyDescent="0.3">
      <c r="A1138" s="154"/>
      <c r="B1138" s="154"/>
      <c r="C1138" s="155"/>
      <c r="D1138" s="155"/>
      <c r="E1138" s="155"/>
      <c r="F1138" s="155"/>
      <c r="G1138" s="120"/>
      <c r="H1138" s="120"/>
    </row>
    <row r="1139" spans="1:8" x14ac:dyDescent="0.3">
      <c r="A1139" s="154"/>
      <c r="B1139" s="154"/>
      <c r="C1139" s="155"/>
      <c r="D1139" s="155"/>
      <c r="E1139" s="155"/>
      <c r="F1139" s="155"/>
      <c r="G1139" s="120"/>
      <c r="H1139" s="120"/>
    </row>
    <row r="1140" spans="1:8" x14ac:dyDescent="0.3">
      <c r="A1140" s="154"/>
      <c r="B1140" s="154"/>
      <c r="C1140" s="155"/>
      <c r="D1140" s="155"/>
      <c r="E1140" s="155"/>
      <c r="F1140" s="155"/>
      <c r="G1140" s="120"/>
      <c r="H1140" s="120"/>
    </row>
    <row r="1141" spans="1:8" x14ac:dyDescent="0.3">
      <c r="A1141" s="154"/>
      <c r="B1141" s="154"/>
      <c r="C1141" s="155"/>
      <c r="D1141" s="155"/>
      <c r="E1141" s="155"/>
      <c r="F1141" s="155"/>
      <c r="G1141" s="120"/>
      <c r="H1141" s="120"/>
    </row>
    <row r="1142" spans="1:8" x14ac:dyDescent="0.3">
      <c r="A1142" s="154"/>
      <c r="B1142" s="154"/>
      <c r="C1142" s="155"/>
      <c r="D1142" s="155"/>
      <c r="E1142" s="155"/>
      <c r="F1142" s="155"/>
      <c r="G1142" s="120"/>
      <c r="H1142" s="120"/>
    </row>
    <row r="1143" spans="1:8" x14ac:dyDescent="0.3">
      <c r="A1143" s="154"/>
      <c r="B1143" s="154"/>
      <c r="C1143" s="155"/>
      <c r="D1143" s="155"/>
      <c r="E1143" s="155"/>
      <c r="F1143" s="155"/>
      <c r="G1143" s="120"/>
      <c r="H1143" s="120"/>
    </row>
    <row r="1144" spans="1:8" x14ac:dyDescent="0.3">
      <c r="A1144" s="154"/>
      <c r="B1144" s="154"/>
      <c r="C1144" s="155"/>
      <c r="D1144" s="155"/>
      <c r="E1144" s="155"/>
      <c r="F1144" s="155"/>
      <c r="G1144" s="120"/>
      <c r="H1144" s="120"/>
    </row>
    <row r="1145" spans="1:8" x14ac:dyDescent="0.3">
      <c r="A1145" s="154"/>
      <c r="B1145" s="154"/>
      <c r="C1145" s="155"/>
      <c r="D1145" s="155"/>
      <c r="E1145" s="155"/>
      <c r="F1145" s="155"/>
      <c r="G1145" s="120"/>
      <c r="H1145" s="120"/>
    </row>
    <row r="1146" spans="1:8" x14ac:dyDescent="0.3">
      <c r="A1146" s="154"/>
      <c r="B1146" s="154"/>
      <c r="C1146" s="155"/>
      <c r="D1146" s="155"/>
      <c r="E1146" s="155"/>
      <c r="F1146" s="155"/>
      <c r="G1146" s="120"/>
      <c r="H1146" s="120"/>
    </row>
    <row r="1147" spans="1:8" x14ac:dyDescent="0.3">
      <c r="A1147" s="154"/>
      <c r="B1147" s="154"/>
      <c r="C1147" s="155"/>
      <c r="D1147" s="155"/>
      <c r="E1147" s="155"/>
      <c r="F1147" s="155"/>
      <c r="G1147" s="120"/>
      <c r="H1147" s="120"/>
    </row>
    <row r="1148" spans="1:8" x14ac:dyDescent="0.3">
      <c r="A1148" s="154"/>
      <c r="B1148" s="154"/>
      <c r="C1148" s="155"/>
      <c r="D1148" s="155"/>
      <c r="E1148" s="155"/>
      <c r="F1148" s="155"/>
      <c r="G1148" s="120"/>
      <c r="H1148" s="120"/>
    </row>
    <row r="1149" spans="1:8" x14ac:dyDescent="0.3">
      <c r="A1149" s="154"/>
      <c r="B1149" s="154"/>
      <c r="C1149" s="155"/>
      <c r="D1149" s="155"/>
      <c r="E1149" s="155"/>
      <c r="F1149" s="155"/>
      <c r="G1149" s="120"/>
      <c r="H1149" s="120"/>
    </row>
    <row r="1150" spans="1:8" x14ac:dyDescent="0.3">
      <c r="A1150" s="154"/>
      <c r="B1150" s="154"/>
      <c r="C1150" s="155"/>
      <c r="D1150" s="155"/>
      <c r="E1150" s="155"/>
      <c r="F1150" s="155"/>
      <c r="G1150" s="120"/>
      <c r="H1150" s="120"/>
    </row>
    <row r="1151" spans="1:8" x14ac:dyDescent="0.3">
      <c r="A1151" s="154"/>
      <c r="B1151" s="154"/>
      <c r="C1151" s="155"/>
      <c r="D1151" s="155"/>
      <c r="E1151" s="155"/>
      <c r="F1151" s="155"/>
      <c r="G1151" s="120"/>
      <c r="H1151" s="120"/>
    </row>
    <row r="1152" spans="1:8" x14ac:dyDescent="0.3">
      <c r="A1152" s="154"/>
      <c r="B1152" s="154"/>
      <c r="C1152" s="155"/>
      <c r="D1152" s="155"/>
      <c r="E1152" s="155"/>
      <c r="F1152" s="155"/>
      <c r="G1152" s="154"/>
      <c r="H1152" s="154"/>
    </row>
    <row r="1153" spans="1:8" x14ac:dyDescent="0.3">
      <c r="A1153" s="154"/>
      <c r="B1153" s="154"/>
      <c r="C1153" s="155"/>
      <c r="D1153" s="155"/>
      <c r="E1153" s="155"/>
      <c r="F1153" s="155"/>
      <c r="G1153" s="154"/>
      <c r="H1153" s="154"/>
    </row>
    <row r="1154" spans="1:8" x14ac:dyDescent="0.3">
      <c r="A1154" s="154"/>
      <c r="B1154" s="154"/>
      <c r="C1154" s="155"/>
      <c r="D1154" s="155"/>
      <c r="E1154" s="155"/>
      <c r="F1154" s="155"/>
      <c r="G1154" s="154"/>
      <c r="H1154" s="154"/>
    </row>
    <row r="1155" spans="1:8" x14ac:dyDescent="0.3">
      <c r="A1155" s="154"/>
      <c r="B1155" s="154"/>
      <c r="C1155" s="155"/>
      <c r="D1155" s="155"/>
      <c r="E1155" s="155"/>
      <c r="F1155" s="155"/>
      <c r="G1155" s="154"/>
      <c r="H1155" s="154"/>
    </row>
    <row r="1156" spans="1:8" x14ac:dyDescent="0.3">
      <c r="A1156" s="154"/>
      <c r="B1156" s="154"/>
      <c r="C1156" s="155"/>
      <c r="D1156" s="155"/>
      <c r="E1156" s="155"/>
      <c r="F1156" s="155"/>
      <c r="G1156" s="154"/>
      <c r="H1156" s="154"/>
    </row>
    <row r="1157" spans="1:8" x14ac:dyDescent="0.3">
      <c r="A1157" s="154"/>
      <c r="B1157" s="154"/>
      <c r="C1157" s="155"/>
      <c r="D1157" s="155"/>
      <c r="E1157" s="155"/>
      <c r="F1157" s="155"/>
      <c r="G1157" s="154"/>
      <c r="H1157" s="154"/>
    </row>
    <row r="1158" spans="1:8" x14ac:dyDescent="0.3">
      <c r="A1158" s="154"/>
      <c r="B1158" s="154"/>
      <c r="C1158" s="155"/>
      <c r="D1158" s="155"/>
      <c r="E1158" s="155"/>
      <c r="F1158" s="155"/>
      <c r="G1158" s="154"/>
      <c r="H1158" s="154"/>
    </row>
    <row r="1159" spans="1:8" x14ac:dyDescent="0.3">
      <c r="A1159" s="154"/>
      <c r="B1159" s="154"/>
      <c r="C1159" s="155"/>
      <c r="D1159" s="155"/>
      <c r="E1159" s="155"/>
      <c r="F1159" s="155"/>
      <c r="G1159" s="154"/>
      <c r="H1159" s="154"/>
    </row>
    <row r="1160" spans="1:8" x14ac:dyDescent="0.3">
      <c r="A1160" s="154"/>
      <c r="B1160" s="154"/>
      <c r="C1160" s="155"/>
      <c r="D1160" s="155"/>
      <c r="E1160" s="155"/>
      <c r="F1160" s="155"/>
      <c r="G1160" s="154"/>
      <c r="H1160" s="154"/>
    </row>
    <row r="1161" spans="1:8" x14ac:dyDescent="0.3">
      <c r="A1161" s="154"/>
      <c r="B1161" s="154"/>
      <c r="C1161" s="155"/>
      <c r="D1161" s="155"/>
      <c r="E1161" s="155"/>
      <c r="F1161" s="155"/>
      <c r="G1161" s="154"/>
      <c r="H1161" s="154"/>
    </row>
    <row r="1162" spans="1:8" x14ac:dyDescent="0.3">
      <c r="A1162" s="154"/>
      <c r="B1162" s="154"/>
      <c r="C1162" s="155"/>
      <c r="D1162" s="155"/>
      <c r="E1162" s="155"/>
      <c r="F1162" s="155"/>
      <c r="G1162" s="154"/>
      <c r="H1162" s="154"/>
    </row>
    <row r="1163" spans="1:8" x14ac:dyDescent="0.3">
      <c r="A1163" s="154"/>
      <c r="B1163" s="154"/>
      <c r="C1163" s="155"/>
      <c r="D1163" s="155"/>
      <c r="E1163" s="155"/>
      <c r="F1163" s="155"/>
      <c r="G1163" s="154"/>
      <c r="H1163" s="154"/>
    </row>
    <row r="1164" spans="1:8" x14ac:dyDescent="0.3">
      <c r="A1164" s="154"/>
      <c r="B1164" s="154"/>
      <c r="C1164" s="155"/>
      <c r="D1164" s="155"/>
      <c r="E1164" s="155"/>
      <c r="F1164" s="155"/>
      <c r="G1164" s="154"/>
      <c r="H1164" s="154"/>
    </row>
    <row r="1165" spans="1:8" x14ac:dyDescent="0.3">
      <c r="A1165" s="154"/>
      <c r="B1165" s="154"/>
      <c r="C1165" s="155"/>
      <c r="D1165" s="155"/>
      <c r="E1165" s="155"/>
      <c r="F1165" s="155"/>
      <c r="G1165" s="154"/>
      <c r="H1165" s="154"/>
    </row>
    <row r="1166" spans="1:8" x14ac:dyDescent="0.3">
      <c r="A1166" s="154"/>
      <c r="B1166" s="154"/>
      <c r="C1166" s="155"/>
      <c r="D1166" s="155"/>
      <c r="E1166" s="155"/>
      <c r="F1166" s="155"/>
      <c r="G1166" s="154"/>
      <c r="H1166" s="154"/>
    </row>
    <row r="1167" spans="1:8" x14ac:dyDescent="0.3">
      <c r="A1167" s="154"/>
      <c r="B1167" s="154"/>
      <c r="C1167" s="155"/>
      <c r="D1167" s="155"/>
      <c r="E1167" s="155"/>
      <c r="F1167" s="155"/>
      <c r="G1167" s="154"/>
      <c r="H1167" s="154"/>
    </row>
    <row r="1168" spans="1:8" x14ac:dyDescent="0.3">
      <c r="A1168" s="154"/>
      <c r="B1168" s="154"/>
      <c r="C1168" s="155"/>
      <c r="D1168" s="155"/>
      <c r="E1168" s="155"/>
      <c r="F1168" s="155"/>
      <c r="G1168" s="154"/>
      <c r="H1168" s="154"/>
    </row>
    <row r="1169" spans="1:8" x14ac:dyDescent="0.3">
      <c r="A1169" s="154"/>
      <c r="B1169" s="154"/>
      <c r="C1169" s="155"/>
      <c r="D1169" s="155"/>
      <c r="E1169" s="155"/>
      <c r="F1169" s="155"/>
      <c r="G1169" s="154"/>
      <c r="H1169" s="154"/>
    </row>
    <row r="1170" spans="1:8" x14ac:dyDescent="0.3">
      <c r="A1170" s="154"/>
      <c r="B1170" s="154"/>
      <c r="C1170" s="155"/>
      <c r="D1170" s="155"/>
      <c r="E1170" s="155"/>
      <c r="F1170" s="155"/>
      <c r="G1170" s="154"/>
      <c r="H1170" s="154"/>
    </row>
    <row r="1171" spans="1:8" x14ac:dyDescent="0.3">
      <c r="A1171" s="154"/>
      <c r="B1171" s="154"/>
      <c r="C1171" s="155"/>
      <c r="D1171" s="155"/>
      <c r="E1171" s="155"/>
      <c r="F1171" s="155"/>
      <c r="G1171" s="154"/>
      <c r="H1171" s="154"/>
    </row>
    <row r="1172" spans="1:8" x14ac:dyDescent="0.3">
      <c r="A1172" s="154"/>
      <c r="B1172" s="154"/>
      <c r="C1172" s="155"/>
      <c r="D1172" s="155"/>
      <c r="E1172" s="155"/>
      <c r="F1172" s="155"/>
      <c r="G1172" s="154"/>
      <c r="H1172" s="154"/>
    </row>
    <row r="1173" spans="1:8" x14ac:dyDescent="0.3">
      <c r="A1173" s="154"/>
      <c r="B1173" s="154"/>
      <c r="C1173" s="155"/>
      <c r="D1173" s="155"/>
      <c r="E1173" s="155"/>
      <c r="F1173" s="155"/>
      <c r="G1173" s="154"/>
      <c r="H1173" s="154"/>
    </row>
    <row r="1174" spans="1:8" x14ac:dyDescent="0.3">
      <c r="A1174" s="154"/>
      <c r="B1174" s="154"/>
      <c r="C1174" s="155"/>
      <c r="D1174" s="155"/>
      <c r="E1174" s="155"/>
      <c r="F1174" s="155"/>
      <c r="G1174" s="154"/>
      <c r="H1174" s="154"/>
    </row>
    <row r="1175" spans="1:8" x14ac:dyDescent="0.3">
      <c r="A1175" s="154"/>
      <c r="B1175" s="154"/>
      <c r="C1175" s="155"/>
      <c r="D1175" s="155"/>
      <c r="E1175" s="155"/>
      <c r="F1175" s="155"/>
      <c r="G1175" s="154"/>
      <c r="H1175" s="154"/>
    </row>
    <row r="1176" spans="1:8" x14ac:dyDescent="0.3">
      <c r="A1176" s="154"/>
      <c r="B1176" s="154"/>
      <c r="C1176" s="155"/>
      <c r="D1176" s="155"/>
      <c r="E1176" s="155"/>
      <c r="F1176" s="155"/>
      <c r="G1176" s="154"/>
      <c r="H1176" s="154"/>
    </row>
    <row r="1177" spans="1:8" x14ac:dyDescent="0.3">
      <c r="A1177" s="154"/>
      <c r="B1177" s="154"/>
      <c r="C1177" s="155"/>
      <c r="D1177" s="155"/>
      <c r="E1177" s="155"/>
      <c r="F1177" s="155"/>
      <c r="G1177" s="154"/>
      <c r="H1177" s="154"/>
    </row>
    <row r="1178" spans="1:8" x14ac:dyDescent="0.3">
      <c r="A1178" s="154"/>
      <c r="B1178" s="154"/>
      <c r="C1178" s="155"/>
      <c r="D1178" s="155"/>
      <c r="E1178" s="155"/>
      <c r="F1178" s="155"/>
      <c r="G1178" s="154"/>
      <c r="H1178" s="154"/>
    </row>
    <row r="1179" spans="1:8" x14ac:dyDescent="0.3">
      <c r="A1179" s="154"/>
      <c r="B1179" s="154"/>
      <c r="C1179" s="155"/>
      <c r="D1179" s="155"/>
      <c r="E1179" s="155"/>
      <c r="F1179" s="155"/>
      <c r="G1179" s="154"/>
      <c r="H1179" s="154"/>
    </row>
    <row r="1180" spans="1:8" x14ac:dyDescent="0.3">
      <c r="A1180" s="154"/>
      <c r="B1180" s="154"/>
      <c r="C1180" s="155"/>
      <c r="D1180" s="155"/>
      <c r="E1180" s="155"/>
      <c r="F1180" s="155"/>
      <c r="G1180" s="154"/>
      <c r="H1180" s="154"/>
    </row>
    <row r="1181" spans="1:8" x14ac:dyDescent="0.3">
      <c r="A1181" s="154"/>
      <c r="B1181" s="154"/>
      <c r="C1181" s="155"/>
      <c r="D1181" s="155"/>
      <c r="E1181" s="155"/>
      <c r="F1181" s="155"/>
      <c r="G1181" s="154"/>
      <c r="H1181" s="154"/>
    </row>
    <row r="1182" spans="1:8" x14ac:dyDescent="0.3">
      <c r="A1182" s="154"/>
      <c r="B1182" s="154"/>
      <c r="C1182" s="155"/>
      <c r="D1182" s="155"/>
      <c r="E1182" s="155"/>
      <c r="F1182" s="155"/>
      <c r="G1182" s="154"/>
      <c r="H1182" s="154"/>
    </row>
    <row r="1183" spans="1:8" x14ac:dyDescent="0.3">
      <c r="A1183" s="154"/>
      <c r="B1183" s="154"/>
      <c r="C1183" s="155"/>
      <c r="D1183" s="155"/>
      <c r="E1183" s="155"/>
      <c r="F1183" s="155"/>
      <c r="G1183" s="154"/>
      <c r="H1183" s="154"/>
    </row>
    <row r="1184" spans="1:8" x14ac:dyDescent="0.3">
      <c r="A1184" s="154"/>
      <c r="B1184" s="154"/>
      <c r="C1184" s="155"/>
      <c r="D1184" s="155"/>
      <c r="E1184" s="155"/>
      <c r="F1184" s="155"/>
      <c r="G1184" s="154"/>
      <c r="H1184" s="154"/>
    </row>
    <row r="1185" spans="1:8" x14ac:dyDescent="0.3">
      <c r="A1185" s="154"/>
      <c r="B1185" s="154"/>
      <c r="C1185" s="155"/>
      <c r="D1185" s="155"/>
      <c r="E1185" s="155"/>
      <c r="F1185" s="155"/>
      <c r="G1185" s="154"/>
      <c r="H1185" s="154"/>
    </row>
    <row r="1186" spans="1:8" x14ac:dyDescent="0.3">
      <c r="A1186" s="154"/>
      <c r="B1186" s="154"/>
      <c r="C1186" s="155"/>
      <c r="D1186" s="155"/>
      <c r="E1186" s="155"/>
      <c r="F1186" s="155"/>
      <c r="G1186" s="154"/>
      <c r="H1186" s="154"/>
    </row>
    <row r="1187" spans="1:8" x14ac:dyDescent="0.3">
      <c r="A1187" s="154"/>
      <c r="B1187" s="154"/>
      <c r="C1187" s="155"/>
      <c r="D1187" s="155"/>
      <c r="E1187" s="155"/>
      <c r="F1187" s="155"/>
      <c r="G1187" s="154"/>
      <c r="H1187" s="154"/>
    </row>
    <row r="1188" spans="1:8" x14ac:dyDescent="0.3">
      <c r="A1188" s="154"/>
      <c r="B1188" s="154"/>
      <c r="C1188" s="155"/>
      <c r="D1188" s="155"/>
      <c r="E1188" s="155"/>
      <c r="F1188" s="155"/>
      <c r="G1188" s="154"/>
      <c r="H1188" s="154"/>
    </row>
    <row r="1189" spans="1:8" x14ac:dyDescent="0.3">
      <c r="A1189" s="154"/>
      <c r="B1189" s="154"/>
      <c r="C1189" s="155"/>
      <c r="D1189" s="155"/>
      <c r="E1189" s="155"/>
      <c r="F1189" s="155"/>
      <c r="G1189" s="154"/>
      <c r="H1189" s="154"/>
    </row>
    <row r="1190" spans="1:8" x14ac:dyDescent="0.3">
      <c r="A1190" s="154"/>
      <c r="B1190" s="154"/>
      <c r="C1190" s="155"/>
      <c r="D1190" s="155"/>
      <c r="E1190" s="155"/>
      <c r="F1190" s="155"/>
      <c r="G1190" s="154"/>
      <c r="H1190" s="154"/>
    </row>
    <row r="1191" spans="1:8" x14ac:dyDescent="0.3">
      <c r="A1191" s="154"/>
      <c r="B1191" s="154"/>
      <c r="C1191" s="155"/>
      <c r="D1191" s="155"/>
      <c r="E1191" s="155"/>
      <c r="F1191" s="155"/>
      <c r="G1191" s="154"/>
      <c r="H1191" s="154"/>
    </row>
    <row r="1192" spans="1:8" x14ac:dyDescent="0.3">
      <c r="A1192" s="154"/>
      <c r="B1192" s="154"/>
      <c r="C1192" s="155"/>
      <c r="D1192" s="155"/>
      <c r="E1192" s="155"/>
      <c r="F1192" s="155"/>
      <c r="G1192" s="154"/>
      <c r="H1192" s="154"/>
    </row>
    <row r="1193" spans="1:8" x14ac:dyDescent="0.3">
      <c r="A1193" s="154"/>
      <c r="B1193" s="154"/>
      <c r="C1193" s="155"/>
      <c r="D1193" s="155"/>
      <c r="E1193" s="155"/>
      <c r="F1193" s="155"/>
      <c r="G1193" s="154"/>
      <c r="H1193" s="154"/>
    </row>
    <row r="1194" spans="1:8" x14ac:dyDescent="0.3">
      <c r="A1194" s="154"/>
      <c r="B1194" s="154"/>
      <c r="C1194" s="155"/>
      <c r="D1194" s="155"/>
      <c r="E1194" s="155"/>
      <c r="F1194" s="155"/>
      <c r="G1194" s="154"/>
      <c r="H1194" s="154"/>
    </row>
    <row r="1195" spans="1:8" x14ac:dyDescent="0.3">
      <c r="A1195" s="154"/>
      <c r="B1195" s="154"/>
      <c r="C1195" s="155"/>
      <c r="D1195" s="155"/>
      <c r="E1195" s="155"/>
      <c r="F1195" s="155"/>
      <c r="G1195" s="154"/>
      <c r="H1195" s="154"/>
    </row>
    <row r="1196" spans="1:8" x14ac:dyDescent="0.3">
      <c r="A1196" s="154"/>
      <c r="B1196" s="154"/>
      <c r="C1196" s="155"/>
      <c r="D1196" s="155"/>
      <c r="E1196" s="155"/>
      <c r="F1196" s="155"/>
      <c r="G1196" s="154"/>
      <c r="H1196" s="154"/>
    </row>
    <row r="1197" spans="1:8" x14ac:dyDescent="0.3">
      <c r="A1197" s="154"/>
      <c r="B1197" s="154"/>
      <c r="C1197" s="155"/>
      <c r="D1197" s="155"/>
      <c r="E1197" s="155"/>
      <c r="F1197" s="155"/>
      <c r="G1197" s="154"/>
      <c r="H1197" s="154"/>
    </row>
    <row r="1198" spans="1:8" x14ac:dyDescent="0.3">
      <c r="A1198" s="154"/>
      <c r="B1198" s="154"/>
      <c r="C1198" s="155"/>
      <c r="D1198" s="155"/>
      <c r="E1198" s="155"/>
      <c r="F1198" s="155"/>
      <c r="G1198" s="154"/>
      <c r="H1198" s="154"/>
    </row>
    <row r="1199" spans="1:8" x14ac:dyDescent="0.3">
      <c r="A1199" s="154"/>
      <c r="B1199" s="154"/>
      <c r="C1199" s="155"/>
      <c r="D1199" s="155"/>
      <c r="E1199" s="155"/>
      <c r="F1199" s="155"/>
      <c r="G1199" s="154"/>
      <c r="H1199" s="154"/>
    </row>
    <row r="1200" spans="1:8" x14ac:dyDescent="0.3">
      <c r="A1200" s="154"/>
      <c r="B1200" s="154"/>
      <c r="C1200" s="155"/>
      <c r="D1200" s="155"/>
      <c r="E1200" s="155"/>
      <c r="F1200" s="155"/>
      <c r="G1200" s="154"/>
      <c r="H1200" s="154"/>
    </row>
    <row r="1201" spans="1:8" x14ac:dyDescent="0.3">
      <c r="A1201" s="154"/>
      <c r="B1201" s="154"/>
      <c r="C1201" s="155"/>
      <c r="D1201" s="155"/>
      <c r="E1201" s="155"/>
      <c r="F1201" s="155"/>
      <c r="G1201" s="154"/>
      <c r="H1201" s="154"/>
    </row>
    <row r="1202" spans="1:8" x14ac:dyDescent="0.3">
      <c r="A1202" s="154"/>
      <c r="B1202" s="154"/>
      <c r="C1202" s="155"/>
      <c r="D1202" s="155"/>
      <c r="E1202" s="155"/>
      <c r="F1202" s="155"/>
      <c r="G1202" s="154"/>
      <c r="H1202" s="154"/>
    </row>
    <row r="1203" spans="1:8" x14ac:dyDescent="0.3">
      <c r="A1203" s="154"/>
      <c r="B1203" s="154"/>
      <c r="C1203" s="155"/>
      <c r="D1203" s="155"/>
      <c r="E1203" s="155"/>
      <c r="F1203" s="155"/>
      <c r="G1203" s="154"/>
      <c r="H1203" s="154"/>
    </row>
    <row r="1204" spans="1:8" x14ac:dyDescent="0.3">
      <c r="A1204" s="154"/>
      <c r="B1204" s="154"/>
      <c r="C1204" s="155"/>
      <c r="D1204" s="155"/>
      <c r="E1204" s="155"/>
      <c r="F1204" s="155"/>
      <c r="G1204" s="154"/>
      <c r="H1204" s="154"/>
    </row>
    <row r="1205" spans="1:8" x14ac:dyDescent="0.3">
      <c r="A1205" s="154"/>
      <c r="B1205" s="154"/>
      <c r="C1205" s="155"/>
      <c r="D1205" s="155"/>
      <c r="E1205" s="155"/>
      <c r="F1205" s="155"/>
      <c r="G1205" s="154"/>
      <c r="H1205" s="154"/>
    </row>
    <row r="1206" spans="1:8" x14ac:dyDescent="0.3">
      <c r="A1206" s="154"/>
      <c r="B1206" s="154"/>
      <c r="C1206" s="155"/>
      <c r="D1206" s="155"/>
      <c r="E1206" s="155"/>
      <c r="F1206" s="155"/>
      <c r="G1206" s="154"/>
      <c r="H1206" s="154"/>
    </row>
    <row r="1207" spans="1:8" x14ac:dyDescent="0.3">
      <c r="A1207" s="154"/>
      <c r="B1207" s="154"/>
      <c r="C1207" s="155"/>
      <c r="D1207" s="155"/>
      <c r="E1207" s="155"/>
      <c r="F1207" s="155"/>
      <c r="G1207" s="154"/>
      <c r="H1207" s="154"/>
    </row>
    <row r="1208" spans="1:8" x14ac:dyDescent="0.3">
      <c r="A1208" s="154"/>
      <c r="B1208" s="154"/>
      <c r="C1208" s="155"/>
      <c r="D1208" s="155"/>
      <c r="E1208" s="155"/>
      <c r="F1208" s="155"/>
      <c r="G1208" s="154"/>
      <c r="H1208" s="154"/>
    </row>
    <row r="1209" spans="1:8" x14ac:dyDescent="0.3">
      <c r="A1209" s="154"/>
      <c r="B1209" s="154"/>
      <c r="C1209" s="155"/>
      <c r="D1209" s="155"/>
      <c r="E1209" s="155"/>
      <c r="F1209" s="155"/>
      <c r="G1209" s="154"/>
      <c r="H1209" s="154"/>
    </row>
    <row r="1210" spans="1:8" x14ac:dyDescent="0.3">
      <c r="A1210" s="154"/>
      <c r="B1210" s="154"/>
      <c r="C1210" s="155"/>
      <c r="D1210" s="155"/>
      <c r="E1210" s="155"/>
      <c r="F1210" s="155"/>
      <c r="G1210" s="154"/>
      <c r="H1210" s="154"/>
    </row>
    <row r="1211" spans="1:8" x14ac:dyDescent="0.3">
      <c r="A1211" s="154"/>
      <c r="B1211" s="154"/>
      <c r="C1211" s="155"/>
      <c r="D1211" s="155"/>
      <c r="E1211" s="155"/>
      <c r="F1211" s="155"/>
      <c r="G1211" s="154"/>
      <c r="H1211" s="154"/>
    </row>
    <row r="1212" spans="1:8" x14ac:dyDescent="0.3">
      <c r="A1212" s="154"/>
      <c r="B1212" s="154"/>
      <c r="C1212" s="155"/>
      <c r="D1212" s="155"/>
      <c r="E1212" s="155"/>
      <c r="F1212" s="155"/>
      <c r="G1212" s="154"/>
      <c r="H1212" s="154"/>
    </row>
    <row r="1213" spans="1:8" x14ac:dyDescent="0.3">
      <c r="A1213" s="154"/>
      <c r="B1213" s="154"/>
      <c r="C1213" s="155"/>
      <c r="D1213" s="155"/>
      <c r="E1213" s="155"/>
      <c r="F1213" s="155"/>
      <c r="G1213" s="154"/>
      <c r="H1213" s="154"/>
    </row>
    <row r="1214" spans="1:8" x14ac:dyDescent="0.3">
      <c r="A1214" s="154"/>
      <c r="B1214" s="154"/>
      <c r="C1214" s="155"/>
      <c r="D1214" s="155"/>
      <c r="E1214" s="155"/>
      <c r="F1214" s="155"/>
      <c r="G1214" s="154"/>
      <c r="H1214" s="154"/>
    </row>
    <row r="1215" spans="1:8" x14ac:dyDescent="0.3">
      <c r="A1215" s="154"/>
      <c r="B1215" s="154"/>
      <c r="C1215" s="155"/>
      <c r="D1215" s="155"/>
      <c r="E1215" s="155"/>
      <c r="F1215" s="155"/>
      <c r="G1215" s="154"/>
      <c r="H1215" s="154"/>
    </row>
    <row r="1216" spans="1:8" x14ac:dyDescent="0.3">
      <c r="A1216" s="154"/>
      <c r="B1216" s="154"/>
      <c r="C1216" s="155"/>
      <c r="D1216" s="155"/>
      <c r="E1216" s="155"/>
      <c r="F1216" s="155"/>
      <c r="G1216" s="154"/>
      <c r="H1216" s="154"/>
    </row>
    <row r="1217" spans="1:8" x14ac:dyDescent="0.3">
      <c r="A1217" s="154"/>
      <c r="B1217" s="154"/>
      <c r="C1217" s="155"/>
      <c r="D1217" s="155"/>
      <c r="E1217" s="155"/>
      <c r="F1217" s="155"/>
      <c r="G1217" s="154"/>
      <c r="H1217" s="154"/>
    </row>
    <row r="1218" spans="1:8" x14ac:dyDescent="0.3">
      <c r="A1218" s="154"/>
      <c r="B1218" s="154"/>
      <c r="C1218" s="155"/>
      <c r="D1218" s="155"/>
      <c r="E1218" s="155"/>
      <c r="F1218" s="155"/>
      <c r="G1218" s="154"/>
      <c r="H1218" s="154"/>
    </row>
    <row r="1219" spans="1:8" x14ac:dyDescent="0.3">
      <c r="A1219" s="154"/>
      <c r="B1219" s="154"/>
      <c r="C1219" s="155"/>
      <c r="D1219" s="155"/>
      <c r="E1219" s="155"/>
      <c r="F1219" s="155"/>
      <c r="G1219" s="154"/>
      <c r="H1219" s="154"/>
    </row>
    <row r="1220" spans="1:8" x14ac:dyDescent="0.3">
      <c r="A1220" s="154"/>
      <c r="B1220" s="154"/>
      <c r="C1220" s="155"/>
      <c r="D1220" s="155"/>
      <c r="E1220" s="155"/>
      <c r="F1220" s="155"/>
      <c r="G1220" s="154"/>
      <c r="H1220" s="154"/>
    </row>
    <row r="1221" spans="1:8" x14ac:dyDescent="0.3">
      <c r="A1221" s="154"/>
      <c r="B1221" s="154"/>
      <c r="C1221" s="155"/>
      <c r="D1221" s="155"/>
      <c r="E1221" s="155"/>
      <c r="F1221" s="155"/>
      <c r="G1221" s="154"/>
      <c r="H1221" s="154"/>
    </row>
    <row r="1222" spans="1:8" x14ac:dyDescent="0.3">
      <c r="A1222" s="154"/>
      <c r="B1222" s="154"/>
      <c r="C1222" s="155"/>
      <c r="D1222" s="155"/>
      <c r="E1222" s="155"/>
      <c r="F1222" s="155"/>
      <c r="G1222" s="154"/>
      <c r="H1222" s="154"/>
    </row>
    <row r="1223" spans="1:8" x14ac:dyDescent="0.3">
      <c r="A1223" s="154"/>
      <c r="B1223" s="154"/>
      <c r="C1223" s="155"/>
      <c r="D1223" s="155"/>
      <c r="E1223" s="155"/>
      <c r="F1223" s="155"/>
      <c r="G1223" s="154"/>
      <c r="H1223" s="154"/>
    </row>
    <row r="1224" spans="1:8" x14ac:dyDescent="0.3">
      <c r="A1224" s="154"/>
      <c r="B1224" s="154"/>
      <c r="C1224" s="155"/>
      <c r="D1224" s="155"/>
      <c r="E1224" s="155"/>
      <c r="F1224" s="155"/>
      <c r="G1224" s="154"/>
      <c r="H1224" s="154"/>
    </row>
    <row r="1225" spans="1:8" x14ac:dyDescent="0.3">
      <c r="A1225" s="154"/>
      <c r="B1225" s="154"/>
      <c r="C1225" s="155"/>
      <c r="D1225" s="155"/>
      <c r="E1225" s="155"/>
      <c r="F1225" s="155"/>
      <c r="G1225" s="154"/>
      <c r="H1225" s="154"/>
    </row>
    <row r="1226" spans="1:8" x14ac:dyDescent="0.3">
      <c r="A1226" s="154"/>
      <c r="B1226" s="154"/>
      <c r="C1226" s="155"/>
      <c r="D1226" s="155"/>
      <c r="E1226" s="155"/>
      <c r="F1226" s="155"/>
      <c r="G1226" s="154"/>
      <c r="H1226" s="154"/>
    </row>
    <row r="1227" spans="1:8" x14ac:dyDescent="0.3">
      <c r="A1227" s="154"/>
      <c r="B1227" s="154"/>
      <c r="C1227" s="155"/>
      <c r="D1227" s="155"/>
      <c r="E1227" s="155"/>
      <c r="F1227" s="155"/>
      <c r="G1227" s="154"/>
      <c r="H1227" s="154"/>
    </row>
    <row r="1228" spans="1:8" x14ac:dyDescent="0.3">
      <c r="A1228" s="154"/>
      <c r="B1228" s="154"/>
      <c r="C1228" s="155"/>
      <c r="D1228" s="155"/>
      <c r="E1228" s="155"/>
      <c r="F1228" s="155"/>
      <c r="G1228" s="154"/>
      <c r="H1228" s="154"/>
    </row>
    <row r="1229" spans="1:8" x14ac:dyDescent="0.3">
      <c r="A1229" s="154"/>
      <c r="B1229" s="154"/>
      <c r="C1229" s="155"/>
      <c r="D1229" s="155"/>
      <c r="E1229" s="155"/>
      <c r="F1229" s="155"/>
      <c r="G1229" s="154"/>
      <c r="H1229" s="154"/>
    </row>
    <row r="1230" spans="1:8" x14ac:dyDescent="0.3">
      <c r="A1230" s="154"/>
      <c r="B1230" s="154"/>
      <c r="C1230" s="155"/>
      <c r="D1230" s="155"/>
      <c r="E1230" s="155"/>
      <c r="F1230" s="155"/>
      <c r="G1230" s="154"/>
      <c r="H1230" s="154"/>
    </row>
    <row r="1231" spans="1:8" x14ac:dyDescent="0.3">
      <c r="A1231" s="154"/>
      <c r="B1231" s="154"/>
      <c r="C1231" s="155"/>
      <c r="D1231" s="155"/>
      <c r="E1231" s="155"/>
      <c r="F1231" s="155"/>
      <c r="G1231" s="154"/>
      <c r="H1231" s="154"/>
    </row>
    <row r="1232" spans="1:8" x14ac:dyDescent="0.3">
      <c r="A1232" s="154"/>
      <c r="B1232" s="154"/>
      <c r="C1232" s="155"/>
      <c r="D1232" s="155"/>
      <c r="E1232" s="155"/>
      <c r="F1232" s="155"/>
      <c r="G1232" s="154"/>
      <c r="H1232" s="154"/>
    </row>
    <row r="1233" spans="1:8" x14ac:dyDescent="0.3">
      <c r="A1233" s="154"/>
      <c r="B1233" s="154"/>
      <c r="C1233" s="155"/>
      <c r="D1233" s="155"/>
      <c r="E1233" s="155"/>
      <c r="F1233" s="155"/>
      <c r="G1233" s="154"/>
      <c r="H1233" s="154"/>
    </row>
    <row r="1234" spans="1:8" x14ac:dyDescent="0.3">
      <c r="A1234" s="154"/>
      <c r="B1234" s="154"/>
      <c r="C1234" s="155"/>
      <c r="D1234" s="155"/>
      <c r="E1234" s="155"/>
      <c r="F1234" s="155"/>
      <c r="G1234" s="154"/>
      <c r="H1234" s="154"/>
    </row>
    <row r="1235" spans="1:8" x14ac:dyDescent="0.3">
      <c r="A1235" s="154"/>
      <c r="B1235" s="154"/>
      <c r="C1235" s="155"/>
      <c r="D1235" s="155"/>
      <c r="E1235" s="155"/>
      <c r="F1235" s="155"/>
      <c r="G1235" s="154"/>
      <c r="H1235" s="154"/>
    </row>
    <row r="1236" spans="1:8" x14ac:dyDescent="0.3">
      <c r="A1236" s="154"/>
      <c r="B1236" s="154"/>
      <c r="C1236" s="155"/>
      <c r="D1236" s="155"/>
      <c r="E1236" s="155"/>
      <c r="F1236" s="155"/>
      <c r="G1236" s="154"/>
      <c r="H1236" s="154"/>
    </row>
    <row r="1237" spans="1:8" x14ac:dyDescent="0.3">
      <c r="A1237" s="154"/>
      <c r="B1237" s="154"/>
      <c r="C1237" s="155"/>
      <c r="D1237" s="155"/>
      <c r="E1237" s="155"/>
      <c r="F1237" s="155"/>
      <c r="G1237" s="154"/>
      <c r="H1237" s="154"/>
    </row>
    <row r="1238" spans="1:8" x14ac:dyDescent="0.3">
      <c r="A1238" s="154"/>
      <c r="B1238" s="154"/>
      <c r="C1238" s="155"/>
      <c r="D1238" s="155"/>
      <c r="E1238" s="155"/>
      <c r="F1238" s="155"/>
      <c r="G1238" s="154"/>
      <c r="H1238" s="154"/>
    </row>
    <row r="1239" spans="1:8" x14ac:dyDescent="0.3">
      <c r="A1239" s="154"/>
      <c r="B1239" s="154"/>
      <c r="C1239" s="155"/>
      <c r="D1239" s="155"/>
      <c r="E1239" s="155"/>
      <c r="F1239" s="155"/>
      <c r="G1239" s="154"/>
      <c r="H1239" s="154"/>
    </row>
    <row r="1240" spans="1:8" x14ac:dyDescent="0.3">
      <c r="A1240" s="154"/>
      <c r="B1240" s="154"/>
      <c r="C1240" s="155"/>
      <c r="D1240" s="155"/>
      <c r="E1240" s="155"/>
      <c r="F1240" s="155"/>
      <c r="G1240" s="154"/>
      <c r="H1240" s="154"/>
    </row>
    <row r="1241" spans="1:8" x14ac:dyDescent="0.3">
      <c r="A1241" s="154"/>
      <c r="B1241" s="154"/>
      <c r="C1241" s="155"/>
      <c r="D1241" s="155"/>
      <c r="E1241" s="155"/>
      <c r="F1241" s="155"/>
      <c r="G1241" s="154"/>
      <c r="H1241" s="154"/>
    </row>
    <row r="1242" spans="1:8" x14ac:dyDescent="0.3">
      <c r="A1242" s="154"/>
      <c r="B1242" s="154"/>
      <c r="C1242" s="155"/>
      <c r="D1242" s="155"/>
      <c r="E1242" s="155"/>
      <c r="F1242" s="155"/>
      <c r="G1242" s="154"/>
      <c r="H1242" s="154"/>
    </row>
    <row r="1243" spans="1:8" x14ac:dyDescent="0.3">
      <c r="A1243" s="154"/>
      <c r="B1243" s="154"/>
      <c r="C1243" s="155"/>
      <c r="D1243" s="155"/>
      <c r="E1243" s="155"/>
      <c r="F1243" s="155"/>
      <c r="G1243" s="154"/>
      <c r="H1243" s="154"/>
    </row>
    <row r="1244" spans="1:8" x14ac:dyDescent="0.3">
      <c r="A1244" s="154"/>
      <c r="B1244" s="154"/>
      <c r="C1244" s="155"/>
      <c r="D1244" s="155"/>
      <c r="E1244" s="155"/>
      <c r="F1244" s="155"/>
      <c r="G1244" s="154"/>
      <c r="H1244" s="154"/>
    </row>
    <row r="1245" spans="1:8" x14ac:dyDescent="0.3">
      <c r="A1245" s="154"/>
      <c r="B1245" s="154"/>
      <c r="C1245" s="155"/>
      <c r="D1245" s="155"/>
      <c r="E1245" s="155"/>
      <c r="F1245" s="155"/>
      <c r="G1245" s="154"/>
      <c r="H1245" s="154"/>
    </row>
    <row r="1246" spans="1:8" x14ac:dyDescent="0.3">
      <c r="C1246" s="156"/>
      <c r="D1246" s="156"/>
      <c r="E1246" s="156"/>
      <c r="F1246" s="156"/>
    </row>
    <row r="1247" spans="1:8" x14ac:dyDescent="0.3">
      <c r="C1247" s="156"/>
      <c r="D1247" s="156"/>
      <c r="E1247" s="156"/>
      <c r="F1247" s="156"/>
    </row>
    <row r="1248" spans="1:8" x14ac:dyDescent="0.3">
      <c r="C1248" s="156"/>
      <c r="D1248" s="156"/>
      <c r="E1248" s="156"/>
      <c r="F1248" s="156"/>
    </row>
    <row r="1249" spans="3:6" x14ac:dyDescent="0.3">
      <c r="C1249" s="156"/>
      <c r="D1249" s="156"/>
      <c r="E1249" s="156"/>
      <c r="F1249" s="156"/>
    </row>
    <row r="1250" spans="3:6" x14ac:dyDescent="0.3">
      <c r="C1250" s="156"/>
      <c r="D1250" s="156"/>
      <c r="E1250" s="156"/>
      <c r="F1250" s="156"/>
    </row>
    <row r="1251" spans="3:6" x14ac:dyDescent="0.3">
      <c r="C1251" s="156"/>
      <c r="D1251" s="156"/>
      <c r="E1251" s="156"/>
      <c r="F1251" s="156"/>
    </row>
    <row r="1252" spans="3:6" x14ac:dyDescent="0.3">
      <c r="C1252" s="156"/>
      <c r="D1252" s="156"/>
      <c r="E1252" s="156"/>
      <c r="F1252" s="156"/>
    </row>
    <row r="1253" spans="3:6" x14ac:dyDescent="0.3">
      <c r="C1253" s="156"/>
      <c r="D1253" s="156"/>
      <c r="E1253" s="156"/>
      <c r="F1253" s="156"/>
    </row>
    <row r="1254" spans="3:6" x14ac:dyDescent="0.3">
      <c r="C1254" s="156"/>
      <c r="D1254" s="156"/>
      <c r="E1254" s="156"/>
      <c r="F1254" s="156"/>
    </row>
    <row r="1255" spans="3:6" x14ac:dyDescent="0.3">
      <c r="C1255" s="156"/>
      <c r="D1255" s="156"/>
      <c r="E1255" s="156"/>
      <c r="F1255" s="156"/>
    </row>
    <row r="1256" spans="3:6" x14ac:dyDescent="0.3">
      <c r="C1256" s="156"/>
      <c r="D1256" s="156"/>
      <c r="E1256" s="156"/>
      <c r="F1256" s="156"/>
    </row>
    <row r="1257" spans="3:6" x14ac:dyDescent="0.3">
      <c r="C1257" s="156"/>
      <c r="D1257" s="156"/>
      <c r="E1257" s="156"/>
      <c r="F1257" s="156"/>
    </row>
    <row r="1258" spans="3:6" x14ac:dyDescent="0.3">
      <c r="C1258" s="156"/>
      <c r="D1258" s="156"/>
      <c r="E1258" s="156"/>
      <c r="F1258" s="156"/>
    </row>
    <row r="1259" spans="3:6" x14ac:dyDescent="0.3">
      <c r="C1259" s="156"/>
      <c r="D1259" s="156"/>
      <c r="E1259" s="156"/>
      <c r="F1259" s="156"/>
    </row>
    <row r="1260" spans="3:6" x14ac:dyDescent="0.3">
      <c r="C1260" s="156"/>
      <c r="D1260" s="156"/>
      <c r="E1260" s="156"/>
      <c r="F1260" s="156"/>
    </row>
    <row r="1261" spans="3:6" x14ac:dyDescent="0.3">
      <c r="C1261" s="156"/>
      <c r="D1261" s="156"/>
      <c r="E1261" s="156"/>
      <c r="F1261" s="156"/>
    </row>
    <row r="1262" spans="3:6" x14ac:dyDescent="0.3">
      <c r="C1262" s="156"/>
      <c r="D1262" s="156"/>
      <c r="E1262" s="156"/>
      <c r="F1262" s="156"/>
    </row>
    <row r="1263" spans="3:6" x14ac:dyDescent="0.3">
      <c r="C1263" s="156"/>
      <c r="D1263" s="156"/>
      <c r="E1263" s="156"/>
      <c r="F1263" s="156"/>
    </row>
    <row r="1264" spans="3:6" x14ac:dyDescent="0.3">
      <c r="C1264" s="156"/>
      <c r="D1264" s="156"/>
      <c r="E1264" s="156"/>
      <c r="F1264" s="156"/>
    </row>
    <row r="1265" spans="3:6" x14ac:dyDescent="0.3">
      <c r="C1265" s="156"/>
      <c r="D1265" s="156"/>
      <c r="E1265" s="156"/>
      <c r="F1265" s="156"/>
    </row>
    <row r="1266" spans="3:6" x14ac:dyDescent="0.3">
      <c r="C1266" s="156"/>
      <c r="D1266" s="156"/>
      <c r="E1266" s="156"/>
      <c r="F1266" s="156"/>
    </row>
    <row r="1267" spans="3:6" x14ac:dyDescent="0.3">
      <c r="C1267" s="156"/>
      <c r="D1267" s="156"/>
      <c r="E1267" s="156"/>
      <c r="F1267" s="156"/>
    </row>
    <row r="1268" spans="3:6" x14ac:dyDescent="0.3">
      <c r="C1268" s="156"/>
      <c r="D1268" s="156"/>
      <c r="E1268" s="156"/>
      <c r="F1268" s="156"/>
    </row>
    <row r="1269" spans="3:6" x14ac:dyDescent="0.3">
      <c r="C1269" s="156"/>
      <c r="D1269" s="156"/>
      <c r="E1269" s="156"/>
      <c r="F1269" s="156"/>
    </row>
    <row r="1270" spans="3:6" x14ac:dyDescent="0.3">
      <c r="C1270" s="156"/>
      <c r="D1270" s="156"/>
      <c r="E1270" s="156"/>
      <c r="F1270" s="156"/>
    </row>
    <row r="1271" spans="3:6" x14ac:dyDescent="0.3">
      <c r="C1271" s="156"/>
      <c r="D1271" s="156"/>
      <c r="E1271" s="156"/>
      <c r="F1271" s="156"/>
    </row>
    <row r="1272" spans="3:6" x14ac:dyDescent="0.3">
      <c r="C1272" s="156"/>
      <c r="D1272" s="156"/>
      <c r="E1272" s="156"/>
      <c r="F1272" s="156"/>
    </row>
    <row r="1273" spans="3:6" x14ac:dyDescent="0.3">
      <c r="C1273" s="156"/>
      <c r="D1273" s="156"/>
      <c r="E1273" s="156"/>
      <c r="F1273" s="156"/>
    </row>
    <row r="1274" spans="3:6" x14ac:dyDescent="0.3">
      <c r="C1274" s="156"/>
      <c r="D1274" s="156"/>
      <c r="E1274" s="156"/>
      <c r="F1274" s="156"/>
    </row>
    <row r="1275" spans="3:6" x14ac:dyDescent="0.3">
      <c r="C1275" s="156"/>
      <c r="D1275" s="156"/>
      <c r="E1275" s="156"/>
      <c r="F1275" s="156"/>
    </row>
    <row r="1276" spans="3:6" x14ac:dyDescent="0.3">
      <c r="C1276" s="156"/>
      <c r="D1276" s="156"/>
      <c r="E1276" s="156"/>
      <c r="F1276" s="156"/>
    </row>
    <row r="1277" spans="3:6" x14ac:dyDescent="0.3">
      <c r="C1277" s="156"/>
      <c r="D1277" s="156"/>
      <c r="E1277" s="156"/>
      <c r="F1277" s="156"/>
    </row>
    <row r="1278" spans="3:6" x14ac:dyDescent="0.3">
      <c r="C1278" s="156"/>
      <c r="D1278" s="156"/>
      <c r="E1278" s="156"/>
      <c r="F1278" s="156"/>
    </row>
    <row r="1279" spans="3:6" x14ac:dyDescent="0.3">
      <c r="C1279" s="156"/>
      <c r="D1279" s="156"/>
      <c r="E1279" s="156"/>
      <c r="F1279" s="156"/>
    </row>
    <row r="1280" spans="3:6" x14ac:dyDescent="0.3">
      <c r="C1280" s="156"/>
      <c r="D1280" s="156"/>
      <c r="E1280" s="156"/>
      <c r="F1280" s="156"/>
    </row>
    <row r="1281" spans="3:6" x14ac:dyDescent="0.3">
      <c r="C1281" s="156"/>
      <c r="D1281" s="156"/>
      <c r="E1281" s="156"/>
      <c r="F1281" s="156"/>
    </row>
    <row r="1282" spans="3:6" x14ac:dyDescent="0.3">
      <c r="C1282" s="156"/>
      <c r="D1282" s="156"/>
      <c r="E1282" s="156"/>
      <c r="F1282" s="156"/>
    </row>
    <row r="1283" spans="3:6" x14ac:dyDescent="0.3">
      <c r="C1283" s="156"/>
      <c r="D1283" s="156"/>
      <c r="E1283" s="156"/>
      <c r="F1283" s="156"/>
    </row>
    <row r="1284" spans="3:6" x14ac:dyDescent="0.3">
      <c r="C1284" s="156"/>
      <c r="D1284" s="156"/>
      <c r="E1284" s="156"/>
      <c r="F1284" s="156"/>
    </row>
    <row r="1285" spans="3:6" x14ac:dyDescent="0.3">
      <c r="C1285" s="156"/>
      <c r="D1285" s="156"/>
      <c r="E1285" s="156"/>
      <c r="F1285" s="156"/>
    </row>
    <row r="1286" spans="3:6" x14ac:dyDescent="0.3">
      <c r="C1286" s="156"/>
      <c r="D1286" s="156"/>
      <c r="E1286" s="156"/>
      <c r="F1286" s="156"/>
    </row>
    <row r="1287" spans="3:6" x14ac:dyDescent="0.3">
      <c r="C1287" s="156"/>
      <c r="D1287" s="156"/>
      <c r="E1287" s="156"/>
      <c r="F1287" s="156"/>
    </row>
    <row r="1288" spans="3:6" x14ac:dyDescent="0.3">
      <c r="C1288" s="156"/>
      <c r="D1288" s="156"/>
      <c r="E1288" s="156"/>
      <c r="F1288" s="156"/>
    </row>
    <row r="1289" spans="3:6" x14ac:dyDescent="0.3">
      <c r="C1289" s="156"/>
      <c r="D1289" s="156"/>
      <c r="E1289" s="156"/>
      <c r="F1289" s="156"/>
    </row>
    <row r="1290" spans="3:6" x14ac:dyDescent="0.3">
      <c r="C1290" s="156"/>
      <c r="D1290" s="156"/>
      <c r="E1290" s="156"/>
      <c r="F1290" s="156"/>
    </row>
    <row r="1291" spans="3:6" x14ac:dyDescent="0.3">
      <c r="C1291" s="156"/>
      <c r="D1291" s="156"/>
      <c r="E1291" s="156"/>
      <c r="F1291" s="156"/>
    </row>
    <row r="1292" spans="3:6" x14ac:dyDescent="0.3">
      <c r="C1292" s="156"/>
      <c r="D1292" s="156"/>
      <c r="E1292" s="156"/>
      <c r="F1292" s="156"/>
    </row>
    <row r="1293" spans="3:6" x14ac:dyDescent="0.3">
      <c r="C1293" s="156"/>
      <c r="D1293" s="156"/>
      <c r="E1293" s="156"/>
      <c r="F1293" s="156"/>
    </row>
    <row r="1294" spans="3:6" x14ac:dyDescent="0.3">
      <c r="C1294" s="156"/>
      <c r="D1294" s="156"/>
      <c r="E1294" s="156"/>
      <c r="F1294" s="156"/>
    </row>
    <row r="1295" spans="3:6" x14ac:dyDescent="0.3">
      <c r="C1295" s="156"/>
      <c r="D1295" s="156"/>
      <c r="E1295" s="156"/>
      <c r="F1295" s="156"/>
    </row>
    <row r="1296" spans="3:6" x14ac:dyDescent="0.3">
      <c r="C1296" s="156"/>
      <c r="D1296" s="156"/>
      <c r="E1296" s="156"/>
      <c r="F1296" s="156"/>
    </row>
    <row r="1297" spans="3:6" x14ac:dyDescent="0.3">
      <c r="C1297" s="156"/>
      <c r="D1297" s="156"/>
      <c r="E1297" s="156"/>
      <c r="F1297" s="156"/>
    </row>
    <row r="1298" spans="3:6" x14ac:dyDescent="0.3">
      <c r="C1298" s="156"/>
      <c r="D1298" s="156"/>
      <c r="E1298" s="156"/>
      <c r="F1298" s="156"/>
    </row>
    <row r="1299" spans="3:6" x14ac:dyDescent="0.3">
      <c r="C1299" s="156"/>
      <c r="D1299" s="156"/>
      <c r="E1299" s="156"/>
      <c r="F1299" s="156"/>
    </row>
    <row r="1300" spans="3:6" x14ac:dyDescent="0.3">
      <c r="C1300" s="156"/>
      <c r="D1300" s="156"/>
      <c r="E1300" s="156"/>
      <c r="F1300" s="156"/>
    </row>
    <row r="1301" spans="3:6" x14ac:dyDescent="0.3">
      <c r="C1301" s="156"/>
      <c r="D1301" s="156"/>
      <c r="E1301" s="156"/>
      <c r="F1301" s="156"/>
    </row>
    <row r="1302" spans="3:6" x14ac:dyDescent="0.3">
      <c r="C1302" s="156"/>
      <c r="D1302" s="156"/>
      <c r="E1302" s="156"/>
      <c r="F1302" s="156"/>
    </row>
    <row r="1303" spans="3:6" x14ac:dyDescent="0.3">
      <c r="C1303" s="156"/>
      <c r="D1303" s="156"/>
      <c r="E1303" s="156"/>
      <c r="F1303" s="156"/>
    </row>
    <row r="1304" spans="3:6" x14ac:dyDescent="0.3">
      <c r="C1304" s="156"/>
      <c r="D1304" s="156"/>
      <c r="E1304" s="156"/>
      <c r="F1304" s="156"/>
    </row>
    <row r="1305" spans="3:6" x14ac:dyDescent="0.3">
      <c r="C1305" s="156"/>
      <c r="D1305" s="156"/>
      <c r="E1305" s="156"/>
      <c r="F1305" s="156"/>
    </row>
    <row r="1306" spans="3:6" x14ac:dyDescent="0.3">
      <c r="C1306" s="156"/>
      <c r="D1306" s="156"/>
      <c r="E1306" s="156"/>
      <c r="F1306" s="156"/>
    </row>
    <row r="1307" spans="3:6" x14ac:dyDescent="0.3">
      <c r="C1307" s="156"/>
      <c r="D1307" s="156"/>
      <c r="E1307" s="156"/>
      <c r="F1307" s="156"/>
    </row>
    <row r="1308" spans="3:6" x14ac:dyDescent="0.3">
      <c r="C1308" s="156"/>
      <c r="D1308" s="156"/>
      <c r="E1308" s="156"/>
      <c r="F1308" s="156"/>
    </row>
    <row r="1309" spans="3:6" x14ac:dyDescent="0.3">
      <c r="C1309" s="156"/>
      <c r="D1309" s="156"/>
      <c r="E1309" s="156"/>
      <c r="F1309" s="156"/>
    </row>
    <row r="1310" spans="3:6" x14ac:dyDescent="0.3">
      <c r="C1310" s="156"/>
      <c r="D1310" s="156"/>
      <c r="E1310" s="156"/>
      <c r="F1310" s="156"/>
    </row>
    <row r="1311" spans="3:6" x14ac:dyDescent="0.3">
      <c r="C1311" s="156"/>
      <c r="D1311" s="156"/>
      <c r="E1311" s="156"/>
      <c r="F1311" s="156"/>
    </row>
    <row r="1312" spans="3:6" x14ac:dyDescent="0.3">
      <c r="C1312" s="156"/>
      <c r="D1312" s="156"/>
      <c r="E1312" s="156"/>
      <c r="F1312" s="156"/>
    </row>
  </sheetData>
  <mergeCells count="106">
    <mergeCell ref="H860:H861"/>
    <mergeCell ref="F860:F861"/>
    <mergeCell ref="H876:H877"/>
    <mergeCell ref="B867:B868"/>
    <mergeCell ref="C867:C868"/>
    <mergeCell ref="B876:B877"/>
    <mergeCell ref="C876:C877"/>
    <mergeCell ref="D876:D877"/>
    <mergeCell ref="E876:E877"/>
    <mergeCell ref="F876:F877"/>
    <mergeCell ref="G876:G877"/>
    <mergeCell ref="H867:H868"/>
    <mergeCell ref="D867:D868"/>
    <mergeCell ref="E867:E868"/>
    <mergeCell ref="F867:F868"/>
    <mergeCell ref="G867:G868"/>
    <mergeCell ref="B847:B848"/>
    <mergeCell ref="C847:C848"/>
    <mergeCell ref="H847:H848"/>
    <mergeCell ref="F849:F850"/>
    <mergeCell ref="G849:G850"/>
    <mergeCell ref="F847:F848"/>
    <mergeCell ref="G847:G848"/>
    <mergeCell ref="B849:B850"/>
    <mergeCell ref="C849:C850"/>
    <mergeCell ref="D849:D850"/>
    <mergeCell ref="E849:E850"/>
    <mergeCell ref="D847:D848"/>
    <mergeCell ref="E847:E848"/>
    <mergeCell ref="H849:H850"/>
    <mergeCell ref="E672:E673"/>
    <mergeCell ref="B680:B681"/>
    <mergeCell ref="C680:C681"/>
    <mergeCell ref="D680:D681"/>
    <mergeCell ref="E680:E681"/>
    <mergeCell ref="H765:H766"/>
    <mergeCell ref="F765:F766"/>
    <mergeCell ref="G765:G766"/>
    <mergeCell ref="H672:H673"/>
    <mergeCell ref="B765:B766"/>
    <mergeCell ref="C765:C766"/>
    <mergeCell ref="D765:D766"/>
    <mergeCell ref="E765:E766"/>
    <mergeCell ref="F680:F681"/>
    <mergeCell ref="F672:F673"/>
    <mergeCell ref="G672:G673"/>
    <mergeCell ref="G680:G681"/>
    <mergeCell ref="H680:H681"/>
    <mergeCell ref="B672:B673"/>
    <mergeCell ref="C672:C673"/>
    <mergeCell ref="D672:D673"/>
    <mergeCell ref="A5:I5"/>
    <mergeCell ref="B100:B101"/>
    <mergeCell ref="C100:C101"/>
    <mergeCell ref="D100:D101"/>
    <mergeCell ref="E100:E101"/>
    <mergeCell ref="B661:B662"/>
    <mergeCell ref="C661:C662"/>
    <mergeCell ref="H661:H662"/>
    <mergeCell ref="D661:D662"/>
    <mergeCell ref="E661:E662"/>
    <mergeCell ref="F661:F662"/>
    <mergeCell ref="G661:G662"/>
    <mergeCell ref="A1:B1"/>
    <mergeCell ref="C1:D1"/>
    <mergeCell ref="E1:F1"/>
    <mergeCell ref="G1:I1"/>
    <mergeCell ref="A2:D2"/>
    <mergeCell ref="E2:I2"/>
    <mergeCell ref="A3:D3"/>
    <mergeCell ref="E3:I3"/>
    <mergeCell ref="A4:H4"/>
    <mergeCell ref="I672:I673"/>
    <mergeCell ref="I680:I681"/>
    <mergeCell ref="I765:I766"/>
    <mergeCell ref="I847:I848"/>
    <mergeCell ref="I849:I850"/>
    <mergeCell ref="F100:F101"/>
    <mergeCell ref="G100:G101"/>
    <mergeCell ref="I661:I662"/>
    <mergeCell ref="H100:H101"/>
    <mergeCell ref="I100:I101"/>
    <mergeCell ref="I858:I859"/>
    <mergeCell ref="I860:I861"/>
    <mergeCell ref="I867:I868"/>
    <mergeCell ref="I876:I877"/>
    <mergeCell ref="B1040:B1041"/>
    <mergeCell ref="C1040:C1041"/>
    <mergeCell ref="D1040:D1041"/>
    <mergeCell ref="E1040:E1041"/>
    <mergeCell ref="F1040:F1041"/>
    <mergeCell ref="G1040:G1041"/>
    <mergeCell ref="H1040:H1041"/>
    <mergeCell ref="I1040:I1041"/>
    <mergeCell ref="B860:B861"/>
    <mergeCell ref="C860:C861"/>
    <mergeCell ref="B858:B859"/>
    <mergeCell ref="C858:C859"/>
    <mergeCell ref="D858:D859"/>
    <mergeCell ref="E858:E859"/>
    <mergeCell ref="F858:F859"/>
    <mergeCell ref="H858:H859"/>
    <mergeCell ref="G858:G859"/>
    <mergeCell ref="D860:D861"/>
    <mergeCell ref="E860:E861"/>
    <mergeCell ref="G860:G861"/>
  </mergeCells>
  <phoneticPr fontId="0" type="noConversion"/>
  <printOptions horizontalCentered="1"/>
  <pageMargins left="0.63" right="0.28999999999999998" top="0.19" bottom="0.23" header="0.19" footer="0.23"/>
  <pageSetup paperSize="9" scale="60" fitToHeight="70" orientation="portrait" r:id="rId1"/>
  <headerFooter alignWithMargins="0">
    <oddFooter>Страница &amp;P&amp;R&amp;A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301"/>
  <sheetViews>
    <sheetView topLeftCell="A25" workbookViewId="0">
      <selection activeCell="A6" sqref="A6:F6"/>
    </sheetView>
  </sheetViews>
  <sheetFormatPr defaultColWidth="9.09765625" defaultRowHeight="15.55" x14ac:dyDescent="0.3"/>
  <cols>
    <col min="1" max="1" width="39" style="12" customWidth="1"/>
    <col min="2" max="3" width="12.69921875" style="12" customWidth="1"/>
    <col min="4" max="4" width="19.69921875" style="24" customWidth="1"/>
    <col min="5" max="5" width="21" style="24" customWidth="1"/>
    <col min="6" max="6" width="21.3984375" style="12" customWidth="1"/>
    <col min="7" max="7" width="23.59765625" style="12" bestFit="1" customWidth="1"/>
    <col min="8" max="8" width="21.09765625" style="12" bestFit="1" customWidth="1"/>
    <col min="9" max="16384" width="9.09765625" style="12"/>
  </cols>
  <sheetData>
    <row r="1" spans="1:8" x14ac:dyDescent="0.3">
      <c r="A1" s="255" t="s">
        <v>887</v>
      </c>
      <c r="B1" s="255"/>
      <c r="C1" s="255"/>
      <c r="D1" s="255"/>
      <c r="E1" s="255"/>
      <c r="F1" s="255"/>
      <c r="G1" s="28"/>
    </row>
    <row r="2" spans="1:8" x14ac:dyDescent="0.3">
      <c r="A2" s="255" t="s">
        <v>435</v>
      </c>
      <c r="B2" s="255"/>
      <c r="C2" s="255"/>
      <c r="D2" s="255"/>
      <c r="E2" s="255"/>
      <c r="F2" s="255"/>
      <c r="G2" s="28"/>
    </row>
    <row r="3" spans="1:8" x14ac:dyDescent="0.3">
      <c r="A3" s="255" t="s">
        <v>1088</v>
      </c>
      <c r="B3" s="255"/>
      <c r="C3" s="255"/>
      <c r="D3" s="255"/>
      <c r="E3" s="255"/>
      <c r="F3" s="255"/>
      <c r="G3" s="28"/>
    </row>
    <row r="4" spans="1:8" x14ac:dyDescent="0.3">
      <c r="A4" s="28"/>
      <c r="B4" s="28"/>
      <c r="C4" s="28"/>
      <c r="D4" s="28"/>
      <c r="E4" s="28"/>
    </row>
    <row r="5" spans="1:8" x14ac:dyDescent="0.3">
      <c r="A5" s="260" t="s">
        <v>892</v>
      </c>
      <c r="B5" s="260"/>
      <c r="C5" s="260"/>
      <c r="D5" s="260"/>
      <c r="E5" s="260"/>
      <c r="F5" s="260"/>
    </row>
    <row r="6" spans="1:8" x14ac:dyDescent="0.3">
      <c r="A6" s="260" t="s">
        <v>889</v>
      </c>
      <c r="B6" s="260"/>
      <c r="C6" s="260"/>
      <c r="D6" s="260"/>
      <c r="E6" s="260"/>
      <c r="F6" s="260"/>
    </row>
    <row r="7" spans="1:8" x14ac:dyDescent="0.3">
      <c r="D7" s="38"/>
      <c r="E7" s="38"/>
      <c r="F7" s="38"/>
    </row>
    <row r="8" spans="1:8" ht="31.05" x14ac:dyDescent="0.3">
      <c r="A8" s="123" t="s">
        <v>682</v>
      </c>
      <c r="B8" s="123" t="s">
        <v>103</v>
      </c>
      <c r="C8" s="123" t="s">
        <v>104</v>
      </c>
      <c r="D8" s="123" t="s">
        <v>885</v>
      </c>
      <c r="E8" s="123" t="s">
        <v>890</v>
      </c>
      <c r="F8" s="127" t="s">
        <v>884</v>
      </c>
    </row>
    <row r="9" spans="1:8" x14ac:dyDescent="0.3">
      <c r="A9" s="123">
        <v>1</v>
      </c>
      <c r="B9" s="123">
        <v>2</v>
      </c>
      <c r="C9" s="123">
        <v>3</v>
      </c>
      <c r="D9" s="123">
        <v>4</v>
      </c>
      <c r="E9" s="123">
        <v>5</v>
      </c>
      <c r="F9" s="158">
        <v>6</v>
      </c>
    </row>
    <row r="10" spans="1:8" s="39" customFormat="1" ht="20.5" x14ac:dyDescent="0.4">
      <c r="A10" s="48" t="s">
        <v>31</v>
      </c>
      <c r="B10" s="49" t="s">
        <v>683</v>
      </c>
      <c r="C10" s="49" t="s">
        <v>583</v>
      </c>
      <c r="D10" s="51">
        <v>196175886.41999999</v>
      </c>
      <c r="E10" s="51">
        <v>187506884.94999999</v>
      </c>
      <c r="F10" s="51">
        <f>ROUND(E10/D10*100,2)</f>
        <v>95.58</v>
      </c>
      <c r="G10" s="58"/>
      <c r="H10" s="58"/>
    </row>
    <row r="11" spans="1:8" s="39" customFormat="1" ht="62.05" x14ac:dyDescent="0.4">
      <c r="A11" s="159" t="s">
        <v>644</v>
      </c>
      <c r="B11" s="54" t="s">
        <v>683</v>
      </c>
      <c r="C11" s="54" t="s">
        <v>17</v>
      </c>
      <c r="D11" s="160">
        <v>2217863.69</v>
      </c>
      <c r="E11" s="160">
        <v>2217863.69</v>
      </c>
      <c r="F11" s="160">
        <f t="shared" ref="F11:F53" si="0">ROUND(E11/D11*100,2)</f>
        <v>100</v>
      </c>
    </row>
    <row r="12" spans="1:8" ht="77.55" x14ac:dyDescent="0.3">
      <c r="A12" s="159" t="s">
        <v>468</v>
      </c>
      <c r="B12" s="54" t="s">
        <v>683</v>
      </c>
      <c r="C12" s="54" t="s">
        <v>19</v>
      </c>
      <c r="D12" s="160">
        <v>4706717.3099999996</v>
      </c>
      <c r="E12" s="160">
        <v>4706516.12</v>
      </c>
      <c r="F12" s="160">
        <f t="shared" si="0"/>
        <v>100</v>
      </c>
    </row>
    <row r="13" spans="1:8" ht="93.05" x14ac:dyDescent="0.3">
      <c r="A13" s="159" t="s">
        <v>458</v>
      </c>
      <c r="B13" s="54" t="s">
        <v>683</v>
      </c>
      <c r="C13" s="54" t="s">
        <v>22</v>
      </c>
      <c r="D13" s="160">
        <v>74309284.400000006</v>
      </c>
      <c r="E13" s="160">
        <v>74189231.170000002</v>
      </c>
      <c r="F13" s="160">
        <f t="shared" si="0"/>
        <v>99.84</v>
      </c>
    </row>
    <row r="14" spans="1:8" x14ac:dyDescent="0.3">
      <c r="A14" s="159" t="s">
        <v>598</v>
      </c>
      <c r="B14" s="54" t="s">
        <v>683</v>
      </c>
      <c r="C14" s="54" t="s">
        <v>14</v>
      </c>
      <c r="D14" s="160">
        <v>38000</v>
      </c>
      <c r="E14" s="160">
        <v>21684.33</v>
      </c>
      <c r="F14" s="160"/>
    </row>
    <row r="15" spans="1:8" ht="62.05" x14ac:dyDescent="0.3">
      <c r="A15" s="159" t="s">
        <v>77</v>
      </c>
      <c r="B15" s="54" t="s">
        <v>683</v>
      </c>
      <c r="C15" s="54" t="s">
        <v>13</v>
      </c>
      <c r="D15" s="160">
        <v>3433784.48</v>
      </c>
      <c r="E15" s="160">
        <v>3387845.98</v>
      </c>
      <c r="F15" s="160">
        <f t="shared" si="0"/>
        <v>98.66</v>
      </c>
    </row>
    <row r="16" spans="1:8" ht="34.5" customHeight="1" x14ac:dyDescent="0.3">
      <c r="A16" s="159" t="s">
        <v>746</v>
      </c>
      <c r="B16" s="54" t="s">
        <v>683</v>
      </c>
      <c r="C16" s="54" t="s">
        <v>15</v>
      </c>
      <c r="D16" s="160">
        <v>562092</v>
      </c>
      <c r="E16" s="160">
        <v>562000</v>
      </c>
      <c r="F16" s="160"/>
    </row>
    <row r="17" spans="1:8" x14ac:dyDescent="0.3">
      <c r="A17" s="159" t="s">
        <v>581</v>
      </c>
      <c r="B17" s="54" t="s">
        <v>683</v>
      </c>
      <c r="C17" s="54" t="s">
        <v>102</v>
      </c>
      <c r="D17" s="161">
        <v>500000</v>
      </c>
      <c r="E17" s="161">
        <v>0</v>
      </c>
      <c r="F17" s="161">
        <f t="shared" si="0"/>
        <v>0</v>
      </c>
    </row>
    <row r="18" spans="1:8" x14ac:dyDescent="0.3">
      <c r="A18" s="159" t="s">
        <v>582</v>
      </c>
      <c r="B18" s="54" t="s">
        <v>683</v>
      </c>
      <c r="C18" s="54" t="s">
        <v>460</v>
      </c>
      <c r="D18" s="160">
        <v>110408144.54000001</v>
      </c>
      <c r="E18" s="160">
        <v>102421743.66</v>
      </c>
      <c r="F18" s="160">
        <f t="shared" si="0"/>
        <v>92.77</v>
      </c>
    </row>
    <row r="19" spans="1:8" ht="51.55" x14ac:dyDescent="0.4">
      <c r="A19" s="162" t="s">
        <v>32</v>
      </c>
      <c r="B19" s="49" t="s">
        <v>19</v>
      </c>
      <c r="C19" s="49" t="s">
        <v>583</v>
      </c>
      <c r="D19" s="51">
        <v>38052753.5</v>
      </c>
      <c r="E19" s="51">
        <v>37588519.039999999</v>
      </c>
      <c r="F19" s="51">
        <f t="shared" si="0"/>
        <v>98.78</v>
      </c>
      <c r="G19" s="24"/>
      <c r="H19" s="58"/>
    </row>
    <row r="20" spans="1:8" x14ac:dyDescent="0.3">
      <c r="A20" s="159" t="s">
        <v>461</v>
      </c>
      <c r="B20" s="54" t="s">
        <v>19</v>
      </c>
      <c r="C20" s="54" t="s">
        <v>22</v>
      </c>
      <c r="D20" s="160">
        <v>1758900</v>
      </c>
      <c r="E20" s="160">
        <v>1758896.11</v>
      </c>
      <c r="F20" s="160">
        <f t="shared" si="0"/>
        <v>100</v>
      </c>
    </row>
    <row r="21" spans="1:8" ht="62.05" x14ac:dyDescent="0.3">
      <c r="A21" s="159" t="s">
        <v>5</v>
      </c>
      <c r="B21" s="54" t="s">
        <v>19</v>
      </c>
      <c r="C21" s="54" t="s">
        <v>18</v>
      </c>
      <c r="D21" s="160">
        <v>35962379.5</v>
      </c>
      <c r="E21" s="160">
        <v>35498148.93</v>
      </c>
      <c r="F21" s="160">
        <f t="shared" si="0"/>
        <v>98.71</v>
      </c>
    </row>
    <row r="22" spans="1:8" ht="47.25" customHeight="1" x14ac:dyDescent="0.3">
      <c r="A22" s="159" t="s">
        <v>586</v>
      </c>
      <c r="B22" s="54" t="s">
        <v>19</v>
      </c>
      <c r="C22" s="54" t="s">
        <v>432</v>
      </c>
      <c r="D22" s="160">
        <v>331474</v>
      </c>
      <c r="E22" s="160">
        <v>331474</v>
      </c>
      <c r="F22" s="160">
        <f t="shared" si="0"/>
        <v>100</v>
      </c>
    </row>
    <row r="23" spans="1:8" ht="20.5" x14ac:dyDescent="0.4">
      <c r="A23" s="162" t="s">
        <v>33</v>
      </c>
      <c r="B23" s="49" t="s">
        <v>22</v>
      </c>
      <c r="C23" s="49" t="s">
        <v>583</v>
      </c>
      <c r="D23" s="51">
        <v>200349427.97</v>
      </c>
      <c r="E23" s="51">
        <v>190759481.68000001</v>
      </c>
      <c r="F23" s="51">
        <f t="shared" si="0"/>
        <v>95.21</v>
      </c>
      <c r="G23" s="24"/>
      <c r="H23" s="58"/>
    </row>
    <row r="24" spans="1:8" ht="20.5" x14ac:dyDescent="0.4">
      <c r="A24" s="159" t="s">
        <v>676</v>
      </c>
      <c r="B24" s="54" t="s">
        <v>22</v>
      </c>
      <c r="C24" s="54" t="s">
        <v>14</v>
      </c>
      <c r="D24" s="160">
        <v>1760542.6</v>
      </c>
      <c r="E24" s="160">
        <v>1734207.72</v>
      </c>
      <c r="F24" s="160">
        <f t="shared" si="0"/>
        <v>98.5</v>
      </c>
      <c r="G24" s="24"/>
      <c r="H24" s="58"/>
    </row>
    <row r="25" spans="1:8" x14ac:dyDescent="0.3">
      <c r="A25" s="163" t="s">
        <v>34</v>
      </c>
      <c r="B25" s="54" t="s">
        <v>22</v>
      </c>
      <c r="C25" s="54" t="s">
        <v>16</v>
      </c>
      <c r="D25" s="160">
        <v>29228832</v>
      </c>
      <c r="E25" s="160">
        <v>21095353.960000001</v>
      </c>
      <c r="F25" s="160">
        <f t="shared" si="0"/>
        <v>72.17</v>
      </c>
    </row>
    <row r="26" spans="1:8" ht="31.05" x14ac:dyDescent="0.3">
      <c r="A26" s="159" t="s">
        <v>731</v>
      </c>
      <c r="B26" s="54" t="s">
        <v>22</v>
      </c>
      <c r="C26" s="54" t="s">
        <v>18</v>
      </c>
      <c r="D26" s="160">
        <v>133425446.5</v>
      </c>
      <c r="E26" s="160">
        <v>132547617.84</v>
      </c>
      <c r="F26" s="160">
        <f t="shared" si="0"/>
        <v>99.34</v>
      </c>
    </row>
    <row r="27" spans="1:8" x14ac:dyDescent="0.3">
      <c r="A27" s="159" t="s">
        <v>456</v>
      </c>
      <c r="B27" s="54" t="s">
        <v>22</v>
      </c>
      <c r="C27" s="54" t="s">
        <v>20</v>
      </c>
      <c r="D27" s="160">
        <v>23954731.199999999</v>
      </c>
      <c r="E27" s="160">
        <v>23415593.859999999</v>
      </c>
      <c r="F27" s="160">
        <f t="shared" si="0"/>
        <v>97.75</v>
      </c>
    </row>
    <row r="28" spans="1:8" s="15" customFormat="1" ht="31.05" x14ac:dyDescent="0.3">
      <c r="A28" s="159" t="s">
        <v>35</v>
      </c>
      <c r="B28" s="54" t="s">
        <v>22</v>
      </c>
      <c r="C28" s="54" t="s">
        <v>459</v>
      </c>
      <c r="D28" s="160">
        <v>11979875.67</v>
      </c>
      <c r="E28" s="160">
        <v>11966708.300000001</v>
      </c>
      <c r="F28" s="160">
        <f t="shared" si="0"/>
        <v>99.89</v>
      </c>
    </row>
    <row r="29" spans="1:8" s="15" customFormat="1" ht="34.35" x14ac:dyDescent="0.4">
      <c r="A29" s="162" t="s">
        <v>21</v>
      </c>
      <c r="B29" s="49" t="s">
        <v>14</v>
      </c>
      <c r="C29" s="49" t="s">
        <v>583</v>
      </c>
      <c r="D29" s="51">
        <v>141560151.12</v>
      </c>
      <c r="E29" s="51">
        <v>139852814.58000001</v>
      </c>
      <c r="F29" s="51">
        <f t="shared" si="0"/>
        <v>98.79</v>
      </c>
      <c r="G29" s="44"/>
      <c r="H29" s="58"/>
    </row>
    <row r="30" spans="1:8" s="15" customFormat="1" x14ac:dyDescent="0.3">
      <c r="A30" s="159" t="s">
        <v>27</v>
      </c>
      <c r="B30" s="54" t="s">
        <v>14</v>
      </c>
      <c r="C30" s="54" t="s">
        <v>683</v>
      </c>
      <c r="D30" s="160">
        <v>43031384.090000004</v>
      </c>
      <c r="E30" s="160">
        <v>43031383.890000001</v>
      </c>
      <c r="F30" s="160">
        <f t="shared" si="0"/>
        <v>100</v>
      </c>
    </row>
    <row r="31" spans="1:8" s="15" customFormat="1" x14ac:dyDescent="0.3">
      <c r="A31" s="159" t="s">
        <v>457</v>
      </c>
      <c r="B31" s="54" t="s">
        <v>14</v>
      </c>
      <c r="C31" s="54" t="s">
        <v>17</v>
      </c>
      <c r="D31" s="160">
        <v>50754522.759999998</v>
      </c>
      <c r="E31" s="160">
        <v>49794801.350000001</v>
      </c>
      <c r="F31" s="160">
        <f t="shared" si="0"/>
        <v>98.11</v>
      </c>
    </row>
    <row r="32" spans="1:8" s="15" customFormat="1" x14ac:dyDescent="0.3">
      <c r="A32" s="164" t="s">
        <v>433</v>
      </c>
      <c r="B32" s="54" t="s">
        <v>14</v>
      </c>
      <c r="C32" s="54" t="s">
        <v>19</v>
      </c>
      <c r="D32" s="160">
        <v>31780135.609999999</v>
      </c>
      <c r="E32" s="160">
        <v>31466362.219999999</v>
      </c>
      <c r="F32" s="160">
        <f t="shared" si="0"/>
        <v>99.01</v>
      </c>
    </row>
    <row r="33" spans="1:8" s="15" customFormat="1" ht="31.05" x14ac:dyDescent="0.3">
      <c r="A33" s="159" t="s">
        <v>580</v>
      </c>
      <c r="B33" s="54" t="s">
        <v>14</v>
      </c>
      <c r="C33" s="54" t="s">
        <v>14</v>
      </c>
      <c r="D33" s="160">
        <v>15994108.66</v>
      </c>
      <c r="E33" s="160">
        <v>15560267.119999999</v>
      </c>
      <c r="F33" s="160">
        <f t="shared" si="0"/>
        <v>97.29</v>
      </c>
    </row>
    <row r="34" spans="1:8" s="15" customFormat="1" ht="26.35" customHeight="1" x14ac:dyDescent="0.4">
      <c r="A34" s="48" t="s">
        <v>469</v>
      </c>
      <c r="B34" s="49" t="s">
        <v>13</v>
      </c>
      <c r="C34" s="49" t="s">
        <v>583</v>
      </c>
      <c r="D34" s="51">
        <v>12344392.630000001</v>
      </c>
      <c r="E34" s="51">
        <v>12344392.140000001</v>
      </c>
      <c r="F34" s="51">
        <f t="shared" si="0"/>
        <v>100</v>
      </c>
      <c r="G34" s="44"/>
      <c r="H34" s="58"/>
    </row>
    <row r="35" spans="1:8" s="15" customFormat="1" ht="31.05" x14ac:dyDescent="0.3">
      <c r="A35" s="159" t="s">
        <v>470</v>
      </c>
      <c r="B35" s="54" t="s">
        <v>13</v>
      </c>
      <c r="C35" s="54" t="s">
        <v>14</v>
      </c>
      <c r="D35" s="160">
        <v>12344392.630000001</v>
      </c>
      <c r="E35" s="160">
        <v>12344392.140000001</v>
      </c>
      <c r="F35" s="160">
        <f t="shared" si="0"/>
        <v>100</v>
      </c>
    </row>
    <row r="36" spans="1:8" s="15" customFormat="1" ht="20.5" x14ac:dyDescent="0.4">
      <c r="A36" s="162" t="s">
        <v>23</v>
      </c>
      <c r="B36" s="49" t="s">
        <v>15</v>
      </c>
      <c r="C36" s="49" t="s">
        <v>583</v>
      </c>
      <c r="D36" s="51">
        <v>1380475865.46</v>
      </c>
      <c r="E36" s="51">
        <v>1366622821</v>
      </c>
      <c r="F36" s="51">
        <f t="shared" si="0"/>
        <v>99</v>
      </c>
      <c r="G36" s="44"/>
      <c r="H36" s="58"/>
    </row>
    <row r="37" spans="1:8" s="15" customFormat="1" x14ac:dyDescent="0.3">
      <c r="A37" s="159" t="s">
        <v>24</v>
      </c>
      <c r="B37" s="54" t="s">
        <v>15</v>
      </c>
      <c r="C37" s="54" t="s">
        <v>683</v>
      </c>
      <c r="D37" s="160">
        <v>570018548.98000002</v>
      </c>
      <c r="E37" s="160">
        <v>556439097.70000005</v>
      </c>
      <c r="F37" s="160">
        <f t="shared" si="0"/>
        <v>97.62</v>
      </c>
    </row>
    <row r="38" spans="1:8" s="15" customFormat="1" x14ac:dyDescent="0.3">
      <c r="A38" s="159" t="s">
        <v>25</v>
      </c>
      <c r="B38" s="54" t="s">
        <v>15</v>
      </c>
      <c r="C38" s="54" t="s">
        <v>17</v>
      </c>
      <c r="D38" s="160">
        <v>711159201.59000003</v>
      </c>
      <c r="E38" s="160">
        <v>710911136.15999997</v>
      </c>
      <c r="F38" s="160">
        <f t="shared" si="0"/>
        <v>99.97</v>
      </c>
    </row>
    <row r="39" spans="1:8" s="15" customFormat="1" ht="31.05" x14ac:dyDescent="0.3">
      <c r="A39" s="159" t="s">
        <v>6</v>
      </c>
      <c r="B39" s="54" t="s">
        <v>15</v>
      </c>
      <c r="C39" s="54" t="s">
        <v>15</v>
      </c>
      <c r="D39" s="160">
        <v>31093613.879999999</v>
      </c>
      <c r="E39" s="160">
        <v>31068087.879999999</v>
      </c>
      <c r="F39" s="160">
        <f t="shared" si="0"/>
        <v>99.92</v>
      </c>
    </row>
    <row r="40" spans="1:8" x14ac:dyDescent="0.3">
      <c r="A40" s="159" t="s">
        <v>577</v>
      </c>
      <c r="B40" s="54" t="s">
        <v>15</v>
      </c>
      <c r="C40" s="54" t="s">
        <v>18</v>
      </c>
      <c r="D40" s="160">
        <v>68204501.010000005</v>
      </c>
      <c r="E40" s="160">
        <v>68204499.260000005</v>
      </c>
      <c r="F40" s="160">
        <f t="shared" si="0"/>
        <v>100</v>
      </c>
    </row>
    <row r="41" spans="1:8" ht="20.5" x14ac:dyDescent="0.4">
      <c r="A41" s="48" t="s">
        <v>464</v>
      </c>
      <c r="B41" s="49" t="s">
        <v>16</v>
      </c>
      <c r="C41" s="49" t="s">
        <v>583</v>
      </c>
      <c r="D41" s="51">
        <v>177926100.28</v>
      </c>
      <c r="E41" s="51">
        <v>177656783.28999999</v>
      </c>
      <c r="F41" s="51">
        <f t="shared" si="0"/>
        <v>99.85</v>
      </c>
      <c r="G41" s="24"/>
      <c r="H41" s="58"/>
    </row>
    <row r="42" spans="1:8" x14ac:dyDescent="0.3">
      <c r="A42" s="159" t="s">
        <v>578</v>
      </c>
      <c r="B42" s="54" t="s">
        <v>16</v>
      </c>
      <c r="C42" s="54" t="s">
        <v>683</v>
      </c>
      <c r="D42" s="160">
        <v>177926100.28</v>
      </c>
      <c r="E42" s="160">
        <v>177656783.28999999</v>
      </c>
      <c r="F42" s="160">
        <f t="shared" si="0"/>
        <v>99.85</v>
      </c>
    </row>
    <row r="43" spans="1:8" ht="20.5" x14ac:dyDescent="0.4">
      <c r="A43" s="162" t="s">
        <v>26</v>
      </c>
      <c r="B43" s="49" t="s">
        <v>20</v>
      </c>
      <c r="C43" s="49" t="s">
        <v>583</v>
      </c>
      <c r="D43" s="51">
        <v>61002270.899999999</v>
      </c>
      <c r="E43" s="51">
        <v>58871903.020000003</v>
      </c>
      <c r="F43" s="51">
        <f t="shared" si="0"/>
        <v>96.51</v>
      </c>
      <c r="G43" s="24"/>
      <c r="H43" s="58"/>
    </row>
    <row r="44" spans="1:8" x14ac:dyDescent="0.3">
      <c r="A44" s="159" t="s">
        <v>584</v>
      </c>
      <c r="B44" s="54" t="s">
        <v>20</v>
      </c>
      <c r="C44" s="54" t="s">
        <v>683</v>
      </c>
      <c r="D44" s="160">
        <v>7567670.9000000004</v>
      </c>
      <c r="E44" s="160">
        <v>7566845.3099999996</v>
      </c>
      <c r="F44" s="160">
        <f t="shared" si="0"/>
        <v>99.99</v>
      </c>
    </row>
    <row r="45" spans="1:8" x14ac:dyDescent="0.3">
      <c r="A45" s="159" t="s">
        <v>579</v>
      </c>
      <c r="B45" s="54" t="s">
        <v>20</v>
      </c>
      <c r="C45" s="54" t="s">
        <v>19</v>
      </c>
      <c r="D45" s="160">
        <v>4633900</v>
      </c>
      <c r="E45" s="160">
        <v>3941929.61</v>
      </c>
      <c r="F45" s="160">
        <f t="shared" si="0"/>
        <v>85.07</v>
      </c>
    </row>
    <row r="46" spans="1:8" x14ac:dyDescent="0.3">
      <c r="A46" s="159" t="s">
        <v>360</v>
      </c>
      <c r="B46" s="54" t="s">
        <v>20</v>
      </c>
      <c r="C46" s="54" t="s">
        <v>22</v>
      </c>
      <c r="D46" s="160">
        <v>48800700</v>
      </c>
      <c r="E46" s="160">
        <v>47363128.100000001</v>
      </c>
      <c r="F46" s="160">
        <f t="shared" si="0"/>
        <v>97.05</v>
      </c>
    </row>
    <row r="47" spans="1:8" x14ac:dyDescent="0.3">
      <c r="A47" s="165" t="s">
        <v>100</v>
      </c>
      <c r="B47" s="49" t="s">
        <v>102</v>
      </c>
      <c r="C47" s="49" t="s">
        <v>583</v>
      </c>
      <c r="D47" s="51">
        <v>1400050</v>
      </c>
      <c r="E47" s="51">
        <v>1344341.7</v>
      </c>
      <c r="F47" s="51">
        <f t="shared" si="0"/>
        <v>96.02</v>
      </c>
    </row>
    <row r="48" spans="1:8" x14ac:dyDescent="0.3">
      <c r="A48" s="166" t="s">
        <v>454</v>
      </c>
      <c r="B48" s="54" t="s">
        <v>102</v>
      </c>
      <c r="C48" s="54" t="s">
        <v>683</v>
      </c>
      <c r="D48" s="160">
        <v>1400050</v>
      </c>
      <c r="E48" s="160">
        <v>1344341.7</v>
      </c>
      <c r="F48" s="160">
        <f t="shared" si="0"/>
        <v>96.02</v>
      </c>
    </row>
    <row r="49" spans="1:7" x14ac:dyDescent="0.3">
      <c r="A49" s="48" t="s">
        <v>455</v>
      </c>
      <c r="B49" s="49" t="s">
        <v>459</v>
      </c>
      <c r="C49" s="49" t="s">
        <v>583</v>
      </c>
      <c r="D49" s="51">
        <v>1425000</v>
      </c>
      <c r="E49" s="51">
        <v>1425000</v>
      </c>
      <c r="F49" s="51">
        <f t="shared" si="0"/>
        <v>100</v>
      </c>
    </row>
    <row r="50" spans="1:7" x14ac:dyDescent="0.3">
      <c r="A50" s="159" t="s">
        <v>99</v>
      </c>
      <c r="B50" s="54" t="s">
        <v>459</v>
      </c>
      <c r="C50" s="54" t="s">
        <v>17</v>
      </c>
      <c r="D50" s="160">
        <v>1425000</v>
      </c>
      <c r="E50" s="160">
        <v>1425000</v>
      </c>
      <c r="F50" s="160">
        <f t="shared" si="0"/>
        <v>100</v>
      </c>
    </row>
    <row r="51" spans="1:7" ht="31.05" x14ac:dyDescent="0.3">
      <c r="A51" s="48" t="s">
        <v>101</v>
      </c>
      <c r="B51" s="49" t="s">
        <v>460</v>
      </c>
      <c r="C51" s="49" t="s">
        <v>583</v>
      </c>
      <c r="D51" s="51">
        <v>11037999.970000001</v>
      </c>
      <c r="E51" s="51">
        <v>11037933.609999999</v>
      </c>
      <c r="F51" s="51">
        <f t="shared" si="0"/>
        <v>100</v>
      </c>
    </row>
    <row r="52" spans="1:7" ht="31.05" x14ac:dyDescent="0.3">
      <c r="A52" s="159" t="s">
        <v>84</v>
      </c>
      <c r="B52" s="54" t="s">
        <v>460</v>
      </c>
      <c r="C52" s="54" t="s">
        <v>683</v>
      </c>
      <c r="D52" s="160">
        <v>11037999.970000001</v>
      </c>
      <c r="E52" s="160">
        <v>11037933.609999999</v>
      </c>
      <c r="F52" s="160">
        <f t="shared" si="0"/>
        <v>100</v>
      </c>
      <c r="G52" s="24"/>
    </row>
    <row r="53" spans="1:7" ht="31.6" customHeight="1" x14ac:dyDescent="0.3">
      <c r="A53" s="258" t="s">
        <v>891</v>
      </c>
      <c r="B53" s="259"/>
      <c r="C53" s="259"/>
      <c r="D53" s="167">
        <f>D10+D19+D23+D29+D34+D36+D41+D43+D47+D49+D51</f>
        <v>2221749898.2499995</v>
      </c>
      <c r="E53" s="167">
        <f>E10+E19+E23+E29+E34+E36+E41+E43+E47+E49+E51</f>
        <v>2185010875.0099998</v>
      </c>
      <c r="F53" s="167">
        <f t="shared" si="0"/>
        <v>98.35</v>
      </c>
    </row>
    <row r="54" spans="1:7" x14ac:dyDescent="0.3">
      <c r="A54" s="16"/>
      <c r="B54" s="125"/>
      <c r="C54" s="125"/>
      <c r="D54" s="40"/>
      <c r="E54" s="40"/>
    </row>
    <row r="55" spans="1:7" x14ac:dyDescent="0.3">
      <c r="A55" s="16"/>
      <c r="B55" s="125"/>
      <c r="C55" s="125"/>
      <c r="D55" s="40"/>
      <c r="E55" s="40"/>
    </row>
    <row r="56" spans="1:7" x14ac:dyDescent="0.3">
      <c r="A56" s="16"/>
      <c r="B56" s="125"/>
      <c r="C56" s="125"/>
      <c r="D56" s="40"/>
      <c r="E56" s="40"/>
    </row>
    <row r="57" spans="1:7" x14ac:dyDescent="0.3">
      <c r="A57" s="16"/>
      <c r="B57" s="125"/>
      <c r="C57" s="125"/>
      <c r="D57" s="40"/>
      <c r="E57" s="40"/>
    </row>
    <row r="58" spans="1:7" x14ac:dyDescent="0.3">
      <c r="A58" s="16"/>
      <c r="B58" s="125"/>
      <c r="C58" s="125"/>
      <c r="D58" s="40"/>
      <c r="E58" s="168"/>
    </row>
    <row r="59" spans="1:7" x14ac:dyDescent="0.3">
      <c r="A59" s="16"/>
      <c r="B59" s="125"/>
      <c r="C59" s="125"/>
      <c r="D59" s="40"/>
      <c r="E59" s="40"/>
    </row>
    <row r="60" spans="1:7" x14ac:dyDescent="0.3">
      <c r="A60" s="16"/>
      <c r="B60" s="125"/>
      <c r="C60" s="125"/>
      <c r="D60" s="40"/>
      <c r="E60" s="40"/>
    </row>
    <row r="61" spans="1:7" x14ac:dyDescent="0.3">
      <c r="A61" s="16"/>
      <c r="B61" s="125"/>
      <c r="C61" s="125"/>
      <c r="D61" s="40"/>
      <c r="E61" s="40"/>
    </row>
    <row r="62" spans="1:7" x14ac:dyDescent="0.3">
      <c r="A62" s="16"/>
      <c r="B62" s="125"/>
      <c r="C62" s="125"/>
      <c r="D62" s="40"/>
      <c r="E62" s="40"/>
    </row>
    <row r="63" spans="1:7" x14ac:dyDescent="0.3">
      <c r="A63" s="16"/>
      <c r="B63" s="125"/>
      <c r="C63" s="125"/>
      <c r="D63" s="40"/>
      <c r="E63" s="40"/>
    </row>
    <row r="64" spans="1:7" x14ac:dyDescent="0.3">
      <c r="A64" s="16"/>
      <c r="B64" s="125"/>
      <c r="C64" s="125"/>
      <c r="D64" s="40"/>
      <c r="E64" s="40"/>
    </row>
    <row r="65" spans="1:5" x14ac:dyDescent="0.3">
      <c r="A65" s="16"/>
      <c r="B65" s="125"/>
      <c r="C65" s="125"/>
      <c r="D65" s="40"/>
      <c r="E65" s="40"/>
    </row>
    <row r="66" spans="1:5" x14ac:dyDescent="0.3">
      <c r="A66" s="16"/>
      <c r="B66" s="125"/>
      <c r="C66" s="125"/>
      <c r="D66" s="40"/>
      <c r="E66" s="40"/>
    </row>
    <row r="67" spans="1:5" x14ac:dyDescent="0.3">
      <c r="A67" s="16"/>
      <c r="B67" s="125"/>
      <c r="C67" s="125"/>
      <c r="D67" s="40"/>
      <c r="E67" s="40"/>
    </row>
    <row r="68" spans="1:5" x14ac:dyDescent="0.3">
      <c r="A68" s="16"/>
      <c r="B68" s="125"/>
      <c r="C68" s="125"/>
      <c r="D68" s="40"/>
      <c r="E68" s="40"/>
    </row>
    <row r="69" spans="1:5" x14ac:dyDescent="0.3">
      <c r="A69" s="16"/>
      <c r="B69" s="125"/>
      <c r="C69" s="125"/>
      <c r="D69" s="40"/>
      <c r="E69" s="40"/>
    </row>
    <row r="70" spans="1:5" x14ac:dyDescent="0.3">
      <c r="A70" s="16"/>
      <c r="B70" s="125"/>
      <c r="C70" s="125"/>
      <c r="D70" s="40"/>
      <c r="E70" s="40"/>
    </row>
    <row r="71" spans="1:5" x14ac:dyDescent="0.3">
      <c r="A71" s="16"/>
      <c r="B71" s="125"/>
      <c r="C71" s="125"/>
      <c r="D71" s="40"/>
      <c r="E71" s="40"/>
    </row>
    <row r="72" spans="1:5" x14ac:dyDescent="0.3">
      <c r="A72" s="16"/>
      <c r="B72" s="125"/>
      <c r="C72" s="125"/>
      <c r="D72" s="40"/>
      <c r="E72" s="40"/>
    </row>
    <row r="73" spans="1:5" x14ac:dyDescent="0.3">
      <c r="A73" s="16"/>
      <c r="B73" s="125"/>
      <c r="C73" s="125"/>
      <c r="D73" s="40"/>
      <c r="E73" s="40"/>
    </row>
    <row r="74" spans="1:5" x14ac:dyDescent="0.3">
      <c r="A74" s="16"/>
      <c r="B74" s="125"/>
      <c r="C74" s="125"/>
      <c r="D74" s="40"/>
      <c r="E74" s="40"/>
    </row>
    <row r="75" spans="1:5" x14ac:dyDescent="0.3">
      <c r="A75" s="16"/>
      <c r="B75" s="125"/>
      <c r="C75" s="125"/>
      <c r="D75" s="40"/>
      <c r="E75" s="40"/>
    </row>
    <row r="76" spans="1:5" x14ac:dyDescent="0.3">
      <c r="A76" s="16"/>
      <c r="B76" s="125"/>
      <c r="C76" s="125"/>
      <c r="D76" s="40"/>
      <c r="E76" s="40"/>
    </row>
    <row r="77" spans="1:5" x14ac:dyDescent="0.3">
      <c r="A77" s="16"/>
      <c r="B77" s="125"/>
      <c r="C77" s="125"/>
      <c r="D77" s="40"/>
      <c r="E77" s="40"/>
    </row>
    <row r="78" spans="1:5" x14ac:dyDescent="0.3">
      <c r="A78" s="16"/>
      <c r="B78" s="125"/>
      <c r="C78" s="125"/>
      <c r="D78" s="40"/>
      <c r="E78" s="40"/>
    </row>
    <row r="79" spans="1:5" x14ac:dyDescent="0.3">
      <c r="A79" s="16"/>
      <c r="B79" s="125"/>
      <c r="C79" s="125"/>
      <c r="D79" s="40"/>
      <c r="E79" s="40"/>
    </row>
    <row r="80" spans="1:5" x14ac:dyDescent="0.3">
      <c r="A80" s="16"/>
      <c r="B80" s="125"/>
      <c r="C80" s="125"/>
      <c r="D80" s="40"/>
      <c r="E80" s="40"/>
    </row>
    <row r="81" spans="1:5" x14ac:dyDescent="0.3">
      <c r="A81" s="16"/>
      <c r="B81" s="125"/>
      <c r="C81" s="125"/>
      <c r="D81" s="40"/>
      <c r="E81" s="40"/>
    </row>
    <row r="82" spans="1:5" x14ac:dyDescent="0.3">
      <c r="A82" s="16"/>
      <c r="B82" s="125"/>
      <c r="C82" s="125"/>
      <c r="D82" s="40"/>
      <c r="E82" s="40"/>
    </row>
    <row r="83" spans="1:5" x14ac:dyDescent="0.3">
      <c r="A83" s="16"/>
      <c r="B83" s="125"/>
      <c r="C83" s="125"/>
      <c r="D83" s="40"/>
      <c r="E83" s="40"/>
    </row>
    <row r="84" spans="1:5" x14ac:dyDescent="0.3">
      <c r="A84" s="16"/>
      <c r="B84" s="125"/>
      <c r="C84" s="125"/>
      <c r="D84" s="40"/>
      <c r="E84" s="40"/>
    </row>
    <row r="85" spans="1:5" x14ac:dyDescent="0.3">
      <c r="A85" s="16"/>
      <c r="B85" s="125"/>
      <c r="C85" s="125"/>
      <c r="D85" s="40"/>
      <c r="E85" s="40"/>
    </row>
    <row r="86" spans="1:5" x14ac:dyDescent="0.3">
      <c r="A86" s="16"/>
      <c r="B86" s="125"/>
      <c r="C86" s="125"/>
      <c r="D86" s="40"/>
      <c r="E86" s="40"/>
    </row>
    <row r="87" spans="1:5" x14ac:dyDescent="0.3">
      <c r="A87" s="16"/>
      <c r="B87" s="125"/>
      <c r="C87" s="125"/>
      <c r="D87" s="40"/>
      <c r="E87" s="40"/>
    </row>
    <row r="88" spans="1:5" x14ac:dyDescent="0.3">
      <c r="A88" s="16"/>
      <c r="B88" s="125"/>
      <c r="C88" s="125"/>
      <c r="D88" s="40"/>
      <c r="E88" s="40"/>
    </row>
    <row r="89" spans="1:5" x14ac:dyDescent="0.3">
      <c r="A89" s="16"/>
      <c r="B89" s="125"/>
      <c r="C89" s="125"/>
      <c r="D89" s="40"/>
      <c r="E89" s="40"/>
    </row>
    <row r="90" spans="1:5" x14ac:dyDescent="0.3">
      <c r="A90" s="16"/>
      <c r="B90" s="125"/>
      <c r="C90" s="125"/>
      <c r="D90" s="40"/>
      <c r="E90" s="40"/>
    </row>
    <row r="91" spans="1:5" x14ac:dyDescent="0.3">
      <c r="A91" s="16"/>
      <c r="B91" s="125"/>
      <c r="C91" s="125"/>
      <c r="D91" s="40"/>
      <c r="E91" s="40"/>
    </row>
    <row r="92" spans="1:5" x14ac:dyDescent="0.3">
      <c r="A92" s="16"/>
      <c r="B92" s="125"/>
      <c r="C92" s="125"/>
      <c r="D92" s="40"/>
      <c r="E92" s="40"/>
    </row>
    <row r="93" spans="1:5" x14ac:dyDescent="0.3">
      <c r="A93" s="16"/>
      <c r="B93" s="125"/>
      <c r="C93" s="125"/>
      <c r="D93" s="40"/>
      <c r="E93" s="40"/>
    </row>
    <row r="94" spans="1:5" x14ac:dyDescent="0.3">
      <c r="A94" s="16"/>
      <c r="B94" s="125"/>
      <c r="C94" s="125"/>
      <c r="D94" s="40"/>
      <c r="E94" s="40"/>
    </row>
    <row r="95" spans="1:5" x14ac:dyDescent="0.3">
      <c r="A95" s="16"/>
      <c r="B95" s="125"/>
      <c r="C95" s="125"/>
      <c r="D95" s="40"/>
      <c r="E95" s="40"/>
    </row>
    <row r="96" spans="1:5" x14ac:dyDescent="0.3">
      <c r="A96" s="16"/>
      <c r="B96" s="125"/>
      <c r="C96" s="125"/>
      <c r="D96" s="40"/>
      <c r="E96" s="40"/>
    </row>
    <row r="97" spans="1:5" x14ac:dyDescent="0.3">
      <c r="A97" s="16"/>
      <c r="B97" s="125"/>
      <c r="C97" s="125"/>
      <c r="D97" s="40"/>
      <c r="E97" s="40"/>
    </row>
    <row r="98" spans="1:5" x14ac:dyDescent="0.3">
      <c r="A98" s="16"/>
      <c r="B98" s="125"/>
      <c r="C98" s="125"/>
      <c r="D98" s="40"/>
      <c r="E98" s="40"/>
    </row>
    <row r="99" spans="1:5" x14ac:dyDescent="0.3">
      <c r="A99" s="16"/>
      <c r="B99" s="125"/>
      <c r="C99" s="125"/>
      <c r="D99" s="40"/>
      <c r="E99" s="40"/>
    </row>
    <row r="100" spans="1:5" x14ac:dyDescent="0.3">
      <c r="A100" s="16"/>
      <c r="B100" s="125"/>
      <c r="C100" s="125"/>
      <c r="D100" s="40"/>
      <c r="E100" s="40"/>
    </row>
    <row r="101" spans="1:5" x14ac:dyDescent="0.3">
      <c r="A101" s="16"/>
      <c r="B101" s="125"/>
      <c r="C101" s="125"/>
      <c r="D101" s="40"/>
      <c r="E101" s="40"/>
    </row>
    <row r="102" spans="1:5" x14ac:dyDescent="0.3">
      <c r="A102" s="16"/>
      <c r="B102" s="125"/>
      <c r="C102" s="125"/>
      <c r="D102" s="40"/>
      <c r="E102" s="40"/>
    </row>
    <row r="103" spans="1:5" x14ac:dyDescent="0.3">
      <c r="A103" s="16"/>
      <c r="B103" s="125"/>
      <c r="C103" s="125"/>
      <c r="D103" s="40"/>
      <c r="E103" s="40"/>
    </row>
    <row r="104" spans="1:5" x14ac:dyDescent="0.3">
      <c r="A104" s="16"/>
      <c r="B104" s="125"/>
      <c r="C104" s="125"/>
      <c r="D104" s="40"/>
      <c r="E104" s="40"/>
    </row>
    <row r="105" spans="1:5" x14ac:dyDescent="0.3">
      <c r="A105" s="16"/>
      <c r="B105" s="125"/>
      <c r="C105" s="125"/>
      <c r="D105" s="40"/>
      <c r="E105" s="40"/>
    </row>
    <row r="106" spans="1:5" x14ac:dyDescent="0.3">
      <c r="A106" s="16"/>
      <c r="B106" s="125"/>
      <c r="C106" s="125"/>
      <c r="D106" s="40"/>
      <c r="E106" s="40"/>
    </row>
    <row r="107" spans="1:5" x14ac:dyDescent="0.3">
      <c r="A107" s="16"/>
      <c r="B107" s="125"/>
      <c r="C107" s="125"/>
      <c r="D107" s="40"/>
      <c r="E107" s="40"/>
    </row>
    <row r="108" spans="1:5" x14ac:dyDescent="0.3">
      <c r="A108" s="16"/>
      <c r="B108" s="125"/>
      <c r="C108" s="125"/>
      <c r="D108" s="40"/>
      <c r="E108" s="40"/>
    </row>
    <row r="109" spans="1:5" x14ac:dyDescent="0.3">
      <c r="A109" s="16"/>
      <c r="B109" s="125"/>
      <c r="C109" s="125"/>
      <c r="D109" s="40"/>
      <c r="E109" s="40"/>
    </row>
    <row r="110" spans="1:5" x14ac:dyDescent="0.3">
      <c r="A110" s="16"/>
      <c r="B110" s="125"/>
      <c r="C110" s="125"/>
      <c r="D110" s="40"/>
      <c r="E110" s="40"/>
    </row>
    <row r="111" spans="1:5" x14ac:dyDescent="0.3">
      <c r="A111" s="16"/>
      <c r="B111" s="125"/>
      <c r="C111" s="125"/>
      <c r="D111" s="40"/>
      <c r="E111" s="40"/>
    </row>
    <row r="112" spans="1:5" x14ac:dyDescent="0.3">
      <c r="A112" s="16"/>
      <c r="B112" s="125"/>
      <c r="C112" s="125"/>
      <c r="D112" s="40"/>
      <c r="E112" s="40"/>
    </row>
    <row r="113" spans="1:5" x14ac:dyDescent="0.3">
      <c r="A113" s="16"/>
      <c r="B113" s="125"/>
      <c r="C113" s="125"/>
      <c r="D113" s="40"/>
      <c r="E113" s="40"/>
    </row>
    <row r="114" spans="1:5" x14ac:dyDescent="0.3">
      <c r="A114" s="16"/>
      <c r="B114" s="125"/>
      <c r="C114" s="125"/>
      <c r="D114" s="40"/>
      <c r="E114" s="40"/>
    </row>
    <row r="115" spans="1:5" x14ac:dyDescent="0.3">
      <c r="A115" s="16"/>
      <c r="B115" s="125"/>
      <c r="C115" s="125"/>
      <c r="D115" s="40"/>
      <c r="E115" s="40"/>
    </row>
    <row r="116" spans="1:5" x14ac:dyDescent="0.3">
      <c r="A116" s="16"/>
      <c r="B116" s="125"/>
      <c r="C116" s="125"/>
      <c r="D116" s="40"/>
      <c r="E116" s="40"/>
    </row>
    <row r="117" spans="1:5" x14ac:dyDescent="0.3">
      <c r="A117" s="16"/>
      <c r="B117" s="125"/>
      <c r="C117" s="125"/>
      <c r="D117" s="40"/>
      <c r="E117" s="40"/>
    </row>
    <row r="118" spans="1:5" x14ac:dyDescent="0.3">
      <c r="A118" s="16"/>
      <c r="B118" s="125"/>
      <c r="C118" s="125"/>
      <c r="D118" s="40"/>
      <c r="E118" s="40"/>
    </row>
    <row r="119" spans="1:5" x14ac:dyDescent="0.3">
      <c r="A119" s="16"/>
      <c r="B119" s="125"/>
      <c r="C119" s="125"/>
      <c r="D119" s="40"/>
      <c r="E119" s="40"/>
    </row>
    <row r="120" spans="1:5" x14ac:dyDescent="0.3">
      <c r="A120" s="16"/>
      <c r="B120" s="125"/>
      <c r="C120" s="125"/>
      <c r="D120" s="40"/>
      <c r="E120" s="40"/>
    </row>
    <row r="121" spans="1:5" x14ac:dyDescent="0.3">
      <c r="A121" s="16"/>
      <c r="B121" s="125"/>
      <c r="C121" s="125"/>
      <c r="D121" s="40"/>
      <c r="E121" s="40"/>
    </row>
    <row r="122" spans="1:5" x14ac:dyDescent="0.3">
      <c r="A122" s="16"/>
      <c r="B122" s="125"/>
      <c r="C122" s="125"/>
      <c r="D122" s="40"/>
      <c r="E122" s="40"/>
    </row>
    <row r="123" spans="1:5" x14ac:dyDescent="0.3">
      <c r="A123" s="16"/>
      <c r="B123" s="125"/>
      <c r="C123" s="125"/>
      <c r="D123" s="40"/>
      <c r="E123" s="40"/>
    </row>
    <row r="124" spans="1:5" x14ac:dyDescent="0.3">
      <c r="A124" s="16"/>
      <c r="B124" s="125"/>
      <c r="C124" s="125"/>
      <c r="D124" s="40"/>
      <c r="E124" s="40"/>
    </row>
    <row r="125" spans="1:5" x14ac:dyDescent="0.3">
      <c r="A125" s="16"/>
      <c r="B125" s="125"/>
      <c r="C125" s="125"/>
      <c r="D125" s="40"/>
      <c r="E125" s="40"/>
    </row>
    <row r="126" spans="1:5" x14ac:dyDescent="0.3">
      <c r="A126" s="16"/>
      <c r="B126" s="125"/>
      <c r="C126" s="125"/>
      <c r="D126" s="40"/>
      <c r="E126" s="40"/>
    </row>
    <row r="127" spans="1:5" x14ac:dyDescent="0.3">
      <c r="A127" s="16"/>
      <c r="B127" s="125"/>
      <c r="C127" s="125"/>
      <c r="D127" s="40"/>
      <c r="E127" s="40"/>
    </row>
    <row r="128" spans="1:5" x14ac:dyDescent="0.3">
      <c r="A128" s="16"/>
      <c r="B128" s="125"/>
      <c r="C128" s="125"/>
      <c r="D128" s="40"/>
      <c r="E128" s="40"/>
    </row>
    <row r="129" spans="1:5" x14ac:dyDescent="0.3">
      <c r="A129" s="16"/>
      <c r="B129" s="125"/>
      <c r="C129" s="125"/>
      <c r="D129" s="40"/>
      <c r="E129" s="40"/>
    </row>
    <row r="130" spans="1:5" x14ac:dyDescent="0.3">
      <c r="A130" s="16"/>
      <c r="B130" s="125"/>
      <c r="C130" s="125"/>
      <c r="D130" s="40"/>
      <c r="E130" s="40"/>
    </row>
    <row r="131" spans="1:5" x14ac:dyDescent="0.3">
      <c r="A131" s="16"/>
      <c r="B131" s="125"/>
      <c r="C131" s="125"/>
      <c r="D131" s="40"/>
      <c r="E131" s="40"/>
    </row>
    <row r="132" spans="1:5" x14ac:dyDescent="0.3">
      <c r="A132" s="16"/>
      <c r="B132" s="125"/>
      <c r="C132" s="125"/>
      <c r="D132" s="40"/>
      <c r="E132" s="40"/>
    </row>
    <row r="133" spans="1:5" x14ac:dyDescent="0.3">
      <c r="A133" s="16"/>
      <c r="B133" s="125"/>
      <c r="C133" s="125"/>
      <c r="D133" s="40"/>
      <c r="E133" s="40"/>
    </row>
    <row r="134" spans="1:5" x14ac:dyDescent="0.3">
      <c r="A134" s="16"/>
      <c r="B134" s="125"/>
      <c r="C134" s="125"/>
      <c r="D134" s="40"/>
      <c r="E134" s="40"/>
    </row>
    <row r="135" spans="1:5" x14ac:dyDescent="0.3">
      <c r="A135" s="16"/>
      <c r="B135" s="125"/>
      <c r="C135" s="125"/>
      <c r="D135" s="40"/>
      <c r="E135" s="40"/>
    </row>
    <row r="136" spans="1:5" x14ac:dyDescent="0.3">
      <c r="A136" s="16"/>
      <c r="B136" s="125"/>
      <c r="C136" s="125"/>
      <c r="D136" s="40"/>
      <c r="E136" s="40"/>
    </row>
    <row r="137" spans="1:5" x14ac:dyDescent="0.3">
      <c r="A137" s="16"/>
      <c r="B137" s="125"/>
      <c r="C137" s="125"/>
      <c r="D137" s="40"/>
      <c r="E137" s="40"/>
    </row>
    <row r="138" spans="1:5" x14ac:dyDescent="0.3">
      <c r="A138" s="16"/>
      <c r="B138" s="125"/>
      <c r="C138" s="125"/>
      <c r="D138" s="40"/>
      <c r="E138" s="40"/>
    </row>
    <row r="139" spans="1:5" x14ac:dyDescent="0.3">
      <c r="A139" s="16"/>
      <c r="B139" s="125"/>
      <c r="C139" s="125"/>
      <c r="D139" s="40"/>
      <c r="E139" s="40"/>
    </row>
    <row r="140" spans="1:5" x14ac:dyDescent="0.3">
      <c r="A140" s="16"/>
      <c r="B140" s="125"/>
      <c r="C140" s="125"/>
      <c r="D140" s="40"/>
      <c r="E140" s="40"/>
    </row>
    <row r="141" spans="1:5" x14ac:dyDescent="0.3">
      <c r="A141" s="16"/>
      <c r="B141" s="125"/>
      <c r="C141" s="125"/>
      <c r="D141" s="40"/>
      <c r="E141" s="40"/>
    </row>
    <row r="142" spans="1:5" x14ac:dyDescent="0.3">
      <c r="A142" s="16"/>
      <c r="B142" s="125"/>
      <c r="C142" s="125"/>
      <c r="D142" s="40"/>
      <c r="E142" s="40"/>
    </row>
    <row r="143" spans="1:5" x14ac:dyDescent="0.3">
      <c r="A143" s="16"/>
      <c r="B143" s="125"/>
      <c r="C143" s="125"/>
      <c r="D143" s="40"/>
      <c r="E143" s="40"/>
    </row>
    <row r="144" spans="1:5" x14ac:dyDescent="0.3">
      <c r="A144" s="16"/>
      <c r="B144" s="125"/>
      <c r="C144" s="125"/>
      <c r="D144" s="40"/>
      <c r="E144" s="40"/>
    </row>
    <row r="145" spans="1:5" x14ac:dyDescent="0.3">
      <c r="A145" s="16"/>
      <c r="B145" s="125"/>
      <c r="C145" s="125"/>
      <c r="D145" s="40"/>
      <c r="E145" s="40"/>
    </row>
    <row r="146" spans="1:5" x14ac:dyDescent="0.3">
      <c r="A146" s="16"/>
      <c r="B146" s="125"/>
      <c r="C146" s="125"/>
      <c r="D146" s="40"/>
      <c r="E146" s="40"/>
    </row>
    <row r="147" spans="1:5" x14ac:dyDescent="0.3">
      <c r="A147" s="16"/>
      <c r="B147" s="125"/>
      <c r="C147" s="125"/>
      <c r="D147" s="40"/>
      <c r="E147" s="40"/>
    </row>
    <row r="148" spans="1:5" x14ac:dyDescent="0.3">
      <c r="A148" s="16"/>
      <c r="B148" s="125"/>
      <c r="C148" s="125"/>
      <c r="D148" s="40"/>
      <c r="E148" s="40"/>
    </row>
    <row r="149" spans="1:5" x14ac:dyDescent="0.3">
      <c r="A149" s="16"/>
      <c r="B149" s="125"/>
      <c r="C149" s="125"/>
      <c r="D149" s="40"/>
      <c r="E149" s="40"/>
    </row>
    <row r="150" spans="1:5" x14ac:dyDescent="0.3">
      <c r="A150" s="16"/>
      <c r="B150" s="125"/>
      <c r="C150" s="125"/>
      <c r="D150" s="40"/>
      <c r="E150" s="40"/>
    </row>
    <row r="151" spans="1:5" x14ac:dyDescent="0.3">
      <c r="A151" s="16"/>
      <c r="B151" s="125"/>
      <c r="C151" s="125"/>
      <c r="D151" s="40"/>
      <c r="E151" s="40"/>
    </row>
    <row r="152" spans="1:5" x14ac:dyDescent="0.3">
      <c r="A152" s="16"/>
      <c r="B152" s="125"/>
      <c r="C152" s="125"/>
      <c r="D152" s="40"/>
      <c r="E152" s="40"/>
    </row>
    <row r="153" spans="1:5" x14ac:dyDescent="0.3">
      <c r="A153" s="16"/>
      <c r="B153" s="125"/>
      <c r="C153" s="125"/>
      <c r="D153" s="40"/>
      <c r="E153" s="40"/>
    </row>
    <row r="154" spans="1:5" x14ac:dyDescent="0.3">
      <c r="A154" s="16"/>
      <c r="B154" s="125"/>
      <c r="C154" s="125"/>
      <c r="D154" s="40"/>
      <c r="E154" s="40"/>
    </row>
    <row r="155" spans="1:5" x14ac:dyDescent="0.3">
      <c r="A155" s="16"/>
      <c r="B155" s="125"/>
      <c r="C155" s="125"/>
      <c r="D155" s="40"/>
      <c r="E155" s="40"/>
    </row>
    <row r="156" spans="1:5" x14ac:dyDescent="0.3">
      <c r="A156" s="16"/>
      <c r="B156" s="125"/>
      <c r="C156" s="125"/>
      <c r="D156" s="40"/>
      <c r="E156" s="40"/>
    </row>
    <row r="157" spans="1:5" x14ac:dyDescent="0.3">
      <c r="A157" s="16"/>
      <c r="B157" s="125"/>
      <c r="C157" s="125"/>
      <c r="D157" s="40"/>
      <c r="E157" s="40"/>
    </row>
    <row r="158" spans="1:5" x14ac:dyDescent="0.3">
      <c r="A158" s="16"/>
      <c r="B158" s="125"/>
      <c r="C158" s="125"/>
      <c r="D158" s="40"/>
      <c r="E158" s="40"/>
    </row>
    <row r="159" spans="1:5" x14ac:dyDescent="0.3">
      <c r="A159" s="16"/>
      <c r="B159" s="125"/>
      <c r="C159" s="125"/>
      <c r="D159" s="40"/>
      <c r="E159" s="40"/>
    </row>
    <row r="160" spans="1:5" x14ac:dyDescent="0.3">
      <c r="A160" s="16"/>
      <c r="B160" s="125"/>
      <c r="C160" s="125"/>
      <c r="D160" s="40"/>
      <c r="E160" s="40"/>
    </row>
    <row r="161" spans="1:5" x14ac:dyDescent="0.3">
      <c r="A161" s="16"/>
      <c r="B161" s="125"/>
      <c r="C161" s="125"/>
      <c r="D161" s="40"/>
      <c r="E161" s="40"/>
    </row>
    <row r="162" spans="1:5" x14ac:dyDescent="0.3">
      <c r="A162" s="16"/>
      <c r="B162" s="125"/>
      <c r="C162" s="125"/>
      <c r="D162" s="40"/>
      <c r="E162" s="40"/>
    </row>
    <row r="163" spans="1:5" x14ac:dyDescent="0.3">
      <c r="A163" s="16"/>
      <c r="B163" s="125"/>
      <c r="C163" s="125"/>
      <c r="D163" s="40"/>
      <c r="E163" s="40"/>
    </row>
    <row r="164" spans="1:5" x14ac:dyDescent="0.3">
      <c r="A164" s="16"/>
      <c r="B164" s="125"/>
      <c r="C164" s="125"/>
      <c r="D164" s="40"/>
      <c r="E164" s="40"/>
    </row>
    <row r="165" spans="1:5" x14ac:dyDescent="0.3">
      <c r="A165" s="16"/>
      <c r="B165" s="125"/>
      <c r="C165" s="125"/>
      <c r="D165" s="40"/>
      <c r="E165" s="40"/>
    </row>
    <row r="166" spans="1:5" x14ac:dyDescent="0.3">
      <c r="A166" s="16"/>
      <c r="B166" s="125"/>
      <c r="C166" s="125"/>
      <c r="D166" s="40"/>
      <c r="E166" s="40"/>
    </row>
    <row r="167" spans="1:5" x14ac:dyDescent="0.3">
      <c r="A167" s="16"/>
      <c r="B167" s="125"/>
      <c r="C167" s="125"/>
      <c r="D167" s="40"/>
      <c r="E167" s="40"/>
    </row>
    <row r="168" spans="1:5" x14ac:dyDescent="0.3">
      <c r="A168" s="16"/>
      <c r="B168" s="125"/>
      <c r="C168" s="125"/>
      <c r="D168" s="40"/>
      <c r="E168" s="40"/>
    </row>
    <row r="169" spans="1:5" x14ac:dyDescent="0.3">
      <c r="A169" s="16"/>
      <c r="B169" s="125"/>
      <c r="C169" s="125"/>
      <c r="D169" s="40"/>
      <c r="E169" s="40"/>
    </row>
    <row r="170" spans="1:5" x14ac:dyDescent="0.3">
      <c r="A170" s="16"/>
      <c r="B170" s="125"/>
      <c r="C170" s="125"/>
      <c r="D170" s="40"/>
      <c r="E170" s="40"/>
    </row>
    <row r="171" spans="1:5" x14ac:dyDescent="0.3">
      <c r="A171" s="16"/>
      <c r="B171" s="125"/>
      <c r="C171" s="125"/>
      <c r="D171" s="40"/>
      <c r="E171" s="40"/>
    </row>
    <row r="172" spans="1:5" x14ac:dyDescent="0.3">
      <c r="A172" s="16"/>
      <c r="B172" s="125"/>
      <c r="C172" s="125"/>
      <c r="D172" s="40"/>
      <c r="E172" s="40"/>
    </row>
    <row r="173" spans="1:5" x14ac:dyDescent="0.3">
      <c r="A173" s="16"/>
      <c r="B173" s="125"/>
      <c r="C173" s="125"/>
      <c r="D173" s="40"/>
      <c r="E173" s="40"/>
    </row>
    <row r="174" spans="1:5" x14ac:dyDescent="0.3">
      <c r="A174" s="16"/>
      <c r="B174" s="125"/>
      <c r="C174" s="125"/>
      <c r="D174" s="40"/>
      <c r="E174" s="40"/>
    </row>
    <row r="175" spans="1:5" x14ac:dyDescent="0.3">
      <c r="A175" s="16"/>
      <c r="B175" s="125"/>
      <c r="C175" s="125"/>
      <c r="D175" s="40"/>
      <c r="E175" s="40"/>
    </row>
    <row r="176" spans="1:5" x14ac:dyDescent="0.3">
      <c r="A176" s="16"/>
      <c r="B176" s="125"/>
      <c r="C176" s="125"/>
      <c r="D176" s="40"/>
      <c r="E176" s="40"/>
    </row>
    <row r="177" spans="1:5" x14ac:dyDescent="0.3">
      <c r="A177" s="16"/>
      <c r="B177" s="125"/>
      <c r="C177" s="125"/>
      <c r="D177" s="40"/>
      <c r="E177" s="40"/>
    </row>
    <row r="178" spans="1:5" x14ac:dyDescent="0.3">
      <c r="A178" s="16"/>
      <c r="B178" s="125"/>
      <c r="C178" s="125"/>
      <c r="D178" s="40"/>
      <c r="E178" s="40"/>
    </row>
    <row r="179" spans="1:5" x14ac:dyDescent="0.3">
      <c r="A179" s="16"/>
      <c r="B179" s="125"/>
      <c r="C179" s="125"/>
      <c r="D179" s="40"/>
      <c r="E179" s="40"/>
    </row>
    <row r="180" spans="1:5" x14ac:dyDescent="0.3">
      <c r="A180" s="16"/>
      <c r="B180" s="125"/>
      <c r="C180" s="125"/>
      <c r="D180" s="40"/>
      <c r="E180" s="40"/>
    </row>
    <row r="181" spans="1:5" x14ac:dyDescent="0.3">
      <c r="A181" s="16"/>
      <c r="B181" s="125"/>
      <c r="C181" s="125"/>
      <c r="D181" s="40"/>
      <c r="E181" s="40"/>
    </row>
    <row r="182" spans="1:5" x14ac:dyDescent="0.3">
      <c r="A182" s="16"/>
      <c r="B182" s="125"/>
      <c r="C182" s="125"/>
      <c r="D182" s="40"/>
      <c r="E182" s="40"/>
    </row>
    <row r="183" spans="1:5" x14ac:dyDescent="0.3">
      <c r="A183" s="16"/>
      <c r="B183" s="125"/>
      <c r="C183" s="125"/>
      <c r="D183" s="40"/>
      <c r="E183" s="40"/>
    </row>
    <row r="184" spans="1:5" x14ac:dyDescent="0.3">
      <c r="A184" s="16"/>
      <c r="B184" s="125"/>
      <c r="C184" s="125"/>
      <c r="D184" s="40"/>
      <c r="E184" s="40"/>
    </row>
    <row r="185" spans="1:5" x14ac:dyDescent="0.3">
      <c r="A185" s="16"/>
      <c r="B185" s="125"/>
      <c r="C185" s="125"/>
      <c r="D185" s="40"/>
      <c r="E185" s="40"/>
    </row>
    <row r="186" spans="1:5" x14ac:dyDescent="0.3">
      <c r="A186" s="16"/>
      <c r="B186" s="125"/>
      <c r="C186" s="125"/>
      <c r="D186" s="40"/>
      <c r="E186" s="40"/>
    </row>
    <row r="187" spans="1:5" x14ac:dyDescent="0.3">
      <c r="A187" s="16"/>
      <c r="B187" s="125"/>
      <c r="C187" s="125"/>
      <c r="D187" s="40"/>
      <c r="E187" s="40"/>
    </row>
    <row r="188" spans="1:5" x14ac:dyDescent="0.3">
      <c r="A188" s="16"/>
      <c r="B188" s="125"/>
      <c r="C188" s="125"/>
      <c r="D188" s="40"/>
      <c r="E188" s="40"/>
    </row>
    <row r="189" spans="1:5" x14ac:dyDescent="0.3">
      <c r="A189" s="16"/>
      <c r="B189" s="125"/>
      <c r="C189" s="125"/>
      <c r="D189" s="40"/>
      <c r="E189" s="40"/>
    </row>
    <row r="190" spans="1:5" x14ac:dyDescent="0.3">
      <c r="A190" s="16"/>
      <c r="B190" s="125"/>
      <c r="C190" s="125"/>
      <c r="D190" s="40"/>
      <c r="E190" s="40"/>
    </row>
    <row r="191" spans="1:5" x14ac:dyDescent="0.3">
      <c r="A191" s="16"/>
      <c r="B191" s="125"/>
      <c r="C191" s="125"/>
      <c r="D191" s="40"/>
      <c r="E191" s="40"/>
    </row>
    <row r="192" spans="1:5" x14ac:dyDescent="0.3">
      <c r="A192" s="16"/>
      <c r="B192" s="125"/>
      <c r="C192" s="125"/>
      <c r="D192" s="40"/>
      <c r="E192" s="40"/>
    </row>
    <row r="193" spans="1:5" x14ac:dyDescent="0.3">
      <c r="A193" s="16"/>
      <c r="B193" s="125"/>
      <c r="C193" s="125"/>
      <c r="D193" s="40"/>
      <c r="E193" s="40"/>
    </row>
    <row r="194" spans="1:5" x14ac:dyDescent="0.3">
      <c r="A194" s="16"/>
      <c r="B194" s="125"/>
      <c r="C194" s="125"/>
      <c r="D194" s="40"/>
      <c r="E194" s="40"/>
    </row>
    <row r="195" spans="1:5" x14ac:dyDescent="0.3">
      <c r="A195" s="16"/>
      <c r="B195" s="125"/>
      <c r="C195" s="125"/>
      <c r="D195" s="40"/>
      <c r="E195" s="40"/>
    </row>
    <row r="196" spans="1:5" x14ac:dyDescent="0.3">
      <c r="A196" s="16"/>
      <c r="B196" s="125"/>
      <c r="C196" s="125"/>
      <c r="D196" s="40"/>
      <c r="E196" s="40"/>
    </row>
    <row r="197" spans="1:5" x14ac:dyDescent="0.3">
      <c r="A197" s="16"/>
      <c r="B197" s="125"/>
      <c r="C197" s="125"/>
      <c r="D197" s="40"/>
      <c r="E197" s="40"/>
    </row>
    <row r="198" spans="1:5" x14ac:dyDescent="0.3">
      <c r="A198" s="16"/>
      <c r="B198" s="125"/>
      <c r="C198" s="125"/>
      <c r="D198" s="40"/>
      <c r="E198" s="40"/>
    </row>
    <row r="199" spans="1:5" x14ac:dyDescent="0.3">
      <c r="A199" s="16"/>
      <c r="B199" s="125"/>
      <c r="C199" s="125"/>
      <c r="D199" s="40"/>
      <c r="E199" s="40"/>
    </row>
    <row r="200" spans="1:5" x14ac:dyDescent="0.3">
      <c r="A200" s="16"/>
      <c r="B200" s="125"/>
      <c r="C200" s="125"/>
      <c r="D200" s="40"/>
      <c r="E200" s="40"/>
    </row>
    <row r="201" spans="1:5" x14ac:dyDescent="0.3">
      <c r="A201" s="16"/>
      <c r="B201" s="125"/>
      <c r="C201" s="125"/>
      <c r="D201" s="40"/>
      <c r="E201" s="40"/>
    </row>
    <row r="202" spans="1:5" x14ac:dyDescent="0.3">
      <c r="A202" s="16"/>
      <c r="B202" s="125"/>
      <c r="C202" s="125"/>
      <c r="D202" s="40"/>
      <c r="E202" s="40"/>
    </row>
    <row r="203" spans="1:5" x14ac:dyDescent="0.3">
      <c r="A203" s="16"/>
      <c r="B203" s="125"/>
      <c r="C203" s="125"/>
      <c r="D203" s="40"/>
      <c r="E203" s="40"/>
    </row>
    <row r="204" spans="1:5" x14ac:dyDescent="0.3">
      <c r="A204" s="16"/>
      <c r="B204" s="125"/>
      <c r="C204" s="125"/>
      <c r="D204" s="40"/>
      <c r="E204" s="40"/>
    </row>
    <row r="205" spans="1:5" x14ac:dyDescent="0.3">
      <c r="A205" s="16"/>
      <c r="B205" s="125"/>
      <c r="C205" s="125"/>
      <c r="D205" s="40"/>
      <c r="E205" s="40"/>
    </row>
    <row r="206" spans="1:5" x14ac:dyDescent="0.3">
      <c r="A206" s="16"/>
      <c r="B206" s="125"/>
      <c r="C206" s="125"/>
      <c r="D206" s="40"/>
      <c r="E206" s="40"/>
    </row>
    <row r="207" spans="1:5" x14ac:dyDescent="0.3">
      <c r="A207" s="16"/>
      <c r="B207" s="125"/>
      <c r="C207" s="125"/>
      <c r="D207" s="40"/>
      <c r="E207" s="40"/>
    </row>
    <row r="208" spans="1:5" x14ac:dyDescent="0.3">
      <c r="A208" s="16"/>
      <c r="B208" s="125"/>
      <c r="C208" s="125"/>
      <c r="D208" s="40"/>
      <c r="E208" s="40"/>
    </row>
    <row r="209" spans="1:5" x14ac:dyDescent="0.3">
      <c r="A209" s="16"/>
      <c r="B209" s="125"/>
      <c r="C209" s="125"/>
      <c r="D209" s="40"/>
      <c r="E209" s="40"/>
    </row>
    <row r="210" spans="1:5" x14ac:dyDescent="0.3">
      <c r="A210" s="16"/>
      <c r="B210" s="125"/>
      <c r="C210" s="125"/>
      <c r="D210" s="40"/>
      <c r="E210" s="40"/>
    </row>
    <row r="211" spans="1:5" x14ac:dyDescent="0.3">
      <c r="A211" s="16"/>
      <c r="B211" s="125"/>
      <c r="C211" s="125"/>
      <c r="D211" s="40"/>
      <c r="E211" s="40"/>
    </row>
    <row r="212" spans="1:5" x14ac:dyDescent="0.3">
      <c r="A212" s="16"/>
      <c r="B212" s="125"/>
      <c r="C212" s="125"/>
      <c r="D212" s="40"/>
      <c r="E212" s="40"/>
    </row>
    <row r="213" spans="1:5" x14ac:dyDescent="0.3">
      <c r="A213" s="16"/>
      <c r="B213" s="125"/>
      <c r="C213" s="125"/>
      <c r="D213" s="40"/>
      <c r="E213" s="40"/>
    </row>
    <row r="214" spans="1:5" x14ac:dyDescent="0.3">
      <c r="A214" s="16"/>
      <c r="B214" s="125"/>
      <c r="C214" s="125"/>
      <c r="D214" s="40"/>
      <c r="E214" s="40"/>
    </row>
    <row r="215" spans="1:5" x14ac:dyDescent="0.3">
      <c r="A215" s="16"/>
      <c r="B215" s="125"/>
      <c r="C215" s="125"/>
      <c r="D215" s="40"/>
      <c r="E215" s="40"/>
    </row>
    <row r="216" spans="1:5" x14ac:dyDescent="0.3">
      <c r="A216" s="16"/>
      <c r="B216" s="125"/>
      <c r="C216" s="125"/>
      <c r="D216" s="40"/>
      <c r="E216" s="40"/>
    </row>
    <row r="217" spans="1:5" x14ac:dyDescent="0.3">
      <c r="A217" s="16"/>
      <c r="B217" s="125"/>
      <c r="C217" s="125"/>
      <c r="D217" s="40"/>
      <c r="E217" s="40"/>
    </row>
    <row r="218" spans="1:5" x14ac:dyDescent="0.3">
      <c r="A218" s="16"/>
      <c r="B218" s="125"/>
      <c r="C218" s="125"/>
      <c r="D218" s="40"/>
      <c r="E218" s="40"/>
    </row>
    <row r="219" spans="1:5" x14ac:dyDescent="0.3">
      <c r="A219" s="16"/>
      <c r="B219" s="125"/>
      <c r="C219" s="125"/>
      <c r="D219" s="40"/>
      <c r="E219" s="40"/>
    </row>
    <row r="220" spans="1:5" x14ac:dyDescent="0.3">
      <c r="A220" s="16"/>
      <c r="B220" s="125"/>
      <c r="C220" s="125"/>
      <c r="D220" s="40"/>
      <c r="E220" s="40"/>
    </row>
    <row r="221" spans="1:5" x14ac:dyDescent="0.3">
      <c r="A221" s="16"/>
      <c r="B221" s="125"/>
      <c r="C221" s="125"/>
      <c r="D221" s="40"/>
      <c r="E221" s="40"/>
    </row>
    <row r="222" spans="1:5" x14ac:dyDescent="0.3">
      <c r="A222" s="16"/>
      <c r="B222" s="125"/>
      <c r="C222" s="125"/>
      <c r="D222" s="40"/>
      <c r="E222" s="40"/>
    </row>
    <row r="223" spans="1:5" x14ac:dyDescent="0.3">
      <c r="A223" s="16"/>
      <c r="B223" s="125"/>
      <c r="C223" s="125"/>
      <c r="D223" s="40"/>
      <c r="E223" s="40"/>
    </row>
    <row r="224" spans="1:5" x14ac:dyDescent="0.3">
      <c r="A224" s="16"/>
      <c r="B224" s="125"/>
      <c r="C224" s="125"/>
      <c r="D224" s="40"/>
      <c r="E224" s="40"/>
    </row>
    <row r="225" spans="1:8" x14ac:dyDescent="0.3">
      <c r="A225" s="16"/>
      <c r="B225" s="125"/>
      <c r="C225" s="125"/>
      <c r="D225" s="40"/>
      <c r="E225" s="40"/>
    </row>
    <row r="226" spans="1:8" x14ac:dyDescent="0.3">
      <c r="A226" s="16"/>
      <c r="B226" s="125"/>
      <c r="C226" s="125"/>
      <c r="D226" s="40"/>
      <c r="E226" s="40"/>
    </row>
    <row r="227" spans="1:8" x14ac:dyDescent="0.3">
      <c r="A227" s="16"/>
      <c r="B227" s="125"/>
      <c r="C227" s="125"/>
      <c r="D227" s="40"/>
      <c r="E227" s="40"/>
    </row>
    <row r="228" spans="1:8" x14ac:dyDescent="0.3">
      <c r="A228" s="16"/>
      <c r="B228" s="125"/>
      <c r="C228" s="125"/>
      <c r="D228" s="40"/>
      <c r="E228" s="40"/>
    </row>
    <row r="229" spans="1:8" x14ac:dyDescent="0.3">
      <c r="A229" s="16"/>
      <c r="B229" s="125"/>
      <c r="C229" s="125"/>
      <c r="D229" s="40"/>
      <c r="E229" s="40"/>
    </row>
    <row r="230" spans="1:8" x14ac:dyDescent="0.3">
      <c r="A230" s="16"/>
      <c r="B230" s="125"/>
      <c r="C230" s="125"/>
      <c r="D230" s="40"/>
      <c r="E230" s="40"/>
    </row>
    <row r="231" spans="1:8" x14ac:dyDescent="0.3">
      <c r="A231" s="16"/>
      <c r="B231" s="125"/>
      <c r="C231" s="125"/>
      <c r="D231" s="40"/>
      <c r="E231" s="40"/>
    </row>
    <row r="232" spans="1:8" x14ac:dyDescent="0.3">
      <c r="A232" s="16"/>
      <c r="B232" s="125"/>
      <c r="C232" s="125"/>
      <c r="D232" s="40"/>
      <c r="E232" s="40"/>
    </row>
    <row r="233" spans="1:8" x14ac:dyDescent="0.3">
      <c r="A233" s="16"/>
      <c r="B233" s="125"/>
      <c r="C233" s="125"/>
      <c r="D233" s="40"/>
      <c r="E233" s="40"/>
    </row>
    <row r="234" spans="1:8" x14ac:dyDescent="0.3">
      <c r="A234" s="16"/>
      <c r="B234" s="125"/>
      <c r="C234" s="125"/>
      <c r="D234" s="40"/>
      <c r="E234" s="40"/>
    </row>
    <row r="235" spans="1:8" x14ac:dyDescent="0.3">
      <c r="B235" s="18"/>
      <c r="C235" s="18"/>
    </row>
    <row r="236" spans="1:8" x14ac:dyDescent="0.3">
      <c r="B236" s="18"/>
      <c r="C236" s="18"/>
    </row>
    <row r="237" spans="1:8" x14ac:dyDescent="0.3">
      <c r="B237" s="18"/>
      <c r="C237" s="18"/>
    </row>
    <row r="238" spans="1:8" x14ac:dyDescent="0.3">
      <c r="B238" s="18"/>
      <c r="C238" s="18"/>
    </row>
    <row r="239" spans="1:8" x14ac:dyDescent="0.3">
      <c r="B239" s="18"/>
      <c r="C239" s="18"/>
    </row>
    <row r="240" spans="1:8" s="24" customFormat="1" x14ac:dyDescent="0.3">
      <c r="A240" s="12"/>
      <c r="B240" s="18"/>
      <c r="C240" s="18"/>
      <c r="F240" s="12"/>
      <c r="G240" s="12"/>
      <c r="H240" s="12"/>
    </row>
    <row r="241" spans="1:8" s="24" customFormat="1" x14ac:dyDescent="0.3">
      <c r="A241" s="12"/>
      <c r="B241" s="18"/>
      <c r="C241" s="18"/>
      <c r="F241" s="12"/>
      <c r="G241" s="12"/>
      <c r="H241" s="12"/>
    </row>
    <row r="242" spans="1:8" s="24" customFormat="1" x14ac:dyDescent="0.3">
      <c r="A242" s="12"/>
      <c r="B242" s="18"/>
      <c r="C242" s="18"/>
      <c r="F242" s="12"/>
      <c r="G242" s="12"/>
      <c r="H242" s="12"/>
    </row>
    <row r="243" spans="1:8" s="24" customFormat="1" x14ac:dyDescent="0.3">
      <c r="A243" s="12"/>
      <c r="B243" s="18"/>
      <c r="C243" s="18"/>
      <c r="F243" s="12"/>
      <c r="G243" s="12"/>
      <c r="H243" s="12"/>
    </row>
    <row r="244" spans="1:8" s="24" customFormat="1" x14ac:dyDescent="0.3">
      <c r="A244" s="12"/>
      <c r="B244" s="18"/>
      <c r="C244" s="18"/>
      <c r="F244" s="12"/>
      <c r="G244" s="12"/>
      <c r="H244" s="12"/>
    </row>
    <row r="245" spans="1:8" s="24" customFormat="1" x14ac:dyDescent="0.3">
      <c r="A245" s="12"/>
      <c r="B245" s="18"/>
      <c r="C245" s="18"/>
      <c r="F245" s="12"/>
      <c r="G245" s="12"/>
      <c r="H245" s="12"/>
    </row>
    <row r="246" spans="1:8" s="24" customFormat="1" x14ac:dyDescent="0.3">
      <c r="A246" s="12"/>
      <c r="B246" s="18"/>
      <c r="C246" s="18"/>
      <c r="F246" s="12"/>
      <c r="G246" s="12"/>
      <c r="H246" s="12"/>
    </row>
    <row r="247" spans="1:8" s="24" customFormat="1" x14ac:dyDescent="0.3">
      <c r="A247" s="12"/>
      <c r="B247" s="18"/>
      <c r="C247" s="18"/>
      <c r="F247" s="12"/>
      <c r="G247" s="12"/>
      <c r="H247" s="12"/>
    </row>
    <row r="248" spans="1:8" s="24" customFormat="1" x14ac:dyDescent="0.3">
      <c r="A248" s="12"/>
      <c r="B248" s="18"/>
      <c r="C248" s="18"/>
      <c r="F248" s="12"/>
      <c r="G248" s="12"/>
      <c r="H248" s="12"/>
    </row>
    <row r="249" spans="1:8" s="24" customFormat="1" x14ac:dyDescent="0.3">
      <c r="A249" s="12"/>
      <c r="B249" s="18"/>
      <c r="C249" s="18"/>
      <c r="F249" s="12"/>
      <c r="G249" s="12"/>
      <c r="H249" s="12"/>
    </row>
    <row r="250" spans="1:8" s="24" customFormat="1" x14ac:dyDescent="0.3">
      <c r="A250" s="12"/>
      <c r="B250" s="18"/>
      <c r="C250" s="18"/>
      <c r="F250" s="12"/>
      <c r="G250" s="12"/>
      <c r="H250" s="12"/>
    </row>
    <row r="251" spans="1:8" s="24" customFormat="1" x14ac:dyDescent="0.3">
      <c r="A251" s="12"/>
      <c r="B251" s="18"/>
      <c r="C251" s="18"/>
      <c r="F251" s="12"/>
      <c r="G251" s="12"/>
      <c r="H251" s="12"/>
    </row>
    <row r="252" spans="1:8" s="24" customFormat="1" x14ac:dyDescent="0.3">
      <c r="A252" s="12"/>
      <c r="B252" s="18"/>
      <c r="C252" s="18"/>
      <c r="F252" s="12"/>
      <c r="G252" s="12"/>
      <c r="H252" s="12"/>
    </row>
    <row r="253" spans="1:8" s="24" customFormat="1" x14ac:dyDescent="0.3">
      <c r="A253" s="12"/>
      <c r="B253" s="18"/>
      <c r="C253" s="18"/>
      <c r="F253" s="12"/>
      <c r="G253" s="12"/>
      <c r="H253" s="12"/>
    </row>
    <row r="254" spans="1:8" s="24" customFormat="1" x14ac:dyDescent="0.3">
      <c r="A254" s="12"/>
      <c r="B254" s="18"/>
      <c r="C254" s="18"/>
      <c r="F254" s="12"/>
      <c r="G254" s="12"/>
      <c r="H254" s="12"/>
    </row>
    <row r="255" spans="1:8" s="24" customFormat="1" x14ac:dyDescent="0.3">
      <c r="A255" s="12"/>
      <c r="B255" s="18"/>
      <c r="C255" s="18"/>
      <c r="F255" s="12"/>
      <c r="G255" s="12"/>
      <c r="H255" s="12"/>
    </row>
    <row r="256" spans="1:8" s="24" customFormat="1" x14ac:dyDescent="0.3">
      <c r="A256" s="12"/>
      <c r="B256" s="18"/>
      <c r="C256" s="18"/>
      <c r="F256" s="12"/>
      <c r="G256" s="12"/>
      <c r="H256" s="12"/>
    </row>
    <row r="257" spans="1:8" s="24" customFormat="1" x14ac:dyDescent="0.3">
      <c r="A257" s="12"/>
      <c r="B257" s="18"/>
      <c r="C257" s="18"/>
      <c r="F257" s="12"/>
      <c r="G257" s="12"/>
      <c r="H257" s="12"/>
    </row>
    <row r="258" spans="1:8" s="24" customFormat="1" x14ac:dyDescent="0.3">
      <c r="A258" s="12"/>
      <c r="B258" s="18"/>
      <c r="C258" s="18"/>
      <c r="F258" s="12"/>
      <c r="G258" s="12"/>
      <c r="H258" s="12"/>
    </row>
    <row r="259" spans="1:8" s="24" customFormat="1" x14ac:dyDescent="0.3">
      <c r="A259" s="12"/>
      <c r="B259" s="18"/>
      <c r="C259" s="18"/>
      <c r="F259" s="12"/>
      <c r="G259" s="12"/>
      <c r="H259" s="12"/>
    </row>
    <row r="260" spans="1:8" s="24" customFormat="1" x14ac:dyDescent="0.3">
      <c r="A260" s="12"/>
      <c r="B260" s="18"/>
      <c r="C260" s="18"/>
      <c r="F260" s="12"/>
      <c r="G260" s="12"/>
      <c r="H260" s="12"/>
    </row>
    <row r="261" spans="1:8" s="24" customFormat="1" x14ac:dyDescent="0.3">
      <c r="A261" s="12"/>
      <c r="B261" s="18"/>
      <c r="C261" s="18"/>
      <c r="F261" s="12"/>
      <c r="G261" s="12"/>
      <c r="H261" s="12"/>
    </row>
    <row r="262" spans="1:8" s="24" customFormat="1" x14ac:dyDescent="0.3">
      <c r="A262" s="12"/>
      <c r="B262" s="18"/>
      <c r="C262" s="18"/>
      <c r="F262" s="12"/>
      <c r="G262" s="12"/>
      <c r="H262" s="12"/>
    </row>
    <row r="263" spans="1:8" s="24" customFormat="1" x14ac:dyDescent="0.3">
      <c r="A263" s="12"/>
      <c r="B263" s="18"/>
      <c r="C263" s="18"/>
      <c r="F263" s="12"/>
      <c r="G263" s="12"/>
      <c r="H263" s="12"/>
    </row>
    <row r="264" spans="1:8" s="24" customFormat="1" x14ac:dyDescent="0.3">
      <c r="A264" s="12"/>
      <c r="B264" s="18"/>
      <c r="C264" s="18"/>
      <c r="F264" s="12"/>
      <c r="G264" s="12"/>
      <c r="H264" s="12"/>
    </row>
    <row r="265" spans="1:8" s="24" customFormat="1" x14ac:dyDescent="0.3">
      <c r="A265" s="12"/>
      <c r="B265" s="18"/>
      <c r="C265" s="18"/>
      <c r="F265" s="12"/>
      <c r="G265" s="12"/>
      <c r="H265" s="12"/>
    </row>
    <row r="266" spans="1:8" s="24" customFormat="1" x14ac:dyDescent="0.3">
      <c r="A266" s="12"/>
      <c r="B266" s="18"/>
      <c r="C266" s="18"/>
      <c r="F266" s="12"/>
      <c r="G266" s="12"/>
      <c r="H266" s="12"/>
    </row>
    <row r="267" spans="1:8" s="24" customFormat="1" x14ac:dyDescent="0.3">
      <c r="A267" s="12"/>
      <c r="B267" s="18"/>
      <c r="C267" s="18"/>
      <c r="F267" s="12"/>
      <c r="G267" s="12"/>
      <c r="H267" s="12"/>
    </row>
    <row r="268" spans="1:8" s="24" customFormat="1" x14ac:dyDescent="0.3">
      <c r="A268" s="12"/>
      <c r="B268" s="18"/>
      <c r="C268" s="18"/>
      <c r="F268" s="12"/>
      <c r="G268" s="12"/>
      <c r="H268" s="12"/>
    </row>
    <row r="269" spans="1:8" s="24" customFormat="1" x14ac:dyDescent="0.3">
      <c r="A269" s="12"/>
      <c r="B269" s="18"/>
      <c r="C269" s="18"/>
      <c r="F269" s="12"/>
      <c r="G269" s="12"/>
      <c r="H269" s="12"/>
    </row>
    <row r="270" spans="1:8" s="24" customFormat="1" x14ac:dyDescent="0.3">
      <c r="A270" s="12"/>
      <c r="B270" s="18"/>
      <c r="C270" s="18"/>
      <c r="F270" s="12"/>
      <c r="G270" s="12"/>
      <c r="H270" s="12"/>
    </row>
    <row r="271" spans="1:8" s="24" customFormat="1" x14ac:dyDescent="0.3">
      <c r="A271" s="12"/>
      <c r="B271" s="18"/>
      <c r="C271" s="18"/>
      <c r="F271" s="12"/>
      <c r="G271" s="12"/>
      <c r="H271" s="12"/>
    </row>
    <row r="272" spans="1:8" s="24" customFormat="1" x14ac:dyDescent="0.3">
      <c r="A272" s="12"/>
      <c r="B272" s="18"/>
      <c r="C272" s="18"/>
      <c r="F272" s="12"/>
      <c r="G272" s="12"/>
      <c r="H272" s="12"/>
    </row>
    <row r="273" spans="1:8" s="24" customFormat="1" x14ac:dyDescent="0.3">
      <c r="A273" s="12"/>
      <c r="B273" s="18"/>
      <c r="C273" s="18"/>
      <c r="F273" s="12"/>
      <c r="G273" s="12"/>
      <c r="H273" s="12"/>
    </row>
    <row r="274" spans="1:8" s="24" customFormat="1" x14ac:dyDescent="0.3">
      <c r="A274" s="12"/>
      <c r="B274" s="18"/>
      <c r="C274" s="18"/>
      <c r="F274" s="12"/>
      <c r="G274" s="12"/>
      <c r="H274" s="12"/>
    </row>
    <row r="275" spans="1:8" s="24" customFormat="1" x14ac:dyDescent="0.3">
      <c r="A275" s="12"/>
      <c r="B275" s="18"/>
      <c r="C275" s="18"/>
      <c r="F275" s="12"/>
      <c r="G275" s="12"/>
      <c r="H275" s="12"/>
    </row>
    <row r="276" spans="1:8" s="24" customFormat="1" x14ac:dyDescent="0.3">
      <c r="A276" s="12"/>
      <c r="B276" s="18"/>
      <c r="C276" s="18"/>
      <c r="F276" s="12"/>
      <c r="G276" s="12"/>
      <c r="H276" s="12"/>
    </row>
    <row r="277" spans="1:8" s="24" customFormat="1" x14ac:dyDescent="0.3">
      <c r="A277" s="12"/>
      <c r="B277" s="18"/>
      <c r="C277" s="18"/>
      <c r="F277" s="12"/>
      <c r="G277" s="12"/>
      <c r="H277" s="12"/>
    </row>
    <row r="278" spans="1:8" s="24" customFormat="1" x14ac:dyDescent="0.3">
      <c r="A278" s="12"/>
      <c r="B278" s="18"/>
      <c r="C278" s="18"/>
      <c r="F278" s="12"/>
      <c r="G278" s="12"/>
      <c r="H278" s="12"/>
    </row>
    <row r="279" spans="1:8" s="24" customFormat="1" x14ac:dyDescent="0.3">
      <c r="A279" s="12"/>
      <c r="B279" s="18"/>
      <c r="C279" s="18"/>
      <c r="F279" s="12"/>
      <c r="G279" s="12"/>
      <c r="H279" s="12"/>
    </row>
    <row r="280" spans="1:8" s="24" customFormat="1" x14ac:dyDescent="0.3">
      <c r="A280" s="12"/>
      <c r="B280" s="18"/>
      <c r="C280" s="18"/>
      <c r="F280" s="12"/>
      <c r="G280" s="12"/>
      <c r="H280" s="12"/>
    </row>
    <row r="281" spans="1:8" s="24" customFormat="1" x14ac:dyDescent="0.3">
      <c r="A281" s="12"/>
      <c r="B281" s="18"/>
      <c r="C281" s="18"/>
      <c r="F281" s="12"/>
      <c r="G281" s="12"/>
      <c r="H281" s="12"/>
    </row>
    <row r="282" spans="1:8" s="24" customFormat="1" x14ac:dyDescent="0.3">
      <c r="A282" s="12"/>
      <c r="B282" s="18"/>
      <c r="C282" s="18"/>
      <c r="F282" s="12"/>
      <c r="G282" s="12"/>
      <c r="H282" s="12"/>
    </row>
    <row r="283" spans="1:8" s="24" customFormat="1" x14ac:dyDescent="0.3">
      <c r="A283" s="12"/>
      <c r="B283" s="18"/>
      <c r="C283" s="18"/>
      <c r="F283" s="12"/>
      <c r="G283" s="12"/>
      <c r="H283" s="12"/>
    </row>
    <row r="284" spans="1:8" s="24" customFormat="1" x14ac:dyDescent="0.3">
      <c r="A284" s="12"/>
      <c r="B284" s="18"/>
      <c r="C284" s="18"/>
      <c r="F284" s="12"/>
      <c r="G284" s="12"/>
      <c r="H284" s="12"/>
    </row>
    <row r="285" spans="1:8" s="24" customFormat="1" x14ac:dyDescent="0.3">
      <c r="A285" s="12"/>
      <c r="B285" s="18"/>
      <c r="C285" s="18"/>
      <c r="F285" s="12"/>
      <c r="G285" s="12"/>
      <c r="H285" s="12"/>
    </row>
    <row r="286" spans="1:8" s="24" customFormat="1" x14ac:dyDescent="0.3">
      <c r="A286" s="12"/>
      <c r="B286" s="18"/>
      <c r="C286" s="18"/>
      <c r="F286" s="12"/>
      <c r="G286" s="12"/>
      <c r="H286" s="12"/>
    </row>
    <row r="287" spans="1:8" s="24" customFormat="1" x14ac:dyDescent="0.3">
      <c r="A287" s="12"/>
      <c r="B287" s="18"/>
      <c r="C287" s="18"/>
      <c r="F287" s="12"/>
      <c r="G287" s="12"/>
      <c r="H287" s="12"/>
    </row>
    <row r="288" spans="1:8" s="24" customFormat="1" x14ac:dyDescent="0.3">
      <c r="A288" s="12"/>
      <c r="B288" s="18"/>
      <c r="C288" s="18"/>
      <c r="F288" s="12"/>
      <c r="G288" s="12"/>
      <c r="H288" s="12"/>
    </row>
    <row r="289" spans="1:8" s="24" customFormat="1" x14ac:dyDescent="0.3">
      <c r="A289" s="12"/>
      <c r="B289" s="18"/>
      <c r="C289" s="18"/>
      <c r="F289" s="12"/>
      <c r="G289" s="12"/>
      <c r="H289" s="12"/>
    </row>
    <row r="290" spans="1:8" s="24" customFormat="1" x14ac:dyDescent="0.3">
      <c r="A290" s="12"/>
      <c r="B290" s="18"/>
      <c r="C290" s="18"/>
      <c r="F290" s="12"/>
      <c r="G290" s="12"/>
      <c r="H290" s="12"/>
    </row>
    <row r="291" spans="1:8" s="24" customFormat="1" x14ac:dyDescent="0.3">
      <c r="A291" s="12"/>
      <c r="B291" s="18"/>
      <c r="C291" s="18"/>
      <c r="F291" s="12"/>
      <c r="G291" s="12"/>
      <c r="H291" s="12"/>
    </row>
    <row r="292" spans="1:8" s="24" customFormat="1" x14ac:dyDescent="0.3">
      <c r="A292" s="12"/>
      <c r="B292" s="18"/>
      <c r="C292" s="18"/>
      <c r="F292" s="12"/>
      <c r="G292" s="12"/>
      <c r="H292" s="12"/>
    </row>
    <row r="293" spans="1:8" s="24" customFormat="1" x14ac:dyDescent="0.3">
      <c r="A293" s="12"/>
      <c r="B293" s="18"/>
      <c r="C293" s="18"/>
      <c r="F293" s="12"/>
      <c r="G293" s="12"/>
      <c r="H293" s="12"/>
    </row>
    <row r="294" spans="1:8" s="24" customFormat="1" x14ac:dyDescent="0.3">
      <c r="A294" s="12"/>
      <c r="B294" s="18"/>
      <c r="C294" s="18"/>
      <c r="F294" s="12"/>
      <c r="G294" s="12"/>
      <c r="H294" s="12"/>
    </row>
    <row r="295" spans="1:8" s="24" customFormat="1" x14ac:dyDescent="0.3">
      <c r="A295" s="12"/>
      <c r="B295" s="18"/>
      <c r="C295" s="18"/>
      <c r="F295" s="12"/>
      <c r="G295" s="12"/>
      <c r="H295" s="12"/>
    </row>
    <row r="296" spans="1:8" s="24" customFormat="1" x14ac:dyDescent="0.3">
      <c r="A296" s="12"/>
      <c r="B296" s="18"/>
      <c r="C296" s="18"/>
      <c r="F296" s="12"/>
      <c r="G296" s="12"/>
      <c r="H296" s="12"/>
    </row>
    <row r="297" spans="1:8" s="24" customFormat="1" x14ac:dyDescent="0.3">
      <c r="A297" s="12"/>
      <c r="B297" s="18"/>
      <c r="C297" s="18"/>
      <c r="F297" s="12"/>
      <c r="G297" s="12"/>
      <c r="H297" s="12"/>
    </row>
    <row r="298" spans="1:8" s="24" customFormat="1" x14ac:dyDescent="0.3">
      <c r="A298" s="12"/>
      <c r="B298" s="18"/>
      <c r="C298" s="18"/>
      <c r="F298" s="12"/>
      <c r="G298" s="12"/>
      <c r="H298" s="12"/>
    </row>
    <row r="299" spans="1:8" s="24" customFormat="1" x14ac:dyDescent="0.3">
      <c r="A299" s="12"/>
      <c r="B299" s="18"/>
      <c r="C299" s="18"/>
      <c r="F299" s="12"/>
      <c r="G299" s="12"/>
      <c r="H299" s="12"/>
    </row>
    <row r="300" spans="1:8" s="24" customFormat="1" x14ac:dyDescent="0.3">
      <c r="A300" s="12"/>
      <c r="B300" s="18"/>
      <c r="C300" s="18"/>
      <c r="F300" s="12"/>
      <c r="G300" s="12"/>
      <c r="H300" s="12"/>
    </row>
    <row r="301" spans="1:8" s="24" customFormat="1" x14ac:dyDescent="0.3">
      <c r="A301" s="12"/>
      <c r="B301" s="18"/>
      <c r="C301" s="18"/>
      <c r="F301" s="12"/>
      <c r="G301" s="12"/>
      <c r="H301" s="12"/>
    </row>
  </sheetData>
  <mergeCells count="6">
    <mergeCell ref="A53:C53"/>
    <mergeCell ref="A1:F1"/>
    <mergeCell ref="A2:F2"/>
    <mergeCell ref="A3:F3"/>
    <mergeCell ref="A5:F5"/>
    <mergeCell ref="A6:F6"/>
  </mergeCells>
  <printOptions horizontalCentered="1"/>
  <pageMargins left="0.59055118110236227" right="0.39370078740157483" top="0.26" bottom="0.25" header="0.28999999999999998" footer="0.27"/>
  <pageSetup paperSize="9" scale="74" fitToHeight="65" orientation="portrait" r:id="rId1"/>
  <headerFooter alignWithMargins="0">
    <oddFooter>Страница &amp;P&amp;R&amp;A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457"/>
  <sheetViews>
    <sheetView tabSelected="1" topLeftCell="C3" workbookViewId="0">
      <selection activeCell="A5" sqref="A5:M5"/>
    </sheetView>
  </sheetViews>
  <sheetFormatPr defaultColWidth="9.09765625" defaultRowHeight="15.55" x14ac:dyDescent="0.3"/>
  <cols>
    <col min="1" max="1" width="4.3984375" style="61" hidden="1" customWidth="1"/>
    <col min="2" max="2" width="38.69921875" style="61" customWidth="1"/>
    <col min="3" max="3" width="7.3984375" style="61" customWidth="1"/>
    <col min="4" max="4" width="7.59765625" style="61" customWidth="1"/>
    <col min="5" max="5" width="6.8984375" style="61" customWidth="1"/>
    <col min="6" max="6" width="6" style="61" customWidth="1"/>
    <col min="7" max="7" width="6.09765625" style="61" customWidth="1"/>
    <col min="8" max="8" width="5.09765625" style="61" customWidth="1"/>
    <col min="9" max="9" width="7.3984375" style="61" customWidth="1"/>
    <col min="10" max="10" width="9" style="61" customWidth="1"/>
    <col min="11" max="11" width="18.296875" style="61" customWidth="1"/>
    <col min="12" max="12" width="18.296875" style="178" customWidth="1"/>
    <col min="13" max="13" width="18.296875" style="61" customWidth="1"/>
    <col min="14" max="16384" width="9.09765625" style="61"/>
  </cols>
  <sheetData>
    <row r="1" spans="1:13" x14ac:dyDescent="0.3">
      <c r="C1" s="28"/>
      <c r="D1" s="28"/>
      <c r="E1" s="28"/>
      <c r="F1" s="28"/>
      <c r="G1" s="28"/>
      <c r="H1" s="28"/>
      <c r="I1" s="28"/>
      <c r="J1" s="28"/>
      <c r="K1" s="255" t="s">
        <v>907</v>
      </c>
      <c r="L1" s="255"/>
      <c r="M1" s="255"/>
    </row>
    <row r="2" spans="1:13" x14ac:dyDescent="0.3">
      <c r="C2" s="28"/>
      <c r="D2" s="28"/>
      <c r="E2" s="28"/>
      <c r="F2" s="28"/>
      <c r="G2" s="28"/>
      <c r="H2" s="28"/>
      <c r="I2" s="28"/>
      <c r="J2" s="28"/>
      <c r="K2" s="255" t="s">
        <v>895</v>
      </c>
      <c r="L2" s="255"/>
      <c r="M2" s="255"/>
    </row>
    <row r="3" spans="1:13" x14ac:dyDescent="0.3">
      <c r="C3" s="28"/>
      <c r="D3" s="28"/>
      <c r="E3" s="28"/>
      <c r="F3" s="28"/>
      <c r="G3" s="28"/>
      <c r="H3" s="28"/>
      <c r="I3" s="28"/>
      <c r="J3" s="28"/>
      <c r="K3" s="255" t="s">
        <v>1087</v>
      </c>
      <c r="L3" s="255"/>
      <c r="M3" s="255"/>
    </row>
    <row r="4" spans="1:13" x14ac:dyDescent="0.3">
      <c r="C4" s="28"/>
      <c r="D4" s="28"/>
      <c r="E4" s="28"/>
      <c r="F4" s="28"/>
      <c r="G4" s="28"/>
      <c r="H4" s="28"/>
      <c r="I4" s="28"/>
      <c r="J4" s="28"/>
      <c r="K4" s="28"/>
      <c r="L4" s="173"/>
    </row>
    <row r="5" spans="1:13" ht="17.2" x14ac:dyDescent="0.3">
      <c r="A5" s="263" t="s">
        <v>905</v>
      </c>
      <c r="B5" s="263"/>
      <c r="C5" s="263"/>
      <c r="D5" s="263"/>
      <c r="E5" s="263"/>
      <c r="F5" s="263"/>
      <c r="G5" s="263"/>
      <c r="H5" s="263"/>
      <c r="I5" s="263"/>
      <c r="J5" s="263"/>
      <c r="K5" s="263"/>
      <c r="L5" s="263"/>
      <c r="M5" s="263"/>
    </row>
    <row r="6" spans="1:13" ht="21.05" customHeight="1" x14ac:dyDescent="0.3">
      <c r="A6" s="264" t="s">
        <v>904</v>
      </c>
      <c r="B6" s="264"/>
      <c r="C6" s="264"/>
      <c r="D6" s="264"/>
      <c r="E6" s="264"/>
      <c r="F6" s="264"/>
      <c r="G6" s="264"/>
      <c r="H6" s="264"/>
      <c r="I6" s="264"/>
      <c r="J6" s="264"/>
      <c r="K6" s="264"/>
      <c r="L6" s="264"/>
      <c r="M6" s="264"/>
    </row>
    <row r="7" spans="1:13" x14ac:dyDescent="0.3">
      <c r="A7" s="62"/>
      <c r="B7" s="63"/>
      <c r="C7" s="64"/>
      <c r="D7" s="64"/>
      <c r="E7" s="64"/>
      <c r="F7" s="64"/>
      <c r="G7" s="64"/>
      <c r="H7" s="64"/>
      <c r="I7" s="64"/>
      <c r="J7" s="64"/>
      <c r="K7" s="65"/>
      <c r="L7" s="174"/>
      <c r="M7" s="65"/>
    </row>
    <row r="8" spans="1:13" ht="31.6" customHeight="1" x14ac:dyDescent="0.3">
      <c r="A8" s="265" t="s">
        <v>436</v>
      </c>
      <c r="B8" s="265" t="s">
        <v>437</v>
      </c>
      <c r="C8" s="267" t="s">
        <v>438</v>
      </c>
      <c r="D8" s="268"/>
      <c r="E8" s="268"/>
      <c r="F8" s="268"/>
      <c r="G8" s="268"/>
      <c r="H8" s="268"/>
      <c r="I8" s="268"/>
      <c r="J8" s="269"/>
      <c r="K8" s="270" t="s">
        <v>885</v>
      </c>
      <c r="L8" s="270" t="s">
        <v>890</v>
      </c>
      <c r="M8" s="261" t="s">
        <v>884</v>
      </c>
    </row>
    <row r="9" spans="1:13" ht="105.8" customHeight="1" x14ac:dyDescent="0.3">
      <c r="A9" s="266"/>
      <c r="B9" s="266"/>
      <c r="C9" s="170" t="s">
        <v>896</v>
      </c>
      <c r="D9" s="170" t="s">
        <v>897</v>
      </c>
      <c r="E9" s="170" t="s">
        <v>898</v>
      </c>
      <c r="F9" s="170" t="s">
        <v>899</v>
      </c>
      <c r="G9" s="170" t="s">
        <v>900</v>
      </c>
      <c r="H9" s="170" t="s">
        <v>901</v>
      </c>
      <c r="I9" s="170" t="s">
        <v>902</v>
      </c>
      <c r="J9" s="170" t="s">
        <v>903</v>
      </c>
      <c r="K9" s="271"/>
      <c r="L9" s="271"/>
      <c r="M9" s="262"/>
    </row>
    <row r="10" spans="1:13" ht="32.299999999999997" hidden="1" customHeight="1" x14ac:dyDescent="0.3">
      <c r="A10" s="66">
        <v>1</v>
      </c>
      <c r="B10" s="67" t="s">
        <v>439</v>
      </c>
      <c r="C10" s="68" t="s">
        <v>12</v>
      </c>
      <c r="D10" s="68" t="s">
        <v>683</v>
      </c>
      <c r="E10" s="68" t="s">
        <v>17</v>
      </c>
      <c r="F10" s="68" t="s">
        <v>583</v>
      </c>
      <c r="G10" s="68" t="s">
        <v>583</v>
      </c>
      <c r="H10" s="68" t="s">
        <v>583</v>
      </c>
      <c r="I10" s="68" t="s">
        <v>440</v>
      </c>
      <c r="J10" s="68" t="s">
        <v>441</v>
      </c>
      <c r="K10" s="69">
        <f>K11</f>
        <v>0</v>
      </c>
      <c r="L10" s="76">
        <f>L11</f>
        <v>0</v>
      </c>
      <c r="M10" s="171" t="e">
        <f>L10/K10</f>
        <v>#DIV/0!</v>
      </c>
    </row>
    <row r="11" spans="1:13" ht="52.5" hidden="1" customHeight="1" x14ac:dyDescent="0.3">
      <c r="A11" s="70" t="s">
        <v>442</v>
      </c>
      <c r="B11" s="71" t="s">
        <v>443</v>
      </c>
      <c r="C11" s="72" t="s">
        <v>12</v>
      </c>
      <c r="D11" s="72" t="s">
        <v>683</v>
      </c>
      <c r="E11" s="72" t="s">
        <v>17</v>
      </c>
      <c r="F11" s="72" t="s">
        <v>583</v>
      </c>
      <c r="G11" s="72" t="s">
        <v>583</v>
      </c>
      <c r="H11" s="72" t="s">
        <v>583</v>
      </c>
      <c r="I11" s="72" t="s">
        <v>440</v>
      </c>
      <c r="J11" s="72" t="s">
        <v>465</v>
      </c>
      <c r="K11" s="73">
        <f>K12</f>
        <v>0</v>
      </c>
      <c r="L11" s="75">
        <f>L12</f>
        <v>0</v>
      </c>
      <c r="M11" s="172" t="e">
        <f t="shared" ref="M11:M35" si="0">L11/K11</f>
        <v>#DIV/0!</v>
      </c>
    </row>
    <row r="12" spans="1:13" ht="79.5" hidden="1" customHeight="1" x14ac:dyDescent="0.3">
      <c r="A12" s="74"/>
      <c r="B12" s="71" t="s">
        <v>444</v>
      </c>
      <c r="C12" s="72" t="s">
        <v>12</v>
      </c>
      <c r="D12" s="72" t="s">
        <v>683</v>
      </c>
      <c r="E12" s="72" t="s">
        <v>17</v>
      </c>
      <c r="F12" s="72" t="s">
        <v>583</v>
      </c>
      <c r="G12" s="72" t="s">
        <v>583</v>
      </c>
      <c r="H12" s="72" t="s">
        <v>22</v>
      </c>
      <c r="I12" s="72" t="s">
        <v>440</v>
      </c>
      <c r="J12" s="72" t="s">
        <v>445</v>
      </c>
      <c r="K12" s="73"/>
      <c r="L12" s="75"/>
      <c r="M12" s="172" t="e">
        <f t="shared" si="0"/>
        <v>#DIV/0!</v>
      </c>
    </row>
    <row r="13" spans="1:13" ht="50.3" customHeight="1" x14ac:dyDescent="0.3">
      <c r="A13" s="66">
        <v>2</v>
      </c>
      <c r="B13" s="67" t="s">
        <v>648</v>
      </c>
      <c r="C13" s="68" t="s">
        <v>12</v>
      </c>
      <c r="D13" s="68" t="s">
        <v>683</v>
      </c>
      <c r="E13" s="68" t="s">
        <v>19</v>
      </c>
      <c r="F13" s="68" t="s">
        <v>583</v>
      </c>
      <c r="G13" s="68" t="s">
        <v>583</v>
      </c>
      <c r="H13" s="68" t="s">
        <v>583</v>
      </c>
      <c r="I13" s="68" t="s">
        <v>440</v>
      </c>
      <c r="J13" s="68" t="s">
        <v>441</v>
      </c>
      <c r="K13" s="76">
        <f>K14</f>
        <v>21750000</v>
      </c>
      <c r="L13" s="76">
        <f t="shared" ref="L13" si="1">L14</f>
        <v>21750000</v>
      </c>
      <c r="M13" s="171">
        <f t="shared" si="0"/>
        <v>1</v>
      </c>
    </row>
    <row r="14" spans="1:13" ht="65.25" customHeight="1" x14ac:dyDescent="0.3">
      <c r="A14" s="66"/>
      <c r="B14" s="67" t="s">
        <v>650</v>
      </c>
      <c r="C14" s="68" t="s">
        <v>12</v>
      </c>
      <c r="D14" s="68" t="s">
        <v>683</v>
      </c>
      <c r="E14" s="68" t="s">
        <v>19</v>
      </c>
      <c r="F14" s="68" t="s">
        <v>683</v>
      </c>
      <c r="G14" s="68" t="s">
        <v>583</v>
      </c>
      <c r="H14" s="68" t="s">
        <v>583</v>
      </c>
      <c r="I14" s="68" t="s">
        <v>440</v>
      </c>
      <c r="J14" s="68" t="s">
        <v>441</v>
      </c>
      <c r="K14" s="76">
        <f>K15</f>
        <v>21750000</v>
      </c>
      <c r="L14" s="76">
        <f t="shared" ref="L14" si="2">L15</f>
        <v>21750000</v>
      </c>
      <c r="M14" s="171">
        <f t="shared" si="0"/>
        <v>1</v>
      </c>
    </row>
    <row r="15" spans="1:13" ht="75.75" customHeight="1" x14ac:dyDescent="0.3">
      <c r="A15" s="70" t="s">
        <v>649</v>
      </c>
      <c r="B15" s="71" t="s">
        <v>651</v>
      </c>
      <c r="C15" s="72" t="s">
        <v>12</v>
      </c>
      <c r="D15" s="72" t="s">
        <v>683</v>
      </c>
      <c r="E15" s="72" t="s">
        <v>19</v>
      </c>
      <c r="F15" s="72" t="s">
        <v>683</v>
      </c>
      <c r="G15" s="72" t="s">
        <v>583</v>
      </c>
      <c r="H15" s="72" t="s">
        <v>583</v>
      </c>
      <c r="I15" s="72" t="s">
        <v>440</v>
      </c>
      <c r="J15" s="72" t="s">
        <v>465</v>
      </c>
      <c r="K15" s="75">
        <f>K16</f>
        <v>21750000</v>
      </c>
      <c r="L15" s="75">
        <f t="shared" ref="L15" si="3">L16</f>
        <v>21750000</v>
      </c>
      <c r="M15" s="172">
        <f t="shared" si="0"/>
        <v>1</v>
      </c>
    </row>
    <row r="16" spans="1:13" ht="87.8" customHeight="1" x14ac:dyDescent="0.3">
      <c r="A16" s="74"/>
      <c r="B16" s="71" t="s">
        <v>652</v>
      </c>
      <c r="C16" s="72" t="s">
        <v>12</v>
      </c>
      <c r="D16" s="72" t="s">
        <v>683</v>
      </c>
      <c r="E16" s="72" t="s">
        <v>19</v>
      </c>
      <c r="F16" s="72" t="s">
        <v>683</v>
      </c>
      <c r="G16" s="72" t="s">
        <v>583</v>
      </c>
      <c r="H16" s="72" t="s">
        <v>22</v>
      </c>
      <c r="I16" s="72" t="s">
        <v>440</v>
      </c>
      <c r="J16" s="72" t="s">
        <v>445</v>
      </c>
      <c r="K16" s="73">
        <v>21750000</v>
      </c>
      <c r="L16" s="75">
        <v>21750000</v>
      </c>
      <c r="M16" s="172">
        <f t="shared" si="0"/>
        <v>1</v>
      </c>
    </row>
    <row r="17" spans="1:13" s="78" customFormat="1" ht="57.75" hidden="1" customHeight="1" x14ac:dyDescent="0.3">
      <c r="A17" s="66">
        <v>3</v>
      </c>
      <c r="B17" s="67" t="s">
        <v>653</v>
      </c>
      <c r="C17" s="68" t="s">
        <v>12</v>
      </c>
      <c r="D17" s="68" t="s">
        <v>683</v>
      </c>
      <c r="E17" s="68" t="s">
        <v>13</v>
      </c>
      <c r="F17" s="68" t="s">
        <v>583</v>
      </c>
      <c r="G17" s="68" t="s">
        <v>583</v>
      </c>
      <c r="H17" s="68" t="s">
        <v>583</v>
      </c>
      <c r="I17" s="68" t="s">
        <v>440</v>
      </c>
      <c r="J17" s="68" t="s">
        <v>441</v>
      </c>
      <c r="K17" s="69">
        <f t="shared" ref="K17:L20" si="4">K18</f>
        <v>0</v>
      </c>
      <c r="L17" s="76">
        <f t="shared" si="4"/>
        <v>0</v>
      </c>
      <c r="M17" s="171">
        <v>0</v>
      </c>
    </row>
    <row r="18" spans="1:13" s="78" customFormat="1" ht="57.75" hidden="1" customHeight="1" x14ac:dyDescent="0.3">
      <c r="A18" s="79" t="s">
        <v>654</v>
      </c>
      <c r="B18" s="71" t="s">
        <v>655</v>
      </c>
      <c r="C18" s="72" t="s">
        <v>12</v>
      </c>
      <c r="D18" s="72" t="s">
        <v>683</v>
      </c>
      <c r="E18" s="72" t="s">
        <v>13</v>
      </c>
      <c r="F18" s="72" t="s">
        <v>14</v>
      </c>
      <c r="G18" s="72" t="s">
        <v>583</v>
      </c>
      <c r="H18" s="72" t="s">
        <v>583</v>
      </c>
      <c r="I18" s="72" t="s">
        <v>440</v>
      </c>
      <c r="J18" s="72" t="s">
        <v>441</v>
      </c>
      <c r="K18" s="73">
        <f t="shared" si="4"/>
        <v>0</v>
      </c>
      <c r="L18" s="75">
        <f t="shared" si="4"/>
        <v>0</v>
      </c>
      <c r="M18" s="171" t="e">
        <f t="shared" si="0"/>
        <v>#DIV/0!</v>
      </c>
    </row>
    <row r="19" spans="1:13" ht="58.6" hidden="1" customHeight="1" x14ac:dyDescent="0.3">
      <c r="A19" s="74"/>
      <c r="B19" s="71" t="s">
        <v>656</v>
      </c>
      <c r="C19" s="72" t="s">
        <v>12</v>
      </c>
      <c r="D19" s="72" t="s">
        <v>683</v>
      </c>
      <c r="E19" s="72" t="s">
        <v>13</v>
      </c>
      <c r="F19" s="72" t="s">
        <v>14</v>
      </c>
      <c r="G19" s="72" t="s">
        <v>583</v>
      </c>
      <c r="H19" s="72" t="s">
        <v>583</v>
      </c>
      <c r="I19" s="72" t="s">
        <v>440</v>
      </c>
      <c r="J19" s="72" t="s">
        <v>467</v>
      </c>
      <c r="K19" s="73">
        <f t="shared" si="4"/>
        <v>0</v>
      </c>
      <c r="L19" s="75">
        <f t="shared" si="4"/>
        <v>0</v>
      </c>
      <c r="M19" s="171" t="e">
        <f t="shared" si="0"/>
        <v>#DIV/0!</v>
      </c>
    </row>
    <row r="20" spans="1:13" ht="67.599999999999994" hidden="1" customHeight="1" x14ac:dyDescent="0.3">
      <c r="A20" s="74"/>
      <c r="B20" s="71" t="s">
        <v>657</v>
      </c>
      <c r="C20" s="72" t="s">
        <v>12</v>
      </c>
      <c r="D20" s="72" t="s">
        <v>683</v>
      </c>
      <c r="E20" s="72" t="s">
        <v>13</v>
      </c>
      <c r="F20" s="72" t="s">
        <v>14</v>
      </c>
      <c r="G20" s="72" t="s">
        <v>683</v>
      </c>
      <c r="H20" s="72" t="s">
        <v>583</v>
      </c>
      <c r="I20" s="72" t="s">
        <v>440</v>
      </c>
      <c r="J20" s="72" t="s">
        <v>658</v>
      </c>
      <c r="K20" s="73">
        <f t="shared" si="4"/>
        <v>0</v>
      </c>
      <c r="L20" s="75">
        <f t="shared" si="4"/>
        <v>0</v>
      </c>
      <c r="M20" s="171" t="e">
        <f t="shared" si="0"/>
        <v>#DIV/0!</v>
      </c>
    </row>
    <row r="21" spans="1:13" ht="86.3" hidden="1" customHeight="1" x14ac:dyDescent="0.3">
      <c r="A21" s="74"/>
      <c r="B21" s="71" t="s">
        <v>659</v>
      </c>
      <c r="C21" s="72" t="s">
        <v>12</v>
      </c>
      <c r="D21" s="72" t="s">
        <v>683</v>
      </c>
      <c r="E21" s="72" t="s">
        <v>13</v>
      </c>
      <c r="F21" s="72" t="s">
        <v>14</v>
      </c>
      <c r="G21" s="72" t="s">
        <v>683</v>
      </c>
      <c r="H21" s="72" t="s">
        <v>22</v>
      </c>
      <c r="I21" s="72" t="s">
        <v>440</v>
      </c>
      <c r="J21" s="72" t="s">
        <v>658</v>
      </c>
      <c r="K21" s="73">
        <v>0</v>
      </c>
      <c r="L21" s="75">
        <v>0</v>
      </c>
      <c r="M21" s="171" t="e">
        <f t="shared" si="0"/>
        <v>#DIV/0!</v>
      </c>
    </row>
    <row r="22" spans="1:13" s="83" customFormat="1" ht="35.35" customHeight="1" x14ac:dyDescent="0.25">
      <c r="A22" s="70" t="s">
        <v>660</v>
      </c>
      <c r="B22" s="80" t="s">
        <v>893</v>
      </c>
      <c r="C22" s="81" t="s">
        <v>12</v>
      </c>
      <c r="D22" s="81" t="s">
        <v>683</v>
      </c>
      <c r="E22" s="81" t="s">
        <v>14</v>
      </c>
      <c r="F22" s="81" t="s">
        <v>583</v>
      </c>
      <c r="G22" s="81" t="s">
        <v>583</v>
      </c>
      <c r="H22" s="81" t="s">
        <v>583</v>
      </c>
      <c r="I22" s="81" t="s">
        <v>440</v>
      </c>
      <c r="J22" s="81" t="s">
        <v>441</v>
      </c>
      <c r="K22" s="82">
        <f>K27-K23</f>
        <v>55688362.269999981</v>
      </c>
      <c r="L22" s="82">
        <f>L27-L23</f>
        <v>16626890.399999619</v>
      </c>
      <c r="M22" s="171">
        <f t="shared" si="0"/>
        <v>0.29857028869668756</v>
      </c>
    </row>
    <row r="23" spans="1:13" s="83" customFormat="1" ht="31.05" x14ac:dyDescent="0.25">
      <c r="A23" s="70" t="s">
        <v>654</v>
      </c>
      <c r="B23" s="80" t="s">
        <v>661</v>
      </c>
      <c r="C23" s="81" t="s">
        <v>12</v>
      </c>
      <c r="D23" s="81" t="s">
        <v>683</v>
      </c>
      <c r="E23" s="81" t="s">
        <v>14</v>
      </c>
      <c r="F23" s="81" t="s">
        <v>583</v>
      </c>
      <c r="G23" s="81" t="s">
        <v>583</v>
      </c>
      <c r="H23" s="81" t="s">
        <v>583</v>
      </c>
      <c r="I23" s="81" t="s">
        <v>440</v>
      </c>
      <c r="J23" s="81" t="s">
        <v>662</v>
      </c>
      <c r="K23" s="82">
        <f t="shared" ref="K23:L25" si="5">K24</f>
        <v>2166061535.98</v>
      </c>
      <c r="L23" s="82">
        <f t="shared" si="5"/>
        <v>2188764900.5700002</v>
      </c>
      <c r="M23" s="171">
        <f t="shared" si="0"/>
        <v>1.0104814033271352</v>
      </c>
    </row>
    <row r="24" spans="1:13" s="83" customFormat="1" ht="31.05" x14ac:dyDescent="0.25">
      <c r="A24" s="70"/>
      <c r="B24" s="84" t="s">
        <v>663</v>
      </c>
      <c r="C24" s="70" t="s">
        <v>12</v>
      </c>
      <c r="D24" s="70" t="s">
        <v>683</v>
      </c>
      <c r="E24" s="70" t="s">
        <v>14</v>
      </c>
      <c r="F24" s="70" t="s">
        <v>17</v>
      </c>
      <c r="G24" s="70" t="s">
        <v>583</v>
      </c>
      <c r="H24" s="70" t="s">
        <v>583</v>
      </c>
      <c r="I24" s="70" t="s">
        <v>440</v>
      </c>
      <c r="J24" s="70" t="s">
        <v>662</v>
      </c>
      <c r="K24" s="85">
        <f t="shared" si="5"/>
        <v>2166061535.98</v>
      </c>
      <c r="L24" s="85">
        <f t="shared" si="5"/>
        <v>2188764900.5700002</v>
      </c>
      <c r="M24" s="172">
        <f t="shared" si="0"/>
        <v>1.0104814033271352</v>
      </c>
    </row>
    <row r="25" spans="1:13" s="83" customFormat="1" ht="31.05" x14ac:dyDescent="0.25">
      <c r="A25" s="70"/>
      <c r="B25" s="84" t="s">
        <v>664</v>
      </c>
      <c r="C25" s="70" t="s">
        <v>12</v>
      </c>
      <c r="D25" s="70" t="s">
        <v>683</v>
      </c>
      <c r="E25" s="70" t="s">
        <v>14</v>
      </c>
      <c r="F25" s="70" t="s">
        <v>17</v>
      </c>
      <c r="G25" s="70" t="s">
        <v>683</v>
      </c>
      <c r="H25" s="70" t="s">
        <v>583</v>
      </c>
      <c r="I25" s="70" t="s">
        <v>440</v>
      </c>
      <c r="J25" s="70" t="s">
        <v>665</v>
      </c>
      <c r="K25" s="85">
        <f t="shared" si="5"/>
        <v>2166061535.98</v>
      </c>
      <c r="L25" s="85">
        <f t="shared" si="5"/>
        <v>2188764900.5700002</v>
      </c>
      <c r="M25" s="172">
        <f t="shared" si="0"/>
        <v>1.0104814033271352</v>
      </c>
    </row>
    <row r="26" spans="1:13" s="83" customFormat="1" ht="46.55" x14ac:dyDescent="0.25">
      <c r="A26" s="70"/>
      <c r="B26" s="84" t="s">
        <v>666</v>
      </c>
      <c r="C26" s="70" t="s">
        <v>12</v>
      </c>
      <c r="D26" s="70" t="s">
        <v>683</v>
      </c>
      <c r="E26" s="70" t="s">
        <v>14</v>
      </c>
      <c r="F26" s="70" t="s">
        <v>17</v>
      </c>
      <c r="G26" s="70" t="s">
        <v>683</v>
      </c>
      <c r="H26" s="70" t="s">
        <v>22</v>
      </c>
      <c r="I26" s="70" t="s">
        <v>440</v>
      </c>
      <c r="J26" s="70" t="s">
        <v>665</v>
      </c>
      <c r="K26" s="86">
        <v>2166061535.98</v>
      </c>
      <c r="L26" s="86">
        <v>2188764900.5700002</v>
      </c>
      <c r="M26" s="172">
        <f t="shared" si="0"/>
        <v>1.0104814033271352</v>
      </c>
    </row>
    <row r="27" spans="1:13" s="83" customFormat="1" ht="31.05" x14ac:dyDescent="0.25">
      <c r="A27" s="70" t="s">
        <v>667</v>
      </c>
      <c r="B27" s="80" t="s">
        <v>668</v>
      </c>
      <c r="C27" s="81" t="s">
        <v>12</v>
      </c>
      <c r="D27" s="81" t="s">
        <v>683</v>
      </c>
      <c r="E27" s="81" t="s">
        <v>14</v>
      </c>
      <c r="F27" s="81" t="s">
        <v>583</v>
      </c>
      <c r="G27" s="81" t="s">
        <v>583</v>
      </c>
      <c r="H27" s="81" t="s">
        <v>583</v>
      </c>
      <c r="I27" s="81" t="s">
        <v>440</v>
      </c>
      <c r="J27" s="81" t="s">
        <v>467</v>
      </c>
      <c r="K27" s="82">
        <f t="shared" ref="K27:L29" si="6">K28</f>
        <v>2221749898.25</v>
      </c>
      <c r="L27" s="82">
        <f t="shared" si="6"/>
        <v>2205391790.9699998</v>
      </c>
      <c r="M27" s="171">
        <f t="shared" si="0"/>
        <v>0.99263728681032692</v>
      </c>
    </row>
    <row r="28" spans="1:13" s="83" customFormat="1" ht="31.05" x14ac:dyDescent="0.25">
      <c r="A28" s="70"/>
      <c r="B28" s="84" t="s">
        <v>669</v>
      </c>
      <c r="C28" s="70" t="s">
        <v>12</v>
      </c>
      <c r="D28" s="70" t="s">
        <v>683</v>
      </c>
      <c r="E28" s="70" t="s">
        <v>14</v>
      </c>
      <c r="F28" s="70" t="s">
        <v>17</v>
      </c>
      <c r="G28" s="70" t="s">
        <v>583</v>
      </c>
      <c r="H28" s="70" t="s">
        <v>583</v>
      </c>
      <c r="I28" s="70" t="s">
        <v>440</v>
      </c>
      <c r="J28" s="70" t="s">
        <v>467</v>
      </c>
      <c r="K28" s="85">
        <f t="shared" si="6"/>
        <v>2221749898.25</v>
      </c>
      <c r="L28" s="85">
        <f t="shared" si="6"/>
        <v>2205391790.9699998</v>
      </c>
      <c r="M28" s="172">
        <f t="shared" si="0"/>
        <v>0.99263728681032692</v>
      </c>
    </row>
    <row r="29" spans="1:13" s="83" customFormat="1" ht="31.05" x14ac:dyDescent="0.25">
      <c r="A29" s="70"/>
      <c r="B29" s="84" t="s">
        <v>670</v>
      </c>
      <c r="C29" s="70" t="s">
        <v>12</v>
      </c>
      <c r="D29" s="70" t="s">
        <v>683</v>
      </c>
      <c r="E29" s="70" t="s">
        <v>14</v>
      </c>
      <c r="F29" s="70" t="s">
        <v>17</v>
      </c>
      <c r="G29" s="70" t="s">
        <v>683</v>
      </c>
      <c r="H29" s="70" t="s">
        <v>583</v>
      </c>
      <c r="I29" s="70" t="s">
        <v>440</v>
      </c>
      <c r="J29" s="70" t="s">
        <v>671</v>
      </c>
      <c r="K29" s="85">
        <f t="shared" si="6"/>
        <v>2221749898.25</v>
      </c>
      <c r="L29" s="85">
        <f t="shared" si="6"/>
        <v>2205391790.9699998</v>
      </c>
      <c r="M29" s="172">
        <f t="shared" si="0"/>
        <v>0.99263728681032692</v>
      </c>
    </row>
    <row r="30" spans="1:13" s="83" customFormat="1" ht="46.55" x14ac:dyDescent="0.25">
      <c r="A30" s="70"/>
      <c r="B30" s="84" t="s">
        <v>672</v>
      </c>
      <c r="C30" s="70" t="s">
        <v>12</v>
      </c>
      <c r="D30" s="70" t="s">
        <v>683</v>
      </c>
      <c r="E30" s="70" t="s">
        <v>14</v>
      </c>
      <c r="F30" s="70" t="s">
        <v>17</v>
      </c>
      <c r="G30" s="70" t="s">
        <v>683</v>
      </c>
      <c r="H30" s="70" t="s">
        <v>22</v>
      </c>
      <c r="I30" s="70" t="s">
        <v>440</v>
      </c>
      <c r="J30" s="70" t="s">
        <v>671</v>
      </c>
      <c r="K30" s="85">
        <v>2221749898.25</v>
      </c>
      <c r="L30" s="85">
        <v>2205391790.9699998</v>
      </c>
      <c r="M30" s="172">
        <f t="shared" si="0"/>
        <v>0.99263728681032692</v>
      </c>
    </row>
    <row r="31" spans="1:13" s="88" customFormat="1" ht="47.25" hidden="1" customHeight="1" x14ac:dyDescent="0.25">
      <c r="A31" s="77" t="s">
        <v>660</v>
      </c>
      <c r="B31" s="67" t="s">
        <v>653</v>
      </c>
      <c r="C31" s="77" t="s">
        <v>12</v>
      </c>
      <c r="D31" s="77" t="s">
        <v>683</v>
      </c>
      <c r="E31" s="77" t="s">
        <v>13</v>
      </c>
      <c r="F31" s="77" t="s">
        <v>583</v>
      </c>
      <c r="G31" s="77" t="s">
        <v>583</v>
      </c>
      <c r="H31" s="77" t="s">
        <v>583</v>
      </c>
      <c r="I31" s="77" t="s">
        <v>440</v>
      </c>
      <c r="J31" s="77" t="s">
        <v>441</v>
      </c>
      <c r="K31" s="87">
        <f t="shared" ref="K31:L33" si="7">K32</f>
        <v>0</v>
      </c>
      <c r="L31" s="87">
        <f t="shared" si="7"/>
        <v>0</v>
      </c>
      <c r="M31" s="171" t="e">
        <f t="shared" si="0"/>
        <v>#DIV/0!</v>
      </c>
    </row>
    <row r="32" spans="1:13" s="88" customFormat="1" ht="47.25" hidden="1" customHeight="1" x14ac:dyDescent="0.25">
      <c r="A32" s="77" t="s">
        <v>654</v>
      </c>
      <c r="B32" s="67" t="s">
        <v>673</v>
      </c>
      <c r="C32" s="77" t="s">
        <v>12</v>
      </c>
      <c r="D32" s="77" t="s">
        <v>683</v>
      </c>
      <c r="E32" s="77" t="s">
        <v>13</v>
      </c>
      <c r="F32" s="77" t="s">
        <v>22</v>
      </c>
      <c r="G32" s="77" t="s">
        <v>583</v>
      </c>
      <c r="H32" s="77" t="s">
        <v>583</v>
      </c>
      <c r="I32" s="77" t="s">
        <v>440</v>
      </c>
      <c r="J32" s="77" t="s">
        <v>441</v>
      </c>
      <c r="K32" s="89">
        <f t="shared" si="7"/>
        <v>0</v>
      </c>
      <c r="L32" s="89">
        <f t="shared" si="7"/>
        <v>0</v>
      </c>
      <c r="M32" s="171" t="e">
        <f t="shared" si="0"/>
        <v>#DIV/0!</v>
      </c>
    </row>
    <row r="33" spans="1:13" s="83" customFormat="1" ht="174.05" hidden="1" customHeight="1" x14ac:dyDescent="0.25">
      <c r="A33" s="70"/>
      <c r="B33" s="84" t="s">
        <v>674</v>
      </c>
      <c r="C33" s="70" t="s">
        <v>12</v>
      </c>
      <c r="D33" s="70" t="s">
        <v>683</v>
      </c>
      <c r="E33" s="70" t="s">
        <v>13</v>
      </c>
      <c r="F33" s="70" t="s">
        <v>22</v>
      </c>
      <c r="G33" s="70" t="s">
        <v>583</v>
      </c>
      <c r="H33" s="70" t="s">
        <v>583</v>
      </c>
      <c r="I33" s="70" t="s">
        <v>440</v>
      </c>
      <c r="J33" s="70" t="s">
        <v>466</v>
      </c>
      <c r="K33" s="90">
        <f t="shared" si="7"/>
        <v>0</v>
      </c>
      <c r="L33" s="90">
        <f t="shared" si="7"/>
        <v>0</v>
      </c>
      <c r="M33" s="171" t="e">
        <f t="shared" si="0"/>
        <v>#DIV/0!</v>
      </c>
    </row>
    <row r="34" spans="1:13" s="83" customFormat="1" ht="165.75" hidden="1" customHeight="1" x14ac:dyDescent="0.25">
      <c r="A34" s="70"/>
      <c r="B34" s="84" t="s">
        <v>675</v>
      </c>
      <c r="C34" s="70" t="s">
        <v>12</v>
      </c>
      <c r="D34" s="70" t="s">
        <v>683</v>
      </c>
      <c r="E34" s="70" t="s">
        <v>13</v>
      </c>
      <c r="F34" s="70" t="s">
        <v>22</v>
      </c>
      <c r="G34" s="70" t="s">
        <v>583</v>
      </c>
      <c r="H34" s="70" t="s">
        <v>22</v>
      </c>
      <c r="I34" s="70" t="s">
        <v>440</v>
      </c>
      <c r="J34" s="70" t="s">
        <v>647</v>
      </c>
      <c r="K34" s="91">
        <v>0</v>
      </c>
      <c r="L34" s="91">
        <v>0</v>
      </c>
      <c r="M34" s="171" t="e">
        <f t="shared" si="0"/>
        <v>#DIV/0!</v>
      </c>
    </row>
    <row r="35" spans="1:13" s="83" customFormat="1" ht="57.75" customHeight="1" x14ac:dyDescent="0.25">
      <c r="A35" s="70"/>
      <c r="B35" s="92" t="s">
        <v>894</v>
      </c>
      <c r="C35" s="81" t="s">
        <v>12</v>
      </c>
      <c r="D35" s="81" t="s">
        <v>683</v>
      </c>
      <c r="E35" s="81" t="s">
        <v>583</v>
      </c>
      <c r="F35" s="81" t="s">
        <v>583</v>
      </c>
      <c r="G35" s="81" t="s">
        <v>583</v>
      </c>
      <c r="H35" s="81" t="s">
        <v>583</v>
      </c>
      <c r="I35" s="81" t="s">
        <v>440</v>
      </c>
      <c r="J35" s="81" t="s">
        <v>441</v>
      </c>
      <c r="K35" s="93">
        <f>K10+K22+K31+K13+K17</f>
        <v>77438362.269999981</v>
      </c>
      <c r="L35" s="93">
        <f t="shared" ref="L35" si="8">L10+L22+L31+L13+L17</f>
        <v>38376890.399999619</v>
      </c>
      <c r="M35" s="171">
        <f t="shared" si="0"/>
        <v>0.49557982988060972</v>
      </c>
    </row>
    <row r="36" spans="1:13" s="83" customFormat="1" x14ac:dyDescent="0.25">
      <c r="C36" s="94"/>
      <c r="D36" s="94"/>
      <c r="E36" s="94"/>
      <c r="F36" s="94"/>
      <c r="G36" s="94"/>
      <c r="H36" s="94"/>
      <c r="I36" s="94"/>
      <c r="J36" s="94"/>
      <c r="K36" s="169"/>
      <c r="L36" s="175"/>
      <c r="M36" s="169"/>
    </row>
    <row r="37" spans="1:13" x14ac:dyDescent="0.3">
      <c r="C37" s="95"/>
      <c r="D37" s="95"/>
      <c r="E37" s="95"/>
      <c r="F37" s="95"/>
      <c r="G37" s="95"/>
      <c r="H37" s="95"/>
      <c r="I37" s="95"/>
      <c r="J37" s="95"/>
      <c r="K37" s="96"/>
      <c r="L37" s="176"/>
      <c r="M37" s="97"/>
    </row>
    <row r="38" spans="1:13" x14ac:dyDescent="0.3">
      <c r="C38" s="97"/>
      <c r="D38" s="97"/>
      <c r="E38" s="97"/>
      <c r="F38" s="97"/>
      <c r="G38" s="97"/>
      <c r="H38" s="97"/>
      <c r="I38" s="97"/>
      <c r="J38" s="95"/>
      <c r="K38" s="96"/>
      <c r="L38" s="176"/>
      <c r="M38" s="96"/>
    </row>
    <row r="39" spans="1:13" x14ac:dyDescent="0.3">
      <c r="C39" s="97"/>
      <c r="D39" s="97"/>
      <c r="E39" s="97"/>
      <c r="F39" s="97"/>
      <c r="G39" s="97"/>
      <c r="H39" s="97"/>
      <c r="I39" s="97"/>
      <c r="J39" s="95"/>
      <c r="K39" s="96"/>
      <c r="L39" s="176"/>
      <c r="M39" s="97"/>
    </row>
    <row r="40" spans="1:13" x14ac:dyDescent="0.3">
      <c r="C40" s="97"/>
      <c r="D40" s="97"/>
      <c r="E40" s="97"/>
      <c r="F40" s="97"/>
      <c r="G40" s="97"/>
      <c r="H40" s="97"/>
      <c r="I40" s="97"/>
      <c r="J40" s="95"/>
      <c r="K40" s="96"/>
      <c r="L40" s="176"/>
      <c r="M40" s="97"/>
    </row>
    <row r="41" spans="1:13" x14ac:dyDescent="0.3">
      <c r="C41" s="97"/>
      <c r="D41" s="97"/>
      <c r="E41" s="97"/>
      <c r="F41" s="97"/>
      <c r="G41" s="97"/>
      <c r="H41" s="97"/>
      <c r="I41" s="97"/>
      <c r="J41" s="95"/>
      <c r="K41" s="97"/>
      <c r="L41" s="177"/>
      <c r="M41" s="97"/>
    </row>
    <row r="42" spans="1:13" x14ac:dyDescent="0.3">
      <c r="C42" s="97"/>
      <c r="D42" s="97"/>
      <c r="E42" s="97"/>
      <c r="F42" s="97"/>
      <c r="G42" s="97"/>
      <c r="H42" s="97"/>
      <c r="I42" s="97"/>
      <c r="J42" s="95"/>
      <c r="K42" s="96"/>
      <c r="L42" s="176"/>
      <c r="M42" s="97"/>
    </row>
    <row r="43" spans="1:13" x14ac:dyDescent="0.3">
      <c r="C43" s="97"/>
      <c r="D43" s="97"/>
      <c r="E43" s="97"/>
      <c r="F43" s="97"/>
      <c r="G43" s="97"/>
      <c r="H43" s="97"/>
      <c r="I43" s="97"/>
      <c r="J43" s="95"/>
      <c r="K43" s="97"/>
      <c r="L43" s="177"/>
      <c r="M43" s="97"/>
    </row>
    <row r="44" spans="1:13" x14ac:dyDescent="0.3">
      <c r="C44" s="97"/>
      <c r="D44" s="97"/>
      <c r="E44" s="97"/>
      <c r="F44" s="97"/>
      <c r="G44" s="97"/>
      <c r="H44" s="97"/>
      <c r="I44" s="97"/>
      <c r="J44" s="95"/>
      <c r="K44" s="96"/>
      <c r="L44" s="176"/>
      <c r="M44" s="97"/>
    </row>
    <row r="45" spans="1:13" x14ac:dyDescent="0.3">
      <c r="C45" s="97"/>
      <c r="D45" s="97"/>
      <c r="E45" s="97"/>
      <c r="F45" s="97"/>
      <c r="G45" s="97"/>
      <c r="H45" s="97"/>
      <c r="I45" s="97"/>
      <c r="J45" s="95"/>
      <c r="K45" s="97"/>
      <c r="L45" s="177"/>
      <c r="M45" s="97"/>
    </row>
    <row r="46" spans="1:13" x14ac:dyDescent="0.3">
      <c r="C46" s="97"/>
      <c r="D46" s="97"/>
      <c r="E46" s="97"/>
      <c r="F46" s="97"/>
      <c r="G46" s="97"/>
      <c r="H46" s="97"/>
      <c r="I46" s="97"/>
      <c r="J46" s="95"/>
      <c r="K46" s="97"/>
      <c r="L46" s="177"/>
      <c r="M46" s="97"/>
    </row>
    <row r="47" spans="1:13" x14ac:dyDescent="0.3">
      <c r="C47" s="97"/>
      <c r="D47" s="97"/>
      <c r="E47" s="97"/>
      <c r="F47" s="97"/>
      <c r="G47" s="97"/>
      <c r="H47" s="97"/>
      <c r="I47" s="97"/>
      <c r="J47" s="95"/>
      <c r="K47" s="97"/>
      <c r="L47" s="177"/>
      <c r="M47" s="97"/>
    </row>
    <row r="48" spans="1:13" x14ac:dyDescent="0.3">
      <c r="C48" s="97"/>
      <c r="D48" s="97"/>
      <c r="E48" s="97"/>
      <c r="F48" s="97"/>
      <c r="G48" s="97"/>
      <c r="H48" s="97"/>
      <c r="I48" s="97"/>
      <c r="J48" s="95"/>
      <c r="K48" s="97"/>
      <c r="L48" s="177"/>
      <c r="M48" s="97"/>
    </row>
    <row r="49" spans="3:13" x14ac:dyDescent="0.3">
      <c r="C49" s="97"/>
      <c r="D49" s="97"/>
      <c r="E49" s="97"/>
      <c r="F49" s="97"/>
      <c r="G49" s="97"/>
      <c r="H49" s="97"/>
      <c r="I49" s="97"/>
      <c r="J49" s="95"/>
      <c r="K49" s="97"/>
      <c r="L49" s="177"/>
      <c r="M49" s="97"/>
    </row>
    <row r="50" spans="3:13" x14ac:dyDescent="0.3">
      <c r="C50" s="97"/>
      <c r="D50" s="97"/>
      <c r="E50" s="97"/>
      <c r="F50" s="97"/>
      <c r="G50" s="97"/>
      <c r="H50" s="97"/>
      <c r="I50" s="97"/>
      <c r="J50" s="95"/>
      <c r="K50" s="97"/>
      <c r="L50" s="177"/>
      <c r="M50" s="97"/>
    </row>
    <row r="51" spans="3:13" x14ac:dyDescent="0.3">
      <c r="C51" s="97"/>
      <c r="D51" s="97"/>
      <c r="E51" s="97"/>
      <c r="F51" s="97"/>
      <c r="G51" s="97"/>
      <c r="H51" s="97"/>
      <c r="I51" s="97"/>
      <c r="J51" s="95"/>
      <c r="K51" s="97"/>
      <c r="L51" s="177"/>
      <c r="M51" s="97"/>
    </row>
    <row r="52" spans="3:13" x14ac:dyDescent="0.3">
      <c r="C52" s="97"/>
      <c r="D52" s="97"/>
      <c r="E52" s="97"/>
      <c r="F52" s="97"/>
      <c r="G52" s="97"/>
      <c r="H52" s="97"/>
      <c r="I52" s="97"/>
      <c r="J52" s="95"/>
      <c r="K52" s="97"/>
      <c r="L52" s="177"/>
      <c r="M52" s="97"/>
    </row>
    <row r="53" spans="3:13" x14ac:dyDescent="0.3">
      <c r="C53" s="97"/>
      <c r="D53" s="97"/>
      <c r="E53" s="97"/>
      <c r="F53" s="97"/>
      <c r="G53" s="97"/>
      <c r="H53" s="97"/>
      <c r="I53" s="97"/>
      <c r="J53" s="95"/>
      <c r="K53" s="97"/>
      <c r="L53" s="177"/>
      <c r="M53" s="97"/>
    </row>
    <row r="54" spans="3:13" x14ac:dyDescent="0.3">
      <c r="C54" s="97"/>
      <c r="D54" s="97"/>
      <c r="E54" s="97"/>
      <c r="F54" s="97"/>
      <c r="G54" s="97"/>
      <c r="H54" s="97"/>
      <c r="I54" s="97"/>
      <c r="J54" s="95"/>
      <c r="K54" s="97"/>
      <c r="L54" s="177"/>
      <c r="M54" s="97"/>
    </row>
    <row r="55" spans="3:13" x14ac:dyDescent="0.3">
      <c r="C55" s="97"/>
      <c r="D55" s="97"/>
      <c r="E55" s="97"/>
      <c r="F55" s="97"/>
      <c r="G55" s="97"/>
      <c r="H55" s="97"/>
      <c r="I55" s="97"/>
      <c r="J55" s="95"/>
      <c r="K55" s="97"/>
      <c r="L55" s="177"/>
      <c r="M55" s="97"/>
    </row>
    <row r="56" spans="3:13" x14ac:dyDescent="0.3">
      <c r="C56" s="97"/>
      <c r="D56" s="97"/>
      <c r="E56" s="97"/>
      <c r="F56" s="97"/>
      <c r="G56" s="97"/>
      <c r="H56" s="97"/>
      <c r="I56" s="97"/>
      <c r="J56" s="95"/>
      <c r="K56" s="97"/>
      <c r="L56" s="177"/>
      <c r="M56" s="97"/>
    </row>
    <row r="57" spans="3:13" x14ac:dyDescent="0.3">
      <c r="C57" s="97"/>
      <c r="D57" s="97"/>
      <c r="E57" s="97"/>
      <c r="F57" s="97"/>
      <c r="G57" s="97"/>
      <c r="H57" s="97"/>
      <c r="I57" s="97"/>
      <c r="J57" s="95"/>
      <c r="K57" s="97"/>
      <c r="L57" s="177"/>
      <c r="M57" s="97"/>
    </row>
    <row r="58" spans="3:13" x14ac:dyDescent="0.3">
      <c r="C58" s="97"/>
      <c r="D58" s="97"/>
      <c r="E58" s="97"/>
      <c r="F58" s="97"/>
      <c r="G58" s="97"/>
      <c r="H58" s="97"/>
      <c r="I58" s="97"/>
      <c r="J58" s="95"/>
      <c r="K58" s="97"/>
      <c r="L58" s="177"/>
      <c r="M58" s="97"/>
    </row>
    <row r="59" spans="3:13" x14ac:dyDescent="0.3">
      <c r="C59" s="97"/>
      <c r="D59" s="97"/>
      <c r="E59" s="97"/>
      <c r="F59" s="97"/>
      <c r="G59" s="97"/>
      <c r="H59" s="97"/>
      <c r="I59" s="97"/>
      <c r="J59" s="95"/>
      <c r="K59" s="97"/>
      <c r="L59" s="177"/>
      <c r="M59" s="97"/>
    </row>
    <row r="60" spans="3:13" x14ac:dyDescent="0.3">
      <c r="C60" s="97"/>
      <c r="D60" s="97"/>
      <c r="E60" s="97"/>
      <c r="F60" s="97"/>
      <c r="G60" s="97"/>
      <c r="H60" s="97"/>
      <c r="I60" s="97"/>
      <c r="J60" s="95"/>
      <c r="K60" s="97"/>
      <c r="L60" s="177"/>
      <c r="M60" s="97"/>
    </row>
    <row r="61" spans="3:13" x14ac:dyDescent="0.3">
      <c r="C61" s="97"/>
      <c r="D61" s="97"/>
      <c r="E61" s="97"/>
      <c r="F61" s="97"/>
      <c r="G61" s="97"/>
      <c r="H61" s="97"/>
      <c r="I61" s="97"/>
      <c r="J61" s="95"/>
      <c r="K61" s="97"/>
      <c r="L61" s="177"/>
      <c r="M61" s="97"/>
    </row>
    <row r="62" spans="3:13" x14ac:dyDescent="0.3">
      <c r="C62" s="97"/>
      <c r="D62" s="97"/>
      <c r="E62" s="97"/>
      <c r="F62" s="97"/>
      <c r="G62" s="97"/>
      <c r="H62" s="97"/>
      <c r="I62" s="97"/>
      <c r="J62" s="95"/>
      <c r="K62" s="97"/>
      <c r="L62" s="177"/>
      <c r="M62" s="97"/>
    </row>
    <row r="63" spans="3:13" x14ac:dyDescent="0.3">
      <c r="C63" s="97"/>
      <c r="D63" s="97"/>
      <c r="E63" s="97"/>
      <c r="F63" s="97"/>
      <c r="G63" s="97"/>
      <c r="H63" s="97"/>
      <c r="I63" s="97"/>
      <c r="J63" s="95"/>
      <c r="K63" s="97"/>
      <c r="L63" s="177"/>
      <c r="M63" s="97"/>
    </row>
    <row r="64" spans="3:13" x14ac:dyDescent="0.3">
      <c r="C64" s="97"/>
      <c r="D64" s="97"/>
      <c r="E64" s="97"/>
      <c r="F64" s="97"/>
      <c r="G64" s="97"/>
      <c r="H64" s="97"/>
      <c r="I64" s="97"/>
      <c r="J64" s="95"/>
      <c r="K64" s="97"/>
      <c r="L64" s="177"/>
      <c r="M64" s="97"/>
    </row>
    <row r="65" spans="3:13" x14ac:dyDescent="0.3">
      <c r="C65" s="97"/>
      <c r="D65" s="97"/>
      <c r="E65" s="97"/>
      <c r="F65" s="97"/>
      <c r="G65" s="97"/>
      <c r="H65" s="97"/>
      <c r="I65" s="97"/>
      <c r="J65" s="95"/>
      <c r="K65" s="97"/>
      <c r="L65" s="177"/>
      <c r="M65" s="97"/>
    </row>
    <row r="66" spans="3:13" x14ac:dyDescent="0.3">
      <c r="C66" s="97"/>
      <c r="D66" s="97"/>
      <c r="E66" s="97"/>
      <c r="F66" s="97"/>
      <c r="G66" s="97"/>
      <c r="H66" s="97"/>
      <c r="I66" s="97"/>
      <c r="J66" s="95"/>
      <c r="K66" s="97"/>
      <c r="L66" s="177"/>
      <c r="M66" s="97"/>
    </row>
    <row r="67" spans="3:13" x14ac:dyDescent="0.3">
      <c r="C67" s="97"/>
      <c r="D67" s="97"/>
      <c r="E67" s="97"/>
      <c r="F67" s="97"/>
      <c r="G67" s="97"/>
      <c r="H67" s="97"/>
      <c r="I67" s="97"/>
      <c r="J67" s="95"/>
      <c r="K67" s="97"/>
      <c r="L67" s="177"/>
      <c r="M67" s="97"/>
    </row>
    <row r="68" spans="3:13" x14ac:dyDescent="0.3">
      <c r="C68" s="97"/>
      <c r="D68" s="97"/>
      <c r="E68" s="97"/>
      <c r="F68" s="97"/>
      <c r="G68" s="97"/>
      <c r="H68" s="97"/>
      <c r="I68" s="97"/>
      <c r="J68" s="95"/>
      <c r="K68" s="97"/>
      <c r="L68" s="177"/>
      <c r="M68" s="97"/>
    </row>
    <row r="69" spans="3:13" x14ac:dyDescent="0.3">
      <c r="C69" s="97"/>
      <c r="D69" s="97"/>
      <c r="E69" s="97"/>
      <c r="F69" s="97"/>
      <c r="G69" s="97"/>
      <c r="H69" s="97"/>
      <c r="I69" s="97"/>
      <c r="J69" s="95"/>
      <c r="K69" s="97"/>
      <c r="L69" s="177"/>
      <c r="M69" s="97"/>
    </row>
    <row r="70" spans="3:13" x14ac:dyDescent="0.3">
      <c r="C70" s="97"/>
      <c r="D70" s="97"/>
      <c r="E70" s="97"/>
      <c r="F70" s="97"/>
      <c r="G70" s="97"/>
      <c r="H70" s="97"/>
      <c r="I70" s="97"/>
      <c r="J70" s="95"/>
      <c r="K70" s="97"/>
      <c r="L70" s="177"/>
      <c r="M70" s="97"/>
    </row>
    <row r="71" spans="3:13" x14ac:dyDescent="0.3">
      <c r="C71" s="97"/>
      <c r="D71" s="97"/>
      <c r="E71" s="97"/>
      <c r="F71" s="97"/>
      <c r="G71" s="97"/>
      <c r="H71" s="97"/>
      <c r="I71" s="97"/>
      <c r="J71" s="95"/>
      <c r="K71" s="97"/>
      <c r="L71" s="177"/>
      <c r="M71" s="97"/>
    </row>
    <row r="72" spans="3:13" x14ac:dyDescent="0.3">
      <c r="C72" s="97"/>
      <c r="D72" s="97"/>
      <c r="E72" s="97"/>
      <c r="F72" s="97"/>
      <c r="G72" s="97"/>
      <c r="H72" s="97"/>
      <c r="I72" s="97"/>
      <c r="J72" s="95"/>
      <c r="K72" s="97"/>
      <c r="L72" s="177"/>
      <c r="M72" s="97"/>
    </row>
    <row r="73" spans="3:13" x14ac:dyDescent="0.3">
      <c r="C73" s="97"/>
      <c r="D73" s="97"/>
      <c r="E73" s="97"/>
      <c r="F73" s="97"/>
      <c r="G73" s="97"/>
      <c r="H73" s="97"/>
      <c r="I73" s="97"/>
      <c r="J73" s="95"/>
      <c r="K73" s="97"/>
      <c r="L73" s="177"/>
      <c r="M73" s="97"/>
    </row>
    <row r="74" spans="3:13" x14ac:dyDescent="0.3">
      <c r="C74" s="97"/>
      <c r="D74" s="97"/>
      <c r="E74" s="97"/>
      <c r="F74" s="97"/>
      <c r="G74" s="97"/>
      <c r="H74" s="97"/>
      <c r="I74" s="97"/>
      <c r="J74" s="95"/>
      <c r="K74" s="97"/>
      <c r="L74" s="177"/>
      <c r="M74" s="97"/>
    </row>
    <row r="75" spans="3:13" x14ac:dyDescent="0.3">
      <c r="C75" s="97"/>
      <c r="D75" s="97"/>
      <c r="E75" s="97"/>
      <c r="F75" s="97"/>
      <c r="G75" s="97"/>
      <c r="H75" s="97"/>
      <c r="I75" s="97"/>
      <c r="J75" s="95"/>
      <c r="K75" s="97"/>
      <c r="L75" s="177"/>
      <c r="M75" s="97"/>
    </row>
    <row r="76" spans="3:13" x14ac:dyDescent="0.3">
      <c r="C76" s="97"/>
      <c r="D76" s="97"/>
      <c r="E76" s="97"/>
      <c r="F76" s="97"/>
      <c r="G76" s="97"/>
      <c r="H76" s="97"/>
      <c r="I76" s="97"/>
      <c r="J76" s="95"/>
      <c r="K76" s="97"/>
      <c r="L76" s="177"/>
      <c r="M76" s="97"/>
    </row>
    <row r="77" spans="3:13" x14ac:dyDescent="0.3">
      <c r="C77" s="97"/>
      <c r="D77" s="97"/>
      <c r="E77" s="97"/>
      <c r="F77" s="97"/>
      <c r="G77" s="97"/>
      <c r="H77" s="97"/>
      <c r="I77" s="97"/>
      <c r="J77" s="95"/>
      <c r="K77" s="97"/>
      <c r="L77" s="177"/>
      <c r="M77" s="97"/>
    </row>
    <row r="78" spans="3:13" x14ac:dyDescent="0.3">
      <c r="C78" s="97"/>
      <c r="D78" s="97"/>
      <c r="E78" s="97"/>
      <c r="F78" s="97"/>
      <c r="G78" s="97"/>
      <c r="H78" s="97"/>
      <c r="I78" s="97"/>
      <c r="J78" s="95"/>
      <c r="K78" s="97"/>
      <c r="L78" s="177"/>
      <c r="M78" s="97"/>
    </row>
    <row r="79" spans="3:13" x14ac:dyDescent="0.3">
      <c r="C79" s="97"/>
      <c r="D79" s="97"/>
      <c r="E79" s="97"/>
      <c r="F79" s="97"/>
      <c r="G79" s="97"/>
      <c r="H79" s="97"/>
      <c r="I79" s="97"/>
      <c r="J79" s="95"/>
      <c r="K79" s="97"/>
      <c r="L79" s="177"/>
      <c r="M79" s="97"/>
    </row>
    <row r="80" spans="3:13" x14ac:dyDescent="0.3">
      <c r="C80" s="97"/>
      <c r="D80" s="97"/>
      <c r="E80" s="97"/>
      <c r="F80" s="97"/>
      <c r="G80" s="97"/>
      <c r="H80" s="97"/>
      <c r="I80" s="97"/>
      <c r="J80" s="95"/>
      <c r="K80" s="97"/>
      <c r="L80" s="177"/>
      <c r="M80" s="97"/>
    </row>
    <row r="81" spans="3:13" x14ac:dyDescent="0.3">
      <c r="C81" s="97"/>
      <c r="D81" s="97"/>
      <c r="E81" s="97"/>
      <c r="F81" s="97"/>
      <c r="G81" s="97"/>
      <c r="H81" s="97"/>
      <c r="I81" s="97"/>
      <c r="J81" s="95"/>
      <c r="K81" s="97"/>
      <c r="L81" s="177"/>
      <c r="M81" s="97"/>
    </row>
    <row r="82" spans="3:13" x14ac:dyDescent="0.3">
      <c r="C82" s="97"/>
      <c r="D82" s="97"/>
      <c r="E82" s="97"/>
      <c r="F82" s="97"/>
      <c r="G82" s="97"/>
      <c r="H82" s="97"/>
      <c r="I82" s="97"/>
      <c r="J82" s="95"/>
      <c r="K82" s="97"/>
      <c r="L82" s="177"/>
      <c r="M82" s="97"/>
    </row>
    <row r="83" spans="3:13" x14ac:dyDescent="0.3">
      <c r="C83" s="97"/>
      <c r="D83" s="97"/>
      <c r="E83" s="97"/>
      <c r="F83" s="97"/>
      <c r="G83" s="97"/>
      <c r="H83" s="97"/>
      <c r="I83" s="97"/>
      <c r="J83" s="95"/>
      <c r="K83" s="97"/>
      <c r="L83" s="177"/>
      <c r="M83" s="97"/>
    </row>
    <row r="84" spans="3:13" x14ac:dyDescent="0.3">
      <c r="C84" s="97"/>
      <c r="D84" s="97"/>
      <c r="E84" s="97"/>
      <c r="F84" s="97"/>
      <c r="G84" s="97"/>
      <c r="H84" s="97"/>
      <c r="I84" s="97"/>
      <c r="J84" s="95"/>
      <c r="K84" s="97"/>
      <c r="L84" s="177"/>
      <c r="M84" s="97"/>
    </row>
    <row r="85" spans="3:13" x14ac:dyDescent="0.3">
      <c r="C85" s="97"/>
      <c r="D85" s="97"/>
      <c r="E85" s="97"/>
      <c r="F85" s="97"/>
      <c r="G85" s="97"/>
      <c r="H85" s="97"/>
      <c r="I85" s="97"/>
      <c r="J85" s="95"/>
      <c r="K85" s="97"/>
      <c r="L85" s="177"/>
      <c r="M85" s="97"/>
    </row>
    <row r="86" spans="3:13" x14ac:dyDescent="0.3">
      <c r="C86" s="97"/>
      <c r="D86" s="97"/>
      <c r="E86" s="97"/>
      <c r="F86" s="97"/>
      <c r="G86" s="97"/>
      <c r="H86" s="97"/>
      <c r="I86" s="97"/>
      <c r="J86" s="95"/>
      <c r="K86" s="97"/>
      <c r="L86" s="177"/>
      <c r="M86" s="97"/>
    </row>
    <row r="87" spans="3:13" x14ac:dyDescent="0.3">
      <c r="C87" s="97"/>
      <c r="D87" s="97"/>
      <c r="E87" s="97"/>
      <c r="F87" s="97"/>
      <c r="G87" s="97"/>
      <c r="H87" s="97"/>
      <c r="I87" s="97"/>
      <c r="J87" s="95"/>
      <c r="K87" s="97"/>
      <c r="L87" s="177"/>
      <c r="M87" s="97"/>
    </row>
    <row r="88" spans="3:13" x14ac:dyDescent="0.3">
      <c r="C88" s="97"/>
      <c r="D88" s="97"/>
      <c r="E88" s="97"/>
      <c r="F88" s="97"/>
      <c r="G88" s="97"/>
      <c r="H88" s="97"/>
      <c r="I88" s="97"/>
      <c r="J88" s="95"/>
      <c r="K88" s="97"/>
      <c r="L88" s="177"/>
      <c r="M88" s="97"/>
    </row>
    <row r="89" spans="3:13" x14ac:dyDescent="0.3">
      <c r="C89" s="97"/>
      <c r="D89" s="97"/>
      <c r="E89" s="97"/>
      <c r="F89" s="97"/>
      <c r="G89" s="97"/>
      <c r="H89" s="97"/>
      <c r="I89" s="97"/>
      <c r="J89" s="95"/>
      <c r="K89" s="97"/>
      <c r="L89" s="177"/>
      <c r="M89" s="97"/>
    </row>
    <row r="90" spans="3:13" x14ac:dyDescent="0.3">
      <c r="C90" s="97"/>
      <c r="D90" s="97"/>
      <c r="E90" s="97"/>
      <c r="F90" s="97"/>
      <c r="G90" s="97"/>
      <c r="H90" s="97"/>
      <c r="I90" s="97"/>
      <c r="J90" s="95"/>
      <c r="K90" s="97"/>
      <c r="L90" s="177"/>
      <c r="M90" s="97"/>
    </row>
    <row r="91" spans="3:13" x14ac:dyDescent="0.3">
      <c r="C91" s="97"/>
      <c r="D91" s="97"/>
      <c r="E91" s="97"/>
      <c r="F91" s="97"/>
      <c r="G91" s="97"/>
      <c r="H91" s="97"/>
      <c r="I91" s="97"/>
      <c r="J91" s="95"/>
      <c r="K91" s="97"/>
      <c r="L91" s="177"/>
      <c r="M91" s="97"/>
    </row>
    <row r="92" spans="3:13" x14ac:dyDescent="0.3">
      <c r="C92" s="97"/>
      <c r="D92" s="97"/>
      <c r="E92" s="97"/>
      <c r="F92" s="97"/>
      <c r="G92" s="97"/>
      <c r="H92" s="97"/>
      <c r="I92" s="97"/>
      <c r="J92" s="95"/>
      <c r="K92" s="97"/>
      <c r="L92" s="177"/>
      <c r="M92" s="97"/>
    </row>
    <row r="93" spans="3:13" x14ac:dyDescent="0.3">
      <c r="C93" s="97"/>
      <c r="D93" s="97"/>
      <c r="E93" s="97"/>
      <c r="F93" s="97"/>
      <c r="G93" s="97"/>
      <c r="H93" s="97"/>
      <c r="I93" s="97"/>
      <c r="J93" s="95"/>
      <c r="K93" s="97"/>
      <c r="L93" s="177"/>
      <c r="M93" s="97"/>
    </row>
    <row r="94" spans="3:13" x14ac:dyDescent="0.3">
      <c r="C94" s="97"/>
      <c r="D94" s="97"/>
      <c r="E94" s="97"/>
      <c r="F94" s="97"/>
      <c r="G94" s="97"/>
      <c r="H94" s="97"/>
      <c r="I94" s="97"/>
      <c r="J94" s="95"/>
      <c r="K94" s="97"/>
      <c r="L94" s="177"/>
      <c r="M94" s="97"/>
    </row>
    <row r="95" spans="3:13" x14ac:dyDescent="0.3">
      <c r="C95" s="97"/>
      <c r="D95" s="97"/>
      <c r="E95" s="97"/>
      <c r="F95" s="97"/>
      <c r="G95" s="97"/>
      <c r="H95" s="97"/>
      <c r="I95" s="97"/>
      <c r="J95" s="95"/>
      <c r="K95" s="97"/>
      <c r="L95" s="177"/>
      <c r="M95" s="97"/>
    </row>
    <row r="96" spans="3:13" x14ac:dyDescent="0.3">
      <c r="C96" s="97"/>
      <c r="D96" s="97"/>
      <c r="E96" s="97"/>
      <c r="F96" s="97"/>
      <c r="G96" s="97"/>
      <c r="H96" s="97"/>
      <c r="I96" s="97"/>
      <c r="J96" s="95"/>
      <c r="K96" s="97"/>
      <c r="L96" s="177"/>
      <c r="M96" s="97"/>
    </row>
    <row r="97" spans="3:13" x14ac:dyDescent="0.3">
      <c r="C97" s="97"/>
      <c r="D97" s="97"/>
      <c r="E97" s="97"/>
      <c r="F97" s="97"/>
      <c r="G97" s="97"/>
      <c r="H97" s="97"/>
      <c r="I97" s="97"/>
      <c r="J97" s="95"/>
      <c r="K97" s="97"/>
      <c r="L97" s="177"/>
      <c r="M97" s="97"/>
    </row>
    <row r="98" spans="3:13" x14ac:dyDescent="0.3">
      <c r="C98" s="97"/>
      <c r="D98" s="97"/>
      <c r="E98" s="97"/>
      <c r="F98" s="97"/>
      <c r="G98" s="97"/>
      <c r="H98" s="97"/>
      <c r="I98" s="97"/>
      <c r="J98" s="95"/>
      <c r="K98" s="97"/>
      <c r="L98" s="177"/>
      <c r="M98" s="97"/>
    </row>
    <row r="99" spans="3:13" x14ac:dyDescent="0.3">
      <c r="C99" s="97"/>
      <c r="D99" s="97"/>
      <c r="E99" s="97"/>
      <c r="F99" s="97"/>
      <c r="G99" s="97"/>
      <c r="H99" s="97"/>
      <c r="I99" s="97"/>
      <c r="J99" s="95"/>
      <c r="K99" s="97"/>
      <c r="L99" s="177"/>
      <c r="M99" s="97"/>
    </row>
    <row r="100" spans="3:13" x14ac:dyDescent="0.3">
      <c r="C100" s="97"/>
      <c r="D100" s="97"/>
      <c r="E100" s="97"/>
      <c r="F100" s="97"/>
      <c r="G100" s="97"/>
      <c r="H100" s="97"/>
      <c r="I100" s="97"/>
      <c r="J100" s="95"/>
      <c r="K100" s="97"/>
      <c r="L100" s="177"/>
      <c r="M100" s="97"/>
    </row>
    <row r="101" spans="3:13" x14ac:dyDescent="0.3">
      <c r="C101" s="97"/>
      <c r="D101" s="97"/>
      <c r="E101" s="97"/>
      <c r="F101" s="97"/>
      <c r="G101" s="97"/>
      <c r="H101" s="97"/>
      <c r="I101" s="97"/>
      <c r="J101" s="95"/>
      <c r="K101" s="97"/>
      <c r="L101" s="177"/>
      <c r="M101" s="97"/>
    </row>
    <row r="102" spans="3:13" x14ac:dyDescent="0.3">
      <c r="C102" s="97"/>
      <c r="D102" s="97"/>
      <c r="E102" s="97"/>
      <c r="F102" s="97"/>
      <c r="G102" s="97"/>
      <c r="H102" s="97"/>
      <c r="I102" s="97"/>
      <c r="J102" s="95"/>
      <c r="K102" s="97"/>
      <c r="L102" s="177"/>
      <c r="M102" s="97"/>
    </row>
    <row r="103" spans="3:13" x14ac:dyDescent="0.3">
      <c r="C103" s="97"/>
      <c r="D103" s="97"/>
      <c r="E103" s="97"/>
      <c r="F103" s="97"/>
      <c r="G103" s="97"/>
      <c r="H103" s="97"/>
      <c r="I103" s="97"/>
      <c r="J103" s="95"/>
      <c r="K103" s="97"/>
      <c r="L103" s="177"/>
      <c r="M103" s="97"/>
    </row>
    <row r="104" spans="3:13" x14ac:dyDescent="0.3">
      <c r="C104" s="97"/>
      <c r="D104" s="97"/>
      <c r="E104" s="97"/>
      <c r="F104" s="97"/>
      <c r="G104" s="97"/>
      <c r="H104" s="97"/>
      <c r="I104" s="97"/>
      <c r="J104" s="95"/>
      <c r="K104" s="97"/>
      <c r="L104" s="177"/>
      <c r="M104" s="97"/>
    </row>
    <row r="105" spans="3:13" x14ac:dyDescent="0.3">
      <c r="C105" s="97"/>
      <c r="D105" s="97"/>
      <c r="E105" s="97"/>
      <c r="F105" s="97"/>
      <c r="G105" s="97"/>
      <c r="H105" s="97"/>
      <c r="I105" s="97"/>
      <c r="J105" s="95"/>
      <c r="K105" s="97"/>
      <c r="L105" s="177"/>
      <c r="M105" s="97"/>
    </row>
    <row r="106" spans="3:13" x14ac:dyDescent="0.3">
      <c r="C106" s="97"/>
      <c r="D106" s="97"/>
      <c r="E106" s="97"/>
      <c r="F106" s="97"/>
      <c r="G106" s="97"/>
      <c r="H106" s="97"/>
      <c r="I106" s="97"/>
      <c r="J106" s="95"/>
      <c r="K106" s="97"/>
      <c r="L106" s="177"/>
      <c r="M106" s="97"/>
    </row>
    <row r="107" spans="3:13" x14ac:dyDescent="0.3">
      <c r="C107" s="97"/>
      <c r="D107" s="97"/>
      <c r="E107" s="97"/>
      <c r="F107" s="97"/>
      <c r="G107" s="97"/>
      <c r="H107" s="97"/>
      <c r="I107" s="97"/>
      <c r="J107" s="95"/>
      <c r="K107" s="97"/>
      <c r="L107" s="177"/>
      <c r="M107" s="97"/>
    </row>
    <row r="108" spans="3:13" x14ac:dyDescent="0.3">
      <c r="C108" s="97"/>
      <c r="D108" s="97"/>
      <c r="E108" s="97"/>
      <c r="F108" s="97"/>
      <c r="G108" s="97"/>
      <c r="H108" s="97"/>
      <c r="I108" s="97"/>
      <c r="J108" s="95"/>
      <c r="K108" s="97"/>
      <c r="L108" s="177"/>
      <c r="M108" s="97"/>
    </row>
    <row r="109" spans="3:13" x14ac:dyDescent="0.3">
      <c r="C109" s="97"/>
      <c r="D109" s="97"/>
      <c r="E109" s="97"/>
      <c r="F109" s="97"/>
      <c r="G109" s="97"/>
      <c r="H109" s="97"/>
      <c r="I109" s="97"/>
      <c r="J109" s="95"/>
      <c r="K109" s="97"/>
      <c r="L109" s="177"/>
      <c r="M109" s="97"/>
    </row>
    <row r="110" spans="3:13" x14ac:dyDescent="0.3">
      <c r="C110" s="97"/>
      <c r="D110" s="97"/>
      <c r="E110" s="97"/>
      <c r="F110" s="97"/>
      <c r="G110" s="97"/>
      <c r="H110" s="97"/>
      <c r="I110" s="97"/>
      <c r="J110" s="95"/>
      <c r="K110" s="97"/>
      <c r="L110" s="177"/>
      <c r="M110" s="97"/>
    </row>
    <row r="111" spans="3:13" x14ac:dyDescent="0.3">
      <c r="C111" s="97"/>
      <c r="D111" s="97"/>
      <c r="E111" s="97"/>
      <c r="F111" s="97"/>
      <c r="G111" s="97"/>
      <c r="H111" s="97"/>
      <c r="I111" s="97"/>
      <c r="J111" s="95"/>
      <c r="K111" s="97"/>
      <c r="L111" s="177"/>
      <c r="M111" s="97"/>
    </row>
    <row r="112" spans="3:13" x14ac:dyDescent="0.3">
      <c r="C112" s="97"/>
      <c r="D112" s="97"/>
      <c r="E112" s="97"/>
      <c r="F112" s="97"/>
      <c r="G112" s="97"/>
      <c r="H112" s="97"/>
      <c r="I112" s="97"/>
      <c r="J112" s="95"/>
      <c r="K112" s="97"/>
      <c r="L112" s="177"/>
      <c r="M112" s="97"/>
    </row>
    <row r="113" spans="3:13" x14ac:dyDescent="0.3">
      <c r="C113" s="97"/>
      <c r="D113" s="97"/>
      <c r="E113" s="97"/>
      <c r="F113" s="97"/>
      <c r="G113" s="97"/>
      <c r="H113" s="97"/>
      <c r="I113" s="97"/>
      <c r="J113" s="95"/>
      <c r="K113" s="97"/>
      <c r="L113" s="177"/>
      <c r="M113" s="97"/>
    </row>
    <row r="114" spans="3:13" x14ac:dyDescent="0.3">
      <c r="C114" s="97"/>
      <c r="D114" s="97"/>
      <c r="E114" s="97"/>
      <c r="F114" s="97"/>
      <c r="G114" s="97"/>
      <c r="H114" s="97"/>
      <c r="I114" s="97"/>
      <c r="J114" s="95"/>
      <c r="K114" s="97"/>
      <c r="L114" s="177"/>
      <c r="M114" s="97"/>
    </row>
    <row r="115" spans="3:13" x14ac:dyDescent="0.3">
      <c r="C115" s="97"/>
      <c r="D115" s="97"/>
      <c r="E115" s="97"/>
      <c r="F115" s="97"/>
      <c r="G115" s="97"/>
      <c r="H115" s="97"/>
      <c r="I115" s="97"/>
      <c r="J115" s="95"/>
      <c r="K115" s="97"/>
      <c r="L115" s="177"/>
      <c r="M115" s="97"/>
    </row>
    <row r="116" spans="3:13" x14ac:dyDescent="0.3">
      <c r="C116" s="97"/>
      <c r="D116" s="97"/>
      <c r="E116" s="97"/>
      <c r="F116" s="97"/>
      <c r="G116" s="97"/>
      <c r="H116" s="97"/>
      <c r="I116" s="97"/>
      <c r="J116" s="95"/>
      <c r="K116" s="97"/>
      <c r="L116" s="177"/>
      <c r="M116" s="97"/>
    </row>
    <row r="117" spans="3:13" x14ac:dyDescent="0.3">
      <c r="C117" s="97"/>
      <c r="D117" s="97"/>
      <c r="E117" s="97"/>
      <c r="F117" s="97"/>
      <c r="G117" s="97"/>
      <c r="H117" s="97"/>
      <c r="I117" s="97"/>
      <c r="J117" s="95"/>
      <c r="K117" s="97"/>
      <c r="L117" s="177"/>
      <c r="M117" s="97"/>
    </row>
    <row r="118" spans="3:13" x14ac:dyDescent="0.3">
      <c r="C118" s="97"/>
      <c r="D118" s="97"/>
      <c r="E118" s="97"/>
      <c r="F118" s="97"/>
      <c r="G118" s="97"/>
      <c r="H118" s="97"/>
      <c r="I118" s="97"/>
      <c r="J118" s="95"/>
      <c r="K118" s="97"/>
      <c r="L118" s="177"/>
      <c r="M118" s="97"/>
    </row>
    <row r="119" spans="3:13" x14ac:dyDescent="0.3">
      <c r="C119" s="97"/>
      <c r="D119" s="97"/>
      <c r="E119" s="97"/>
      <c r="F119" s="97"/>
      <c r="G119" s="97"/>
      <c r="H119" s="97"/>
      <c r="I119" s="97"/>
      <c r="J119" s="95"/>
      <c r="K119" s="97"/>
      <c r="L119" s="177"/>
      <c r="M119" s="97"/>
    </row>
    <row r="120" spans="3:13" x14ac:dyDescent="0.3">
      <c r="C120" s="97"/>
      <c r="D120" s="97"/>
      <c r="E120" s="97"/>
      <c r="F120" s="97"/>
      <c r="G120" s="97"/>
      <c r="H120" s="97"/>
      <c r="I120" s="97"/>
      <c r="J120" s="95"/>
      <c r="K120" s="97"/>
      <c r="L120" s="177"/>
      <c r="M120" s="97"/>
    </row>
    <row r="121" spans="3:13" x14ac:dyDescent="0.3">
      <c r="C121" s="97"/>
      <c r="D121" s="97"/>
      <c r="E121" s="97"/>
      <c r="F121" s="97"/>
      <c r="G121" s="97"/>
      <c r="H121" s="97"/>
      <c r="I121" s="97"/>
      <c r="J121" s="95"/>
      <c r="K121" s="97"/>
      <c r="L121" s="177"/>
      <c r="M121" s="97"/>
    </row>
    <row r="122" spans="3:13" x14ac:dyDescent="0.3">
      <c r="C122" s="97"/>
      <c r="D122" s="97"/>
      <c r="E122" s="97"/>
      <c r="F122" s="97"/>
      <c r="G122" s="97"/>
      <c r="H122" s="97"/>
      <c r="I122" s="97"/>
      <c r="J122" s="95"/>
      <c r="K122" s="97"/>
      <c r="L122" s="177"/>
      <c r="M122" s="97"/>
    </row>
    <row r="123" spans="3:13" x14ac:dyDescent="0.3">
      <c r="C123" s="97"/>
      <c r="D123" s="97"/>
      <c r="E123" s="97"/>
      <c r="F123" s="97"/>
      <c r="G123" s="97"/>
      <c r="H123" s="97"/>
      <c r="I123" s="97"/>
      <c r="J123" s="95"/>
      <c r="K123" s="97"/>
      <c r="L123" s="177"/>
      <c r="M123" s="97"/>
    </row>
    <row r="124" spans="3:13" x14ac:dyDescent="0.3">
      <c r="C124" s="97"/>
      <c r="D124" s="97"/>
      <c r="E124" s="97"/>
      <c r="F124" s="97"/>
      <c r="G124" s="97"/>
      <c r="H124" s="97"/>
      <c r="I124" s="97"/>
      <c r="J124" s="95"/>
      <c r="K124" s="97"/>
      <c r="L124" s="177"/>
      <c r="M124" s="97"/>
    </row>
    <row r="125" spans="3:13" x14ac:dyDescent="0.3">
      <c r="C125" s="97"/>
      <c r="D125" s="97"/>
      <c r="E125" s="97"/>
      <c r="F125" s="97"/>
      <c r="G125" s="97"/>
      <c r="H125" s="97"/>
      <c r="I125" s="97"/>
      <c r="J125" s="95"/>
      <c r="K125" s="97"/>
      <c r="L125" s="177"/>
      <c r="M125" s="97"/>
    </row>
    <row r="126" spans="3:13" x14ac:dyDescent="0.3">
      <c r="C126" s="97"/>
      <c r="D126" s="97"/>
      <c r="E126" s="97"/>
      <c r="F126" s="97"/>
      <c r="G126" s="97"/>
      <c r="H126" s="97"/>
      <c r="I126" s="97"/>
      <c r="J126" s="95"/>
      <c r="K126" s="97"/>
      <c r="L126" s="177"/>
      <c r="M126" s="97"/>
    </row>
    <row r="127" spans="3:13" x14ac:dyDescent="0.3">
      <c r="C127" s="97"/>
      <c r="D127" s="97"/>
      <c r="E127" s="97"/>
      <c r="F127" s="97"/>
      <c r="G127" s="97"/>
      <c r="H127" s="97"/>
      <c r="I127" s="97"/>
      <c r="J127" s="95"/>
      <c r="K127" s="97"/>
      <c r="L127" s="177"/>
      <c r="M127" s="97"/>
    </row>
    <row r="128" spans="3:13" x14ac:dyDescent="0.3">
      <c r="C128" s="97"/>
      <c r="D128" s="97"/>
      <c r="E128" s="97"/>
      <c r="F128" s="97"/>
      <c r="G128" s="97"/>
      <c r="H128" s="97"/>
      <c r="I128" s="97"/>
      <c r="J128" s="95"/>
      <c r="K128" s="97"/>
      <c r="L128" s="177"/>
      <c r="M128" s="97"/>
    </row>
    <row r="129" spans="3:13" x14ac:dyDescent="0.3">
      <c r="C129" s="97"/>
      <c r="D129" s="97"/>
      <c r="E129" s="97"/>
      <c r="F129" s="97"/>
      <c r="G129" s="97"/>
      <c r="H129" s="97"/>
      <c r="I129" s="97"/>
      <c r="J129" s="95"/>
      <c r="K129" s="97"/>
      <c r="L129" s="177"/>
      <c r="M129" s="97"/>
    </row>
    <row r="130" spans="3:13" x14ac:dyDescent="0.3">
      <c r="C130" s="97"/>
      <c r="D130" s="97"/>
      <c r="E130" s="97"/>
      <c r="F130" s="97"/>
      <c r="G130" s="97"/>
      <c r="H130" s="97"/>
      <c r="I130" s="97"/>
      <c r="J130" s="95"/>
      <c r="K130" s="97"/>
      <c r="L130" s="177"/>
      <c r="M130" s="97"/>
    </row>
    <row r="131" spans="3:13" x14ac:dyDescent="0.3">
      <c r="C131" s="97"/>
      <c r="D131" s="97"/>
      <c r="E131" s="97"/>
      <c r="F131" s="97"/>
      <c r="G131" s="97"/>
      <c r="H131" s="97"/>
      <c r="I131" s="97"/>
      <c r="J131" s="95"/>
      <c r="K131" s="97"/>
      <c r="L131" s="177"/>
      <c r="M131" s="97"/>
    </row>
    <row r="132" spans="3:13" x14ac:dyDescent="0.3">
      <c r="C132" s="97"/>
      <c r="D132" s="97"/>
      <c r="E132" s="97"/>
      <c r="F132" s="97"/>
      <c r="G132" s="97"/>
      <c r="H132" s="97"/>
      <c r="I132" s="97"/>
      <c r="J132" s="95"/>
      <c r="K132" s="97"/>
      <c r="L132" s="177"/>
      <c r="M132" s="97"/>
    </row>
    <row r="133" spans="3:13" x14ac:dyDescent="0.3">
      <c r="C133" s="97"/>
      <c r="D133" s="97"/>
      <c r="E133" s="97"/>
      <c r="F133" s="97"/>
      <c r="G133" s="97"/>
      <c r="H133" s="97"/>
      <c r="I133" s="97"/>
      <c r="J133" s="95"/>
      <c r="K133" s="97"/>
      <c r="L133" s="177"/>
      <c r="M133" s="97"/>
    </row>
    <row r="134" spans="3:13" x14ac:dyDescent="0.3">
      <c r="C134" s="97"/>
      <c r="D134" s="97"/>
      <c r="E134" s="97"/>
      <c r="F134" s="97"/>
      <c r="G134" s="97"/>
      <c r="H134" s="97"/>
      <c r="I134" s="97"/>
      <c r="J134" s="95"/>
      <c r="K134" s="97"/>
      <c r="L134" s="177"/>
      <c r="M134" s="97"/>
    </row>
    <row r="135" spans="3:13" x14ac:dyDescent="0.3">
      <c r="C135" s="97"/>
      <c r="D135" s="97"/>
      <c r="E135" s="97"/>
      <c r="F135" s="97"/>
      <c r="G135" s="97"/>
      <c r="H135" s="97"/>
      <c r="I135" s="97"/>
      <c r="J135" s="95"/>
      <c r="K135" s="97"/>
      <c r="L135" s="177"/>
      <c r="M135" s="97"/>
    </row>
    <row r="136" spans="3:13" x14ac:dyDescent="0.3">
      <c r="C136" s="97"/>
      <c r="D136" s="97"/>
      <c r="E136" s="97"/>
      <c r="F136" s="97"/>
      <c r="G136" s="97"/>
      <c r="H136" s="97"/>
      <c r="I136" s="97"/>
      <c r="J136" s="95"/>
      <c r="K136" s="97"/>
      <c r="L136" s="177"/>
      <c r="M136" s="97"/>
    </row>
    <row r="137" spans="3:13" x14ac:dyDescent="0.3">
      <c r="C137" s="97"/>
      <c r="D137" s="97"/>
      <c r="E137" s="97"/>
      <c r="F137" s="97"/>
      <c r="G137" s="97"/>
      <c r="H137" s="97"/>
      <c r="I137" s="97"/>
      <c r="J137" s="95"/>
      <c r="K137" s="97"/>
      <c r="L137" s="177"/>
      <c r="M137" s="97"/>
    </row>
    <row r="138" spans="3:13" x14ac:dyDescent="0.3">
      <c r="C138" s="97"/>
      <c r="D138" s="97"/>
      <c r="E138" s="97"/>
      <c r="F138" s="97"/>
      <c r="G138" s="97"/>
      <c r="H138" s="97"/>
      <c r="I138" s="97"/>
      <c r="J138" s="95"/>
      <c r="K138" s="97"/>
      <c r="L138" s="177"/>
      <c r="M138" s="97"/>
    </row>
    <row r="139" spans="3:13" x14ac:dyDescent="0.3">
      <c r="C139" s="97"/>
      <c r="D139" s="97"/>
      <c r="E139" s="97"/>
      <c r="F139" s="97"/>
      <c r="G139" s="97"/>
      <c r="H139" s="97"/>
      <c r="I139" s="97"/>
      <c r="J139" s="95"/>
      <c r="K139" s="97"/>
      <c r="L139" s="177"/>
      <c r="M139" s="97"/>
    </row>
    <row r="140" spans="3:13" x14ac:dyDescent="0.3">
      <c r="C140" s="97"/>
      <c r="D140" s="97"/>
      <c r="E140" s="97"/>
      <c r="F140" s="97"/>
      <c r="G140" s="97"/>
      <c r="H140" s="97"/>
      <c r="I140" s="97"/>
      <c r="J140" s="95"/>
      <c r="K140" s="97"/>
      <c r="L140" s="177"/>
      <c r="M140" s="97"/>
    </row>
    <row r="141" spans="3:13" x14ac:dyDescent="0.3">
      <c r="C141" s="97"/>
      <c r="D141" s="97"/>
      <c r="E141" s="97"/>
      <c r="F141" s="97"/>
      <c r="G141" s="97"/>
      <c r="H141" s="97"/>
      <c r="I141" s="97"/>
      <c r="J141" s="95"/>
      <c r="K141" s="97"/>
      <c r="L141" s="177"/>
      <c r="M141" s="97"/>
    </row>
    <row r="142" spans="3:13" x14ac:dyDescent="0.3">
      <c r="C142" s="97"/>
      <c r="D142" s="97"/>
      <c r="E142" s="97"/>
      <c r="F142" s="97"/>
      <c r="G142" s="97"/>
      <c r="H142" s="97"/>
      <c r="I142" s="97"/>
      <c r="J142" s="95"/>
      <c r="K142" s="97"/>
      <c r="L142" s="177"/>
      <c r="M142" s="97"/>
    </row>
    <row r="143" spans="3:13" x14ac:dyDescent="0.3">
      <c r="C143" s="97"/>
      <c r="D143" s="97"/>
      <c r="E143" s="97"/>
      <c r="F143" s="97"/>
      <c r="G143" s="97"/>
      <c r="H143" s="97"/>
      <c r="I143" s="97"/>
      <c r="J143" s="95"/>
      <c r="K143" s="97"/>
      <c r="L143" s="177"/>
      <c r="M143" s="97"/>
    </row>
    <row r="144" spans="3:13" x14ac:dyDescent="0.3">
      <c r="C144" s="97"/>
      <c r="D144" s="97"/>
      <c r="E144" s="97"/>
      <c r="F144" s="97"/>
      <c r="G144" s="97"/>
      <c r="H144" s="97"/>
      <c r="I144" s="97"/>
      <c r="J144" s="95"/>
      <c r="K144" s="97"/>
      <c r="L144" s="177"/>
      <c r="M144" s="97"/>
    </row>
    <row r="145" spans="3:13" x14ac:dyDescent="0.3">
      <c r="C145" s="97"/>
      <c r="D145" s="97"/>
      <c r="E145" s="97"/>
      <c r="F145" s="97"/>
      <c r="G145" s="97"/>
      <c r="H145" s="97"/>
      <c r="I145" s="97"/>
      <c r="J145" s="95"/>
      <c r="K145" s="97"/>
      <c r="L145" s="177"/>
      <c r="M145" s="97"/>
    </row>
    <row r="146" spans="3:13" x14ac:dyDescent="0.3">
      <c r="C146" s="97"/>
      <c r="D146" s="97"/>
      <c r="E146" s="97"/>
      <c r="F146" s="97"/>
      <c r="G146" s="97"/>
      <c r="H146" s="97"/>
      <c r="I146" s="97"/>
      <c r="J146" s="95"/>
      <c r="K146" s="97"/>
      <c r="L146" s="177"/>
      <c r="M146" s="97"/>
    </row>
    <row r="147" spans="3:13" x14ac:dyDescent="0.3">
      <c r="C147" s="97"/>
      <c r="D147" s="97"/>
      <c r="E147" s="97"/>
      <c r="F147" s="97"/>
      <c r="G147" s="97"/>
      <c r="H147" s="97"/>
      <c r="I147" s="97"/>
      <c r="J147" s="95"/>
      <c r="K147" s="97"/>
      <c r="L147" s="177"/>
      <c r="M147" s="97"/>
    </row>
    <row r="148" spans="3:13" x14ac:dyDescent="0.3">
      <c r="C148" s="97"/>
      <c r="D148" s="97"/>
      <c r="E148" s="97"/>
      <c r="F148" s="97"/>
      <c r="G148" s="97"/>
      <c r="H148" s="97"/>
      <c r="I148" s="97"/>
      <c r="J148" s="95"/>
      <c r="K148" s="97"/>
      <c r="L148" s="177"/>
      <c r="M148" s="97"/>
    </row>
    <row r="149" spans="3:13" x14ac:dyDescent="0.3">
      <c r="C149" s="97"/>
      <c r="D149" s="97"/>
      <c r="E149" s="97"/>
      <c r="F149" s="97"/>
      <c r="G149" s="97"/>
      <c r="H149" s="97"/>
      <c r="I149" s="97"/>
      <c r="J149" s="95"/>
      <c r="K149" s="97"/>
      <c r="L149" s="177"/>
      <c r="M149" s="97"/>
    </row>
    <row r="150" spans="3:13" x14ac:dyDescent="0.3">
      <c r="C150" s="97"/>
      <c r="D150" s="97"/>
      <c r="E150" s="97"/>
      <c r="F150" s="97"/>
      <c r="G150" s="97"/>
      <c r="H150" s="97"/>
      <c r="I150" s="97"/>
      <c r="J150" s="95"/>
      <c r="K150" s="97"/>
      <c r="L150" s="177"/>
      <c r="M150" s="97"/>
    </row>
    <row r="151" spans="3:13" x14ac:dyDescent="0.3">
      <c r="C151" s="97"/>
      <c r="D151" s="97"/>
      <c r="E151" s="97"/>
      <c r="F151" s="97"/>
      <c r="G151" s="97"/>
      <c r="H151" s="97"/>
      <c r="I151" s="97"/>
      <c r="J151" s="95"/>
      <c r="K151" s="97"/>
      <c r="L151" s="177"/>
      <c r="M151" s="97"/>
    </row>
    <row r="152" spans="3:13" x14ac:dyDescent="0.3">
      <c r="C152" s="97"/>
      <c r="D152" s="97"/>
      <c r="E152" s="97"/>
      <c r="F152" s="97"/>
      <c r="G152" s="97"/>
      <c r="H152" s="97"/>
      <c r="I152" s="97"/>
      <c r="J152" s="95"/>
      <c r="K152" s="97"/>
      <c r="L152" s="177"/>
      <c r="M152" s="97"/>
    </row>
    <row r="153" spans="3:13" x14ac:dyDescent="0.3">
      <c r="C153" s="97"/>
      <c r="D153" s="97"/>
      <c r="E153" s="97"/>
      <c r="F153" s="97"/>
      <c r="G153" s="97"/>
      <c r="H153" s="97"/>
      <c r="I153" s="97"/>
      <c r="J153" s="95"/>
      <c r="K153" s="97"/>
      <c r="L153" s="177"/>
      <c r="M153" s="97"/>
    </row>
    <row r="154" spans="3:13" x14ac:dyDescent="0.3">
      <c r="C154" s="97"/>
      <c r="D154" s="97"/>
      <c r="E154" s="97"/>
      <c r="F154" s="97"/>
      <c r="G154" s="97"/>
      <c r="H154" s="97"/>
      <c r="I154" s="97"/>
      <c r="J154" s="95"/>
      <c r="K154" s="97"/>
      <c r="L154" s="177"/>
      <c r="M154" s="97"/>
    </row>
    <row r="155" spans="3:13" x14ac:dyDescent="0.3">
      <c r="C155" s="97"/>
      <c r="D155" s="97"/>
      <c r="E155" s="97"/>
      <c r="F155" s="97"/>
      <c r="G155" s="97"/>
      <c r="H155" s="97"/>
      <c r="I155" s="97"/>
      <c r="J155" s="95"/>
      <c r="K155" s="97"/>
      <c r="L155" s="177"/>
      <c r="M155" s="97"/>
    </row>
    <row r="156" spans="3:13" x14ac:dyDescent="0.3">
      <c r="C156" s="97"/>
      <c r="D156" s="97"/>
      <c r="E156" s="97"/>
      <c r="F156" s="97"/>
      <c r="G156" s="97"/>
      <c r="H156" s="97"/>
      <c r="I156" s="97"/>
      <c r="J156" s="95"/>
      <c r="K156" s="97"/>
      <c r="L156" s="177"/>
      <c r="M156" s="97"/>
    </row>
    <row r="157" spans="3:13" x14ac:dyDescent="0.3">
      <c r="C157" s="97"/>
      <c r="D157" s="97"/>
      <c r="E157" s="97"/>
      <c r="F157" s="97"/>
      <c r="G157" s="97"/>
      <c r="H157" s="97"/>
      <c r="I157" s="97"/>
      <c r="J157" s="95"/>
      <c r="K157" s="97"/>
      <c r="L157" s="177"/>
      <c r="M157" s="97"/>
    </row>
    <row r="158" spans="3:13" x14ac:dyDescent="0.3">
      <c r="C158" s="97"/>
      <c r="D158" s="97"/>
      <c r="E158" s="97"/>
      <c r="F158" s="97"/>
      <c r="G158" s="97"/>
      <c r="H158" s="97"/>
      <c r="I158" s="97"/>
      <c r="J158" s="95"/>
      <c r="K158" s="97"/>
      <c r="L158" s="177"/>
      <c r="M158" s="97"/>
    </row>
    <row r="159" spans="3:13" x14ac:dyDescent="0.3">
      <c r="C159" s="97"/>
      <c r="D159" s="97"/>
      <c r="E159" s="97"/>
      <c r="F159" s="97"/>
      <c r="G159" s="97"/>
      <c r="H159" s="97"/>
      <c r="I159" s="97"/>
      <c r="J159" s="95"/>
      <c r="K159" s="97"/>
      <c r="L159" s="177"/>
      <c r="M159" s="97"/>
    </row>
    <row r="160" spans="3:13" x14ac:dyDescent="0.3">
      <c r="C160" s="97"/>
      <c r="D160" s="97"/>
      <c r="E160" s="97"/>
      <c r="F160" s="97"/>
      <c r="G160" s="97"/>
      <c r="H160" s="97"/>
      <c r="I160" s="97"/>
      <c r="J160" s="95"/>
      <c r="K160" s="97"/>
      <c r="L160" s="177"/>
      <c r="M160" s="97"/>
    </row>
    <row r="161" spans="3:13" x14ac:dyDescent="0.3">
      <c r="C161" s="97"/>
      <c r="D161" s="97"/>
      <c r="E161" s="97"/>
      <c r="F161" s="97"/>
      <c r="G161" s="97"/>
      <c r="H161" s="97"/>
      <c r="I161" s="97"/>
      <c r="J161" s="95"/>
      <c r="K161" s="97"/>
      <c r="L161" s="177"/>
      <c r="M161" s="97"/>
    </row>
    <row r="162" spans="3:13" x14ac:dyDescent="0.3">
      <c r="C162" s="97"/>
      <c r="D162" s="97"/>
      <c r="E162" s="97"/>
      <c r="F162" s="97"/>
      <c r="G162" s="97"/>
      <c r="H162" s="97"/>
      <c r="I162" s="97"/>
      <c r="J162" s="95"/>
      <c r="K162" s="97"/>
      <c r="L162" s="177"/>
      <c r="M162" s="97"/>
    </row>
    <row r="163" spans="3:13" x14ac:dyDescent="0.3">
      <c r="C163" s="97"/>
      <c r="D163" s="97"/>
      <c r="E163" s="97"/>
      <c r="F163" s="97"/>
      <c r="G163" s="97"/>
      <c r="H163" s="97"/>
      <c r="I163" s="97"/>
      <c r="J163" s="95"/>
      <c r="K163" s="97"/>
      <c r="L163" s="177"/>
      <c r="M163" s="97"/>
    </row>
    <row r="164" spans="3:13" x14ac:dyDescent="0.3">
      <c r="C164" s="97"/>
      <c r="D164" s="97"/>
      <c r="E164" s="97"/>
      <c r="F164" s="97"/>
      <c r="G164" s="97"/>
      <c r="H164" s="97"/>
      <c r="I164" s="97"/>
      <c r="J164" s="95"/>
      <c r="K164" s="97"/>
      <c r="L164" s="177"/>
      <c r="M164" s="97"/>
    </row>
    <row r="165" spans="3:13" x14ac:dyDescent="0.3">
      <c r="C165" s="97"/>
      <c r="D165" s="97"/>
      <c r="E165" s="97"/>
      <c r="F165" s="97"/>
      <c r="G165" s="97"/>
      <c r="H165" s="97"/>
      <c r="I165" s="97"/>
      <c r="J165" s="95"/>
      <c r="K165" s="97"/>
      <c r="L165" s="177"/>
      <c r="M165" s="97"/>
    </row>
    <row r="166" spans="3:13" x14ac:dyDescent="0.3">
      <c r="C166" s="97"/>
      <c r="D166" s="97"/>
      <c r="E166" s="97"/>
      <c r="F166" s="97"/>
      <c r="G166" s="97"/>
      <c r="H166" s="97"/>
      <c r="I166" s="97"/>
      <c r="J166" s="95"/>
      <c r="K166" s="97"/>
      <c r="L166" s="177"/>
      <c r="M166" s="97"/>
    </row>
    <row r="167" spans="3:13" x14ac:dyDescent="0.3">
      <c r="C167" s="97"/>
      <c r="D167" s="97"/>
      <c r="E167" s="97"/>
      <c r="F167" s="97"/>
      <c r="G167" s="97"/>
      <c r="H167" s="97"/>
      <c r="I167" s="97"/>
      <c r="J167" s="95"/>
      <c r="K167" s="97"/>
      <c r="L167" s="177"/>
      <c r="M167" s="97"/>
    </row>
    <row r="168" spans="3:13" x14ac:dyDescent="0.3">
      <c r="C168" s="97"/>
      <c r="D168" s="97"/>
      <c r="E168" s="97"/>
      <c r="F168" s="97"/>
      <c r="G168" s="97"/>
      <c r="H168" s="97"/>
      <c r="I168" s="97"/>
      <c r="J168" s="95"/>
      <c r="K168" s="97"/>
      <c r="L168" s="177"/>
      <c r="M168" s="97"/>
    </row>
    <row r="169" spans="3:13" x14ac:dyDescent="0.3">
      <c r="C169" s="97"/>
      <c r="D169" s="97"/>
      <c r="E169" s="97"/>
      <c r="F169" s="97"/>
      <c r="G169" s="97"/>
      <c r="H169" s="97"/>
      <c r="I169" s="97"/>
      <c r="J169" s="95"/>
      <c r="K169" s="97"/>
      <c r="L169" s="177"/>
      <c r="M169" s="97"/>
    </row>
    <row r="170" spans="3:13" x14ac:dyDescent="0.3">
      <c r="C170" s="97"/>
      <c r="D170" s="97"/>
      <c r="E170" s="97"/>
      <c r="F170" s="97"/>
      <c r="G170" s="97"/>
      <c r="H170" s="97"/>
      <c r="I170" s="97"/>
      <c r="J170" s="95"/>
      <c r="K170" s="97"/>
      <c r="L170" s="177"/>
      <c r="M170" s="97"/>
    </row>
    <row r="171" spans="3:13" x14ac:dyDescent="0.3">
      <c r="C171" s="97"/>
      <c r="D171" s="97"/>
      <c r="E171" s="97"/>
      <c r="F171" s="97"/>
      <c r="G171" s="97"/>
      <c r="H171" s="97"/>
      <c r="I171" s="97"/>
      <c r="J171" s="95"/>
      <c r="K171" s="97"/>
      <c r="L171" s="177"/>
      <c r="M171" s="97"/>
    </row>
    <row r="172" spans="3:13" x14ac:dyDescent="0.3">
      <c r="C172" s="97"/>
      <c r="D172" s="97"/>
      <c r="E172" s="97"/>
      <c r="F172" s="97"/>
      <c r="G172" s="97"/>
      <c r="H172" s="97"/>
      <c r="I172" s="97"/>
      <c r="J172" s="95"/>
      <c r="K172" s="97"/>
      <c r="L172" s="177"/>
      <c r="M172" s="97"/>
    </row>
    <row r="173" spans="3:13" x14ac:dyDescent="0.3">
      <c r="C173" s="97"/>
      <c r="D173" s="97"/>
      <c r="E173" s="97"/>
      <c r="F173" s="97"/>
      <c r="G173" s="97"/>
      <c r="H173" s="97"/>
      <c r="I173" s="97"/>
      <c r="J173" s="95"/>
      <c r="K173" s="97"/>
      <c r="L173" s="177"/>
      <c r="M173" s="97"/>
    </row>
    <row r="174" spans="3:13" x14ac:dyDescent="0.3">
      <c r="C174" s="97"/>
      <c r="D174" s="97"/>
      <c r="E174" s="97"/>
      <c r="F174" s="97"/>
      <c r="G174" s="97"/>
      <c r="H174" s="97"/>
      <c r="I174" s="97"/>
      <c r="J174" s="95"/>
      <c r="K174" s="97"/>
      <c r="L174" s="177"/>
      <c r="M174" s="97"/>
    </row>
    <row r="175" spans="3:13" x14ac:dyDescent="0.3">
      <c r="C175" s="97"/>
      <c r="D175" s="97"/>
      <c r="E175" s="97"/>
      <c r="F175" s="97"/>
      <c r="G175" s="97"/>
      <c r="H175" s="97"/>
      <c r="I175" s="97"/>
      <c r="J175" s="95"/>
      <c r="K175" s="97"/>
      <c r="L175" s="177"/>
      <c r="M175" s="97"/>
    </row>
    <row r="176" spans="3:13" x14ac:dyDescent="0.3">
      <c r="C176" s="97"/>
      <c r="D176" s="97"/>
      <c r="E176" s="97"/>
      <c r="F176" s="97"/>
      <c r="G176" s="97"/>
      <c r="H176" s="97"/>
      <c r="I176" s="97"/>
      <c r="J176" s="95"/>
      <c r="K176" s="97"/>
      <c r="L176" s="177"/>
      <c r="M176" s="97"/>
    </row>
    <row r="177" spans="3:13" x14ac:dyDescent="0.3">
      <c r="C177" s="97"/>
      <c r="D177" s="97"/>
      <c r="E177" s="97"/>
      <c r="F177" s="97"/>
      <c r="G177" s="97"/>
      <c r="H177" s="97"/>
      <c r="I177" s="97"/>
      <c r="J177" s="95"/>
      <c r="K177" s="97"/>
      <c r="L177" s="177"/>
      <c r="M177" s="97"/>
    </row>
    <row r="178" spans="3:13" x14ac:dyDescent="0.3">
      <c r="C178" s="97"/>
      <c r="D178" s="97"/>
      <c r="E178" s="97"/>
      <c r="F178" s="97"/>
      <c r="G178" s="97"/>
      <c r="H178" s="97"/>
      <c r="I178" s="97"/>
      <c r="J178" s="95"/>
      <c r="K178" s="97"/>
      <c r="L178" s="177"/>
      <c r="M178" s="97"/>
    </row>
    <row r="179" spans="3:13" x14ac:dyDescent="0.3">
      <c r="C179" s="97"/>
      <c r="D179" s="97"/>
      <c r="E179" s="97"/>
      <c r="F179" s="97"/>
      <c r="G179" s="97"/>
      <c r="H179" s="97"/>
      <c r="I179" s="97"/>
      <c r="J179" s="95"/>
      <c r="K179" s="97"/>
      <c r="L179" s="177"/>
      <c r="M179" s="97"/>
    </row>
    <row r="180" spans="3:13" x14ac:dyDescent="0.3">
      <c r="C180" s="97"/>
      <c r="D180" s="97"/>
      <c r="E180" s="97"/>
      <c r="F180" s="97"/>
      <c r="G180" s="97"/>
      <c r="H180" s="97"/>
      <c r="I180" s="97"/>
      <c r="J180" s="95"/>
      <c r="K180" s="97"/>
      <c r="L180" s="177"/>
      <c r="M180" s="97"/>
    </row>
    <row r="181" spans="3:13" x14ac:dyDescent="0.3">
      <c r="C181" s="97"/>
      <c r="D181" s="97"/>
      <c r="E181" s="97"/>
      <c r="F181" s="97"/>
      <c r="G181" s="97"/>
      <c r="H181" s="97"/>
      <c r="I181" s="97"/>
      <c r="J181" s="95"/>
      <c r="K181" s="97"/>
      <c r="L181" s="177"/>
      <c r="M181" s="97"/>
    </row>
    <row r="182" spans="3:13" x14ac:dyDescent="0.3">
      <c r="C182" s="97"/>
      <c r="D182" s="97"/>
      <c r="E182" s="97"/>
      <c r="F182" s="97"/>
      <c r="G182" s="97"/>
      <c r="H182" s="97"/>
      <c r="I182" s="97"/>
      <c r="J182" s="95"/>
      <c r="K182" s="97"/>
      <c r="L182" s="177"/>
      <c r="M182" s="97"/>
    </row>
    <row r="183" spans="3:13" x14ac:dyDescent="0.3">
      <c r="C183" s="97"/>
      <c r="D183" s="97"/>
      <c r="E183" s="97"/>
      <c r="F183" s="97"/>
      <c r="G183" s="97"/>
      <c r="H183" s="97"/>
      <c r="I183" s="97"/>
      <c r="J183" s="95"/>
      <c r="K183" s="97"/>
      <c r="L183" s="177"/>
      <c r="M183" s="97"/>
    </row>
    <row r="184" spans="3:13" x14ac:dyDescent="0.3">
      <c r="C184" s="97"/>
      <c r="D184" s="97"/>
      <c r="E184" s="97"/>
      <c r="F184" s="97"/>
      <c r="G184" s="97"/>
      <c r="H184" s="97"/>
      <c r="I184" s="97"/>
      <c r="J184" s="95"/>
      <c r="K184" s="97"/>
      <c r="L184" s="177"/>
      <c r="M184" s="97"/>
    </row>
    <row r="185" spans="3:13" x14ac:dyDescent="0.3">
      <c r="C185" s="97"/>
      <c r="D185" s="97"/>
      <c r="E185" s="97"/>
      <c r="F185" s="97"/>
      <c r="G185" s="97"/>
      <c r="H185" s="97"/>
      <c r="I185" s="97"/>
      <c r="J185" s="95"/>
      <c r="K185" s="97"/>
      <c r="L185" s="177"/>
      <c r="M185" s="97"/>
    </row>
    <row r="186" spans="3:13" x14ac:dyDescent="0.3">
      <c r="C186" s="97"/>
      <c r="D186" s="97"/>
      <c r="E186" s="97"/>
      <c r="F186" s="97"/>
      <c r="G186" s="97"/>
      <c r="H186" s="97"/>
      <c r="I186" s="97"/>
      <c r="J186" s="95"/>
      <c r="K186" s="97"/>
      <c r="L186" s="177"/>
      <c r="M186" s="97"/>
    </row>
    <row r="187" spans="3:13" x14ac:dyDescent="0.3">
      <c r="C187" s="97"/>
      <c r="D187" s="97"/>
      <c r="E187" s="97"/>
      <c r="F187" s="97"/>
      <c r="G187" s="97"/>
      <c r="H187" s="97"/>
      <c r="I187" s="97"/>
      <c r="J187" s="95"/>
      <c r="K187" s="97"/>
      <c r="L187" s="177"/>
      <c r="M187" s="97"/>
    </row>
    <row r="188" spans="3:13" x14ac:dyDescent="0.3">
      <c r="C188" s="97"/>
      <c r="D188" s="97"/>
      <c r="E188" s="97"/>
      <c r="F188" s="97"/>
      <c r="G188" s="97"/>
      <c r="H188" s="97"/>
      <c r="I188" s="97"/>
      <c r="J188" s="95"/>
      <c r="K188" s="97"/>
      <c r="L188" s="177"/>
      <c r="M188" s="97"/>
    </row>
    <row r="189" spans="3:13" x14ac:dyDescent="0.3">
      <c r="C189" s="97"/>
      <c r="D189" s="97"/>
      <c r="E189" s="97"/>
      <c r="F189" s="97"/>
      <c r="G189" s="97"/>
      <c r="H189" s="97"/>
      <c r="I189" s="97"/>
      <c r="J189" s="95"/>
      <c r="K189" s="97"/>
      <c r="L189" s="177"/>
      <c r="M189" s="97"/>
    </row>
    <row r="190" spans="3:13" x14ac:dyDescent="0.3">
      <c r="C190" s="97"/>
      <c r="D190" s="97"/>
      <c r="E190" s="97"/>
      <c r="F190" s="97"/>
      <c r="G190" s="97"/>
      <c r="H190" s="97"/>
      <c r="I190" s="97"/>
      <c r="J190" s="95"/>
      <c r="K190" s="97"/>
      <c r="L190" s="177"/>
      <c r="M190" s="97"/>
    </row>
    <row r="191" spans="3:13" x14ac:dyDescent="0.3">
      <c r="C191" s="97"/>
      <c r="D191" s="97"/>
      <c r="E191" s="97"/>
      <c r="F191" s="97"/>
      <c r="G191" s="97"/>
      <c r="H191" s="97"/>
      <c r="I191" s="97"/>
      <c r="J191" s="95"/>
      <c r="K191" s="97"/>
      <c r="L191" s="177"/>
      <c r="M191" s="97"/>
    </row>
    <row r="192" spans="3:13" x14ac:dyDescent="0.3">
      <c r="C192" s="97"/>
      <c r="D192" s="97"/>
      <c r="E192" s="97"/>
      <c r="F192" s="97"/>
      <c r="G192" s="97"/>
      <c r="H192" s="97"/>
      <c r="I192" s="97"/>
      <c r="J192" s="95"/>
      <c r="K192" s="97"/>
      <c r="L192" s="177"/>
      <c r="M192" s="97"/>
    </row>
    <row r="193" spans="3:13" x14ac:dyDescent="0.3">
      <c r="C193" s="97"/>
      <c r="D193" s="97"/>
      <c r="E193" s="97"/>
      <c r="F193" s="97"/>
      <c r="G193" s="97"/>
      <c r="H193" s="97"/>
      <c r="I193" s="97"/>
      <c r="J193" s="95"/>
      <c r="K193" s="97"/>
      <c r="L193" s="177"/>
      <c r="M193" s="97"/>
    </row>
    <row r="194" spans="3:13" x14ac:dyDescent="0.3">
      <c r="C194" s="97"/>
      <c r="D194" s="97"/>
      <c r="E194" s="97"/>
      <c r="F194" s="97"/>
      <c r="G194" s="97"/>
      <c r="H194" s="97"/>
      <c r="I194" s="97"/>
      <c r="J194" s="95"/>
      <c r="K194" s="97"/>
      <c r="L194" s="177"/>
      <c r="M194" s="97"/>
    </row>
    <row r="195" spans="3:13" x14ac:dyDescent="0.3">
      <c r="C195" s="97"/>
      <c r="D195" s="97"/>
      <c r="E195" s="97"/>
      <c r="F195" s="97"/>
      <c r="G195" s="97"/>
      <c r="H195" s="97"/>
      <c r="I195" s="97"/>
      <c r="J195" s="95"/>
      <c r="K195" s="97"/>
      <c r="L195" s="177"/>
      <c r="M195" s="97"/>
    </row>
    <row r="196" spans="3:13" x14ac:dyDescent="0.3">
      <c r="C196" s="97"/>
      <c r="D196" s="97"/>
      <c r="E196" s="97"/>
      <c r="F196" s="97"/>
      <c r="G196" s="97"/>
      <c r="H196" s="97"/>
      <c r="I196" s="97"/>
      <c r="J196" s="95"/>
      <c r="K196" s="97"/>
      <c r="L196" s="177"/>
      <c r="M196" s="97"/>
    </row>
    <row r="197" spans="3:13" x14ac:dyDescent="0.3">
      <c r="C197" s="97"/>
      <c r="D197" s="97"/>
      <c r="E197" s="97"/>
      <c r="F197" s="97"/>
      <c r="G197" s="97"/>
      <c r="H197" s="97"/>
      <c r="I197" s="97"/>
      <c r="J197" s="95"/>
      <c r="K197" s="97"/>
      <c r="L197" s="177"/>
      <c r="M197" s="97"/>
    </row>
    <row r="198" spans="3:13" x14ac:dyDescent="0.3">
      <c r="C198" s="97"/>
      <c r="D198" s="97"/>
      <c r="E198" s="97"/>
      <c r="F198" s="97"/>
      <c r="G198" s="97"/>
      <c r="H198" s="97"/>
      <c r="I198" s="97"/>
      <c r="J198" s="95"/>
      <c r="K198" s="97"/>
      <c r="L198" s="177"/>
      <c r="M198" s="97"/>
    </row>
    <row r="199" spans="3:13" x14ac:dyDescent="0.3">
      <c r="C199" s="97"/>
      <c r="D199" s="97"/>
      <c r="E199" s="97"/>
      <c r="F199" s="97"/>
      <c r="G199" s="97"/>
      <c r="H199" s="97"/>
      <c r="I199" s="97"/>
      <c r="J199" s="95"/>
      <c r="K199" s="97"/>
      <c r="L199" s="177"/>
      <c r="M199" s="97"/>
    </row>
    <row r="200" spans="3:13" x14ac:dyDescent="0.3">
      <c r="C200" s="97"/>
      <c r="D200" s="97"/>
      <c r="E200" s="97"/>
      <c r="F200" s="97"/>
      <c r="G200" s="97"/>
      <c r="H200" s="97"/>
      <c r="I200" s="97"/>
      <c r="J200" s="95"/>
      <c r="K200" s="97"/>
      <c r="L200" s="177"/>
      <c r="M200" s="97"/>
    </row>
    <row r="201" spans="3:13" x14ac:dyDescent="0.3">
      <c r="C201" s="97"/>
      <c r="D201" s="97"/>
      <c r="E201" s="97"/>
      <c r="F201" s="97"/>
      <c r="G201" s="97"/>
      <c r="H201" s="97"/>
      <c r="I201" s="97"/>
      <c r="J201" s="95"/>
      <c r="K201" s="97"/>
      <c r="L201" s="177"/>
      <c r="M201" s="97"/>
    </row>
    <row r="202" spans="3:13" x14ac:dyDescent="0.3">
      <c r="C202" s="97"/>
      <c r="D202" s="97"/>
      <c r="E202" s="97"/>
      <c r="F202" s="97"/>
      <c r="G202" s="97"/>
      <c r="H202" s="97"/>
      <c r="I202" s="97"/>
      <c r="J202" s="95"/>
      <c r="K202" s="97"/>
      <c r="L202" s="177"/>
      <c r="M202" s="97"/>
    </row>
    <row r="203" spans="3:13" x14ac:dyDescent="0.3">
      <c r="C203" s="97"/>
      <c r="D203" s="97"/>
      <c r="E203" s="97"/>
      <c r="F203" s="97"/>
      <c r="G203" s="97"/>
      <c r="H203" s="97"/>
      <c r="I203" s="97"/>
      <c r="J203" s="95"/>
      <c r="K203" s="97"/>
      <c r="L203" s="177"/>
      <c r="M203" s="97"/>
    </row>
    <row r="204" spans="3:13" x14ac:dyDescent="0.3">
      <c r="C204" s="97"/>
      <c r="D204" s="97"/>
      <c r="E204" s="97"/>
      <c r="F204" s="97"/>
      <c r="G204" s="97"/>
      <c r="H204" s="97"/>
      <c r="I204" s="97"/>
      <c r="J204" s="95"/>
      <c r="K204" s="97"/>
      <c r="L204" s="177"/>
      <c r="M204" s="97"/>
    </row>
    <row r="205" spans="3:13" x14ac:dyDescent="0.3">
      <c r="C205" s="97"/>
      <c r="D205" s="97"/>
      <c r="E205" s="97"/>
      <c r="F205" s="97"/>
      <c r="G205" s="97"/>
      <c r="H205" s="97"/>
      <c r="I205" s="97"/>
      <c r="J205" s="95"/>
      <c r="K205" s="97"/>
      <c r="L205" s="177"/>
      <c r="M205" s="97"/>
    </row>
    <row r="206" spans="3:13" x14ac:dyDescent="0.3">
      <c r="C206" s="97"/>
      <c r="D206" s="97"/>
      <c r="E206" s="97"/>
      <c r="F206" s="97"/>
      <c r="G206" s="97"/>
      <c r="H206" s="97"/>
      <c r="I206" s="97"/>
      <c r="J206" s="95"/>
      <c r="K206" s="97"/>
      <c r="L206" s="177"/>
      <c r="M206" s="97"/>
    </row>
    <row r="207" spans="3:13" x14ac:dyDescent="0.3">
      <c r="C207" s="97"/>
      <c r="D207" s="97"/>
      <c r="E207" s="97"/>
      <c r="F207" s="97"/>
      <c r="G207" s="97"/>
      <c r="H207" s="97"/>
      <c r="I207" s="97"/>
      <c r="J207" s="95"/>
      <c r="K207" s="97"/>
      <c r="L207" s="177"/>
      <c r="M207" s="97"/>
    </row>
    <row r="208" spans="3:13" x14ac:dyDescent="0.3">
      <c r="C208" s="97"/>
      <c r="D208" s="97"/>
      <c r="E208" s="97"/>
      <c r="F208" s="97"/>
      <c r="G208" s="97"/>
      <c r="H208" s="97"/>
      <c r="I208" s="97"/>
      <c r="J208" s="95"/>
      <c r="K208" s="97"/>
      <c r="L208" s="177"/>
      <c r="M208" s="97"/>
    </row>
    <row r="209" spans="3:13" x14ac:dyDescent="0.3">
      <c r="C209" s="97"/>
      <c r="D209" s="97"/>
      <c r="E209" s="97"/>
      <c r="F209" s="97"/>
      <c r="G209" s="97"/>
      <c r="H209" s="97"/>
      <c r="I209" s="97"/>
      <c r="J209" s="95"/>
      <c r="K209" s="97"/>
      <c r="L209" s="177"/>
      <c r="M209" s="97"/>
    </row>
    <row r="210" spans="3:13" x14ac:dyDescent="0.3">
      <c r="C210" s="97"/>
      <c r="D210" s="97"/>
      <c r="E210" s="97"/>
      <c r="F210" s="97"/>
      <c r="G210" s="97"/>
      <c r="H210" s="97"/>
      <c r="I210" s="97"/>
      <c r="J210" s="95"/>
      <c r="K210" s="97"/>
      <c r="L210" s="177"/>
      <c r="M210" s="97"/>
    </row>
    <row r="211" spans="3:13" x14ac:dyDescent="0.3">
      <c r="C211" s="97"/>
      <c r="D211" s="97"/>
      <c r="E211" s="97"/>
      <c r="F211" s="97"/>
      <c r="G211" s="97"/>
      <c r="H211" s="97"/>
      <c r="I211" s="97"/>
      <c r="J211" s="95"/>
      <c r="K211" s="97"/>
      <c r="L211" s="177"/>
      <c r="M211" s="97"/>
    </row>
    <row r="212" spans="3:13" x14ac:dyDescent="0.3">
      <c r="C212" s="97"/>
      <c r="D212" s="97"/>
      <c r="E212" s="97"/>
      <c r="F212" s="97"/>
      <c r="G212" s="97"/>
      <c r="H212" s="97"/>
      <c r="I212" s="97"/>
      <c r="J212" s="95"/>
      <c r="K212" s="97"/>
      <c r="L212" s="177"/>
      <c r="M212" s="97"/>
    </row>
    <row r="213" spans="3:13" x14ac:dyDescent="0.3">
      <c r="C213" s="97"/>
      <c r="D213" s="97"/>
      <c r="E213" s="97"/>
      <c r="F213" s="97"/>
      <c r="G213" s="97"/>
      <c r="H213" s="97"/>
      <c r="I213" s="97"/>
      <c r="J213" s="95"/>
      <c r="K213" s="97"/>
      <c r="L213" s="177"/>
      <c r="M213" s="97"/>
    </row>
    <row r="214" spans="3:13" x14ac:dyDescent="0.3">
      <c r="C214" s="97"/>
      <c r="D214" s="97"/>
      <c r="E214" s="97"/>
      <c r="F214" s="97"/>
      <c r="G214" s="97"/>
      <c r="H214" s="97"/>
      <c r="I214" s="97"/>
      <c r="J214" s="95"/>
      <c r="K214" s="97"/>
      <c r="L214" s="177"/>
      <c r="M214" s="97"/>
    </row>
    <row r="215" spans="3:13" x14ac:dyDescent="0.3">
      <c r="C215" s="97"/>
      <c r="D215" s="97"/>
      <c r="E215" s="97"/>
      <c r="F215" s="97"/>
      <c r="G215" s="97"/>
      <c r="H215" s="97"/>
      <c r="I215" s="97"/>
      <c r="J215" s="95"/>
      <c r="K215" s="97"/>
      <c r="L215" s="177"/>
      <c r="M215" s="97"/>
    </row>
    <row r="216" spans="3:13" x14ac:dyDescent="0.3">
      <c r="C216" s="97"/>
      <c r="D216" s="97"/>
      <c r="E216" s="97"/>
      <c r="F216" s="97"/>
      <c r="G216" s="97"/>
      <c r="H216" s="97"/>
      <c r="I216" s="97"/>
      <c r="J216" s="95"/>
      <c r="K216" s="97"/>
      <c r="L216" s="177"/>
      <c r="M216" s="97"/>
    </row>
    <row r="217" spans="3:13" x14ac:dyDescent="0.3">
      <c r="C217" s="97"/>
      <c r="D217" s="97"/>
      <c r="E217" s="97"/>
      <c r="F217" s="97"/>
      <c r="G217" s="97"/>
      <c r="H217" s="97"/>
      <c r="I217" s="97"/>
      <c r="J217" s="95"/>
      <c r="K217" s="97"/>
      <c r="L217" s="177"/>
      <c r="M217" s="97"/>
    </row>
    <row r="218" spans="3:13" x14ac:dyDescent="0.3">
      <c r="C218" s="97"/>
      <c r="D218" s="97"/>
      <c r="E218" s="97"/>
      <c r="F218" s="97"/>
      <c r="G218" s="97"/>
      <c r="H218" s="97"/>
      <c r="I218" s="97"/>
      <c r="J218" s="95"/>
      <c r="K218" s="97"/>
      <c r="L218" s="177"/>
      <c r="M218" s="97"/>
    </row>
    <row r="219" spans="3:13" x14ac:dyDescent="0.3">
      <c r="C219" s="97"/>
      <c r="D219" s="97"/>
      <c r="E219" s="97"/>
      <c r="F219" s="97"/>
      <c r="G219" s="97"/>
      <c r="H219" s="97"/>
      <c r="I219" s="97"/>
      <c r="J219" s="95"/>
      <c r="K219" s="97"/>
      <c r="L219" s="177"/>
      <c r="M219" s="97"/>
    </row>
    <row r="220" spans="3:13" x14ac:dyDescent="0.3">
      <c r="C220" s="97"/>
      <c r="D220" s="97"/>
      <c r="E220" s="97"/>
      <c r="F220" s="97"/>
      <c r="G220" s="97"/>
      <c r="H220" s="97"/>
      <c r="I220" s="97"/>
      <c r="J220" s="95"/>
      <c r="K220" s="97"/>
      <c r="L220" s="177"/>
      <c r="M220" s="97"/>
    </row>
    <row r="221" spans="3:13" x14ac:dyDescent="0.3">
      <c r="C221" s="97"/>
      <c r="D221" s="97"/>
      <c r="E221" s="97"/>
      <c r="F221" s="97"/>
      <c r="G221" s="97"/>
      <c r="H221" s="97"/>
      <c r="I221" s="97"/>
      <c r="J221" s="95"/>
      <c r="K221" s="97"/>
      <c r="L221" s="177"/>
      <c r="M221" s="97"/>
    </row>
    <row r="222" spans="3:13" x14ac:dyDescent="0.3">
      <c r="C222" s="97"/>
      <c r="D222" s="97"/>
      <c r="E222" s="97"/>
      <c r="F222" s="97"/>
      <c r="G222" s="97"/>
      <c r="H222" s="97"/>
      <c r="I222" s="97"/>
      <c r="J222" s="95"/>
      <c r="K222" s="97"/>
      <c r="L222" s="177"/>
      <c r="M222" s="97"/>
    </row>
    <row r="223" spans="3:13" x14ac:dyDescent="0.3">
      <c r="C223" s="97"/>
      <c r="D223" s="97"/>
      <c r="E223" s="97"/>
      <c r="F223" s="97"/>
      <c r="G223" s="97"/>
      <c r="H223" s="97"/>
      <c r="I223" s="97"/>
      <c r="J223" s="95"/>
      <c r="K223" s="97"/>
      <c r="L223" s="177"/>
      <c r="M223" s="97"/>
    </row>
    <row r="224" spans="3:13" x14ac:dyDescent="0.3">
      <c r="C224" s="97"/>
      <c r="D224" s="97"/>
      <c r="E224" s="97"/>
      <c r="F224" s="97"/>
      <c r="G224" s="97"/>
      <c r="H224" s="97"/>
      <c r="I224" s="97"/>
      <c r="J224" s="95"/>
      <c r="K224" s="97"/>
      <c r="L224" s="177"/>
      <c r="M224" s="97"/>
    </row>
    <row r="225" spans="3:13" x14ac:dyDescent="0.3">
      <c r="C225" s="97"/>
      <c r="D225" s="97"/>
      <c r="E225" s="97"/>
      <c r="F225" s="97"/>
      <c r="G225" s="97"/>
      <c r="H225" s="97"/>
      <c r="I225" s="97"/>
      <c r="J225" s="95"/>
      <c r="K225" s="97"/>
      <c r="L225" s="177"/>
      <c r="M225" s="97"/>
    </row>
    <row r="226" spans="3:13" x14ac:dyDescent="0.3">
      <c r="C226" s="97"/>
      <c r="D226" s="97"/>
      <c r="E226" s="97"/>
      <c r="F226" s="97"/>
      <c r="G226" s="97"/>
      <c r="H226" s="97"/>
      <c r="I226" s="97"/>
      <c r="J226" s="95"/>
      <c r="K226" s="97"/>
      <c r="L226" s="177"/>
      <c r="M226" s="97"/>
    </row>
    <row r="227" spans="3:13" x14ac:dyDescent="0.3">
      <c r="C227" s="97"/>
      <c r="D227" s="97"/>
      <c r="E227" s="97"/>
      <c r="F227" s="97"/>
      <c r="G227" s="97"/>
      <c r="H227" s="97"/>
      <c r="I227" s="97"/>
      <c r="J227" s="95"/>
      <c r="K227" s="97"/>
      <c r="L227" s="177"/>
      <c r="M227" s="97"/>
    </row>
    <row r="228" spans="3:13" x14ac:dyDescent="0.3">
      <c r="C228" s="97"/>
      <c r="D228" s="97"/>
      <c r="E228" s="97"/>
      <c r="F228" s="97"/>
      <c r="G228" s="97"/>
      <c r="H228" s="97"/>
      <c r="I228" s="97"/>
      <c r="J228" s="95"/>
      <c r="K228" s="97"/>
      <c r="L228" s="177"/>
      <c r="M228" s="97"/>
    </row>
    <row r="229" spans="3:13" x14ac:dyDescent="0.3">
      <c r="C229" s="97"/>
      <c r="D229" s="97"/>
      <c r="E229" s="97"/>
      <c r="F229" s="97"/>
      <c r="G229" s="97"/>
      <c r="H229" s="97"/>
      <c r="I229" s="97"/>
      <c r="J229" s="95"/>
      <c r="K229" s="97"/>
      <c r="L229" s="177"/>
      <c r="M229" s="97"/>
    </row>
    <row r="230" spans="3:13" x14ac:dyDescent="0.3">
      <c r="C230" s="97"/>
      <c r="D230" s="97"/>
      <c r="E230" s="97"/>
      <c r="F230" s="97"/>
      <c r="G230" s="97"/>
      <c r="H230" s="97"/>
      <c r="I230" s="97"/>
      <c r="J230" s="95"/>
      <c r="K230" s="97"/>
      <c r="L230" s="177"/>
      <c r="M230" s="97"/>
    </row>
    <row r="231" spans="3:13" x14ac:dyDescent="0.3">
      <c r="C231" s="97"/>
      <c r="D231" s="97"/>
      <c r="E231" s="97"/>
      <c r="F231" s="97"/>
      <c r="G231" s="97"/>
      <c r="H231" s="97"/>
      <c r="I231" s="97"/>
      <c r="J231" s="95"/>
      <c r="K231" s="97"/>
      <c r="L231" s="177"/>
      <c r="M231" s="97"/>
    </row>
    <row r="232" spans="3:13" x14ac:dyDescent="0.3">
      <c r="C232" s="97"/>
      <c r="D232" s="97"/>
      <c r="E232" s="97"/>
      <c r="F232" s="97"/>
      <c r="G232" s="97"/>
      <c r="H232" s="97"/>
      <c r="I232" s="97"/>
      <c r="J232" s="95"/>
      <c r="K232" s="97"/>
      <c r="L232" s="177"/>
      <c r="M232" s="97"/>
    </row>
    <row r="233" spans="3:13" x14ac:dyDescent="0.3">
      <c r="C233" s="97"/>
      <c r="D233" s="97"/>
      <c r="E233" s="97"/>
      <c r="F233" s="97"/>
      <c r="G233" s="97"/>
      <c r="H233" s="97"/>
      <c r="I233" s="97"/>
      <c r="J233" s="95"/>
      <c r="K233" s="97"/>
      <c r="L233" s="177"/>
      <c r="M233" s="97"/>
    </row>
    <row r="234" spans="3:13" x14ac:dyDescent="0.3">
      <c r="C234" s="97"/>
      <c r="D234" s="97"/>
      <c r="E234" s="97"/>
      <c r="F234" s="97"/>
      <c r="G234" s="97"/>
      <c r="H234" s="97"/>
      <c r="I234" s="97"/>
      <c r="J234" s="95"/>
      <c r="K234" s="97"/>
      <c r="L234" s="177"/>
      <c r="M234" s="97"/>
    </row>
    <row r="235" spans="3:13" x14ac:dyDescent="0.3">
      <c r="C235" s="97"/>
      <c r="D235" s="97"/>
      <c r="E235" s="97"/>
      <c r="F235" s="97"/>
      <c r="G235" s="97"/>
      <c r="H235" s="97"/>
      <c r="I235" s="97"/>
      <c r="J235" s="95"/>
      <c r="K235" s="97"/>
      <c r="L235" s="177"/>
      <c r="M235" s="97"/>
    </row>
    <row r="236" spans="3:13" x14ac:dyDescent="0.3">
      <c r="C236" s="97"/>
      <c r="D236" s="97"/>
      <c r="E236" s="97"/>
      <c r="F236" s="97"/>
      <c r="G236" s="97"/>
      <c r="H236" s="97"/>
      <c r="I236" s="97"/>
      <c r="J236" s="95"/>
      <c r="K236" s="97"/>
      <c r="L236" s="177"/>
      <c r="M236" s="97"/>
    </row>
    <row r="237" spans="3:13" x14ac:dyDescent="0.3">
      <c r="C237" s="97"/>
      <c r="D237" s="97"/>
      <c r="E237" s="97"/>
      <c r="F237" s="97"/>
      <c r="G237" s="97"/>
      <c r="H237" s="97"/>
      <c r="I237" s="97"/>
      <c r="J237" s="95"/>
      <c r="K237" s="97"/>
      <c r="L237" s="177"/>
      <c r="M237" s="97"/>
    </row>
    <row r="238" spans="3:13" x14ac:dyDescent="0.3">
      <c r="C238" s="97"/>
      <c r="D238" s="97"/>
      <c r="E238" s="97"/>
      <c r="F238" s="97"/>
      <c r="G238" s="97"/>
      <c r="H238" s="97"/>
      <c r="I238" s="97"/>
      <c r="J238" s="95"/>
      <c r="K238" s="97"/>
      <c r="L238" s="177"/>
      <c r="M238" s="97"/>
    </row>
    <row r="239" spans="3:13" x14ac:dyDescent="0.3">
      <c r="C239" s="97"/>
      <c r="D239" s="97"/>
      <c r="E239" s="97"/>
      <c r="F239" s="97"/>
      <c r="G239" s="97"/>
      <c r="H239" s="97"/>
      <c r="I239" s="97"/>
      <c r="J239" s="95"/>
      <c r="K239" s="97"/>
      <c r="L239" s="177"/>
      <c r="M239" s="97"/>
    </row>
    <row r="240" spans="3:13" x14ac:dyDescent="0.3">
      <c r="C240" s="97"/>
      <c r="D240" s="97"/>
      <c r="E240" s="97"/>
      <c r="F240" s="97"/>
      <c r="G240" s="97"/>
      <c r="H240" s="97"/>
      <c r="I240" s="97"/>
      <c r="J240" s="95"/>
      <c r="K240" s="97"/>
      <c r="L240" s="177"/>
      <c r="M240" s="97"/>
    </row>
    <row r="241" spans="3:13" x14ac:dyDescent="0.3">
      <c r="C241" s="97"/>
      <c r="D241" s="97"/>
      <c r="E241" s="97"/>
      <c r="F241" s="97"/>
      <c r="G241" s="97"/>
      <c r="H241" s="97"/>
      <c r="I241" s="97"/>
      <c r="J241" s="95"/>
      <c r="K241" s="97"/>
      <c r="L241" s="177"/>
      <c r="M241" s="97"/>
    </row>
    <row r="242" spans="3:13" x14ac:dyDescent="0.3">
      <c r="C242" s="97"/>
      <c r="D242" s="97"/>
      <c r="E242" s="97"/>
      <c r="F242" s="97"/>
      <c r="G242" s="97"/>
      <c r="H242" s="97"/>
      <c r="I242" s="97"/>
      <c r="J242" s="95"/>
      <c r="K242" s="97"/>
      <c r="L242" s="177"/>
      <c r="M242" s="97"/>
    </row>
    <row r="243" spans="3:13" x14ac:dyDescent="0.3">
      <c r="C243" s="97"/>
      <c r="D243" s="97"/>
      <c r="E243" s="97"/>
      <c r="F243" s="97"/>
      <c r="G243" s="97"/>
      <c r="H243" s="97"/>
      <c r="I243" s="97"/>
      <c r="J243" s="95"/>
      <c r="K243" s="97"/>
      <c r="L243" s="177"/>
      <c r="M243" s="97"/>
    </row>
    <row r="244" spans="3:13" x14ac:dyDescent="0.3">
      <c r="C244" s="97"/>
      <c r="D244" s="97"/>
      <c r="E244" s="97"/>
      <c r="F244" s="97"/>
      <c r="G244" s="97"/>
      <c r="H244" s="97"/>
      <c r="I244" s="97"/>
      <c r="J244" s="95"/>
      <c r="K244" s="97"/>
      <c r="L244" s="177"/>
      <c r="M244" s="97"/>
    </row>
    <row r="245" spans="3:13" x14ac:dyDescent="0.3">
      <c r="C245" s="97"/>
      <c r="D245" s="97"/>
      <c r="E245" s="97"/>
      <c r="F245" s="97"/>
      <c r="G245" s="97"/>
      <c r="H245" s="97"/>
      <c r="I245" s="97"/>
      <c r="J245" s="95"/>
      <c r="K245" s="97"/>
      <c r="L245" s="177"/>
      <c r="M245" s="97"/>
    </row>
    <row r="246" spans="3:13" x14ac:dyDescent="0.3">
      <c r="C246" s="97"/>
      <c r="D246" s="97"/>
      <c r="E246" s="97"/>
      <c r="F246" s="97"/>
      <c r="G246" s="97"/>
      <c r="H246" s="97"/>
      <c r="I246" s="97"/>
      <c r="J246" s="95"/>
      <c r="K246" s="97"/>
      <c r="L246" s="177"/>
      <c r="M246" s="97"/>
    </row>
    <row r="247" spans="3:13" x14ac:dyDescent="0.3">
      <c r="C247" s="97"/>
      <c r="D247" s="97"/>
      <c r="E247" s="97"/>
      <c r="F247" s="97"/>
      <c r="G247" s="97"/>
      <c r="H247" s="97"/>
      <c r="I247" s="97"/>
      <c r="J247" s="95"/>
      <c r="K247" s="97"/>
      <c r="L247" s="177"/>
      <c r="M247" s="97"/>
    </row>
    <row r="248" spans="3:13" x14ac:dyDescent="0.3">
      <c r="C248" s="97"/>
      <c r="D248" s="97"/>
      <c r="E248" s="97"/>
      <c r="F248" s="97"/>
      <c r="G248" s="97"/>
      <c r="H248" s="97"/>
      <c r="I248" s="97"/>
      <c r="J248" s="95"/>
      <c r="K248" s="97"/>
      <c r="L248" s="177"/>
      <c r="M248" s="97"/>
    </row>
    <row r="249" spans="3:13" x14ac:dyDescent="0.3">
      <c r="C249" s="97"/>
      <c r="D249" s="97"/>
      <c r="E249" s="97"/>
      <c r="F249" s="97"/>
      <c r="G249" s="97"/>
      <c r="H249" s="97"/>
      <c r="I249" s="97"/>
      <c r="J249" s="95"/>
      <c r="K249" s="97"/>
      <c r="L249" s="177"/>
      <c r="M249" s="97"/>
    </row>
    <row r="250" spans="3:13" x14ac:dyDescent="0.3">
      <c r="C250" s="97"/>
      <c r="D250" s="97"/>
      <c r="E250" s="97"/>
      <c r="F250" s="97"/>
      <c r="G250" s="97"/>
      <c r="H250" s="97"/>
      <c r="I250" s="97"/>
      <c r="J250" s="95"/>
      <c r="K250" s="97"/>
      <c r="L250" s="177"/>
      <c r="M250" s="97"/>
    </row>
    <row r="251" spans="3:13" x14ac:dyDescent="0.3">
      <c r="C251" s="97"/>
      <c r="D251" s="97"/>
      <c r="E251" s="97"/>
      <c r="F251" s="97"/>
      <c r="G251" s="97"/>
      <c r="H251" s="97"/>
      <c r="I251" s="97"/>
      <c r="J251" s="95"/>
      <c r="K251" s="97"/>
      <c r="L251" s="177"/>
      <c r="M251" s="97"/>
    </row>
    <row r="252" spans="3:13" x14ac:dyDescent="0.3">
      <c r="C252" s="97"/>
      <c r="D252" s="97"/>
      <c r="E252" s="97"/>
      <c r="F252" s="97"/>
      <c r="G252" s="97"/>
      <c r="H252" s="97"/>
      <c r="I252" s="97"/>
      <c r="J252" s="95"/>
      <c r="K252" s="97"/>
      <c r="L252" s="177"/>
      <c r="M252" s="97"/>
    </row>
    <row r="253" spans="3:13" x14ac:dyDescent="0.3">
      <c r="C253" s="97"/>
      <c r="D253" s="97"/>
      <c r="E253" s="97"/>
      <c r="F253" s="97"/>
      <c r="G253" s="97"/>
      <c r="H253" s="97"/>
      <c r="I253" s="97"/>
      <c r="J253" s="95"/>
      <c r="K253" s="97"/>
      <c r="L253" s="177"/>
      <c r="M253" s="97"/>
    </row>
    <row r="254" spans="3:13" x14ac:dyDescent="0.3">
      <c r="C254" s="97"/>
      <c r="D254" s="97"/>
      <c r="E254" s="97"/>
      <c r="F254" s="97"/>
      <c r="G254" s="97"/>
      <c r="H254" s="97"/>
      <c r="I254" s="97"/>
      <c r="J254" s="95"/>
      <c r="K254" s="97"/>
      <c r="L254" s="177"/>
      <c r="M254" s="97"/>
    </row>
    <row r="255" spans="3:13" x14ac:dyDescent="0.3">
      <c r="C255" s="97"/>
      <c r="D255" s="97"/>
      <c r="E255" s="97"/>
      <c r="F255" s="97"/>
      <c r="G255" s="97"/>
      <c r="H255" s="97"/>
      <c r="I255" s="97"/>
      <c r="J255" s="95"/>
      <c r="K255" s="97"/>
      <c r="L255" s="177"/>
      <c r="M255" s="97"/>
    </row>
    <row r="256" spans="3:13" x14ac:dyDescent="0.3">
      <c r="C256" s="97"/>
      <c r="D256" s="97"/>
      <c r="E256" s="97"/>
      <c r="F256" s="97"/>
      <c r="G256" s="97"/>
      <c r="H256" s="97"/>
      <c r="I256" s="97"/>
      <c r="J256" s="95"/>
      <c r="K256" s="97"/>
      <c r="L256" s="177"/>
      <c r="M256" s="97"/>
    </row>
    <row r="257" spans="3:13" x14ac:dyDescent="0.3">
      <c r="C257" s="97"/>
      <c r="D257" s="97"/>
      <c r="E257" s="97"/>
      <c r="F257" s="97"/>
      <c r="G257" s="97"/>
      <c r="H257" s="97"/>
      <c r="I257" s="97"/>
      <c r="J257" s="95"/>
      <c r="K257" s="97"/>
      <c r="L257" s="177"/>
      <c r="M257" s="97"/>
    </row>
    <row r="258" spans="3:13" x14ac:dyDescent="0.3">
      <c r="C258" s="97"/>
      <c r="D258" s="97"/>
      <c r="E258" s="97"/>
      <c r="F258" s="97"/>
      <c r="G258" s="97"/>
      <c r="H258" s="97"/>
      <c r="I258" s="97"/>
      <c r="J258" s="95"/>
      <c r="K258" s="97"/>
      <c r="L258" s="177"/>
      <c r="M258" s="97"/>
    </row>
    <row r="259" spans="3:13" x14ac:dyDescent="0.3">
      <c r="C259" s="97"/>
      <c r="D259" s="97"/>
      <c r="E259" s="97"/>
      <c r="F259" s="97"/>
      <c r="G259" s="97"/>
      <c r="H259" s="97"/>
      <c r="I259" s="97"/>
      <c r="J259" s="95"/>
      <c r="K259" s="97"/>
      <c r="L259" s="177"/>
      <c r="M259" s="97"/>
    </row>
    <row r="260" spans="3:13" x14ac:dyDescent="0.3">
      <c r="C260" s="97"/>
      <c r="D260" s="97"/>
      <c r="E260" s="97"/>
      <c r="F260" s="97"/>
      <c r="G260" s="97"/>
      <c r="H260" s="97"/>
      <c r="I260" s="97"/>
      <c r="J260" s="95"/>
      <c r="K260" s="97"/>
      <c r="L260" s="177"/>
      <c r="M260" s="97"/>
    </row>
    <row r="261" spans="3:13" x14ac:dyDescent="0.3">
      <c r="C261" s="97"/>
      <c r="D261" s="97"/>
      <c r="E261" s="97"/>
      <c r="F261" s="97"/>
      <c r="G261" s="97"/>
      <c r="H261" s="97"/>
      <c r="I261" s="97"/>
      <c r="J261" s="95"/>
      <c r="K261" s="97"/>
      <c r="L261" s="177"/>
      <c r="M261" s="97"/>
    </row>
    <row r="262" spans="3:13" x14ac:dyDescent="0.3">
      <c r="C262" s="97"/>
      <c r="D262" s="97"/>
      <c r="E262" s="97"/>
      <c r="F262" s="97"/>
      <c r="G262" s="97"/>
      <c r="H262" s="97"/>
      <c r="I262" s="97"/>
      <c r="J262" s="95"/>
      <c r="K262" s="97"/>
      <c r="L262" s="177"/>
      <c r="M262" s="97"/>
    </row>
    <row r="263" spans="3:13" x14ac:dyDescent="0.3">
      <c r="C263" s="97"/>
      <c r="D263" s="97"/>
      <c r="E263" s="97"/>
      <c r="F263" s="97"/>
      <c r="G263" s="97"/>
      <c r="H263" s="97"/>
      <c r="I263" s="97"/>
      <c r="J263" s="95"/>
      <c r="K263" s="97"/>
      <c r="L263" s="177"/>
      <c r="M263" s="97"/>
    </row>
    <row r="264" spans="3:13" x14ac:dyDescent="0.3">
      <c r="C264" s="97"/>
      <c r="D264" s="97"/>
      <c r="E264" s="97"/>
      <c r="F264" s="97"/>
      <c r="G264" s="97"/>
      <c r="H264" s="97"/>
      <c r="I264" s="97"/>
      <c r="J264" s="95"/>
      <c r="K264" s="97"/>
      <c r="L264" s="177"/>
      <c r="M264" s="97"/>
    </row>
    <row r="265" spans="3:13" x14ac:dyDescent="0.3">
      <c r="C265" s="97"/>
      <c r="D265" s="97"/>
      <c r="E265" s="97"/>
      <c r="F265" s="97"/>
      <c r="G265" s="97"/>
      <c r="H265" s="97"/>
      <c r="I265" s="97"/>
      <c r="J265" s="95"/>
      <c r="K265" s="97"/>
      <c r="L265" s="177"/>
      <c r="M265" s="97"/>
    </row>
    <row r="266" spans="3:13" x14ac:dyDescent="0.3">
      <c r="C266" s="97"/>
      <c r="D266" s="97"/>
      <c r="E266" s="97"/>
      <c r="F266" s="97"/>
      <c r="G266" s="97"/>
      <c r="H266" s="97"/>
      <c r="I266" s="97"/>
      <c r="J266" s="95"/>
      <c r="K266" s="97"/>
      <c r="L266" s="177"/>
      <c r="M266" s="97"/>
    </row>
    <row r="267" spans="3:13" x14ac:dyDescent="0.3">
      <c r="C267" s="97"/>
      <c r="D267" s="97"/>
      <c r="E267" s="97"/>
      <c r="F267" s="97"/>
      <c r="G267" s="97"/>
      <c r="H267" s="97"/>
      <c r="I267" s="97"/>
      <c r="J267" s="95"/>
      <c r="K267" s="97"/>
      <c r="L267" s="177"/>
      <c r="M267" s="97"/>
    </row>
    <row r="268" spans="3:13" x14ac:dyDescent="0.3">
      <c r="C268" s="97"/>
      <c r="D268" s="97"/>
      <c r="E268" s="97"/>
      <c r="F268" s="97"/>
      <c r="G268" s="97"/>
      <c r="H268" s="97"/>
      <c r="I268" s="97"/>
      <c r="J268" s="95"/>
      <c r="K268" s="97"/>
      <c r="L268" s="177"/>
      <c r="M268" s="97"/>
    </row>
    <row r="269" spans="3:13" x14ac:dyDescent="0.3">
      <c r="C269" s="97"/>
      <c r="D269" s="97"/>
      <c r="E269" s="97"/>
      <c r="F269" s="97"/>
      <c r="G269" s="97"/>
      <c r="H269" s="97"/>
      <c r="I269" s="97"/>
      <c r="J269" s="95"/>
      <c r="K269" s="97"/>
      <c r="L269" s="177"/>
      <c r="M269" s="97"/>
    </row>
    <row r="270" spans="3:13" x14ac:dyDescent="0.3">
      <c r="C270" s="97"/>
      <c r="D270" s="97"/>
      <c r="E270" s="97"/>
      <c r="F270" s="97"/>
      <c r="G270" s="97"/>
      <c r="H270" s="97"/>
      <c r="I270" s="97"/>
      <c r="J270" s="95"/>
      <c r="K270" s="97"/>
      <c r="L270" s="177"/>
      <c r="M270" s="97"/>
    </row>
    <row r="271" spans="3:13" x14ac:dyDescent="0.3">
      <c r="C271" s="97"/>
      <c r="D271" s="97"/>
      <c r="E271" s="97"/>
      <c r="F271" s="97"/>
      <c r="G271" s="97"/>
      <c r="H271" s="97"/>
      <c r="I271" s="97"/>
      <c r="J271" s="95"/>
      <c r="K271" s="97"/>
      <c r="L271" s="177"/>
      <c r="M271" s="97"/>
    </row>
    <row r="272" spans="3:13" x14ac:dyDescent="0.3">
      <c r="C272" s="97"/>
      <c r="D272" s="97"/>
      <c r="E272" s="97"/>
      <c r="F272" s="97"/>
      <c r="G272" s="97"/>
      <c r="H272" s="97"/>
      <c r="I272" s="97"/>
      <c r="J272" s="95"/>
      <c r="K272" s="97"/>
      <c r="L272" s="177"/>
      <c r="M272" s="97"/>
    </row>
    <row r="273" spans="3:13" x14ac:dyDescent="0.3">
      <c r="C273" s="97"/>
      <c r="D273" s="97"/>
      <c r="E273" s="97"/>
      <c r="F273" s="97"/>
      <c r="G273" s="97"/>
      <c r="H273" s="97"/>
      <c r="I273" s="97"/>
      <c r="J273" s="95"/>
      <c r="K273" s="97"/>
      <c r="L273" s="177"/>
      <c r="M273" s="97"/>
    </row>
    <row r="274" spans="3:13" x14ac:dyDescent="0.3">
      <c r="C274" s="97"/>
      <c r="D274" s="97"/>
      <c r="E274" s="97"/>
      <c r="F274" s="97"/>
      <c r="G274" s="97"/>
      <c r="H274" s="97"/>
      <c r="I274" s="97"/>
      <c r="J274" s="95"/>
      <c r="K274" s="97"/>
      <c r="L274" s="177"/>
      <c r="M274" s="97"/>
    </row>
    <row r="275" spans="3:13" x14ac:dyDescent="0.3">
      <c r="C275" s="97"/>
      <c r="D275" s="97"/>
      <c r="E275" s="97"/>
      <c r="F275" s="97"/>
      <c r="G275" s="97"/>
      <c r="H275" s="97"/>
      <c r="I275" s="97"/>
      <c r="J275" s="95"/>
      <c r="K275" s="97"/>
      <c r="L275" s="177"/>
      <c r="M275" s="97"/>
    </row>
    <row r="276" spans="3:13" x14ac:dyDescent="0.3">
      <c r="C276" s="97"/>
      <c r="D276" s="97"/>
      <c r="E276" s="97"/>
      <c r="F276" s="97"/>
      <c r="G276" s="97"/>
      <c r="H276" s="97"/>
      <c r="I276" s="97"/>
      <c r="J276" s="95"/>
      <c r="K276" s="97"/>
      <c r="L276" s="177"/>
      <c r="M276" s="97"/>
    </row>
    <row r="277" spans="3:13" x14ac:dyDescent="0.3">
      <c r="C277" s="97"/>
      <c r="D277" s="97"/>
      <c r="E277" s="97"/>
      <c r="F277" s="97"/>
      <c r="G277" s="97"/>
      <c r="H277" s="97"/>
      <c r="I277" s="97"/>
      <c r="J277" s="95"/>
      <c r="K277" s="97"/>
      <c r="L277" s="177"/>
      <c r="M277" s="97"/>
    </row>
    <row r="278" spans="3:13" x14ac:dyDescent="0.3">
      <c r="C278" s="97"/>
      <c r="D278" s="97"/>
      <c r="E278" s="97"/>
      <c r="F278" s="97"/>
      <c r="G278" s="97"/>
      <c r="H278" s="97"/>
      <c r="I278" s="97"/>
      <c r="J278" s="95"/>
      <c r="K278" s="97"/>
      <c r="L278" s="177"/>
      <c r="M278" s="97"/>
    </row>
    <row r="279" spans="3:13" x14ac:dyDescent="0.3">
      <c r="C279" s="97"/>
      <c r="D279" s="97"/>
      <c r="E279" s="97"/>
      <c r="F279" s="97"/>
      <c r="G279" s="97"/>
      <c r="H279" s="97"/>
      <c r="I279" s="97"/>
      <c r="J279" s="95"/>
      <c r="K279" s="97"/>
      <c r="L279" s="177"/>
      <c r="M279" s="97"/>
    </row>
    <row r="280" spans="3:13" x14ac:dyDescent="0.3">
      <c r="C280" s="97"/>
      <c r="D280" s="97"/>
      <c r="E280" s="97"/>
      <c r="F280" s="97"/>
      <c r="G280" s="97"/>
      <c r="H280" s="97"/>
      <c r="I280" s="97"/>
      <c r="J280" s="95"/>
      <c r="K280" s="97"/>
      <c r="L280" s="177"/>
      <c r="M280" s="97"/>
    </row>
    <row r="281" spans="3:13" x14ac:dyDescent="0.3">
      <c r="C281" s="97"/>
      <c r="D281" s="97"/>
      <c r="E281" s="97"/>
      <c r="F281" s="97"/>
      <c r="G281" s="97"/>
      <c r="H281" s="97"/>
      <c r="I281" s="97"/>
      <c r="J281" s="95"/>
      <c r="K281" s="97"/>
      <c r="L281" s="177"/>
      <c r="M281" s="97"/>
    </row>
    <row r="282" spans="3:13" x14ac:dyDescent="0.3">
      <c r="C282" s="97"/>
      <c r="D282" s="97"/>
      <c r="E282" s="97"/>
      <c r="F282" s="97"/>
      <c r="G282" s="97"/>
      <c r="H282" s="97"/>
      <c r="I282" s="97"/>
      <c r="J282" s="95"/>
      <c r="K282" s="97"/>
      <c r="L282" s="177"/>
      <c r="M282" s="97"/>
    </row>
    <row r="283" spans="3:13" x14ac:dyDescent="0.3">
      <c r="C283" s="97"/>
      <c r="D283" s="97"/>
      <c r="E283" s="97"/>
      <c r="F283" s="97"/>
      <c r="G283" s="97"/>
      <c r="H283" s="97"/>
      <c r="I283" s="97"/>
      <c r="J283" s="95"/>
      <c r="K283" s="97"/>
      <c r="L283" s="177"/>
      <c r="M283" s="97"/>
    </row>
    <row r="284" spans="3:13" x14ac:dyDescent="0.3">
      <c r="C284" s="97"/>
      <c r="D284" s="97"/>
      <c r="E284" s="97"/>
      <c r="F284" s="97"/>
      <c r="G284" s="97"/>
      <c r="H284" s="97"/>
      <c r="I284" s="97"/>
      <c r="J284" s="95"/>
      <c r="K284" s="97"/>
      <c r="L284" s="177"/>
      <c r="M284" s="97"/>
    </row>
    <row r="285" spans="3:13" x14ac:dyDescent="0.3">
      <c r="C285" s="97"/>
      <c r="D285" s="97"/>
      <c r="E285" s="97"/>
      <c r="F285" s="97"/>
      <c r="G285" s="97"/>
      <c r="H285" s="97"/>
      <c r="I285" s="97"/>
      <c r="J285" s="95"/>
      <c r="K285" s="97"/>
      <c r="L285" s="177"/>
      <c r="M285" s="97"/>
    </row>
    <row r="286" spans="3:13" x14ac:dyDescent="0.3">
      <c r="C286" s="97"/>
      <c r="D286" s="97"/>
      <c r="E286" s="97"/>
      <c r="F286" s="97"/>
      <c r="G286" s="97"/>
      <c r="H286" s="97"/>
      <c r="I286" s="97"/>
      <c r="J286" s="95"/>
      <c r="K286" s="97"/>
      <c r="L286" s="177"/>
      <c r="M286" s="97"/>
    </row>
    <row r="287" spans="3:13" x14ac:dyDescent="0.3">
      <c r="C287" s="97"/>
      <c r="D287" s="97"/>
      <c r="E287" s="97"/>
      <c r="F287" s="97"/>
      <c r="G287" s="97"/>
      <c r="H287" s="97"/>
      <c r="I287" s="97"/>
      <c r="J287" s="95"/>
      <c r="K287" s="97"/>
      <c r="L287" s="177"/>
      <c r="M287" s="97"/>
    </row>
    <row r="288" spans="3:13" x14ac:dyDescent="0.3">
      <c r="C288" s="97"/>
      <c r="D288" s="97"/>
      <c r="E288" s="97"/>
      <c r="F288" s="97"/>
      <c r="G288" s="97"/>
      <c r="H288" s="97"/>
      <c r="I288" s="97"/>
      <c r="J288" s="95"/>
      <c r="K288" s="97"/>
      <c r="L288" s="177"/>
      <c r="M288" s="97"/>
    </row>
    <row r="289" spans="3:13" x14ac:dyDescent="0.3">
      <c r="C289" s="97"/>
      <c r="D289" s="97"/>
      <c r="E289" s="97"/>
      <c r="F289" s="97"/>
      <c r="G289" s="97"/>
      <c r="H289" s="97"/>
      <c r="I289" s="97"/>
      <c r="J289" s="95"/>
      <c r="K289" s="97"/>
      <c r="L289" s="177"/>
      <c r="M289" s="97"/>
    </row>
    <row r="290" spans="3:13" x14ac:dyDescent="0.3">
      <c r="C290" s="97"/>
      <c r="D290" s="97"/>
      <c r="E290" s="97"/>
      <c r="F290" s="97"/>
      <c r="G290" s="97"/>
      <c r="H290" s="97"/>
      <c r="I290" s="97"/>
      <c r="J290" s="95"/>
      <c r="K290" s="97"/>
      <c r="L290" s="177"/>
      <c r="M290" s="97"/>
    </row>
    <row r="291" spans="3:13" x14ac:dyDescent="0.3">
      <c r="C291" s="97"/>
      <c r="D291" s="97"/>
      <c r="E291" s="97"/>
      <c r="F291" s="97"/>
      <c r="G291" s="97"/>
      <c r="H291" s="97"/>
      <c r="I291" s="97"/>
      <c r="J291" s="95"/>
      <c r="K291" s="97"/>
      <c r="L291" s="177"/>
      <c r="M291" s="97"/>
    </row>
    <row r="292" spans="3:13" x14ac:dyDescent="0.3">
      <c r="C292" s="97"/>
      <c r="D292" s="97"/>
      <c r="E292" s="97"/>
      <c r="F292" s="97"/>
      <c r="G292" s="97"/>
      <c r="H292" s="97"/>
      <c r="I292" s="97"/>
      <c r="J292" s="95"/>
      <c r="K292" s="97"/>
      <c r="L292" s="177"/>
      <c r="M292" s="97"/>
    </row>
    <row r="293" spans="3:13" x14ac:dyDescent="0.3">
      <c r="C293" s="97"/>
      <c r="D293" s="97"/>
      <c r="E293" s="97"/>
      <c r="F293" s="97"/>
      <c r="G293" s="97"/>
      <c r="H293" s="97"/>
      <c r="I293" s="97"/>
      <c r="J293" s="95"/>
      <c r="K293" s="97"/>
      <c r="L293" s="177"/>
      <c r="M293" s="97"/>
    </row>
    <row r="294" spans="3:13" x14ac:dyDescent="0.3">
      <c r="C294" s="97"/>
      <c r="D294" s="97"/>
      <c r="E294" s="97"/>
      <c r="F294" s="97"/>
      <c r="G294" s="97"/>
      <c r="H294" s="97"/>
      <c r="I294" s="97"/>
      <c r="J294" s="95"/>
      <c r="K294" s="97"/>
      <c r="L294" s="177"/>
      <c r="M294" s="97"/>
    </row>
    <row r="295" spans="3:13" x14ac:dyDescent="0.3">
      <c r="C295" s="97"/>
      <c r="D295" s="97"/>
      <c r="E295" s="97"/>
      <c r="F295" s="97"/>
      <c r="G295" s="97"/>
      <c r="H295" s="97"/>
      <c r="I295" s="97"/>
      <c r="J295" s="95"/>
      <c r="K295" s="97"/>
      <c r="L295" s="177"/>
      <c r="M295" s="97"/>
    </row>
    <row r="296" spans="3:13" x14ac:dyDescent="0.3">
      <c r="C296" s="97"/>
      <c r="D296" s="97"/>
      <c r="E296" s="97"/>
      <c r="F296" s="97"/>
      <c r="G296" s="97"/>
      <c r="H296" s="97"/>
      <c r="I296" s="97"/>
      <c r="J296" s="95"/>
      <c r="K296" s="97"/>
      <c r="L296" s="177"/>
      <c r="M296" s="97"/>
    </row>
    <row r="297" spans="3:13" x14ac:dyDescent="0.3">
      <c r="C297" s="97"/>
      <c r="D297" s="97"/>
      <c r="E297" s="97"/>
      <c r="F297" s="97"/>
      <c r="G297" s="97"/>
      <c r="H297" s="97"/>
      <c r="I297" s="97"/>
      <c r="J297" s="95"/>
      <c r="K297" s="97"/>
      <c r="L297" s="177"/>
      <c r="M297" s="97"/>
    </row>
    <row r="298" spans="3:13" x14ac:dyDescent="0.3">
      <c r="C298" s="97"/>
      <c r="D298" s="97"/>
      <c r="E298" s="97"/>
      <c r="F298" s="97"/>
      <c r="G298" s="97"/>
      <c r="H298" s="97"/>
      <c r="I298" s="97"/>
      <c r="J298" s="95"/>
      <c r="K298" s="97"/>
      <c r="L298" s="177"/>
      <c r="M298" s="97"/>
    </row>
    <row r="299" spans="3:13" x14ac:dyDescent="0.3">
      <c r="C299" s="97"/>
      <c r="D299" s="97"/>
      <c r="E299" s="97"/>
      <c r="F299" s="97"/>
      <c r="G299" s="97"/>
      <c r="H299" s="97"/>
      <c r="I299" s="97"/>
      <c r="J299" s="95"/>
      <c r="K299" s="97"/>
      <c r="L299" s="177"/>
      <c r="M299" s="97"/>
    </row>
    <row r="300" spans="3:13" x14ac:dyDescent="0.3">
      <c r="J300" s="95"/>
    </row>
    <row r="301" spans="3:13" x14ac:dyDescent="0.3">
      <c r="J301" s="95"/>
    </row>
    <row r="302" spans="3:13" x14ac:dyDescent="0.3">
      <c r="J302" s="95"/>
    </row>
    <row r="303" spans="3:13" x14ac:dyDescent="0.3">
      <c r="J303" s="95"/>
    </row>
    <row r="304" spans="3:13" x14ac:dyDescent="0.3">
      <c r="J304" s="95"/>
    </row>
    <row r="305" spans="10:10" x14ac:dyDescent="0.3">
      <c r="J305" s="95"/>
    </row>
    <row r="306" spans="10:10" x14ac:dyDescent="0.3">
      <c r="J306" s="95"/>
    </row>
    <row r="307" spans="10:10" x14ac:dyDescent="0.3">
      <c r="J307" s="95"/>
    </row>
    <row r="308" spans="10:10" x14ac:dyDescent="0.3">
      <c r="J308" s="95"/>
    </row>
    <row r="309" spans="10:10" x14ac:dyDescent="0.3">
      <c r="J309" s="95"/>
    </row>
    <row r="310" spans="10:10" x14ac:dyDescent="0.3">
      <c r="J310" s="95"/>
    </row>
    <row r="311" spans="10:10" x14ac:dyDescent="0.3">
      <c r="J311" s="95"/>
    </row>
    <row r="312" spans="10:10" x14ac:dyDescent="0.3">
      <c r="J312" s="95"/>
    </row>
    <row r="313" spans="10:10" x14ac:dyDescent="0.3">
      <c r="J313" s="95"/>
    </row>
    <row r="314" spans="10:10" x14ac:dyDescent="0.3">
      <c r="J314" s="95"/>
    </row>
    <row r="315" spans="10:10" x14ac:dyDescent="0.3">
      <c r="J315" s="95"/>
    </row>
    <row r="316" spans="10:10" x14ac:dyDescent="0.3">
      <c r="J316" s="95"/>
    </row>
    <row r="317" spans="10:10" x14ac:dyDescent="0.3">
      <c r="J317" s="95"/>
    </row>
    <row r="318" spans="10:10" x14ac:dyDescent="0.3">
      <c r="J318" s="95"/>
    </row>
    <row r="319" spans="10:10" x14ac:dyDescent="0.3">
      <c r="J319" s="95"/>
    </row>
    <row r="320" spans="10:10" x14ac:dyDescent="0.3">
      <c r="J320" s="95"/>
    </row>
    <row r="321" spans="10:10" x14ac:dyDescent="0.3">
      <c r="J321" s="95"/>
    </row>
    <row r="322" spans="10:10" x14ac:dyDescent="0.3">
      <c r="J322" s="95"/>
    </row>
    <row r="323" spans="10:10" x14ac:dyDescent="0.3">
      <c r="J323" s="95"/>
    </row>
    <row r="324" spans="10:10" x14ac:dyDescent="0.3">
      <c r="J324" s="95"/>
    </row>
    <row r="325" spans="10:10" x14ac:dyDescent="0.3">
      <c r="J325" s="95"/>
    </row>
    <row r="326" spans="10:10" x14ac:dyDescent="0.3">
      <c r="J326" s="95"/>
    </row>
    <row r="327" spans="10:10" x14ac:dyDescent="0.3">
      <c r="J327" s="95"/>
    </row>
    <row r="328" spans="10:10" x14ac:dyDescent="0.3">
      <c r="J328" s="95"/>
    </row>
    <row r="329" spans="10:10" x14ac:dyDescent="0.3">
      <c r="J329" s="95"/>
    </row>
    <row r="330" spans="10:10" x14ac:dyDescent="0.3">
      <c r="J330" s="95"/>
    </row>
    <row r="331" spans="10:10" x14ac:dyDescent="0.3">
      <c r="J331" s="95"/>
    </row>
    <row r="332" spans="10:10" x14ac:dyDescent="0.3">
      <c r="J332" s="95"/>
    </row>
    <row r="333" spans="10:10" x14ac:dyDescent="0.3">
      <c r="J333" s="95"/>
    </row>
    <row r="334" spans="10:10" x14ac:dyDescent="0.3">
      <c r="J334" s="95"/>
    </row>
    <row r="335" spans="10:10" x14ac:dyDescent="0.3">
      <c r="J335" s="95"/>
    </row>
    <row r="336" spans="10:10" x14ac:dyDescent="0.3">
      <c r="J336" s="95"/>
    </row>
    <row r="337" spans="10:10" x14ac:dyDescent="0.3">
      <c r="J337" s="95"/>
    </row>
    <row r="338" spans="10:10" x14ac:dyDescent="0.3">
      <c r="J338" s="95"/>
    </row>
    <row r="339" spans="10:10" x14ac:dyDescent="0.3">
      <c r="J339" s="95"/>
    </row>
    <row r="340" spans="10:10" x14ac:dyDescent="0.3">
      <c r="J340" s="95"/>
    </row>
    <row r="341" spans="10:10" x14ac:dyDescent="0.3">
      <c r="J341" s="95"/>
    </row>
    <row r="342" spans="10:10" x14ac:dyDescent="0.3">
      <c r="J342" s="95"/>
    </row>
    <row r="343" spans="10:10" x14ac:dyDescent="0.3">
      <c r="J343" s="95"/>
    </row>
    <row r="344" spans="10:10" x14ac:dyDescent="0.3">
      <c r="J344" s="95"/>
    </row>
    <row r="345" spans="10:10" x14ac:dyDescent="0.3">
      <c r="J345" s="95"/>
    </row>
    <row r="346" spans="10:10" x14ac:dyDescent="0.3">
      <c r="J346" s="95"/>
    </row>
    <row r="347" spans="10:10" x14ac:dyDescent="0.3">
      <c r="J347" s="95"/>
    </row>
    <row r="348" spans="10:10" x14ac:dyDescent="0.3">
      <c r="J348" s="95"/>
    </row>
    <row r="349" spans="10:10" x14ac:dyDescent="0.3">
      <c r="J349" s="95"/>
    </row>
    <row r="350" spans="10:10" x14ac:dyDescent="0.3">
      <c r="J350" s="95"/>
    </row>
    <row r="351" spans="10:10" x14ac:dyDescent="0.3">
      <c r="J351" s="95"/>
    </row>
    <row r="352" spans="10:10" x14ac:dyDescent="0.3">
      <c r="J352" s="95"/>
    </row>
    <row r="353" spans="10:10" x14ac:dyDescent="0.3">
      <c r="J353" s="95"/>
    </row>
    <row r="354" spans="10:10" x14ac:dyDescent="0.3">
      <c r="J354" s="95"/>
    </row>
    <row r="355" spans="10:10" x14ac:dyDescent="0.3">
      <c r="J355" s="95"/>
    </row>
    <row r="356" spans="10:10" x14ac:dyDescent="0.3">
      <c r="J356" s="95"/>
    </row>
    <row r="357" spans="10:10" x14ac:dyDescent="0.3">
      <c r="J357" s="95"/>
    </row>
    <row r="358" spans="10:10" x14ac:dyDescent="0.3">
      <c r="J358" s="95"/>
    </row>
    <row r="359" spans="10:10" x14ac:dyDescent="0.3">
      <c r="J359" s="95"/>
    </row>
    <row r="360" spans="10:10" x14ac:dyDescent="0.3">
      <c r="J360" s="95"/>
    </row>
    <row r="361" spans="10:10" x14ac:dyDescent="0.3">
      <c r="J361" s="95"/>
    </row>
    <row r="362" spans="10:10" x14ac:dyDescent="0.3">
      <c r="J362" s="95"/>
    </row>
    <row r="363" spans="10:10" x14ac:dyDescent="0.3">
      <c r="J363" s="95"/>
    </row>
    <row r="364" spans="10:10" x14ac:dyDescent="0.3">
      <c r="J364" s="95"/>
    </row>
    <row r="365" spans="10:10" x14ac:dyDescent="0.3">
      <c r="J365" s="95"/>
    </row>
    <row r="366" spans="10:10" x14ac:dyDescent="0.3">
      <c r="J366" s="95"/>
    </row>
    <row r="367" spans="10:10" x14ac:dyDescent="0.3">
      <c r="J367" s="95"/>
    </row>
    <row r="368" spans="10:10" x14ac:dyDescent="0.3">
      <c r="J368" s="95"/>
    </row>
    <row r="369" spans="10:10" x14ac:dyDescent="0.3">
      <c r="J369" s="95"/>
    </row>
    <row r="370" spans="10:10" x14ac:dyDescent="0.3">
      <c r="J370" s="95"/>
    </row>
    <row r="371" spans="10:10" x14ac:dyDescent="0.3">
      <c r="J371" s="95"/>
    </row>
    <row r="372" spans="10:10" x14ac:dyDescent="0.3">
      <c r="J372" s="95"/>
    </row>
    <row r="373" spans="10:10" x14ac:dyDescent="0.3">
      <c r="J373" s="95"/>
    </row>
    <row r="374" spans="10:10" x14ac:dyDescent="0.3">
      <c r="J374" s="95"/>
    </row>
    <row r="375" spans="10:10" x14ac:dyDescent="0.3">
      <c r="J375" s="95"/>
    </row>
    <row r="376" spans="10:10" x14ac:dyDescent="0.3">
      <c r="J376" s="95"/>
    </row>
    <row r="377" spans="10:10" x14ac:dyDescent="0.3">
      <c r="J377" s="95"/>
    </row>
    <row r="378" spans="10:10" x14ac:dyDescent="0.3">
      <c r="J378" s="95"/>
    </row>
    <row r="379" spans="10:10" x14ac:dyDescent="0.3">
      <c r="J379" s="95"/>
    </row>
    <row r="380" spans="10:10" x14ac:dyDescent="0.3">
      <c r="J380" s="95"/>
    </row>
    <row r="381" spans="10:10" x14ac:dyDescent="0.3">
      <c r="J381" s="95"/>
    </row>
    <row r="382" spans="10:10" x14ac:dyDescent="0.3">
      <c r="J382" s="95"/>
    </row>
    <row r="383" spans="10:10" x14ac:dyDescent="0.3">
      <c r="J383" s="95"/>
    </row>
    <row r="384" spans="10:10" x14ac:dyDescent="0.3">
      <c r="J384" s="95"/>
    </row>
    <row r="385" spans="10:10" x14ac:dyDescent="0.3">
      <c r="J385" s="95"/>
    </row>
    <row r="386" spans="10:10" x14ac:dyDescent="0.3">
      <c r="J386" s="95"/>
    </row>
    <row r="387" spans="10:10" x14ac:dyDescent="0.3">
      <c r="J387" s="95"/>
    </row>
    <row r="388" spans="10:10" x14ac:dyDescent="0.3">
      <c r="J388" s="95"/>
    </row>
    <row r="389" spans="10:10" x14ac:dyDescent="0.3">
      <c r="J389" s="95"/>
    </row>
    <row r="390" spans="10:10" x14ac:dyDescent="0.3">
      <c r="J390" s="95"/>
    </row>
    <row r="391" spans="10:10" x14ac:dyDescent="0.3">
      <c r="J391" s="95"/>
    </row>
    <row r="392" spans="10:10" x14ac:dyDescent="0.3">
      <c r="J392" s="95"/>
    </row>
    <row r="393" spans="10:10" x14ac:dyDescent="0.3">
      <c r="J393" s="95"/>
    </row>
    <row r="394" spans="10:10" x14ac:dyDescent="0.3">
      <c r="J394" s="95"/>
    </row>
    <row r="395" spans="10:10" x14ac:dyDescent="0.3">
      <c r="J395" s="95"/>
    </row>
    <row r="396" spans="10:10" x14ac:dyDescent="0.3">
      <c r="J396" s="95"/>
    </row>
    <row r="397" spans="10:10" x14ac:dyDescent="0.3">
      <c r="J397" s="95"/>
    </row>
    <row r="398" spans="10:10" x14ac:dyDescent="0.3">
      <c r="J398" s="95"/>
    </row>
    <row r="399" spans="10:10" x14ac:dyDescent="0.3">
      <c r="J399" s="95"/>
    </row>
    <row r="400" spans="10:10" x14ac:dyDescent="0.3">
      <c r="J400" s="95"/>
    </row>
    <row r="401" spans="10:10" x14ac:dyDescent="0.3">
      <c r="J401" s="95"/>
    </row>
    <row r="402" spans="10:10" x14ac:dyDescent="0.3">
      <c r="J402" s="95"/>
    </row>
    <row r="403" spans="10:10" x14ac:dyDescent="0.3">
      <c r="J403" s="95"/>
    </row>
    <row r="404" spans="10:10" x14ac:dyDescent="0.3">
      <c r="J404" s="95"/>
    </row>
    <row r="405" spans="10:10" x14ac:dyDescent="0.3">
      <c r="J405" s="95"/>
    </row>
    <row r="406" spans="10:10" x14ac:dyDescent="0.3">
      <c r="J406" s="95"/>
    </row>
    <row r="407" spans="10:10" x14ac:dyDescent="0.3">
      <c r="J407" s="95"/>
    </row>
    <row r="408" spans="10:10" x14ac:dyDescent="0.3">
      <c r="J408" s="95"/>
    </row>
    <row r="409" spans="10:10" x14ac:dyDescent="0.3">
      <c r="J409" s="95"/>
    </row>
    <row r="410" spans="10:10" x14ac:dyDescent="0.3">
      <c r="J410" s="95"/>
    </row>
    <row r="411" spans="10:10" x14ac:dyDescent="0.3">
      <c r="J411" s="95"/>
    </row>
    <row r="412" spans="10:10" x14ac:dyDescent="0.3">
      <c r="J412" s="95"/>
    </row>
    <row r="413" spans="10:10" x14ac:dyDescent="0.3">
      <c r="J413" s="95"/>
    </row>
    <row r="414" spans="10:10" x14ac:dyDescent="0.3">
      <c r="J414" s="95"/>
    </row>
    <row r="415" spans="10:10" x14ac:dyDescent="0.3">
      <c r="J415" s="95"/>
    </row>
    <row r="416" spans="10:10" x14ac:dyDescent="0.3">
      <c r="J416" s="95"/>
    </row>
    <row r="417" spans="10:10" x14ac:dyDescent="0.3">
      <c r="J417" s="95"/>
    </row>
    <row r="418" spans="10:10" x14ac:dyDescent="0.3">
      <c r="J418" s="95"/>
    </row>
    <row r="419" spans="10:10" x14ac:dyDescent="0.3">
      <c r="J419" s="95"/>
    </row>
    <row r="420" spans="10:10" x14ac:dyDescent="0.3">
      <c r="J420" s="95"/>
    </row>
    <row r="421" spans="10:10" x14ac:dyDescent="0.3">
      <c r="J421" s="95"/>
    </row>
    <row r="422" spans="10:10" x14ac:dyDescent="0.3">
      <c r="J422" s="95"/>
    </row>
    <row r="423" spans="10:10" x14ac:dyDescent="0.3">
      <c r="J423" s="95"/>
    </row>
    <row r="424" spans="10:10" x14ac:dyDescent="0.3">
      <c r="J424" s="95"/>
    </row>
    <row r="425" spans="10:10" x14ac:dyDescent="0.3">
      <c r="J425" s="95"/>
    </row>
    <row r="426" spans="10:10" x14ac:dyDescent="0.3">
      <c r="J426" s="95"/>
    </row>
    <row r="427" spans="10:10" x14ac:dyDescent="0.3">
      <c r="J427" s="95"/>
    </row>
    <row r="428" spans="10:10" x14ac:dyDescent="0.3">
      <c r="J428" s="95"/>
    </row>
    <row r="429" spans="10:10" x14ac:dyDescent="0.3">
      <c r="J429" s="95"/>
    </row>
    <row r="430" spans="10:10" x14ac:dyDescent="0.3">
      <c r="J430" s="95"/>
    </row>
    <row r="431" spans="10:10" x14ac:dyDescent="0.3">
      <c r="J431" s="95"/>
    </row>
    <row r="432" spans="10:10" x14ac:dyDescent="0.3">
      <c r="J432" s="95"/>
    </row>
    <row r="433" spans="10:10" x14ac:dyDescent="0.3">
      <c r="J433" s="95"/>
    </row>
    <row r="434" spans="10:10" x14ac:dyDescent="0.3">
      <c r="J434" s="95"/>
    </row>
    <row r="435" spans="10:10" x14ac:dyDescent="0.3">
      <c r="J435" s="95"/>
    </row>
    <row r="436" spans="10:10" x14ac:dyDescent="0.3">
      <c r="J436" s="95"/>
    </row>
    <row r="437" spans="10:10" x14ac:dyDescent="0.3">
      <c r="J437" s="95"/>
    </row>
    <row r="438" spans="10:10" x14ac:dyDescent="0.3">
      <c r="J438" s="95"/>
    </row>
    <row r="439" spans="10:10" x14ac:dyDescent="0.3">
      <c r="J439" s="95"/>
    </row>
    <row r="440" spans="10:10" x14ac:dyDescent="0.3">
      <c r="J440" s="95"/>
    </row>
    <row r="441" spans="10:10" x14ac:dyDescent="0.3">
      <c r="J441" s="95"/>
    </row>
    <row r="442" spans="10:10" x14ac:dyDescent="0.3">
      <c r="J442" s="95"/>
    </row>
    <row r="443" spans="10:10" x14ac:dyDescent="0.3">
      <c r="J443" s="95"/>
    </row>
    <row r="444" spans="10:10" x14ac:dyDescent="0.3">
      <c r="J444" s="95"/>
    </row>
    <row r="445" spans="10:10" x14ac:dyDescent="0.3">
      <c r="J445" s="95"/>
    </row>
    <row r="446" spans="10:10" x14ac:dyDescent="0.3">
      <c r="J446" s="95"/>
    </row>
    <row r="447" spans="10:10" x14ac:dyDescent="0.3">
      <c r="J447" s="95"/>
    </row>
    <row r="448" spans="10:10" x14ac:dyDescent="0.3">
      <c r="J448" s="95"/>
    </row>
    <row r="449" spans="10:10" x14ac:dyDescent="0.3">
      <c r="J449" s="95"/>
    </row>
    <row r="450" spans="10:10" x14ac:dyDescent="0.3">
      <c r="J450" s="95"/>
    </row>
    <row r="451" spans="10:10" x14ac:dyDescent="0.3">
      <c r="J451" s="95"/>
    </row>
    <row r="452" spans="10:10" x14ac:dyDescent="0.3">
      <c r="J452" s="95"/>
    </row>
    <row r="453" spans="10:10" x14ac:dyDescent="0.3">
      <c r="J453" s="95"/>
    </row>
    <row r="454" spans="10:10" x14ac:dyDescent="0.3">
      <c r="J454" s="95"/>
    </row>
    <row r="455" spans="10:10" x14ac:dyDescent="0.3">
      <c r="J455" s="95"/>
    </row>
    <row r="456" spans="10:10" x14ac:dyDescent="0.3">
      <c r="J456" s="95"/>
    </row>
    <row r="457" spans="10:10" x14ac:dyDescent="0.3">
      <c r="J457" s="95"/>
    </row>
  </sheetData>
  <mergeCells count="11">
    <mergeCell ref="M8:M9"/>
    <mergeCell ref="K1:M1"/>
    <mergeCell ref="K2:M2"/>
    <mergeCell ref="K3:M3"/>
    <mergeCell ref="A5:M5"/>
    <mergeCell ref="A6:M6"/>
    <mergeCell ref="A8:A9"/>
    <mergeCell ref="B8:B9"/>
    <mergeCell ref="C8:J8"/>
    <mergeCell ref="K8:K9"/>
    <mergeCell ref="L8:L9"/>
  </mergeCells>
  <printOptions horizontalCentered="1"/>
  <pageMargins left="0.78740157480314965" right="0.39370078740157483" top="0.39370078740157483" bottom="0.39370078740157483" header="0.51181102362204722" footer="0.51181102362204722"/>
  <pageSetup paperSize="9" scale="6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прил 1</vt:lpstr>
      <vt:lpstr>прил2</vt:lpstr>
      <vt:lpstr>прил3</vt:lpstr>
      <vt:lpstr>прил4</vt:lpstr>
      <vt:lpstr>'прил 1'!Заголовки_для_печати</vt:lpstr>
      <vt:lpstr>прил2!Заголовки_для_печати</vt:lpstr>
      <vt:lpstr>прил3!Заголовки_для_печати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SNEG</dc:creator>
  <cp:lastModifiedBy>Николаев</cp:lastModifiedBy>
  <cp:lastPrinted>2017-03-23T11:09:20Z</cp:lastPrinted>
  <dcterms:created xsi:type="dcterms:W3CDTF">2003-08-14T15:25:08Z</dcterms:created>
  <dcterms:modified xsi:type="dcterms:W3CDTF">2017-06-21T05:56:00Z</dcterms:modified>
</cp:coreProperties>
</file>