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5480" windowHeight="11580" tabRatio="905" activeTab="16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>
    <definedName name="_xlnm.Print_Area" localSheetId="7">'таб 2(4)'!$A$1:$I$21</definedName>
  </definedNames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9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<sst xmlns="http://schemas.openxmlformats.org/spreadsheetml/2006/main" count="1296" uniqueCount="289">
  <si>
    <t>Предоставление дополнительного образования детям в муниципальных образовательных учреждениях</t>
  </si>
  <si>
    <t>2.7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</si>
  <si>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</si>
  <si>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</si>
  <si>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</si>
  <si>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</si>
  <si>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</si>
  <si>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</si>
  <si>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</si>
  <si>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</si>
  <si>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</si>
  <si>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</si>
  <si>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</si>
  <si>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</si>
  <si>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</si>
  <si>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</si>
  <si>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</si>
  <si>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</si>
  <si>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</si>
  <si>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</si>
  <si>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</si>
  <si>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</si>
  <si>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</si>
  <si>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</si>
  <si>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</si>
  <si>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</si>
  <si>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</si>
  <si>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</si>
  <si>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</si>
  <si>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</si>
  <si>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</si>
  <si>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</si>
  <si>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</si>
  <si>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</si>
  <si>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</si>
  <si>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</si>
  <si>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</si>
  <si>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</si>
  <si>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</si>
  <si>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</si>
  <si>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</si>
  <si>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</si>
  <si>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</si>
  <si>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</si>
  <si>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</si>
  <si>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</si>
  <si>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</si>
  <si>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</si>
  <si>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</si>
  <si>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</si>
  <si>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</si>
  <si>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</si>
  <si>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</si>
  <si>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</si>
  <si>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</si>
  <si>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</si>
  <si>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</si>
  <si>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</si>
  <si>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</si>
  <si>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</si>
  <si>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</si>
  <si>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</si>
  <si>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</si>
  <si>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</si>
  <si>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</si>
  <si>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</si>
  <si>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</si>
  <si>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</si>
  <si>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</si>
  <si>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</si>
  <si>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</si>
  <si>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</si>
  <si>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</si>
  <si>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</si>
  <si>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</si>
  <si>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</si>
  <si>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</si>
  <si>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</si>
  <si>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</si>
  <si>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</si>
  <si>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</si>
  <si>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</si>
  <si>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</si>
  <si>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</si>
  <si>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</si>
  <si>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</si>
  <si>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</si>
  <si>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</si>
  <si>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</si>
  <si>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</si>
  <si>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</si>
  <si>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</si>
  <si>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</si>
  <si>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</si>
  <si>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</si>
  <si>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</si>
  <si>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</si>
  <si>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</si>
  <si>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</si>
  <si>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</si>
  <si>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</si>
  <si>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</si>
  <si>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</si>
  <si>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</si>
  <si>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</si>
  <si>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</si>
  <si>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</si>
  <si>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</si>
  <si>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</si>
  <si>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</si>
  <si>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</si>
  <si>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</si>
  <si>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</si>
  <si>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</si>
  <si>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</si>
  <si>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</si>
  <si>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</si>
  <si>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</si>
  <si>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</si>
  <si>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</si>
  <si>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</si>
  <si>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</si>
  <si>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</si>
  <si>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Содержание недвижимого и особо ценного движимого имущества муниципальных дошкольных образовательных учреждений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</si>
  <si>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</si>
  <si>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</si>
  <si>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</si>
  <si>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</si>
  <si>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</si>
  <si>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</si>
  <si>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</si>
  <si>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</si>
  <si>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</si>
  <si>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</si>
  <si>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</si>
  <si>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</si>
  <si>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</si>
  <si>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</si>
  <si>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</si>
  <si>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</si>
  <si>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</si>
  <si>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</si>
  <si>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</si>
  <si>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</si>
  <si>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</si>
  <si>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</si>
  <si>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</si>
  <si>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</si>
  <si>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</si>
  <si>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</si>
  <si>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</si>
  <si>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</si>
  <si>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</si>
  <si>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</si>
  <si>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</si>
  <si>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</si>
  <si>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</si>
  <si>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</si>
  <si>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</si>
  <si>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</si>
  <si>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</si>
  <si>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</si>
  <si>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</si>
  <si>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Таблица №3 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</si>
  <si>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</si>
  <si>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</si>
  <si>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</si>
  <si>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</si>
  <si>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</si>
  <si>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</si>
  <si>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</si>
  <si>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</si>
  <si>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</si>
  <si>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</si>
  <si>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</si>
  <si>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</si>
  <si>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</si>
  <si>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</si>
  <si>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</si>
  <si>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</si>
  <si>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</si>
  <si>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</si>
  <si>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</si>
  <si>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</si>
  <si>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</si>
  <si>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</si>
  <si>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</si>
  <si>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</si>
  <si>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</si>
  <si>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</si>
  <si>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</si>
  <si>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</si>
  <si>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</si>
  <si>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</si>
  <si>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</si>
  <si>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</si>
  <si>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</si>
  <si>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</si>
  <si>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</si>
  <si>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</si>
  <si>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</si>
  <si>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</si>
  <si>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</si>
  <si>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</si>
  <si>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</si>
  <si>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</si>
  <si>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</si>
  <si>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</si>
  <si>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</si>
  <si>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</si>
  <si>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</si>
  <si>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</si>
  <si>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</si>
  <si>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</si>
  <si>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</si>
  <si>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</si>
  <si>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</si>
  <si>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</si>
  <si>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</si>
  <si>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</si>
  <si>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</si>
  <si>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</si>
  <si>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</si>
  <si>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</si>
  <si>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</si>
  <si>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</si>
  <si>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</si>
  <si>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</si>
  <si>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</si>
  <si>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</si>
  <si>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Предоставление информационно-методической поддержки муниципальным образовательным учреждениям, количество учреждений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</si>
  <si>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</si>
  <si>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</si>
  <si>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</si>
  <si>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</si>
  <si>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</si>
  <si>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</si>
  <si>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</si>
  <si>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</si>
  <si>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</si>
  <si>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</si>
  <si>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</si>
  <si>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</si>
  <si>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Обеспечение бесперебойной работы учреждений системы образования ЗАТО Александровск, количество учреждений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</si>
  <si>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</si>
  <si>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</si>
  <si>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</si>
  <si>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</si>
  <si>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</si>
  <si>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</si>
  <si>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</si>
  <si>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</si>
  <si>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</si>
  <si>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</si>
  <si>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</si>
  <si>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</si>
  <si>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</si>
  <si>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</si>
  <si>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</si>
  <si>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</si>
  <si>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</si>
  <si>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</si>
  <si>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</si>
  <si>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</si>
  <si>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</si>
  <si>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</si>
  <si>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</si>
  <si>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</si>
  <si>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</si>
  <si>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</si>
  <si>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</si>
  <si>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</si>
  <si>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>Приложение № 2
к постановлению администрации
ЗАТО Александровск
от « 06 » июля 2017 г.  № 1342</t>
  </si>
  <si>
    <t>Приложение № 3
к постановлению администрации
ЗАТО Александровск
от « 06 » июля 2017 г.  № 1342</t>
  </si>
  <si>
    <t>Приложение № 4
к постановлению администрации
ЗАТО Александровск
от « 06 » июля 2017 г.  № 1342</t>
  </si>
  <si>
    <t>Приложение № 5
к постановлению администрации
ЗАТО Александровск
от « 06 » июля 2017 г. № 1342</t>
  </si>
  <si>
    <t>Приложение № 6
к постановлению администрации
ЗАТО Александровск
от « 06 » июля 2017 г.№ 1342</t>
  </si>
  <si>
    <t>Приложение № 7
к постановлению администрации
ЗАТО Александровск
от « 06 » июля 2017 г. № 1342</t>
  </si>
  <si>
    <t>Приложение № 8
к постановлению администрации
ЗАТО Александровск
от « 06 » июля 2017 г. № 1342</t>
  </si>
  <si>
    <t>Приложение № 9
к постановлению администрации
ЗАТО Александровск
от « 06 » июля 2017 г. № 1342</t>
  </si>
  <si>
    <t>Приложение № 10
к постановлению администрации
ЗАТО Александровск
от « 06 » июля 2017 г. № 1342</t>
  </si>
  <si>
    <t>Приложение № 11
к постановлению администрации
ЗАТО Александровск
от « 06 » июля 2017 г.  № 1342</t>
  </si>
  <si>
    <t>Приложение № 12
к постановлению администрации
ЗАТО Александровск
от « 06 » июля 2017 г. № 1342</t>
  </si>
  <si>
    <t>Приложение № 13
к постановлению администрации
ЗАТО Александровск
от « 06 » июля 2017 г.  № 1342</t>
  </si>
  <si>
    <t>Приложение № 14
к постановлению администрации
ЗАТО Александровск
от « 06 » июля 2017 г.  № 1342</t>
  </si>
  <si>
    <t>Приложение № 15
к постановлению администрации
ЗАТО Александровск
от « 06 » июля 2017 г. № 1342</t>
  </si>
  <si>
    <t>Приложение № 16
к постановлению администрации
ЗАТО Александровск
от « 06 » июля 2017 г.   № 1342</t>
  </si>
  <si>
    <t>Приложение № 17
к постановлению администрации
ЗАТО Александровск
от « 06 » июля 2017 г. № 1342</t>
  </si>
  <si>
    <t>Приложение № 1
к постановлению администрации
ЗАТО Александровск
от « 06 » июля 2017 г. № 1342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</si>
</sst>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  <numFmt numFmtId="187" formatCode="_-* #,##0.0_р_._-;\-* #,##0.0_р_._-;_-* &quot;-&quot;??_р_._-;_-@_-"/>
    <numFmt numFmtId="188" formatCode="_-* #,##0_р_._-;\-* #,##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2" applyNumberFormat="0" applyAlignment="0" applyProtection="0"/>
    <xf numFmtId="0" fontId="53" fillId="24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5" borderId="7" applyNumberFormat="0" applyAlignment="0" applyProtection="0"/>
    <xf numFmtId="0" fontId="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29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5" fillId="0" borderId="10" xfId="0" applyNumberFormat="1" applyFont="1" applyFill="1" applyBorder="1" applyAlignment="1">
      <alignment/>
    </xf>
    <xf numFmtId="4" fontId="55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4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64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2" fillId="0" borderId="10" xfId="66" applyFont="1" applyFill="1" applyBorder="1" applyAlignment="1">
      <alignment vertical="center"/>
    </xf>
    <xf numFmtId="171" fontId="0" fillId="0" borderId="0" xfId="64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0" xfId="64" applyNumberFormat="1" applyFont="1" applyFill="1" applyAlignment="1">
      <alignment/>
    </xf>
    <xf numFmtId="171" fontId="1" fillId="0" borderId="0" xfId="64" applyFont="1" applyFill="1" applyAlignment="1">
      <alignment/>
    </xf>
    <xf numFmtId="188" fontId="1" fillId="0" borderId="0" xfId="64" applyNumberFormat="1" applyFont="1" applyFill="1" applyAlignment="1">
      <alignment/>
    </xf>
    <xf numFmtId="171" fontId="0" fillId="0" borderId="0" xfId="64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1" fontId="0" fillId="0" borderId="0" xfId="64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1" fontId="8" fillId="0" borderId="0" xfId="66" applyFont="1" applyFill="1" applyAlignment="1">
      <alignment vertical="center"/>
    </xf>
    <xf numFmtId="0" fontId="0" fillId="0" borderId="0" xfId="0" applyFill="1" applyAlignment="1">
      <alignment horizontal="center"/>
    </xf>
    <xf numFmtId="171" fontId="1" fillId="0" borderId="0" xfId="64" applyFont="1" applyFill="1" applyAlignment="1">
      <alignment horizontal="center"/>
    </xf>
    <xf numFmtId="49" fontId="66" fillId="0" borderId="0" xfId="0" applyNumberFormat="1" applyFont="1" applyFill="1" applyAlignment="1">
      <alignment horizontal="right" vertical="center" wrapText="1"/>
    </xf>
    <xf numFmtId="0" fontId="65" fillId="0" borderId="0" xfId="0" applyFont="1" applyFill="1" applyAlignment="1">
      <alignment horizontal="right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66" fillId="0" borderId="0" xfId="0" applyNumberFormat="1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</row>
        <row r="43"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115" workbookViewId="0" topLeftCell="F1">
      <selection activeCell="G1" sqref="G1:I1"/>
    </sheetView>
  </sheetViews>
  <sheetFormatPr defaultColWidth="9.140625" defaultRowHeight="15"/>
  <cols>
    <col min="1" max="1" width="35.421875" style="92" customWidth="1"/>
    <col min="2" max="2" width="18.28125" style="92" customWidth="1"/>
    <col min="3" max="3" width="17.8515625" style="92" customWidth="1"/>
    <col min="4" max="4" width="18.00390625" style="92" customWidth="1"/>
    <col min="5" max="5" width="19.28125" style="92" customWidth="1"/>
    <col min="6" max="6" width="18.140625" style="92" customWidth="1"/>
    <col min="7" max="7" width="19.140625" style="92" customWidth="1"/>
    <col min="8" max="8" width="16.28125" style="92" customWidth="1"/>
    <col min="9" max="9" width="18.140625" style="92" customWidth="1"/>
    <col min="10" max="10" width="19.00390625" style="92" customWidth="1"/>
    <col min="11" max="11" width="22.00390625" style="92" customWidth="1"/>
    <col min="12" max="12" width="21.28125" style="92" customWidth="1"/>
    <col min="13" max="13" width="10.00390625" style="92" bestFit="1" customWidth="1"/>
    <col min="14" max="16384" width="9.140625" style="92" customWidth="1"/>
  </cols>
  <sheetData>
    <row r="1" spans="7:10" ht="79.5" customHeight="1">
      <c r="G1" s="176" t="s">
        <v>288</v>
      </c>
      <c r="H1" s="177"/>
      <c r="I1" s="177"/>
      <c r="J1" s="129"/>
    </row>
    <row r="2" spans="7:9" ht="18.75">
      <c r="G2" s="152"/>
      <c r="H2" s="132" t="s">
        <v>271</v>
      </c>
      <c r="I2" s="113"/>
    </row>
    <row r="3" spans="1:9" ht="30" customHeight="1">
      <c r="A3" s="181" t="s">
        <v>60</v>
      </c>
      <c r="B3" s="181"/>
      <c r="C3" s="181"/>
      <c r="D3" s="181"/>
      <c r="E3" s="181"/>
      <c r="F3" s="181"/>
      <c r="G3" s="181"/>
      <c r="H3" s="181"/>
      <c r="I3" s="181"/>
    </row>
    <row r="4" spans="1:9" ht="16.5" customHeight="1">
      <c r="A4" s="182" t="s">
        <v>103</v>
      </c>
      <c r="B4" s="184" t="s">
        <v>104</v>
      </c>
      <c r="C4" s="186" t="s">
        <v>105</v>
      </c>
      <c r="D4" s="186"/>
      <c r="E4" s="186"/>
      <c r="F4" s="186"/>
      <c r="G4" s="186"/>
      <c r="H4" s="186"/>
      <c r="I4" s="186"/>
    </row>
    <row r="5" spans="1:10" ht="16.5" customHeight="1">
      <c r="A5" s="183"/>
      <c r="B5" s="185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  <c r="J5" s="161"/>
    </row>
    <row r="6" spans="1:10" ht="19.5" customHeight="1">
      <c r="A6" s="3">
        <v>1</v>
      </c>
      <c r="B6" s="93">
        <v>2</v>
      </c>
      <c r="C6" s="94">
        <v>3</v>
      </c>
      <c r="D6" s="94">
        <v>4</v>
      </c>
      <c r="E6" s="94">
        <v>5</v>
      </c>
      <c r="F6" s="94"/>
      <c r="G6" s="94"/>
      <c r="H6" s="94"/>
      <c r="I6" s="3"/>
      <c r="J6" s="119"/>
    </row>
    <row r="7" spans="1:10" ht="16.5" customHeight="1">
      <c r="A7" s="85" t="s">
        <v>76</v>
      </c>
      <c r="B7" s="117">
        <f>'таб 2(1)'!B8+'таб 2(2)'!B7+'таб 2(3)'!B8+'таб 2(4)'!B8+'таб 2(5)'!B8+'таб 2(6)'!B8+'таб 2(7)'!B8+'таб 2(8)'!B8</f>
        <v>10714212967.059998</v>
      </c>
      <c r="C7" s="117">
        <f>'таб 2(1)'!C8+'таб 2(2)'!C7+'таб 2(3)'!C8+'таб 2(4)'!C8+'таб 2(5)'!C8+'таб 2(6)'!C8+'таб 2(7)'!C8+'таб 2(8)'!C8</f>
        <v>1694513067.23</v>
      </c>
      <c r="D7" s="117">
        <f>'таб 2(1)'!D8+'таб 2(2)'!D7+'таб 2(3)'!D8+'таб 2(4)'!D8+'таб 2(5)'!D8+'таб 2(6)'!D8+'таб 2(7)'!D8+'таб 2(8)'!D8</f>
        <v>1602512422.8599997</v>
      </c>
      <c r="E7" s="117">
        <f>'таб 2(1)'!E8+'таб 2(2)'!E7+'таб 2(3)'!E8+'таб 2(4)'!E8+'таб 2(5)'!E8+'таб 2(6)'!E8+'таб 2(7)'!E8+'таб 2(8)'!E8</f>
        <v>1481484584.7900002</v>
      </c>
      <c r="F7" s="117">
        <f>'таб 2(1)'!F8+'таб 2(2)'!F7+'таб 2(3)'!F8+'таб 2(4)'!F8+'таб 2(5)'!F8+'таб 2(6)'!F8+'таб 2(7)'!F8+'таб 2(8)'!F8</f>
        <v>1518002898.42</v>
      </c>
      <c r="G7" s="117">
        <f>'таб 2(1)'!G8+'таб 2(2)'!G7+'таб 2(3)'!G8+'таб 2(4)'!G8+'таб 2(5)'!G8+'таб 2(6)'!G8+'таб 2(7)'!G8+'таб 2(8)'!G8</f>
        <v>1492401169.7900002</v>
      </c>
      <c r="H7" s="117">
        <f>'таб 2(1)'!H8+'таб 2(2)'!H7+'таб 2(3)'!H8+'таб 2(4)'!H8+'таб 2(5)'!H8+'таб 2(6)'!H8+'таб 2(7)'!H8+'таб 2(8)'!H8</f>
        <v>1493015856.6700003</v>
      </c>
      <c r="I7" s="118">
        <f>'таб 2(1)'!I8+'таб 2(2)'!I7+'таб 2(3)'!I8+'таб 2(4)'!I8+'таб 2(5)'!I8+'таб 2(6)'!I8+'таб 2(7)'!I8+'таб 2(8)'!I8</f>
        <v>1432282967.3</v>
      </c>
      <c r="J7" s="170"/>
    </row>
    <row r="8" spans="1:11" ht="16.5" customHeight="1">
      <c r="A8" s="178" t="s">
        <v>106</v>
      </c>
      <c r="B8" s="179"/>
      <c r="C8" s="179"/>
      <c r="D8" s="179"/>
      <c r="E8" s="179"/>
      <c r="F8" s="179"/>
      <c r="G8" s="179"/>
      <c r="H8" s="179"/>
      <c r="I8" s="180"/>
      <c r="J8" s="120"/>
      <c r="K8" s="121"/>
    </row>
    <row r="9" spans="1:13" ht="16.5" customHeight="1">
      <c r="A9" s="87" t="s">
        <v>107</v>
      </c>
      <c r="B9" s="122">
        <f>B16+B23</f>
        <v>4495214371.92</v>
      </c>
      <c r="C9" s="122">
        <f aca="true" t="shared" si="0" ref="C9:I9">C16+C23</f>
        <v>781992303.05</v>
      </c>
      <c r="D9" s="122">
        <f t="shared" si="0"/>
        <v>731212811.05</v>
      </c>
      <c r="E9" s="122">
        <f t="shared" si="0"/>
        <v>643396561.6400001</v>
      </c>
      <c r="F9" s="122">
        <f t="shared" si="0"/>
        <v>627843705.62</v>
      </c>
      <c r="G9" s="122">
        <f t="shared" si="0"/>
        <v>583008844.2199999</v>
      </c>
      <c r="H9" s="122">
        <f t="shared" si="0"/>
        <v>591517942.6700001</v>
      </c>
      <c r="I9" s="122">
        <f t="shared" si="0"/>
        <v>536242203.67</v>
      </c>
      <c r="J9" s="97"/>
      <c r="K9" s="97"/>
      <c r="L9" s="97"/>
      <c r="M9" s="97"/>
    </row>
    <row r="10" spans="1:12" ht="16.5" customHeight="1">
      <c r="A10" s="87" t="s">
        <v>108</v>
      </c>
      <c r="B10" s="122">
        <f>B17+B24</f>
        <v>5224221940.85</v>
      </c>
      <c r="C10" s="122">
        <f aca="true" t="shared" si="1" ref="C10:I10">C17+C24</f>
        <v>654944860</v>
      </c>
      <c r="D10" s="122">
        <f t="shared" si="1"/>
        <v>694040208</v>
      </c>
      <c r="E10" s="122">
        <f t="shared" si="1"/>
        <v>724568456</v>
      </c>
      <c r="F10" s="122">
        <f t="shared" si="1"/>
        <v>776639625.65</v>
      </c>
      <c r="G10" s="122">
        <f t="shared" si="1"/>
        <v>798424921.5699999</v>
      </c>
      <c r="H10" s="122">
        <f t="shared" si="1"/>
        <v>790530510</v>
      </c>
      <c r="I10" s="122">
        <f t="shared" si="1"/>
        <v>785073359.63</v>
      </c>
      <c r="J10" s="97"/>
      <c r="K10" s="97"/>
      <c r="L10" s="97"/>
    </row>
    <row r="11" spans="1:12" ht="16.5" customHeight="1">
      <c r="A11" s="87" t="s">
        <v>109</v>
      </c>
      <c r="B11" s="122">
        <f>B18+B25</f>
        <v>222570884.18</v>
      </c>
      <c r="C11" s="122">
        <f aca="true" t="shared" si="2" ref="C11:I11">C18+C25</f>
        <v>153856484.18</v>
      </c>
      <c r="D11" s="122">
        <f t="shared" si="2"/>
        <v>68714400</v>
      </c>
      <c r="E11" s="122">
        <f t="shared" si="2"/>
        <v>0</v>
      </c>
      <c r="F11" s="122">
        <f t="shared" si="2"/>
        <v>0</v>
      </c>
      <c r="G11" s="122">
        <f t="shared" si="2"/>
        <v>0</v>
      </c>
      <c r="H11" s="122">
        <f t="shared" si="2"/>
        <v>0</v>
      </c>
      <c r="I11" s="122">
        <f t="shared" si="2"/>
        <v>0</v>
      </c>
      <c r="J11" s="97"/>
      <c r="K11" s="97"/>
      <c r="L11" s="97"/>
    </row>
    <row r="12" spans="1:9" ht="16.5" customHeight="1">
      <c r="A12" s="87" t="s">
        <v>110</v>
      </c>
      <c r="B12" s="122">
        <f>B19+B26</f>
        <v>772205770.1099999</v>
      </c>
      <c r="C12" s="122">
        <f aca="true" t="shared" si="3" ref="C12:I12">C19+C26</f>
        <v>103719420</v>
      </c>
      <c r="D12" s="122">
        <f t="shared" si="3"/>
        <v>108545003.81000002</v>
      </c>
      <c r="E12" s="122">
        <f t="shared" si="3"/>
        <v>113519567.15</v>
      </c>
      <c r="F12" s="122">
        <f t="shared" si="3"/>
        <v>113519567.15</v>
      </c>
      <c r="G12" s="122">
        <f t="shared" si="3"/>
        <v>110967404</v>
      </c>
      <c r="H12" s="122">
        <f t="shared" si="3"/>
        <v>110967404</v>
      </c>
      <c r="I12" s="122">
        <f t="shared" si="3"/>
        <v>110967404</v>
      </c>
    </row>
    <row r="13" spans="1:9" ht="39.75" customHeight="1">
      <c r="A13" s="187" t="s">
        <v>111</v>
      </c>
      <c r="B13" s="188"/>
      <c r="C13" s="188"/>
      <c r="D13" s="188"/>
      <c r="E13" s="188"/>
      <c r="F13" s="188"/>
      <c r="G13" s="188"/>
      <c r="H13" s="188"/>
      <c r="I13" s="189"/>
    </row>
    <row r="14" spans="1:12" ht="26.25">
      <c r="A14" s="95" t="s">
        <v>118</v>
      </c>
      <c r="B14" s="86">
        <f>SUM(B16:B19)</f>
        <v>10068086264.640001</v>
      </c>
      <c r="C14" s="86">
        <f aca="true" t="shared" si="4" ref="C14:I14">SUM(C16:C20)</f>
        <v>1374039114.2</v>
      </c>
      <c r="D14" s="86">
        <f t="shared" si="4"/>
        <v>1366118576.67</v>
      </c>
      <c r="E14" s="86">
        <f t="shared" si="4"/>
        <v>1413596645.0400002</v>
      </c>
      <c r="F14" s="86">
        <f t="shared" si="4"/>
        <v>1516965484.69</v>
      </c>
      <c r="G14" s="86">
        <f t="shared" si="4"/>
        <v>1492401169.79</v>
      </c>
      <c r="H14" s="86">
        <f t="shared" si="4"/>
        <v>1493015856.67</v>
      </c>
      <c r="I14" s="86">
        <f t="shared" si="4"/>
        <v>1432282967.3</v>
      </c>
      <c r="J14" s="97"/>
      <c r="K14" s="170"/>
      <c r="L14" s="97"/>
    </row>
    <row r="15" spans="1:12" ht="16.5" customHeight="1">
      <c r="A15" s="178" t="s">
        <v>106</v>
      </c>
      <c r="B15" s="179"/>
      <c r="C15" s="179"/>
      <c r="D15" s="179"/>
      <c r="E15" s="179"/>
      <c r="F15" s="179"/>
      <c r="G15" s="179"/>
      <c r="H15" s="179"/>
      <c r="I15" s="180"/>
      <c r="J15" s="97"/>
      <c r="K15" s="170"/>
      <c r="L15" s="97"/>
    </row>
    <row r="16" spans="1:12" ht="16.5" customHeight="1">
      <c r="A16" s="87" t="s">
        <v>107</v>
      </c>
      <c r="B16" s="24">
        <f>'таб 2(1)'!B17+'таб 2(2)'!B16+'таб 2(3)'!B17+'таб 2(4)'!B17+'таб 2(5)'!B17+'таб 2(6)'!B17+'таб 2(7)'!B17+'таб 2(8)'!B17</f>
        <v>4102433067.41</v>
      </c>
      <c r="C16" s="24">
        <f>'таб 2(1)'!C17+'таб 2(2)'!C16+'таб 2(3)'!C17+'таб 2(4)'!C17+'таб 2(5)'!C17+'таб 2(6)'!C17+'таб 2(7)'!C17+'таб 2(8)'!C17</f>
        <v>595041284.48</v>
      </c>
      <c r="D16" s="24">
        <f>'таб 2(1)'!D17+'таб 2(2)'!D16+'таб 2(3)'!D17+'таб 2(4)'!D17+'таб 2(5)'!D17+'таб 2(6)'!D17+'таб 2(7)'!D17+'таб 2(8)'!D17</f>
        <v>578533364.86</v>
      </c>
      <c r="E16" s="24">
        <f>'таб 2(1)'!E17+'таб 2(2)'!E16+'таб 2(3)'!E17+'таб 2(4)'!E17+'таб 2(5)'!E17+'таб 2(6)'!E17+'таб 2(7)'!E17+'таб 2(8)'!E17</f>
        <v>590508621.8900001</v>
      </c>
      <c r="F16" s="24">
        <f>'таб 2(1)'!F17+'таб 2(2)'!F16+'таб 2(3)'!F17+'таб 2(4)'!F17+'таб 2(5)'!F17+'таб 2(6)'!F17+'таб 2(7)'!F17+'таб 2(8)'!F17</f>
        <v>627580805.62</v>
      </c>
      <c r="G16" s="24">
        <f>'таб 2(1)'!G17+'таб 2(2)'!G16+'таб 2(3)'!G17+'таб 2(4)'!G17+'таб 2(5)'!G17+'таб 2(6)'!G17+'таб 2(7)'!G17+'таб 2(8)'!G17</f>
        <v>583008844.2199999</v>
      </c>
      <c r="H16" s="24">
        <f>'таб 2(1)'!H17+'таб 2(2)'!H16+'таб 2(3)'!H17+'таб 2(4)'!H17+'таб 2(5)'!H17+'таб 2(6)'!H17+'таб 2(7)'!H17+'таб 2(8)'!H17</f>
        <v>591517942.6700001</v>
      </c>
      <c r="I16" s="24">
        <f>'таб 2(1)'!I17+'таб 2(2)'!I16+'таб 2(3)'!I17+'таб 2(4)'!I17+'таб 2(5)'!I17+'таб 2(6)'!I17+'таб 2(7)'!I17+'таб 2(8)'!I17</f>
        <v>536242203.67</v>
      </c>
      <c r="J16" s="161"/>
      <c r="K16" s="170"/>
      <c r="L16" s="97"/>
    </row>
    <row r="17" spans="1:12" ht="16.5" customHeight="1">
      <c r="A17" s="87" t="s">
        <v>108</v>
      </c>
      <c r="B17" s="24">
        <f>'таб 2(1)'!B18+'таб 2(2)'!B17+'таб 2(3)'!B18+'таб 2(4)'!B18+'таб 2(5)'!B18+'таб 2(6)'!B18+'таб 2(7)'!B18+'таб 2(8)'!B18</f>
        <v>5193447427.120001</v>
      </c>
      <c r="C17" s="24">
        <f>'таб 2(1)'!C18+'таб 2(2)'!C17+'таб 2(3)'!C18+'таб 2(4)'!C18+'таб 2(5)'!C18+'таб 2(6)'!C18+'таб 2(7)'!C18+'таб 2(8)'!C18</f>
        <v>654944860</v>
      </c>
      <c r="D17" s="24">
        <f>'таб 2(1)'!D18+'таб 2(2)'!D17+'таб 2(3)'!D18+'таб 2(4)'!D18+'таб 2(5)'!D18+'таб 2(6)'!D18+'таб 2(7)'!D18+'таб 2(8)'!D18</f>
        <v>679040208</v>
      </c>
      <c r="E17" s="24">
        <f>'таб 2(1)'!E18+'таб 2(2)'!E17+'таб 2(3)'!E18+'таб 2(4)'!E18+'таб 2(5)'!E18+'таб 2(6)'!E18+'таб 2(7)'!E18+'таб 2(8)'!E18</f>
        <v>709568456</v>
      </c>
      <c r="F17" s="24">
        <f>'таб 2(1)'!F18+'таб 2(2)'!F17+'таб 2(3)'!F18+'таб 2(4)'!F18+'таб 2(5)'!F18+'таб 2(6)'!F18+'таб 2(7)'!F18+'таб 2(8)'!F18</f>
        <v>775865111.92</v>
      </c>
      <c r="G17" s="24">
        <f>'таб 2(1)'!G18+'таб 2(2)'!G17+'таб 2(3)'!G18+'таб 2(4)'!G18+'таб 2(5)'!G18+'таб 2(6)'!G18+'таб 2(7)'!G18+'таб 2(8)'!G18</f>
        <v>798424921.5699999</v>
      </c>
      <c r="H17" s="24">
        <f>'таб 2(1)'!H18+'таб 2(2)'!H17+'таб 2(3)'!H18+'таб 2(4)'!H18+'таб 2(5)'!H18+'таб 2(6)'!H18+'таб 2(7)'!H18+'таб 2(8)'!H18</f>
        <v>790530510</v>
      </c>
      <c r="I17" s="24">
        <f>'таб 2(1)'!I18+'таб 2(2)'!I17+'таб 2(3)'!I18+'таб 2(4)'!I18+'таб 2(5)'!I18+'таб 2(6)'!I18+'таб 2(7)'!I18+'таб 2(8)'!I18</f>
        <v>785073359.63</v>
      </c>
      <c r="J17" s="170"/>
      <c r="K17" s="170"/>
      <c r="L17" s="97"/>
    </row>
    <row r="18" spans="1:12" ht="16.5" customHeight="1">
      <c r="A18" s="87" t="s">
        <v>109</v>
      </c>
      <c r="B18" s="24">
        <f>'таб 2(1)'!B19+'таб 2(2)'!B18+'таб 2(3)'!B19+'таб 2(4)'!B19+'таб 2(5)'!B19+'таб 2(6)'!B19+'таб 2(7)'!B19+'таб 2(8)'!B19</f>
        <v>0</v>
      </c>
      <c r="C18" s="24">
        <f>'таб 2(1)'!C19+'таб 2(2)'!C18+'таб 2(3)'!C19+'таб 2(4)'!C19+'таб 2(5)'!C19+'таб 2(6)'!C19+'таб 2(7)'!C19+'таб 2(8)'!C19</f>
        <v>0</v>
      </c>
      <c r="D18" s="24">
        <f>'таб 2(1)'!D19+'таб 2(2)'!D18+'таб 2(3)'!D19+'таб 2(4)'!D19+'таб 2(5)'!D19+'таб 2(6)'!D19+'таб 2(7)'!D19+'таб 2(8)'!D19</f>
        <v>0</v>
      </c>
      <c r="E18" s="24">
        <f>'таб 2(1)'!E19+'таб 2(2)'!E18+'таб 2(3)'!E19+'таб 2(4)'!E19+'таб 2(5)'!E19+'таб 2(6)'!E19+'таб 2(7)'!E19+'таб 2(8)'!E19</f>
        <v>0</v>
      </c>
      <c r="F18" s="24">
        <f>'таб 2(1)'!F19+'таб 2(2)'!F18+'таб 2(3)'!F19+'таб 2(4)'!F19+'таб 2(5)'!F19+'таб 2(6)'!F19+'таб 2(7)'!F19+'таб 2(8)'!F19</f>
        <v>0</v>
      </c>
      <c r="G18" s="24">
        <f>'таб 2(1)'!G19+'таб 2(2)'!G18+'таб 2(3)'!G19+'таб 2(4)'!G19+'таб 2(5)'!G19+'таб 2(6)'!G19+'таб 2(7)'!G19+'таб 2(8)'!G19</f>
        <v>0</v>
      </c>
      <c r="H18" s="24">
        <f>'таб 2(1)'!H19+'таб 2(2)'!H18+'таб 2(3)'!H19+'таб 2(4)'!H19+'таб 2(5)'!H19+'таб 2(6)'!H19+'таб 2(7)'!H19+'таб 2(8)'!H19</f>
        <v>0</v>
      </c>
      <c r="I18" s="24">
        <f>'таб 2(1)'!I19+'таб 2(2)'!I18+'таб 2(3)'!I19+'таб 2(4)'!I19+'таб 2(5)'!I19+'таб 2(6)'!I19+'таб 2(7)'!I19+'таб 2(8)'!I19</f>
        <v>0</v>
      </c>
      <c r="K18" s="170"/>
      <c r="L18" s="97"/>
    </row>
    <row r="19" spans="1:12" ht="15">
      <c r="A19" s="87" t="s">
        <v>110</v>
      </c>
      <c r="B19" s="24">
        <f>'таб 2(1)'!B20+'таб 2(2)'!B19+'таб 2(3)'!B20+'таб 2(4)'!B20+'таб 2(5)'!B20+'таб 2(6)'!B20+'таб 2(7)'!B20+'таб 2(8)'!B20</f>
        <v>772205770.1099999</v>
      </c>
      <c r="C19" s="24">
        <f>'таб 2(1)'!C20+'таб 2(2)'!C19+'таб 2(3)'!C20+'таб 2(4)'!C20+'таб 2(5)'!C20+'таб 2(6)'!C20+'таб 2(7)'!C20+'таб 2(8)'!C20</f>
        <v>103719420</v>
      </c>
      <c r="D19" s="24">
        <f>'таб 2(1)'!D20+'таб 2(2)'!D19+'таб 2(3)'!D20+'таб 2(4)'!D20+'таб 2(5)'!D20+'таб 2(6)'!D20+'таб 2(7)'!D20+'таб 2(8)'!D20</f>
        <v>108545003.81000002</v>
      </c>
      <c r="E19" s="24">
        <f>'таб 2(1)'!E20+'таб 2(2)'!E19+'таб 2(3)'!E20+'таб 2(4)'!E20+'таб 2(5)'!E20+'таб 2(6)'!E20+'таб 2(7)'!E20+'таб 2(8)'!E20</f>
        <v>113519567.15</v>
      </c>
      <c r="F19" s="24">
        <f>'таб 2(1)'!F20+'таб 2(2)'!F19+'таб 2(3)'!F20+'таб 2(4)'!F20+'таб 2(5)'!F20+'таб 2(6)'!F20+'таб 2(7)'!F20+'таб 2(8)'!F20</f>
        <v>113519567.15</v>
      </c>
      <c r="G19" s="24">
        <f>'таб 2(1)'!G20+'таб 2(2)'!G19+'таб 2(3)'!G20+'таб 2(4)'!G20+'таб 2(5)'!G20+'таб 2(6)'!G20+'таб 2(7)'!G20+'таб 2(8)'!G20</f>
        <v>110967404</v>
      </c>
      <c r="H19" s="24">
        <f>'таб 2(1)'!H20+'таб 2(2)'!H19+'таб 2(3)'!H20+'таб 2(4)'!H20+'таб 2(5)'!H20+'таб 2(6)'!H20+'таб 2(7)'!H20+'таб 2(8)'!H20</f>
        <v>110967404</v>
      </c>
      <c r="I19" s="24">
        <f>'таб 2(1)'!I20+'таб 2(2)'!I19+'таб 2(3)'!I20+'таб 2(4)'!I20+'таб 2(5)'!I20+'таб 2(6)'!I20+'таб 2(7)'!I20+'таб 2(8)'!I20</f>
        <v>110967404</v>
      </c>
      <c r="J19" s="170"/>
      <c r="K19" s="170"/>
      <c r="L19" s="97"/>
    </row>
    <row r="20" spans="1:9" ht="39.75" customHeight="1">
      <c r="A20" s="4" t="s">
        <v>112</v>
      </c>
      <c r="B20" s="24">
        <f>'таб 2(1)'!B21+'таб 2(2)'!B20+'таб 2(3)'!B21+'таб 2(4)'!B21+'таб 2(5)'!B21+'таб 2(6)'!B21+'таб 2(7)'!B21+'таб 2(8)'!B21</f>
        <v>20333549.72</v>
      </c>
      <c r="C20" s="24">
        <f>'таб 2(1)'!C21+'таб 2(2)'!C20+'таб 2(3)'!C21+'таб 2(4)'!C21+'таб 2(5)'!C21+'таб 2(6)'!C21+'таб 2(7)'!C21+'таб 2(8)'!C21</f>
        <v>20333549.72</v>
      </c>
      <c r="D20" s="24">
        <f>'таб 2(1)'!D21+'таб 2(2)'!D20+'таб 2(3)'!D21+'таб 2(4)'!D21+'таб 2(5)'!D21+'таб 2(6)'!D21+'таб 2(7)'!D21+'таб 2(8)'!D21</f>
        <v>0</v>
      </c>
      <c r="E20" s="24">
        <f>'таб 2(1)'!E21+'таб 2(2)'!E20+'таб 2(3)'!E21+'таб 2(4)'!E21+'таб 2(5)'!E21+'таб 2(6)'!E21+'таб 2(7)'!E21+'таб 2(8)'!E21</f>
        <v>0</v>
      </c>
      <c r="F20" s="24">
        <f>'таб 2(1)'!F21+'таб 2(2)'!F20+'таб 2(3)'!F21+'таб 2(4)'!F21+'таб 2(5)'!F21+'таб 2(6)'!F21+'таб 2(7)'!F21+'таб 2(8)'!F21</f>
        <v>0</v>
      </c>
      <c r="G20" s="24">
        <f>'таб 2(1)'!G21+'таб 2(2)'!G20+'таб 2(3)'!G21+'таб 2(4)'!G21+'таб 2(5)'!G21+'таб 2(6)'!G21+'таб 2(7)'!G21+'таб 2(8)'!G21</f>
        <v>0</v>
      </c>
      <c r="H20" s="24">
        <f>'таб 2(1)'!H21+'таб 2(2)'!H20+'таб 2(3)'!H21+'таб 2(4)'!H21+'таб 2(5)'!H21+'таб 2(6)'!H21+'таб 2(7)'!H21+'таб 2(8)'!H21</f>
        <v>0</v>
      </c>
      <c r="I20" s="24">
        <f>'таб 2(1)'!I21+'таб 2(2)'!I20+'таб 2(3)'!I21+'таб 2(4)'!I21+'таб 2(5)'!I21+'таб 2(6)'!I21+'таб 2(7)'!I21+'таб 2(8)'!I21</f>
        <v>0</v>
      </c>
    </row>
    <row r="21" spans="1:9" ht="39">
      <c r="A21" s="95" t="s">
        <v>188</v>
      </c>
      <c r="B21" s="86">
        <f>SUM(B23:B26)</f>
        <v>646126702.4200001</v>
      </c>
      <c r="C21" s="86">
        <f aca="true" t="shared" si="5" ref="C21:I21">SUM(C23:C26)</f>
        <v>340807502.75</v>
      </c>
      <c r="D21" s="86">
        <f t="shared" si="5"/>
        <v>236393846.19</v>
      </c>
      <c r="E21" s="86">
        <f t="shared" si="5"/>
        <v>67887939.75</v>
      </c>
      <c r="F21" s="86">
        <f t="shared" si="5"/>
        <v>1037413.73</v>
      </c>
      <c r="G21" s="86">
        <f t="shared" si="5"/>
        <v>0</v>
      </c>
      <c r="H21" s="86">
        <f t="shared" si="5"/>
        <v>0</v>
      </c>
      <c r="I21" s="86">
        <f t="shared" si="5"/>
        <v>0</v>
      </c>
    </row>
    <row r="22" spans="1:9" ht="16.5" customHeight="1">
      <c r="A22" s="178" t="s">
        <v>106</v>
      </c>
      <c r="B22" s="179"/>
      <c r="C22" s="179"/>
      <c r="D22" s="179"/>
      <c r="E22" s="179"/>
      <c r="F22" s="179"/>
      <c r="G22" s="179"/>
      <c r="H22" s="179"/>
      <c r="I22" s="180"/>
    </row>
    <row r="23" spans="1:9" ht="16.5" customHeight="1">
      <c r="A23" s="87" t="s">
        <v>107</v>
      </c>
      <c r="B23" s="24">
        <f>'таб 2(8)'!B24</f>
        <v>392781304.51</v>
      </c>
      <c r="C23" s="24">
        <f>'таб 2(8)'!C24</f>
        <v>186951018.57</v>
      </c>
      <c r="D23" s="24">
        <f>'таб 2(8)'!D24</f>
        <v>152679446.19</v>
      </c>
      <c r="E23" s="24">
        <f>'таб 2(8)'!E24</f>
        <v>52887939.75</v>
      </c>
      <c r="F23" s="24">
        <f>'таб 2(8)'!F24</f>
        <v>262900</v>
      </c>
      <c r="G23" s="24">
        <f>'таб 2(8)'!G24</f>
        <v>0</v>
      </c>
      <c r="H23" s="24">
        <f>'таб 2(8)'!H24</f>
        <v>0</v>
      </c>
      <c r="I23" s="24">
        <f>'таб 2(8)'!I24</f>
        <v>0</v>
      </c>
    </row>
    <row r="24" spans="1:9" ht="16.5" customHeight="1">
      <c r="A24" s="87" t="s">
        <v>108</v>
      </c>
      <c r="B24" s="24">
        <f>'таб 2(8)'!B25</f>
        <v>30774513.73</v>
      </c>
      <c r="C24" s="24">
        <f>'таб 2(8)'!C25</f>
        <v>0</v>
      </c>
      <c r="D24" s="24">
        <f>'таб 2(8)'!D25</f>
        <v>15000000</v>
      </c>
      <c r="E24" s="24">
        <f>'таб 2(8)'!E25</f>
        <v>15000000</v>
      </c>
      <c r="F24" s="24">
        <f>'таб 2(8)'!F25</f>
        <v>774513.73</v>
      </c>
      <c r="G24" s="24">
        <f>'таб 2(8)'!G25</f>
        <v>0</v>
      </c>
      <c r="H24" s="24">
        <f>'таб 2(8)'!H25</f>
        <v>0</v>
      </c>
      <c r="I24" s="24">
        <f>'таб 2(8)'!I25</f>
        <v>0</v>
      </c>
    </row>
    <row r="25" spans="1:9" ht="16.5" customHeight="1">
      <c r="A25" s="87" t="s">
        <v>109</v>
      </c>
      <c r="B25" s="24">
        <f>'таб 2(8)'!B26</f>
        <v>222570884.18</v>
      </c>
      <c r="C25" s="24">
        <f>'таб 2(8)'!C26</f>
        <v>153856484.18</v>
      </c>
      <c r="D25" s="24">
        <f>'таб 2(8)'!D26</f>
        <v>68714400</v>
      </c>
      <c r="E25" s="24">
        <f>'таб 2(8)'!E26</f>
        <v>0</v>
      </c>
      <c r="F25" s="24">
        <f>'таб 2(8)'!F26</f>
        <v>0</v>
      </c>
      <c r="G25" s="24">
        <f>'таб 2(8)'!G26</f>
        <v>0</v>
      </c>
      <c r="H25" s="24">
        <f>'таб 2(8)'!H26</f>
        <v>0</v>
      </c>
      <c r="I25" s="24">
        <f>'таб 2(8)'!I26</f>
        <v>0</v>
      </c>
    </row>
    <row r="26" spans="1:9" ht="15">
      <c r="A26" s="87" t="s">
        <v>110</v>
      </c>
      <c r="B26" s="24">
        <f>'таб 2(8)'!B27</f>
        <v>0</v>
      </c>
      <c r="C26" s="24">
        <f>'таб 2(8)'!C27</f>
        <v>0</v>
      </c>
      <c r="D26" s="24">
        <f>'таб 2(8)'!D27</f>
        <v>0</v>
      </c>
      <c r="E26" s="24">
        <f>'таб 2(8)'!E27</f>
        <v>0</v>
      </c>
      <c r="F26" s="24">
        <f>'таб 2(8)'!F27</f>
        <v>0</v>
      </c>
      <c r="G26" s="24">
        <f>'таб 2(8)'!G27</f>
        <v>0</v>
      </c>
      <c r="H26" s="24">
        <f>'таб 2(8)'!H27</f>
        <v>0</v>
      </c>
      <c r="I26" s="24">
        <f>'таб 2(8)'!I27</f>
        <v>0</v>
      </c>
    </row>
    <row r="27" spans="1:9" ht="25.5">
      <c r="A27" s="4" t="s">
        <v>112</v>
      </c>
      <c r="B27" s="24">
        <f>'таб 2(8)'!B28</f>
        <v>646126702.4200001</v>
      </c>
      <c r="C27" s="24">
        <f>'таб 2(8)'!C28</f>
        <v>340807502.75</v>
      </c>
      <c r="D27" s="24">
        <f>'таб 2(8)'!D28</f>
        <v>236393846.19</v>
      </c>
      <c r="E27" s="24">
        <f>'таб 2(8)'!E28</f>
        <v>67887939.75</v>
      </c>
      <c r="F27" s="24">
        <f>'таб 2(8)'!F28</f>
        <v>1037413.73</v>
      </c>
      <c r="G27" s="24">
        <f>'таб 2(8)'!G28</f>
        <v>0</v>
      </c>
      <c r="H27" s="24">
        <f>'таб 2(8)'!H28</f>
        <v>0</v>
      </c>
      <c r="I27" s="24">
        <f>'таб 2(8)'!I28</f>
        <v>0</v>
      </c>
    </row>
    <row r="28" spans="1:9" ht="15">
      <c r="A28" s="5"/>
      <c r="B28" s="29"/>
      <c r="C28" s="96"/>
      <c r="D28" s="96"/>
      <c r="E28" s="96"/>
      <c r="F28" s="96"/>
      <c r="G28" s="96"/>
      <c r="H28" s="96"/>
      <c r="I28" s="96"/>
    </row>
    <row r="29" spans="3:9" ht="15">
      <c r="C29" s="97"/>
      <c r="D29" s="97"/>
      <c r="E29" s="97"/>
      <c r="F29" s="97"/>
      <c r="G29" s="97"/>
      <c r="H29" s="97"/>
      <c r="I29" s="97"/>
    </row>
    <row r="30" spans="3:9" ht="15">
      <c r="C30" s="97"/>
      <c r="D30" s="97"/>
      <c r="E30" s="97"/>
      <c r="F30" s="97"/>
      <c r="G30" s="97"/>
      <c r="H30" s="97"/>
      <c r="I30" s="97"/>
    </row>
    <row r="31" spans="3:9" ht="15">
      <c r="C31" s="97"/>
      <c r="D31" s="97"/>
      <c r="E31" s="97"/>
      <c r="F31" s="97"/>
      <c r="G31" s="97"/>
      <c r="H31" s="97"/>
      <c r="I31" s="97"/>
    </row>
    <row r="32" spans="3:12" ht="15">
      <c r="C32" s="174"/>
      <c r="D32" s="174"/>
      <c r="E32" s="175"/>
      <c r="F32" s="175"/>
      <c r="G32" s="164"/>
      <c r="H32" s="98"/>
      <c r="I32" s="175"/>
      <c r="J32" s="175"/>
      <c r="K32" s="175"/>
      <c r="L32" s="175"/>
    </row>
    <row r="33" spans="4:12" ht="15">
      <c r="D33" s="165"/>
      <c r="E33" s="165"/>
      <c r="F33" s="165"/>
      <c r="G33" s="165"/>
      <c r="H33" s="165"/>
      <c r="I33" s="165"/>
      <c r="J33" s="165"/>
      <c r="K33" s="165"/>
      <c r="L33" s="165"/>
    </row>
    <row r="34" spans="2:12" ht="15">
      <c r="B34" s="162"/>
      <c r="C34" s="166"/>
      <c r="D34" s="98"/>
      <c r="E34" s="98"/>
      <c r="F34" s="98"/>
      <c r="G34" s="98"/>
      <c r="H34" s="98"/>
      <c r="I34" s="98"/>
      <c r="J34" s="166"/>
      <c r="K34" s="99"/>
      <c r="L34" s="99"/>
    </row>
    <row r="35" spans="2:12" ht="15">
      <c r="B35" s="162"/>
      <c r="C35" s="166"/>
      <c r="D35" s="98"/>
      <c r="E35" s="98"/>
      <c r="F35" s="98"/>
      <c r="G35" s="98"/>
      <c r="H35" s="98"/>
      <c r="I35" s="98"/>
      <c r="J35" s="166"/>
      <c r="K35" s="99"/>
      <c r="L35" s="99"/>
    </row>
    <row r="36" spans="2:12" ht="15">
      <c r="B36" s="163"/>
      <c r="C36" s="166"/>
      <c r="D36" s="98"/>
      <c r="E36" s="98"/>
      <c r="F36" s="98"/>
      <c r="G36" s="98"/>
      <c r="H36" s="98"/>
      <c r="I36" s="98"/>
      <c r="J36" s="98"/>
      <c r="K36" s="99"/>
      <c r="L36" s="99"/>
    </row>
    <row r="37" spans="2:12" ht="15">
      <c r="B37" s="162"/>
      <c r="C37" s="166"/>
      <c r="D37" s="98"/>
      <c r="E37" s="98"/>
      <c r="F37" s="98"/>
      <c r="G37" s="98"/>
      <c r="H37" s="98"/>
      <c r="I37" s="98"/>
      <c r="J37" s="166"/>
      <c r="K37" s="99"/>
      <c r="L37" s="99"/>
    </row>
    <row r="38" spans="2:12" ht="15">
      <c r="B38" s="162"/>
      <c r="C38" s="166"/>
      <c r="D38" s="98"/>
      <c r="E38" s="98"/>
      <c r="F38" s="98"/>
      <c r="G38" s="98"/>
      <c r="H38" s="98"/>
      <c r="I38" s="98"/>
      <c r="J38" s="166"/>
      <c r="K38" s="99"/>
      <c r="L38" s="99"/>
    </row>
    <row r="39" spans="2:12" ht="15">
      <c r="B39" s="162"/>
      <c r="C39" s="166"/>
      <c r="D39" s="98"/>
      <c r="E39" s="98"/>
      <c r="F39" s="98"/>
      <c r="G39" s="98"/>
      <c r="H39" s="98"/>
      <c r="I39" s="98"/>
      <c r="J39" s="166"/>
      <c r="K39" s="99"/>
      <c r="L39" s="99"/>
    </row>
    <row r="40" spans="2:12" ht="15">
      <c r="B40" s="162"/>
      <c r="C40" s="166"/>
      <c r="D40" s="98"/>
      <c r="E40" s="98"/>
      <c r="F40" s="98"/>
      <c r="G40" s="98"/>
      <c r="H40" s="98"/>
      <c r="I40" s="98"/>
      <c r="J40" s="166"/>
      <c r="K40" s="99"/>
      <c r="L40" s="99"/>
    </row>
    <row r="41" spans="2:12" ht="15">
      <c r="B41" s="162"/>
      <c r="C41" s="166"/>
      <c r="D41" s="98"/>
      <c r="E41" s="98"/>
      <c r="F41" s="98"/>
      <c r="G41" s="98"/>
      <c r="H41" s="98"/>
      <c r="I41" s="98"/>
      <c r="J41" s="166"/>
      <c r="K41" s="99"/>
      <c r="L41" s="99"/>
    </row>
    <row r="42" spans="3:12" ht="15"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4:10" ht="15">
      <c r="D43" s="98"/>
      <c r="E43" s="98"/>
      <c r="F43" s="98"/>
      <c r="G43" s="98"/>
      <c r="H43" s="98"/>
      <c r="I43" s="98"/>
      <c r="J43" s="166"/>
    </row>
    <row r="44" spans="2:10" ht="15">
      <c r="B44" s="97"/>
      <c r="D44" s="98"/>
      <c r="E44" s="98"/>
      <c r="F44" s="98"/>
      <c r="G44" s="98"/>
      <c r="H44" s="98"/>
      <c r="I44" s="98"/>
      <c r="J44" s="166"/>
    </row>
    <row r="45" spans="4:9" ht="15">
      <c r="D45" s="98"/>
      <c r="E45" s="98"/>
      <c r="F45" s="98"/>
      <c r="G45" s="98"/>
      <c r="H45" s="98"/>
      <c r="I45" s="98"/>
    </row>
    <row r="46" spans="5:9" ht="15">
      <c r="E46" s="98"/>
      <c r="F46" s="98"/>
      <c r="G46" s="98"/>
      <c r="H46" s="98"/>
      <c r="I46" s="98"/>
    </row>
    <row r="47" spans="5:9" ht="15">
      <c r="E47" s="98"/>
      <c r="F47" s="98"/>
      <c r="G47" s="98"/>
      <c r="H47" s="98"/>
      <c r="I47" s="98"/>
    </row>
    <row r="48" spans="4:9" ht="15">
      <c r="D48" s="99"/>
      <c r="E48" s="99"/>
      <c r="F48" s="99"/>
      <c r="G48" s="98"/>
      <c r="H48" s="98"/>
      <c r="I48" s="98"/>
    </row>
    <row r="49" spans="5:7" ht="15">
      <c r="E49" s="99"/>
      <c r="G49" s="166"/>
    </row>
    <row r="50" spans="5:7" ht="15">
      <c r="E50" s="99"/>
      <c r="G50" s="166"/>
    </row>
    <row r="51" spans="5:7" ht="15">
      <c r="E51" s="99"/>
      <c r="G51" s="99"/>
    </row>
  </sheetData>
  <sheetProtection/>
  <mergeCells count="13">
    <mergeCell ref="C4:I4"/>
    <mergeCell ref="A8:I8"/>
    <mergeCell ref="A13:I13"/>
    <mergeCell ref="C32:D32"/>
    <mergeCell ref="E32:F32"/>
    <mergeCell ref="I32:J32"/>
    <mergeCell ref="K32:L32"/>
    <mergeCell ref="G1:I1"/>
    <mergeCell ref="A15:I15"/>
    <mergeCell ref="A22:I22"/>
    <mergeCell ref="A3:I3"/>
    <mergeCell ref="A4:A5"/>
    <mergeCell ref="B4:B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5.421875" style="130" customWidth="1"/>
    <col min="2" max="2" width="18.28125" style="130" customWidth="1"/>
    <col min="3" max="9" width="13.8515625" style="130" customWidth="1"/>
    <col min="10" max="16384" width="9.140625" style="130" customWidth="1"/>
  </cols>
  <sheetData>
    <row r="1" spans="6:9" ht="67.5" customHeight="1">
      <c r="F1" s="291" t="s">
        <v>280</v>
      </c>
      <c r="G1" s="291"/>
      <c r="H1" s="291"/>
      <c r="I1" s="291"/>
    </row>
    <row r="2" spans="5:10" ht="18.75" customHeight="1">
      <c r="E2" s="131"/>
      <c r="G2" s="106"/>
      <c r="H2" s="132" t="s">
        <v>235</v>
      </c>
      <c r="J2" s="106"/>
    </row>
    <row r="4" spans="1:9" ht="36.75" customHeight="1">
      <c r="A4" s="196" t="s">
        <v>236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97" t="s">
        <v>103</v>
      </c>
      <c r="B5" s="199" t="s">
        <v>104</v>
      </c>
      <c r="C5" s="201" t="s">
        <v>105</v>
      </c>
      <c r="D5" s="201"/>
      <c r="E5" s="201"/>
      <c r="F5" s="201"/>
      <c r="G5" s="201"/>
      <c r="H5" s="201"/>
      <c r="I5" s="201"/>
    </row>
    <row r="6" spans="1:9" ht="16.5" customHeight="1">
      <c r="A6" s="198"/>
      <c r="B6" s="200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36" t="s">
        <v>237</v>
      </c>
      <c r="B8" s="137">
        <f>B10+B11+B12+B13</f>
        <v>175510691.1</v>
      </c>
      <c r="C8" s="137">
        <f aca="true" t="shared" si="0" ref="C8:I8">C10+C11+C12+C13</f>
        <v>29400869</v>
      </c>
      <c r="D8" s="137">
        <f t="shared" si="0"/>
        <v>28396543.509999998</v>
      </c>
      <c r="E8" s="137">
        <f t="shared" si="0"/>
        <v>27563144.619999997</v>
      </c>
      <c r="F8" s="137">
        <f t="shared" si="0"/>
        <v>28729086.76</v>
      </c>
      <c r="G8" s="137">
        <f t="shared" si="0"/>
        <v>29457943.12</v>
      </c>
      <c r="H8" s="137">
        <f t="shared" si="0"/>
        <v>29475104.09</v>
      </c>
      <c r="I8" s="137">
        <f t="shared" si="0"/>
        <v>2488000</v>
      </c>
    </row>
    <row r="9" spans="1:9" ht="16.5" customHeight="1">
      <c r="A9" s="190" t="s">
        <v>106</v>
      </c>
      <c r="B9" s="191"/>
      <c r="C9" s="191"/>
      <c r="D9" s="191"/>
      <c r="E9" s="191"/>
      <c r="F9" s="191"/>
      <c r="G9" s="191"/>
      <c r="H9" s="191"/>
      <c r="I9" s="192"/>
    </row>
    <row r="10" spans="1:9" ht="16.5" customHeight="1">
      <c r="A10" s="138" t="s">
        <v>107</v>
      </c>
      <c r="B10" s="137">
        <f>C10+D10+E10+F10+G10+H10+I10</f>
        <v>164227374.45</v>
      </c>
      <c r="C10" s="139">
        <f>C17</f>
        <v>28400869</v>
      </c>
      <c r="D10" s="139">
        <f aca="true" t="shared" si="1" ref="D10:I10">D17</f>
        <v>26885454.86</v>
      </c>
      <c r="E10" s="139">
        <f t="shared" si="1"/>
        <v>26909030.619999997</v>
      </c>
      <c r="F10" s="139">
        <f t="shared" si="1"/>
        <v>28074972.76</v>
      </c>
      <c r="G10" s="139">
        <f t="shared" si="1"/>
        <v>26969943.12</v>
      </c>
      <c r="H10" s="139">
        <f t="shared" si="1"/>
        <v>26987104.09</v>
      </c>
      <c r="I10" s="139">
        <f t="shared" si="1"/>
        <v>0</v>
      </c>
    </row>
    <row r="11" spans="1:9" ht="16.5" customHeight="1">
      <c r="A11" s="138" t="s">
        <v>20</v>
      </c>
      <c r="B11" s="137">
        <f>C11+D11+E11+F11+G11+H11+I11</f>
        <v>0</v>
      </c>
      <c r="C11" s="139">
        <f aca="true" t="shared" si="2" ref="C11:I13">C18</f>
        <v>0</v>
      </c>
      <c r="D11" s="139">
        <f t="shared" si="2"/>
        <v>0</v>
      </c>
      <c r="E11" s="139">
        <f t="shared" si="2"/>
        <v>0</v>
      </c>
      <c r="F11" s="139">
        <f t="shared" si="2"/>
        <v>0</v>
      </c>
      <c r="G11" s="139">
        <f t="shared" si="2"/>
        <v>0</v>
      </c>
      <c r="H11" s="139">
        <f t="shared" si="2"/>
        <v>0</v>
      </c>
      <c r="I11" s="139">
        <f t="shared" si="2"/>
        <v>0</v>
      </c>
    </row>
    <row r="12" spans="1:9" ht="16.5" customHeight="1">
      <c r="A12" s="138" t="s">
        <v>21</v>
      </c>
      <c r="B12" s="137">
        <f>C12+D12+E12+F12+G12+H12+I12</f>
        <v>0</v>
      </c>
      <c r="C12" s="139">
        <f t="shared" si="2"/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16.5" customHeight="1">
      <c r="A13" s="138" t="s">
        <v>110</v>
      </c>
      <c r="B13" s="137">
        <f>C13+D13+E13+F13+G13+H13+I13</f>
        <v>11283316.65</v>
      </c>
      <c r="C13" s="139">
        <f t="shared" si="2"/>
        <v>1000000</v>
      </c>
      <c r="D13" s="139">
        <f t="shared" si="2"/>
        <v>1511088.65</v>
      </c>
      <c r="E13" s="139">
        <f t="shared" si="2"/>
        <v>654114</v>
      </c>
      <c r="F13" s="139">
        <f t="shared" si="2"/>
        <v>654114</v>
      </c>
      <c r="G13" s="139">
        <f t="shared" si="2"/>
        <v>2488000</v>
      </c>
      <c r="H13" s="139">
        <f t="shared" si="2"/>
        <v>2488000</v>
      </c>
      <c r="I13" s="139">
        <f t="shared" si="2"/>
        <v>2488000</v>
      </c>
    </row>
    <row r="14" spans="1:9" ht="16.5" customHeight="1">
      <c r="A14" s="193" t="s">
        <v>111</v>
      </c>
      <c r="B14" s="194"/>
      <c r="C14" s="194"/>
      <c r="D14" s="194"/>
      <c r="E14" s="194"/>
      <c r="F14" s="194"/>
      <c r="G14" s="194"/>
      <c r="H14" s="194"/>
      <c r="I14" s="195"/>
    </row>
    <row r="15" spans="1:9" ht="51" customHeight="1">
      <c r="A15" s="140" t="s">
        <v>118</v>
      </c>
      <c r="B15" s="137">
        <f>B17+B18+B19+B20</f>
        <v>175510691.1</v>
      </c>
      <c r="C15" s="137">
        <f>C17+C18+C19+C20</f>
        <v>29400869</v>
      </c>
      <c r="D15" s="137">
        <f aca="true" t="shared" si="3" ref="D15:I15">D17+D18+D19+D20</f>
        <v>28396543.509999998</v>
      </c>
      <c r="E15" s="137">
        <f t="shared" si="3"/>
        <v>27563144.619999997</v>
      </c>
      <c r="F15" s="137">
        <f t="shared" si="3"/>
        <v>28729086.76</v>
      </c>
      <c r="G15" s="137">
        <f t="shared" si="3"/>
        <v>29457943.12</v>
      </c>
      <c r="H15" s="137">
        <f t="shared" si="3"/>
        <v>29475104.09</v>
      </c>
      <c r="I15" s="137">
        <f t="shared" si="3"/>
        <v>2488000</v>
      </c>
    </row>
    <row r="16" spans="1:9" ht="16.5" customHeight="1">
      <c r="A16" s="190" t="s">
        <v>106</v>
      </c>
      <c r="B16" s="191"/>
      <c r="C16" s="191"/>
      <c r="D16" s="191"/>
      <c r="E16" s="191"/>
      <c r="F16" s="191"/>
      <c r="G16" s="191"/>
      <c r="H16" s="191"/>
      <c r="I16" s="192"/>
    </row>
    <row r="17" spans="1:9" ht="16.5" customHeight="1">
      <c r="A17" s="138" t="s">
        <v>107</v>
      </c>
      <c r="B17" s="137">
        <f>C17+D17+E17+F17+G17+H17+I17</f>
        <v>164227374.45</v>
      </c>
      <c r="C17" s="139">
        <f>'таб 3(5)'!F41</f>
        <v>28400869</v>
      </c>
      <c r="D17" s="139">
        <f>'таб 3(5)'!G41</f>
        <v>26885454.86</v>
      </c>
      <c r="E17" s="139">
        <f>'таб 3(5)'!H41</f>
        <v>26909030.619999997</v>
      </c>
      <c r="F17" s="139">
        <f>'таб 3(5)'!I41</f>
        <v>28074972.76</v>
      </c>
      <c r="G17" s="139">
        <f>'таб 3(5)'!J41</f>
        <v>26969943.12</v>
      </c>
      <c r="H17" s="139">
        <f>'таб 3(5)'!K41</f>
        <v>26987104.09</v>
      </c>
      <c r="I17" s="139">
        <f>'таб 3(5)'!L41</f>
        <v>0</v>
      </c>
    </row>
    <row r="18" spans="1:9" ht="16.5" customHeight="1">
      <c r="A18" s="138" t="s">
        <v>20</v>
      </c>
      <c r="B18" s="137">
        <f>C18+D18+E18+F18+G18+H18+I18</f>
        <v>0</v>
      </c>
      <c r="C18" s="139">
        <f>'таб 3(5)'!F42</f>
        <v>0</v>
      </c>
      <c r="D18" s="139">
        <f>'таб 3(5)'!G42</f>
        <v>0</v>
      </c>
      <c r="E18" s="139">
        <f>'таб 3(5)'!H42</f>
        <v>0</v>
      </c>
      <c r="F18" s="139">
        <f>'таб 3(5)'!I42</f>
        <v>0</v>
      </c>
      <c r="G18" s="139">
        <f>'таб 3(5)'!J42</f>
        <v>0</v>
      </c>
      <c r="H18" s="139">
        <f>'таб 3(5)'!K42</f>
        <v>0</v>
      </c>
      <c r="I18" s="139">
        <f>'таб 3(5)'!L42</f>
        <v>0</v>
      </c>
    </row>
    <row r="19" spans="1:9" ht="16.5" customHeight="1">
      <c r="A19" s="138" t="s">
        <v>21</v>
      </c>
      <c r="B19" s="137">
        <f>C19+D19+E19+F19+G19+H19+I19</f>
        <v>0</v>
      </c>
      <c r="C19" s="139">
        <f>'таб 3(5)'!F43</f>
        <v>0</v>
      </c>
      <c r="D19" s="139">
        <f>'таб 3(5)'!G43</f>
        <v>0</v>
      </c>
      <c r="E19" s="139">
        <f>'таб 3(5)'!H43</f>
        <v>0</v>
      </c>
      <c r="F19" s="139">
        <f>'таб 3(5)'!I43</f>
        <v>0</v>
      </c>
      <c r="G19" s="139">
        <f>'таб 3(5)'!J43</f>
        <v>0</v>
      </c>
      <c r="H19" s="139">
        <f>'таб 3(5)'!K43</f>
        <v>0</v>
      </c>
      <c r="I19" s="139">
        <f>'таб 3(5)'!L43</f>
        <v>0</v>
      </c>
    </row>
    <row r="20" spans="1:9" ht="16.5" customHeight="1">
      <c r="A20" s="138" t="s">
        <v>110</v>
      </c>
      <c r="B20" s="137">
        <f>C20+D20+E20+F20+G20+H20+I20</f>
        <v>11283316.65</v>
      </c>
      <c r="C20" s="139">
        <f>'таб 3(5)'!F44</f>
        <v>1000000</v>
      </c>
      <c r="D20" s="139">
        <f>'таб 3(5)'!G44</f>
        <v>1511088.65</v>
      </c>
      <c r="E20" s="139">
        <f>'таб 3(5)'!H44</f>
        <v>654114</v>
      </c>
      <c r="F20" s="139">
        <f>'таб 3(5)'!I44</f>
        <v>654114</v>
      </c>
      <c r="G20" s="139">
        <f>'таб 3(5)'!J44</f>
        <v>2488000</v>
      </c>
      <c r="H20" s="139">
        <f>'таб 3(5)'!K44</f>
        <v>2488000</v>
      </c>
      <c r="I20" s="139">
        <f>'таб 3(5)'!L44</f>
        <v>2488000</v>
      </c>
    </row>
    <row r="21" spans="1:9" ht="31.5">
      <c r="A21" s="17" t="s">
        <v>112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7"/>
  <sheetViews>
    <sheetView view="pageBreakPreview" zoomScale="60" zoomScalePageLayoutView="0" workbookViewId="0" topLeftCell="A1">
      <pane xSplit="3" ySplit="8" topLeftCell="F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5.281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421875" style="19" customWidth="1"/>
    <col min="6" max="6" width="14.7109375" style="19" customWidth="1"/>
    <col min="7" max="7" width="15.421875" style="19" customWidth="1"/>
    <col min="8" max="11" width="16.28125" style="19" customWidth="1"/>
    <col min="12" max="12" width="13.8515625" style="19" customWidth="1"/>
    <col min="13" max="13" width="25.421875" style="19" customWidth="1"/>
    <col min="14" max="20" width="4.421875" style="19" bestFit="1" customWidth="1"/>
    <col min="21" max="21" width="17.7109375" style="19" customWidth="1"/>
    <col min="22" max="16384" width="9.140625" style="19" customWidth="1"/>
  </cols>
  <sheetData>
    <row r="1" spans="15:21" ht="65.25" customHeight="1">
      <c r="O1" s="291" t="s">
        <v>281</v>
      </c>
      <c r="P1" s="291"/>
      <c r="Q1" s="291"/>
      <c r="R1" s="291"/>
      <c r="S1" s="291"/>
      <c r="T1" s="291"/>
      <c r="U1" s="291"/>
    </row>
    <row r="2" spans="20:21" ht="27" customHeight="1">
      <c r="T2" s="100"/>
      <c r="U2" s="123" t="s">
        <v>238</v>
      </c>
    </row>
    <row r="3" spans="1:21" ht="15.75">
      <c r="A3" s="243" t="s">
        <v>239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ht="31.5" customHeight="1">
      <c r="A4" s="186" t="s">
        <v>101</v>
      </c>
      <c r="B4" s="186" t="s">
        <v>113</v>
      </c>
      <c r="C4" s="186" t="s">
        <v>114</v>
      </c>
      <c r="D4" s="186" t="s">
        <v>103</v>
      </c>
      <c r="E4" s="186" t="s">
        <v>115</v>
      </c>
      <c r="F4" s="186"/>
      <c r="G4" s="186"/>
      <c r="H4" s="186"/>
      <c r="I4" s="186"/>
      <c r="J4" s="186"/>
      <c r="K4" s="186"/>
      <c r="L4" s="186"/>
      <c r="M4" s="186" t="s">
        <v>32</v>
      </c>
      <c r="N4" s="186"/>
      <c r="O4" s="186"/>
      <c r="P4" s="186"/>
      <c r="Q4" s="186"/>
      <c r="R4" s="186"/>
      <c r="S4" s="186"/>
      <c r="T4" s="186"/>
      <c r="U4" s="232" t="s">
        <v>116</v>
      </c>
    </row>
    <row r="5" spans="1:21" ht="21" customHeight="1">
      <c r="A5" s="186"/>
      <c r="B5" s="186"/>
      <c r="C5" s="186"/>
      <c r="D5" s="186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23.25" customHeight="1">
      <c r="A7" s="21"/>
      <c r="B7" s="213" t="s">
        <v>240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</row>
    <row r="8" spans="1:21" ht="22.5" customHeight="1">
      <c r="A8" s="21">
        <v>1</v>
      </c>
      <c r="B8" s="213" t="s">
        <v>241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ht="12.75">
      <c r="A9" s="223" t="s">
        <v>128</v>
      </c>
      <c r="B9" s="287" t="s">
        <v>242</v>
      </c>
      <c r="C9" s="229" t="s">
        <v>82</v>
      </c>
      <c r="D9" s="22" t="s">
        <v>97</v>
      </c>
      <c r="E9" s="23">
        <f>E11+E12+E13+E14</f>
        <v>162547666.85000002</v>
      </c>
      <c r="F9" s="23">
        <f aca="true" t="shared" si="0" ref="F9:L9">F11+F12+F13+F14</f>
        <v>28284131</v>
      </c>
      <c r="G9" s="23">
        <f t="shared" si="0"/>
        <v>26512752.77</v>
      </c>
      <c r="H9" s="23">
        <f t="shared" si="0"/>
        <v>26580375.56</v>
      </c>
      <c r="I9" s="23">
        <f t="shared" si="0"/>
        <v>27779900</v>
      </c>
      <c r="J9" s="23">
        <f t="shared" si="0"/>
        <v>26686673.28</v>
      </c>
      <c r="K9" s="23">
        <f t="shared" si="0"/>
        <v>26703834.24</v>
      </c>
      <c r="L9" s="23">
        <f t="shared" si="0"/>
        <v>0</v>
      </c>
      <c r="M9" s="258" t="s">
        <v>243</v>
      </c>
      <c r="N9" s="294">
        <v>35</v>
      </c>
      <c r="O9" s="294">
        <v>35</v>
      </c>
      <c r="P9" s="294">
        <v>35</v>
      </c>
      <c r="Q9" s="294">
        <v>35</v>
      </c>
      <c r="R9" s="294">
        <v>35</v>
      </c>
      <c r="S9" s="294">
        <v>35</v>
      </c>
      <c r="T9" s="294">
        <v>35</v>
      </c>
      <c r="U9" s="258" t="s">
        <v>244</v>
      </c>
    </row>
    <row r="10" spans="1:21" ht="12.75">
      <c r="A10" s="223"/>
      <c r="B10" s="288"/>
      <c r="C10" s="230"/>
      <c r="D10" s="216" t="s">
        <v>117</v>
      </c>
      <c r="E10" s="217"/>
      <c r="F10" s="217"/>
      <c r="G10" s="217"/>
      <c r="H10" s="217"/>
      <c r="I10" s="217"/>
      <c r="J10" s="217"/>
      <c r="K10" s="217"/>
      <c r="L10" s="218"/>
      <c r="M10" s="259"/>
      <c r="N10" s="295"/>
      <c r="O10" s="295"/>
      <c r="P10" s="295"/>
      <c r="Q10" s="295"/>
      <c r="R10" s="295"/>
      <c r="S10" s="295"/>
      <c r="T10" s="295"/>
      <c r="U10" s="259"/>
    </row>
    <row r="11" spans="1:21" ht="12.75">
      <c r="A11" s="223"/>
      <c r="B11" s="288"/>
      <c r="C11" s="230"/>
      <c r="D11" s="22" t="s">
        <v>95</v>
      </c>
      <c r="E11" s="23">
        <f>F11+G11+H11+I11+J11+K11+L11</f>
        <v>162547666.85000002</v>
      </c>
      <c r="F11" s="23">
        <v>28284131</v>
      </c>
      <c r="G11" s="23">
        <v>26512752.77</v>
      </c>
      <c r="H11" s="23">
        <v>26580375.56</v>
      </c>
      <c r="I11" s="23">
        <v>27779900</v>
      </c>
      <c r="J11" s="23">
        <f>13441011.64+13245661.64</f>
        <v>26686673.28</v>
      </c>
      <c r="K11" s="23">
        <v>26703834.24</v>
      </c>
      <c r="L11" s="23">
        <v>0</v>
      </c>
      <c r="M11" s="259"/>
      <c r="N11" s="295"/>
      <c r="O11" s="295"/>
      <c r="P11" s="295"/>
      <c r="Q11" s="295"/>
      <c r="R11" s="295"/>
      <c r="S11" s="295"/>
      <c r="T11" s="295"/>
      <c r="U11" s="259"/>
    </row>
    <row r="12" spans="1:21" ht="12.75">
      <c r="A12" s="223"/>
      <c r="B12" s="288"/>
      <c r="C12" s="230"/>
      <c r="D12" s="22" t="s">
        <v>93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59"/>
      <c r="N12" s="295"/>
      <c r="O12" s="295"/>
      <c r="P12" s="295"/>
      <c r="Q12" s="295"/>
      <c r="R12" s="295"/>
      <c r="S12" s="295"/>
      <c r="T12" s="295"/>
      <c r="U12" s="259"/>
    </row>
    <row r="13" spans="1:21" ht="12.75">
      <c r="A13" s="223"/>
      <c r="B13" s="288"/>
      <c r="C13" s="230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59"/>
      <c r="N13" s="295"/>
      <c r="O13" s="295"/>
      <c r="P13" s="295"/>
      <c r="Q13" s="295"/>
      <c r="R13" s="295"/>
      <c r="S13" s="295"/>
      <c r="T13" s="295"/>
      <c r="U13" s="259"/>
    </row>
    <row r="14" spans="1:21" ht="12.75">
      <c r="A14" s="223"/>
      <c r="B14" s="289"/>
      <c r="C14" s="231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60"/>
      <c r="N14" s="296"/>
      <c r="O14" s="296"/>
      <c r="P14" s="296"/>
      <c r="Q14" s="296"/>
      <c r="R14" s="296"/>
      <c r="S14" s="296"/>
      <c r="T14" s="296"/>
      <c r="U14" s="260"/>
    </row>
    <row r="15" spans="1:21" ht="12.75">
      <c r="A15" s="223" t="s">
        <v>129</v>
      </c>
      <c r="B15" s="287" t="s">
        <v>245</v>
      </c>
      <c r="C15" s="229" t="s">
        <v>82</v>
      </c>
      <c r="D15" s="22" t="s">
        <v>97</v>
      </c>
      <c r="E15" s="23">
        <f>E17+E18+E19+E20</f>
        <v>188348.08</v>
      </c>
      <c r="F15" s="23">
        <f aca="true" t="shared" si="1" ref="F15:L15">F17+F18+F19+F20</f>
        <v>116738</v>
      </c>
      <c r="G15" s="23">
        <f t="shared" si="1"/>
        <v>71610.07999999999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58" t="s">
        <v>3</v>
      </c>
      <c r="N15" s="202">
        <v>1</v>
      </c>
      <c r="O15" s="202">
        <v>1</v>
      </c>
      <c r="P15" s="202">
        <v>1</v>
      </c>
      <c r="Q15" s="202">
        <v>1</v>
      </c>
      <c r="R15" s="202">
        <v>1</v>
      </c>
      <c r="S15" s="202">
        <v>1</v>
      </c>
      <c r="T15" s="202">
        <v>1</v>
      </c>
      <c r="U15" s="258" t="s">
        <v>244</v>
      </c>
    </row>
    <row r="16" spans="1:21" ht="12.75">
      <c r="A16" s="223"/>
      <c r="B16" s="288"/>
      <c r="C16" s="230"/>
      <c r="D16" s="216" t="s">
        <v>117</v>
      </c>
      <c r="E16" s="217"/>
      <c r="F16" s="217"/>
      <c r="G16" s="217"/>
      <c r="H16" s="217"/>
      <c r="I16" s="217"/>
      <c r="J16" s="217"/>
      <c r="K16" s="217"/>
      <c r="L16" s="218"/>
      <c r="M16" s="259"/>
      <c r="N16" s="203"/>
      <c r="O16" s="203"/>
      <c r="P16" s="203"/>
      <c r="Q16" s="203"/>
      <c r="R16" s="203"/>
      <c r="S16" s="203"/>
      <c r="T16" s="203"/>
      <c r="U16" s="259"/>
    </row>
    <row r="17" spans="1:21" ht="12.75">
      <c r="A17" s="223"/>
      <c r="B17" s="288"/>
      <c r="C17" s="230"/>
      <c r="D17" s="22" t="s">
        <v>95</v>
      </c>
      <c r="E17" s="23">
        <f>F17+G17+H17+I17+J17+K17+L17</f>
        <v>188348.08</v>
      </c>
      <c r="F17" s="23">
        <v>116738</v>
      </c>
      <c r="G17" s="23">
        <f>75631.4-4021.32</f>
        <v>71610.07999999999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59"/>
      <c r="N17" s="203"/>
      <c r="O17" s="203"/>
      <c r="P17" s="203"/>
      <c r="Q17" s="203"/>
      <c r="R17" s="203"/>
      <c r="S17" s="203"/>
      <c r="T17" s="203"/>
      <c r="U17" s="259"/>
    </row>
    <row r="18" spans="1:21" ht="12.75">
      <c r="A18" s="223"/>
      <c r="B18" s="288"/>
      <c r="C18" s="230"/>
      <c r="D18" s="22" t="s">
        <v>93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59"/>
      <c r="N18" s="203"/>
      <c r="O18" s="203"/>
      <c r="P18" s="203"/>
      <c r="Q18" s="203"/>
      <c r="R18" s="203"/>
      <c r="S18" s="203"/>
      <c r="T18" s="203"/>
      <c r="U18" s="259"/>
    </row>
    <row r="19" spans="1:21" ht="12.75">
      <c r="A19" s="223"/>
      <c r="B19" s="288"/>
      <c r="C19" s="230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59"/>
      <c r="N19" s="203"/>
      <c r="O19" s="203"/>
      <c r="P19" s="203"/>
      <c r="Q19" s="203"/>
      <c r="R19" s="203"/>
      <c r="S19" s="203"/>
      <c r="T19" s="203"/>
      <c r="U19" s="259"/>
    </row>
    <row r="20" spans="1:21" ht="12.75">
      <c r="A20" s="223"/>
      <c r="B20" s="289"/>
      <c r="C20" s="231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0"/>
      <c r="N20" s="204"/>
      <c r="O20" s="204"/>
      <c r="P20" s="204"/>
      <c r="Q20" s="204"/>
      <c r="R20" s="204"/>
      <c r="S20" s="204"/>
      <c r="T20" s="204"/>
      <c r="U20" s="260"/>
    </row>
    <row r="21" spans="1:21" ht="12.75">
      <c r="A21" s="223" t="s">
        <v>130</v>
      </c>
      <c r="B21" s="224" t="s">
        <v>190</v>
      </c>
      <c r="C21" s="229" t="s">
        <v>82</v>
      </c>
      <c r="D21" s="22" t="s">
        <v>97</v>
      </c>
      <c r="E21" s="23">
        <f>E23+E24+E25+E26</f>
        <v>1491359.52</v>
      </c>
      <c r="F21" s="23">
        <f aca="true" t="shared" si="2" ref="F21:L21">F23+F24+F25+F26</f>
        <v>0</v>
      </c>
      <c r="G21" s="23">
        <f t="shared" si="2"/>
        <v>301092.01</v>
      </c>
      <c r="H21" s="23">
        <f t="shared" si="2"/>
        <v>328655.06</v>
      </c>
      <c r="I21" s="23">
        <f t="shared" si="2"/>
        <v>295072.76</v>
      </c>
      <c r="J21" s="23">
        <f t="shared" si="2"/>
        <v>283269.84</v>
      </c>
      <c r="K21" s="23">
        <f t="shared" si="2"/>
        <v>283269.85</v>
      </c>
      <c r="L21" s="23">
        <f t="shared" si="2"/>
        <v>0</v>
      </c>
      <c r="M21" s="258" t="s">
        <v>202</v>
      </c>
      <c r="N21" s="202">
        <v>1</v>
      </c>
      <c r="O21" s="202">
        <v>1</v>
      </c>
      <c r="P21" s="202">
        <v>1</v>
      </c>
      <c r="Q21" s="202">
        <v>1</v>
      </c>
      <c r="R21" s="202">
        <v>1</v>
      </c>
      <c r="S21" s="202">
        <v>1</v>
      </c>
      <c r="T21" s="202">
        <v>1</v>
      </c>
      <c r="U21" s="258" t="s">
        <v>244</v>
      </c>
    </row>
    <row r="22" spans="1:21" ht="12.75">
      <c r="A22" s="223"/>
      <c r="B22" s="224"/>
      <c r="C22" s="230"/>
      <c r="D22" s="216" t="s">
        <v>117</v>
      </c>
      <c r="E22" s="217"/>
      <c r="F22" s="217"/>
      <c r="G22" s="217"/>
      <c r="H22" s="217"/>
      <c r="I22" s="217"/>
      <c r="J22" s="217"/>
      <c r="K22" s="217"/>
      <c r="L22" s="218"/>
      <c r="M22" s="259"/>
      <c r="N22" s="203"/>
      <c r="O22" s="203"/>
      <c r="P22" s="203"/>
      <c r="Q22" s="203"/>
      <c r="R22" s="203"/>
      <c r="S22" s="203"/>
      <c r="T22" s="203"/>
      <c r="U22" s="259"/>
    </row>
    <row r="23" spans="1:21" ht="12.75">
      <c r="A23" s="223"/>
      <c r="B23" s="224"/>
      <c r="C23" s="230"/>
      <c r="D23" s="22" t="s">
        <v>95</v>
      </c>
      <c r="E23" s="23">
        <f>F23+G23+H23+I23+J23+K23+L23</f>
        <v>1491359.52</v>
      </c>
      <c r="F23" s="23"/>
      <c r="G23" s="23">
        <v>301092.01</v>
      </c>
      <c r="H23" s="23">
        <f>295072.76+33582.3</f>
        <v>328655.06</v>
      </c>
      <c r="I23" s="23">
        <v>295072.76</v>
      </c>
      <c r="J23" s="23">
        <f>141634.92+141634.92</f>
        <v>283269.84</v>
      </c>
      <c r="K23" s="23">
        <v>283269.85</v>
      </c>
      <c r="L23" s="23">
        <v>0</v>
      </c>
      <c r="M23" s="259"/>
      <c r="N23" s="203"/>
      <c r="O23" s="203"/>
      <c r="P23" s="203"/>
      <c r="Q23" s="203"/>
      <c r="R23" s="203"/>
      <c r="S23" s="203"/>
      <c r="T23" s="203"/>
      <c r="U23" s="259"/>
    </row>
    <row r="24" spans="1:21" ht="12.75">
      <c r="A24" s="223"/>
      <c r="B24" s="224"/>
      <c r="C24" s="230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59"/>
      <c r="N24" s="203"/>
      <c r="O24" s="203"/>
      <c r="P24" s="203"/>
      <c r="Q24" s="203"/>
      <c r="R24" s="203"/>
      <c r="S24" s="203"/>
      <c r="T24" s="203"/>
      <c r="U24" s="259"/>
    </row>
    <row r="25" spans="1:21" ht="12.75">
      <c r="A25" s="223"/>
      <c r="B25" s="224"/>
      <c r="C25" s="230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59"/>
      <c r="N25" s="203"/>
      <c r="O25" s="203"/>
      <c r="P25" s="203"/>
      <c r="Q25" s="203"/>
      <c r="R25" s="203"/>
      <c r="S25" s="203"/>
      <c r="T25" s="203"/>
      <c r="U25" s="259"/>
    </row>
    <row r="26" spans="1:21" ht="12.75">
      <c r="A26" s="223"/>
      <c r="B26" s="224"/>
      <c r="C26" s="231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60"/>
      <c r="N26" s="204"/>
      <c r="O26" s="204"/>
      <c r="P26" s="204"/>
      <c r="Q26" s="204"/>
      <c r="R26" s="204"/>
      <c r="S26" s="204"/>
      <c r="T26" s="204"/>
      <c r="U26" s="260"/>
    </row>
    <row r="27" spans="1:21" ht="12.75">
      <c r="A27" s="223" t="s">
        <v>131</v>
      </c>
      <c r="B27" s="287" t="s">
        <v>126</v>
      </c>
      <c r="C27" s="229" t="s">
        <v>82</v>
      </c>
      <c r="D27" s="22" t="s">
        <v>97</v>
      </c>
      <c r="E27" s="23">
        <f>E29+E30+E31+E32</f>
        <v>11283316.65</v>
      </c>
      <c r="F27" s="23">
        <f aca="true" t="shared" si="3" ref="F27:L27">F29+F30+F31+F32</f>
        <v>1000000</v>
      </c>
      <c r="G27" s="23">
        <f t="shared" si="3"/>
        <v>1511088.65</v>
      </c>
      <c r="H27" s="23">
        <f t="shared" si="3"/>
        <v>654114</v>
      </c>
      <c r="I27" s="23">
        <f t="shared" si="3"/>
        <v>654114</v>
      </c>
      <c r="J27" s="23">
        <f t="shared" si="3"/>
        <v>2488000</v>
      </c>
      <c r="K27" s="23">
        <f t="shared" si="3"/>
        <v>2488000</v>
      </c>
      <c r="L27" s="23">
        <f t="shared" si="3"/>
        <v>2488000</v>
      </c>
      <c r="M27" s="258" t="s">
        <v>246</v>
      </c>
      <c r="N27" s="202">
        <v>1</v>
      </c>
      <c r="O27" s="202">
        <v>1</v>
      </c>
      <c r="P27" s="202">
        <v>1</v>
      </c>
      <c r="Q27" s="202">
        <v>1</v>
      </c>
      <c r="R27" s="202">
        <v>1</v>
      </c>
      <c r="S27" s="202">
        <v>1</v>
      </c>
      <c r="T27" s="202">
        <v>1</v>
      </c>
      <c r="U27" s="258" t="s">
        <v>244</v>
      </c>
    </row>
    <row r="28" spans="1:21" ht="12.75">
      <c r="A28" s="223"/>
      <c r="B28" s="288"/>
      <c r="C28" s="230"/>
      <c r="D28" s="216" t="s">
        <v>117</v>
      </c>
      <c r="E28" s="217"/>
      <c r="F28" s="217"/>
      <c r="G28" s="217"/>
      <c r="H28" s="217"/>
      <c r="I28" s="217"/>
      <c r="J28" s="217"/>
      <c r="K28" s="217"/>
      <c r="L28" s="218"/>
      <c r="M28" s="259"/>
      <c r="N28" s="203"/>
      <c r="O28" s="203"/>
      <c r="P28" s="203"/>
      <c r="Q28" s="203"/>
      <c r="R28" s="203"/>
      <c r="S28" s="203"/>
      <c r="T28" s="203"/>
      <c r="U28" s="259"/>
    </row>
    <row r="29" spans="1:21" ht="12.75">
      <c r="A29" s="223"/>
      <c r="B29" s="288"/>
      <c r="C29" s="230"/>
      <c r="D29" s="22" t="s">
        <v>95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59"/>
      <c r="N29" s="203"/>
      <c r="O29" s="203"/>
      <c r="P29" s="203"/>
      <c r="Q29" s="203"/>
      <c r="R29" s="203"/>
      <c r="S29" s="203"/>
      <c r="T29" s="203"/>
      <c r="U29" s="259"/>
    </row>
    <row r="30" spans="1:21" ht="12.75">
      <c r="A30" s="223"/>
      <c r="B30" s="288"/>
      <c r="C30" s="230"/>
      <c r="D30" s="22" t="s">
        <v>93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59"/>
      <c r="N30" s="203"/>
      <c r="O30" s="203"/>
      <c r="P30" s="203"/>
      <c r="Q30" s="203"/>
      <c r="R30" s="203"/>
      <c r="S30" s="203"/>
      <c r="T30" s="203"/>
      <c r="U30" s="259"/>
    </row>
    <row r="31" spans="1:21" ht="12.75">
      <c r="A31" s="223"/>
      <c r="B31" s="288"/>
      <c r="C31" s="230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59"/>
      <c r="N31" s="203"/>
      <c r="O31" s="203"/>
      <c r="P31" s="203"/>
      <c r="Q31" s="203"/>
      <c r="R31" s="203"/>
      <c r="S31" s="203"/>
      <c r="T31" s="203"/>
      <c r="U31" s="259"/>
    </row>
    <row r="32" spans="1:21" ht="12.75">
      <c r="A32" s="223"/>
      <c r="B32" s="289"/>
      <c r="C32" s="231"/>
      <c r="D32" s="22" t="s">
        <v>96</v>
      </c>
      <c r="E32" s="23">
        <f>F32+G32+H32+I32+J32+K32+L32</f>
        <v>11283316.65</v>
      </c>
      <c r="F32" s="23">
        <f>1700000-700000</f>
        <v>1000000</v>
      </c>
      <c r="G32" s="23">
        <v>1511088.65</v>
      </c>
      <c r="H32" s="23">
        <v>654114</v>
      </c>
      <c r="I32" s="23">
        <v>654114</v>
      </c>
      <c r="J32" s="23">
        <v>2488000</v>
      </c>
      <c r="K32" s="23">
        <v>2488000</v>
      </c>
      <c r="L32" s="23">
        <v>2488000</v>
      </c>
      <c r="M32" s="260"/>
      <c r="N32" s="204"/>
      <c r="O32" s="204"/>
      <c r="P32" s="204"/>
      <c r="Q32" s="204"/>
      <c r="R32" s="204"/>
      <c r="S32" s="204"/>
      <c r="T32" s="204"/>
      <c r="U32" s="260"/>
    </row>
    <row r="33" spans="1:21" ht="13.5">
      <c r="A33" s="234"/>
      <c r="B33" s="264" t="s">
        <v>161</v>
      </c>
      <c r="C33" s="234"/>
      <c r="D33" s="102" t="s">
        <v>97</v>
      </c>
      <c r="E33" s="103">
        <f aca="true" t="shared" si="4" ref="E33:L33">E35+E36+E37+E38</f>
        <v>175510691.1</v>
      </c>
      <c r="F33" s="103">
        <f t="shared" si="4"/>
        <v>29400869</v>
      </c>
      <c r="G33" s="103">
        <f t="shared" si="4"/>
        <v>28396543.509999998</v>
      </c>
      <c r="H33" s="103">
        <f t="shared" si="4"/>
        <v>27563144.619999997</v>
      </c>
      <c r="I33" s="103">
        <f t="shared" si="4"/>
        <v>28729086.76</v>
      </c>
      <c r="J33" s="103">
        <f t="shared" si="4"/>
        <v>29457943.12</v>
      </c>
      <c r="K33" s="103">
        <f t="shared" si="4"/>
        <v>29475104.09</v>
      </c>
      <c r="L33" s="103">
        <f t="shared" si="4"/>
        <v>2488000</v>
      </c>
      <c r="M33" s="236"/>
      <c r="N33" s="244"/>
      <c r="O33" s="244"/>
      <c r="P33" s="244"/>
      <c r="Q33" s="244"/>
      <c r="R33" s="244"/>
      <c r="S33" s="244"/>
      <c r="T33" s="244"/>
      <c r="U33" s="247"/>
    </row>
    <row r="34" spans="1:21" ht="12.75" customHeight="1">
      <c r="A34" s="234"/>
      <c r="B34" s="265"/>
      <c r="C34" s="234"/>
      <c r="D34" s="239" t="s">
        <v>117</v>
      </c>
      <c r="E34" s="240"/>
      <c r="F34" s="240"/>
      <c r="G34" s="240"/>
      <c r="H34" s="240"/>
      <c r="I34" s="240"/>
      <c r="J34" s="240"/>
      <c r="K34" s="240"/>
      <c r="L34" s="241"/>
      <c r="M34" s="237"/>
      <c r="N34" s="245"/>
      <c r="O34" s="245"/>
      <c r="P34" s="245"/>
      <c r="Q34" s="245"/>
      <c r="R34" s="245"/>
      <c r="S34" s="245"/>
      <c r="T34" s="245"/>
      <c r="U34" s="248"/>
    </row>
    <row r="35" spans="1:21" ht="13.5" customHeight="1">
      <c r="A35" s="234"/>
      <c r="B35" s="265"/>
      <c r="C35" s="234"/>
      <c r="D35" s="104" t="s">
        <v>95</v>
      </c>
      <c r="E35" s="103">
        <f>F35+G35+H35+I35+J35+K35+L35</f>
        <v>164227374.45</v>
      </c>
      <c r="F35" s="105">
        <f>F11+F17+F23+F29</f>
        <v>28400869</v>
      </c>
      <c r="G35" s="105">
        <f aca="true" t="shared" si="5" ref="G35:L35">G11+G17+G29+G23</f>
        <v>26885454.86</v>
      </c>
      <c r="H35" s="105">
        <f t="shared" si="5"/>
        <v>26909030.619999997</v>
      </c>
      <c r="I35" s="105">
        <f t="shared" si="5"/>
        <v>28074972.76</v>
      </c>
      <c r="J35" s="105">
        <f t="shared" si="5"/>
        <v>26969943.12</v>
      </c>
      <c r="K35" s="105">
        <f t="shared" si="5"/>
        <v>26987104.09</v>
      </c>
      <c r="L35" s="105">
        <f t="shared" si="5"/>
        <v>0</v>
      </c>
      <c r="M35" s="237"/>
      <c r="N35" s="245"/>
      <c r="O35" s="245"/>
      <c r="P35" s="245"/>
      <c r="Q35" s="245"/>
      <c r="R35" s="245"/>
      <c r="S35" s="245"/>
      <c r="T35" s="245"/>
      <c r="U35" s="248"/>
    </row>
    <row r="36" spans="1:21" ht="13.5" customHeight="1">
      <c r="A36" s="234"/>
      <c r="B36" s="265"/>
      <c r="C36" s="234"/>
      <c r="D36" s="104" t="s">
        <v>93</v>
      </c>
      <c r="E36" s="103">
        <f>F36+G36+H36+I36+J36+K36+L36</f>
        <v>0</v>
      </c>
      <c r="F36" s="105">
        <f aca="true" t="shared" si="6" ref="F36:L38">F12+F18+F30</f>
        <v>0</v>
      </c>
      <c r="G36" s="105">
        <f t="shared" si="6"/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37"/>
      <c r="N36" s="245"/>
      <c r="O36" s="245"/>
      <c r="P36" s="245"/>
      <c r="Q36" s="245"/>
      <c r="R36" s="245"/>
      <c r="S36" s="245"/>
      <c r="T36" s="245"/>
      <c r="U36" s="248"/>
    </row>
    <row r="37" spans="1:21" ht="13.5" customHeight="1">
      <c r="A37" s="234"/>
      <c r="B37" s="265"/>
      <c r="C37" s="234"/>
      <c r="D37" s="104" t="s">
        <v>94</v>
      </c>
      <c r="E37" s="103">
        <f>F37+G37+H37+I37+J37+K37+L37</f>
        <v>0</v>
      </c>
      <c r="F37" s="105">
        <f t="shared" si="6"/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37"/>
      <c r="N37" s="245"/>
      <c r="O37" s="245"/>
      <c r="P37" s="245"/>
      <c r="Q37" s="245"/>
      <c r="R37" s="245"/>
      <c r="S37" s="245"/>
      <c r="T37" s="245"/>
      <c r="U37" s="248"/>
    </row>
    <row r="38" spans="1:21" ht="13.5" customHeight="1">
      <c r="A38" s="234"/>
      <c r="B38" s="266"/>
      <c r="C38" s="234"/>
      <c r="D38" s="104" t="s">
        <v>96</v>
      </c>
      <c r="E38" s="103">
        <f>F38+G38+H38+I38+J38+K38+L38</f>
        <v>11283316.65</v>
      </c>
      <c r="F38" s="105">
        <f t="shared" si="6"/>
        <v>1000000</v>
      </c>
      <c r="G38" s="105">
        <f t="shared" si="6"/>
        <v>1511088.65</v>
      </c>
      <c r="H38" s="105">
        <f t="shared" si="6"/>
        <v>654114</v>
      </c>
      <c r="I38" s="105">
        <f t="shared" si="6"/>
        <v>654114</v>
      </c>
      <c r="J38" s="105">
        <f t="shared" si="6"/>
        <v>2488000</v>
      </c>
      <c r="K38" s="105">
        <f t="shared" si="6"/>
        <v>2488000</v>
      </c>
      <c r="L38" s="105">
        <f t="shared" si="6"/>
        <v>2488000</v>
      </c>
      <c r="M38" s="238"/>
      <c r="N38" s="246"/>
      <c r="O38" s="246"/>
      <c r="P38" s="246"/>
      <c r="Q38" s="246"/>
      <c r="R38" s="246"/>
      <c r="S38" s="246"/>
      <c r="T38" s="246"/>
      <c r="U38" s="249"/>
    </row>
    <row r="39" spans="1:21" ht="13.5" customHeight="1">
      <c r="A39" s="234"/>
      <c r="B39" s="264" t="s">
        <v>247</v>
      </c>
      <c r="C39" s="234"/>
      <c r="D39" s="102" t="s">
        <v>97</v>
      </c>
      <c r="E39" s="103">
        <f aca="true" t="shared" si="7" ref="E39:L39">E41+E42+E43+E44</f>
        <v>175510691.1</v>
      </c>
      <c r="F39" s="103">
        <f t="shared" si="7"/>
        <v>29400869</v>
      </c>
      <c r="G39" s="103">
        <f t="shared" si="7"/>
        <v>28396543.509999998</v>
      </c>
      <c r="H39" s="103">
        <f t="shared" si="7"/>
        <v>27563144.619999997</v>
      </c>
      <c r="I39" s="103">
        <f t="shared" si="7"/>
        <v>28729086.76</v>
      </c>
      <c r="J39" s="103">
        <f t="shared" si="7"/>
        <v>29457943.12</v>
      </c>
      <c r="K39" s="103">
        <f t="shared" si="7"/>
        <v>29475104.09</v>
      </c>
      <c r="L39" s="103">
        <f t="shared" si="7"/>
        <v>2488000</v>
      </c>
      <c r="M39" s="236"/>
      <c r="N39" s="244"/>
      <c r="O39" s="244"/>
      <c r="P39" s="244"/>
      <c r="Q39" s="244"/>
      <c r="R39" s="244"/>
      <c r="S39" s="244"/>
      <c r="T39" s="244"/>
      <c r="U39" s="247"/>
    </row>
    <row r="40" spans="1:21" ht="12.75" customHeight="1">
      <c r="A40" s="234"/>
      <c r="B40" s="265"/>
      <c r="C40" s="234"/>
      <c r="D40" s="239" t="s">
        <v>117</v>
      </c>
      <c r="E40" s="240"/>
      <c r="F40" s="240"/>
      <c r="G40" s="240"/>
      <c r="H40" s="240"/>
      <c r="I40" s="240"/>
      <c r="J40" s="240"/>
      <c r="K40" s="240"/>
      <c r="L40" s="241"/>
      <c r="M40" s="237"/>
      <c r="N40" s="245"/>
      <c r="O40" s="245"/>
      <c r="P40" s="245"/>
      <c r="Q40" s="245"/>
      <c r="R40" s="245"/>
      <c r="S40" s="245"/>
      <c r="T40" s="245"/>
      <c r="U40" s="248"/>
    </row>
    <row r="41" spans="1:21" ht="13.5" customHeight="1">
      <c r="A41" s="234"/>
      <c r="B41" s="265"/>
      <c r="C41" s="234"/>
      <c r="D41" s="104" t="s">
        <v>95</v>
      </c>
      <c r="E41" s="103">
        <f>F41+G41+H41+I41+J41+K41+L41</f>
        <v>164227374.45</v>
      </c>
      <c r="F41" s="105">
        <f aca="true" t="shared" si="8" ref="F41:H44">F35</f>
        <v>28400869</v>
      </c>
      <c r="G41" s="105">
        <f t="shared" si="8"/>
        <v>26885454.86</v>
      </c>
      <c r="H41" s="105">
        <f t="shared" si="8"/>
        <v>26909030.619999997</v>
      </c>
      <c r="I41" s="105">
        <f aca="true" t="shared" si="9" ref="I41:L44">I35</f>
        <v>28074972.76</v>
      </c>
      <c r="J41" s="105">
        <f t="shared" si="9"/>
        <v>26969943.12</v>
      </c>
      <c r="K41" s="105">
        <f t="shared" si="9"/>
        <v>26987104.09</v>
      </c>
      <c r="L41" s="105">
        <f t="shared" si="9"/>
        <v>0</v>
      </c>
      <c r="M41" s="237"/>
      <c r="N41" s="245"/>
      <c r="O41" s="245"/>
      <c r="P41" s="245"/>
      <c r="Q41" s="245"/>
      <c r="R41" s="245"/>
      <c r="S41" s="245"/>
      <c r="T41" s="245"/>
      <c r="U41" s="248"/>
    </row>
    <row r="42" spans="1:21" ht="13.5" customHeight="1">
      <c r="A42" s="234"/>
      <c r="B42" s="265"/>
      <c r="C42" s="234"/>
      <c r="D42" s="104" t="s">
        <v>93</v>
      </c>
      <c r="E42" s="103">
        <f>F42+G42+H42+I42+J42+K42+L42</f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9"/>
        <v>0</v>
      </c>
      <c r="J42" s="105">
        <f t="shared" si="9"/>
        <v>0</v>
      </c>
      <c r="K42" s="105">
        <f t="shared" si="9"/>
        <v>0</v>
      </c>
      <c r="L42" s="105">
        <f t="shared" si="9"/>
        <v>0</v>
      </c>
      <c r="M42" s="237"/>
      <c r="N42" s="245"/>
      <c r="O42" s="245"/>
      <c r="P42" s="245"/>
      <c r="Q42" s="245"/>
      <c r="R42" s="245"/>
      <c r="S42" s="245"/>
      <c r="T42" s="245"/>
      <c r="U42" s="248"/>
    </row>
    <row r="43" spans="1:21" ht="13.5" customHeight="1">
      <c r="A43" s="234"/>
      <c r="B43" s="265"/>
      <c r="C43" s="234"/>
      <c r="D43" s="104" t="s">
        <v>94</v>
      </c>
      <c r="E43" s="103">
        <f>F43+G43+H43+I43+J43+K43+L43</f>
        <v>0</v>
      </c>
      <c r="F43" s="105">
        <f t="shared" si="8"/>
        <v>0</v>
      </c>
      <c r="G43" s="105">
        <f t="shared" si="8"/>
        <v>0</v>
      </c>
      <c r="H43" s="105">
        <f t="shared" si="8"/>
        <v>0</v>
      </c>
      <c r="I43" s="105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237"/>
      <c r="N43" s="245"/>
      <c r="O43" s="245"/>
      <c r="P43" s="245"/>
      <c r="Q43" s="245"/>
      <c r="R43" s="245"/>
      <c r="S43" s="245"/>
      <c r="T43" s="245"/>
      <c r="U43" s="248"/>
    </row>
    <row r="44" spans="1:21" ht="13.5" customHeight="1">
      <c r="A44" s="234"/>
      <c r="B44" s="266"/>
      <c r="C44" s="234"/>
      <c r="D44" s="104" t="s">
        <v>96</v>
      </c>
      <c r="E44" s="103">
        <f>F44+G44+H44+I44+J44+K44+L44</f>
        <v>11283316.65</v>
      </c>
      <c r="F44" s="105">
        <f t="shared" si="8"/>
        <v>1000000</v>
      </c>
      <c r="G44" s="105">
        <f t="shared" si="8"/>
        <v>1511088.65</v>
      </c>
      <c r="H44" s="105">
        <f t="shared" si="8"/>
        <v>654114</v>
      </c>
      <c r="I44" s="105">
        <f t="shared" si="9"/>
        <v>654114</v>
      </c>
      <c r="J44" s="105">
        <f t="shared" si="9"/>
        <v>2488000</v>
      </c>
      <c r="K44" s="105">
        <f t="shared" si="9"/>
        <v>2488000</v>
      </c>
      <c r="L44" s="105">
        <f t="shared" si="9"/>
        <v>2488000</v>
      </c>
      <c r="M44" s="238"/>
      <c r="N44" s="246"/>
      <c r="O44" s="246"/>
      <c r="P44" s="246"/>
      <c r="Q44" s="246"/>
      <c r="R44" s="246"/>
      <c r="S44" s="246"/>
      <c r="T44" s="246"/>
      <c r="U44" s="249"/>
    </row>
    <row r="47" ht="12.75">
      <c r="G47" s="26"/>
    </row>
  </sheetData>
  <sheetProtection/>
  <mergeCells count="89"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4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2.421875" style="8" customWidth="1"/>
    <col min="2" max="2" width="18.28125" style="8" customWidth="1"/>
    <col min="3" max="3" width="15.421875" style="8" customWidth="1"/>
    <col min="4" max="4" width="14.8515625" style="8" customWidth="1"/>
    <col min="5" max="5" width="14.28125" style="8" customWidth="1"/>
    <col min="6" max="6" width="15.7109375" style="8" bestFit="1" customWidth="1"/>
    <col min="7" max="8" width="14.28125" style="8" bestFit="1" customWidth="1"/>
    <col min="9" max="9" width="15.7109375" style="8" bestFit="1" customWidth="1"/>
    <col min="10" max="16384" width="9.140625" style="8" customWidth="1"/>
  </cols>
  <sheetData>
    <row r="1" spans="6:9" ht="71.25" customHeight="1">
      <c r="F1" s="291" t="s">
        <v>282</v>
      </c>
      <c r="G1" s="291"/>
      <c r="H1" s="291"/>
      <c r="I1" s="291"/>
    </row>
    <row r="2" spans="5:10" ht="18.75" customHeight="1">
      <c r="E2" s="9"/>
      <c r="G2" s="10"/>
      <c r="H2" s="10"/>
      <c r="I2" s="2" t="s">
        <v>248</v>
      </c>
      <c r="J2" s="10"/>
    </row>
    <row r="4" spans="1:9" ht="36.75" customHeight="1">
      <c r="A4" s="300" t="s">
        <v>249</v>
      </c>
      <c r="B4" s="300"/>
      <c r="C4" s="300"/>
      <c r="D4" s="300"/>
      <c r="E4" s="300"/>
      <c r="F4" s="300"/>
      <c r="G4" s="300"/>
      <c r="H4" s="300"/>
      <c r="I4" s="300"/>
    </row>
    <row r="5" spans="1:9" ht="30" customHeight="1">
      <c r="A5" s="301" t="s">
        <v>103</v>
      </c>
      <c r="B5" s="303" t="s">
        <v>104</v>
      </c>
      <c r="C5" s="305" t="s">
        <v>105</v>
      </c>
      <c r="D5" s="305"/>
      <c r="E5" s="305"/>
      <c r="F5" s="305"/>
      <c r="G5" s="305"/>
      <c r="H5" s="305"/>
      <c r="I5" s="305"/>
    </row>
    <row r="6" spans="1:9" ht="16.5" customHeight="1">
      <c r="A6" s="302"/>
      <c r="B6" s="304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  <c r="I6" s="53">
        <v>2020</v>
      </c>
    </row>
    <row r="7" spans="1:9" ht="16.5" customHeight="1">
      <c r="A7" s="54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7">
        <v>9</v>
      </c>
    </row>
    <row r="8" spans="1:9" ht="19.5" customHeight="1">
      <c r="A8" s="12" t="s">
        <v>250</v>
      </c>
      <c r="B8" s="13">
        <f>B10+B11+B12+B13</f>
        <v>319055650.46999997</v>
      </c>
      <c r="C8" s="13">
        <f aca="true" t="shared" si="0" ref="C8:I8">C10+C11+C12+C13</f>
        <v>42388334</v>
      </c>
      <c r="D8" s="13">
        <f t="shared" si="0"/>
        <v>51554076.68</v>
      </c>
      <c r="E8" s="13">
        <f t="shared" si="0"/>
        <v>49201469.76</v>
      </c>
      <c r="F8" s="13">
        <f t="shared" si="0"/>
        <v>49484917.76</v>
      </c>
      <c r="G8" s="13">
        <f t="shared" si="0"/>
        <v>42140522.81</v>
      </c>
      <c r="H8" s="13">
        <f t="shared" si="0"/>
        <v>42143164.730000004</v>
      </c>
      <c r="I8" s="13">
        <f t="shared" si="0"/>
        <v>42143164.730000004</v>
      </c>
    </row>
    <row r="9" spans="1:9" ht="16.5" customHeight="1">
      <c r="A9" s="297" t="s">
        <v>106</v>
      </c>
      <c r="B9" s="298"/>
      <c r="C9" s="298"/>
      <c r="D9" s="298"/>
      <c r="E9" s="298"/>
      <c r="F9" s="298"/>
      <c r="G9" s="298"/>
      <c r="H9" s="298"/>
      <c r="I9" s="299"/>
    </row>
    <row r="10" spans="1:9" ht="16.5" customHeight="1">
      <c r="A10" s="14" t="s">
        <v>107</v>
      </c>
      <c r="B10" s="13">
        <f>C10+D10+E10+F10+G10+H10+I10</f>
        <v>42180631.019999996</v>
      </c>
      <c r="C10" s="16">
        <f>C17</f>
        <v>6370094</v>
      </c>
      <c r="D10" s="16">
        <f aca="true" t="shared" si="1" ref="D10:I10">D17</f>
        <v>6261697.23</v>
      </c>
      <c r="E10" s="16">
        <f t="shared" si="1"/>
        <v>5948669.76</v>
      </c>
      <c r="F10" s="16">
        <f t="shared" si="1"/>
        <v>6079017.76</v>
      </c>
      <c r="G10" s="16">
        <f t="shared" si="1"/>
        <v>5838622.81</v>
      </c>
      <c r="H10" s="16">
        <f t="shared" si="1"/>
        <v>5841264.7299999995</v>
      </c>
      <c r="I10" s="16">
        <f t="shared" si="1"/>
        <v>5841264.7299999995</v>
      </c>
    </row>
    <row r="11" spans="1:9" ht="16.5" customHeight="1">
      <c r="A11" s="14" t="s">
        <v>20</v>
      </c>
      <c r="B11" s="13">
        <f>C11+D11+E11+F11+G11+H11+I11</f>
        <v>105252400</v>
      </c>
      <c r="C11" s="16">
        <f aca="true" t="shared" si="2" ref="C11:I13">C18</f>
        <v>16180900</v>
      </c>
      <c r="D11" s="16">
        <f t="shared" si="2"/>
        <v>13779800</v>
      </c>
      <c r="E11" s="16">
        <f t="shared" si="2"/>
        <v>14942700</v>
      </c>
      <c r="F11" s="16">
        <f t="shared" si="2"/>
        <v>15095800</v>
      </c>
      <c r="G11" s="16">
        <f t="shared" si="2"/>
        <v>15084400</v>
      </c>
      <c r="H11" s="16">
        <f t="shared" si="2"/>
        <v>15084400</v>
      </c>
      <c r="I11" s="16">
        <f t="shared" si="2"/>
        <v>15084400</v>
      </c>
    </row>
    <row r="12" spans="1:9" ht="16.5" customHeight="1">
      <c r="A12" s="14" t="s">
        <v>21</v>
      </c>
      <c r="B12" s="13">
        <f>C12+D12+E12+F12+G12+H12+I12</f>
        <v>0</v>
      </c>
      <c r="C12" s="16">
        <f>C19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</row>
    <row r="13" spans="1:9" ht="16.5" customHeight="1">
      <c r="A13" s="14" t="s">
        <v>110</v>
      </c>
      <c r="B13" s="13">
        <f>C13+D13+E13+F13+G13+H13+I13</f>
        <v>171622619.45</v>
      </c>
      <c r="C13" s="16">
        <f t="shared" si="2"/>
        <v>19837340</v>
      </c>
      <c r="D13" s="16">
        <f t="shared" si="2"/>
        <v>31512579.45</v>
      </c>
      <c r="E13" s="16">
        <f t="shared" si="2"/>
        <v>28310100</v>
      </c>
      <c r="F13" s="16">
        <f t="shared" si="2"/>
        <v>28310100</v>
      </c>
      <c r="G13" s="16">
        <f t="shared" si="2"/>
        <v>21217500</v>
      </c>
      <c r="H13" s="16">
        <f t="shared" si="2"/>
        <v>21217500</v>
      </c>
      <c r="I13" s="16">
        <f t="shared" si="2"/>
        <v>21217500</v>
      </c>
    </row>
    <row r="14" spans="1:9" ht="16.5" customHeight="1">
      <c r="A14" s="306" t="s">
        <v>111</v>
      </c>
      <c r="B14" s="307"/>
      <c r="C14" s="307"/>
      <c r="D14" s="307"/>
      <c r="E14" s="307"/>
      <c r="F14" s="307"/>
      <c r="G14" s="307"/>
      <c r="H14" s="307"/>
      <c r="I14" s="308"/>
    </row>
    <row r="15" spans="1:9" ht="48.75" customHeight="1">
      <c r="A15" s="15" t="s">
        <v>118</v>
      </c>
      <c r="B15" s="13">
        <f>B17+B18+B19+B20</f>
        <v>319055650.46999997</v>
      </c>
      <c r="C15" s="13">
        <f>C17+C18+C19+C20</f>
        <v>42388334</v>
      </c>
      <c r="D15" s="13">
        <f aca="true" t="shared" si="3" ref="D15:I15">D17+D18+D19+D20</f>
        <v>51554076.68</v>
      </c>
      <c r="E15" s="13">
        <f t="shared" si="3"/>
        <v>49201469.76</v>
      </c>
      <c r="F15" s="13">
        <f t="shared" si="3"/>
        <v>49484917.76</v>
      </c>
      <c r="G15" s="13">
        <f t="shared" si="3"/>
        <v>42140522.81</v>
      </c>
      <c r="H15" s="13">
        <f t="shared" si="3"/>
        <v>42143164.730000004</v>
      </c>
      <c r="I15" s="13">
        <f t="shared" si="3"/>
        <v>42143164.730000004</v>
      </c>
    </row>
    <row r="16" spans="1:9" ht="16.5" customHeight="1">
      <c r="A16" s="297" t="s">
        <v>106</v>
      </c>
      <c r="B16" s="298"/>
      <c r="C16" s="298"/>
      <c r="D16" s="298"/>
      <c r="E16" s="298"/>
      <c r="F16" s="298"/>
      <c r="G16" s="298"/>
      <c r="H16" s="298"/>
      <c r="I16" s="299"/>
    </row>
    <row r="17" spans="1:9" ht="16.5" customHeight="1">
      <c r="A17" s="14" t="s">
        <v>107</v>
      </c>
      <c r="B17" s="13">
        <f>C17+D17+E17+F17+G17+H17+I17</f>
        <v>42180631.019999996</v>
      </c>
      <c r="C17" s="16">
        <f>'таб 3(6)'!F53</f>
        <v>6370094</v>
      </c>
      <c r="D17" s="16">
        <f>'таб 3(6)'!G53</f>
        <v>6261697.23</v>
      </c>
      <c r="E17" s="16">
        <f>'таб 3(6)'!H53</f>
        <v>5948669.76</v>
      </c>
      <c r="F17" s="16">
        <f>'таб 3(6)'!I53</f>
        <v>6079017.76</v>
      </c>
      <c r="G17" s="16">
        <f>'таб 3(6)'!J53</f>
        <v>5838622.81</v>
      </c>
      <c r="H17" s="16">
        <f>'таб 3(6)'!K53</f>
        <v>5841264.7299999995</v>
      </c>
      <c r="I17" s="16">
        <f>'таб 3(6)'!L53</f>
        <v>5841264.7299999995</v>
      </c>
    </row>
    <row r="18" spans="1:9" ht="16.5" customHeight="1">
      <c r="A18" s="14" t="s">
        <v>20</v>
      </c>
      <c r="B18" s="13">
        <f>C18+D18+E18+F18+G18+H18+I18</f>
        <v>105252400</v>
      </c>
      <c r="C18" s="16">
        <f>'таб 3(6)'!F54</f>
        <v>16180900</v>
      </c>
      <c r="D18" s="16">
        <f>'таб 3(6)'!G54</f>
        <v>13779800</v>
      </c>
      <c r="E18" s="16">
        <f>'таб 3(6)'!H54</f>
        <v>14942700</v>
      </c>
      <c r="F18" s="16">
        <f>'таб 3(6)'!I54</f>
        <v>15095800</v>
      </c>
      <c r="G18" s="16">
        <f>'таб 3(6)'!J54</f>
        <v>15084400</v>
      </c>
      <c r="H18" s="16">
        <f>'таб 3(6)'!K54</f>
        <v>15084400</v>
      </c>
      <c r="I18" s="16">
        <f>'таб 3(6)'!L54</f>
        <v>15084400</v>
      </c>
    </row>
    <row r="19" spans="1:9" ht="16.5" customHeight="1">
      <c r="A19" s="14" t="s">
        <v>21</v>
      </c>
      <c r="B19" s="13">
        <f>C19+D19+E19+F19+G19+H19+I19</f>
        <v>0</v>
      </c>
      <c r="C19" s="16">
        <f>'таб 3(6)'!F55</f>
        <v>0</v>
      </c>
      <c r="D19" s="16">
        <f>'таб 3(6)'!G55</f>
        <v>0</v>
      </c>
      <c r="E19" s="16">
        <f>'таб 3(6)'!H55</f>
        <v>0</v>
      </c>
      <c r="F19" s="16">
        <f>'таб 3(6)'!I55</f>
        <v>0</v>
      </c>
      <c r="G19" s="16">
        <f>'таб 3(6)'!J55</f>
        <v>0</v>
      </c>
      <c r="H19" s="16">
        <f>'таб 3(6)'!K55</f>
        <v>0</v>
      </c>
      <c r="I19" s="16">
        <f>'таб 3(6)'!L55</f>
        <v>0</v>
      </c>
    </row>
    <row r="20" spans="1:9" ht="16.5" customHeight="1">
      <c r="A20" s="14" t="s">
        <v>110</v>
      </c>
      <c r="B20" s="13">
        <f>C20+D20+E20+F20+G20+H20+I20</f>
        <v>171622619.45</v>
      </c>
      <c r="C20" s="16">
        <f>'таб 3(6)'!F56</f>
        <v>19837340</v>
      </c>
      <c r="D20" s="16">
        <f>'таб 3(6)'!G56</f>
        <v>31512579.45</v>
      </c>
      <c r="E20" s="16">
        <f>'таб 3(6)'!H56</f>
        <v>28310100</v>
      </c>
      <c r="F20" s="16">
        <f>'таб 3(6)'!I56</f>
        <v>28310100</v>
      </c>
      <c r="G20" s="16">
        <f>'таб 3(6)'!J56</f>
        <v>21217500</v>
      </c>
      <c r="H20" s="16">
        <f>'таб 3(6)'!K56</f>
        <v>21217500</v>
      </c>
      <c r="I20" s="16">
        <f>'таб 3(6)'!L56</f>
        <v>21217500</v>
      </c>
    </row>
    <row r="21" spans="1:9" ht="31.5">
      <c r="A21" s="17" t="s">
        <v>112</v>
      </c>
      <c r="B21" s="13">
        <f>C21+D21+E21+F21+G21+H21+I21</f>
        <v>0</v>
      </c>
      <c r="C21" s="16">
        <f>'таб 3(6)'!F57</f>
        <v>0</v>
      </c>
      <c r="D21" s="16">
        <f>'таб 3(6)'!G57</f>
        <v>0</v>
      </c>
      <c r="E21" s="16">
        <f>'таб 3(6)'!H57</f>
        <v>0</v>
      </c>
      <c r="F21" s="16">
        <f>'таб 3(6)'!I57</f>
        <v>0</v>
      </c>
      <c r="G21" s="16">
        <f>'таб 3(6)'!J57</f>
        <v>0</v>
      </c>
      <c r="H21" s="16">
        <f>'таб 3(6)'!K57</f>
        <v>0</v>
      </c>
      <c r="I21" s="16">
        <f>'таб 3(6)'!L57</f>
        <v>0</v>
      </c>
    </row>
    <row r="23" spans="4:9" ht="15.75">
      <c r="D23" s="115"/>
      <c r="E23" s="115"/>
      <c r="F23" s="115"/>
      <c r="G23" s="115"/>
      <c r="H23" s="115"/>
      <c r="I23" s="115"/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2"/>
  <sheetViews>
    <sheetView zoomScalePageLayoutView="0" workbookViewId="0" topLeftCell="H1">
      <selection activeCell="O1" sqref="O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2.8515625" style="19" bestFit="1" customWidth="1"/>
    <col min="8" max="8" width="13.57421875" style="19" bestFit="1" customWidth="1"/>
    <col min="9" max="12" width="12.8515625" style="19" bestFit="1" customWidth="1"/>
    <col min="13" max="13" width="25.421875" style="19" customWidth="1"/>
    <col min="14" max="20" width="4.421875" style="19" bestFit="1" customWidth="1"/>
    <col min="21" max="21" width="19.421875" style="19" customWidth="1"/>
    <col min="22" max="16384" width="9.140625" style="19" customWidth="1"/>
  </cols>
  <sheetData>
    <row r="1" spans="15:21" ht="69.75" customHeight="1">
      <c r="O1" s="291" t="s">
        <v>283</v>
      </c>
      <c r="P1" s="291"/>
      <c r="Q1" s="291"/>
      <c r="R1" s="291"/>
      <c r="S1" s="291"/>
      <c r="T1" s="291"/>
      <c r="U1" s="291"/>
    </row>
    <row r="2" spans="20:21" ht="31.5">
      <c r="T2" s="100"/>
      <c r="U2" s="106" t="s">
        <v>251</v>
      </c>
    </row>
    <row r="3" spans="1:21" ht="15.75">
      <c r="A3" s="243" t="s">
        <v>252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ht="31.5" customHeight="1">
      <c r="A4" s="186" t="s">
        <v>101</v>
      </c>
      <c r="B4" s="186" t="s">
        <v>113</v>
      </c>
      <c r="C4" s="186" t="s">
        <v>114</v>
      </c>
      <c r="D4" s="186" t="s">
        <v>103</v>
      </c>
      <c r="E4" s="186" t="s">
        <v>115</v>
      </c>
      <c r="F4" s="186"/>
      <c r="G4" s="186"/>
      <c r="H4" s="186"/>
      <c r="I4" s="186"/>
      <c r="J4" s="186"/>
      <c r="K4" s="186"/>
      <c r="L4" s="186"/>
      <c r="M4" s="186" t="s">
        <v>32</v>
      </c>
      <c r="N4" s="186"/>
      <c r="O4" s="186"/>
      <c r="P4" s="186"/>
      <c r="Q4" s="186"/>
      <c r="R4" s="186"/>
      <c r="S4" s="186"/>
      <c r="T4" s="186"/>
      <c r="U4" s="232" t="s">
        <v>116</v>
      </c>
    </row>
    <row r="5" spans="1:21" ht="21" customHeight="1">
      <c r="A5" s="186"/>
      <c r="B5" s="186"/>
      <c r="C5" s="186"/>
      <c r="D5" s="186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3" t="s">
        <v>253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</row>
    <row r="8" spans="1:21" ht="12.75">
      <c r="A8" s="21">
        <v>1</v>
      </c>
      <c r="B8" s="213" t="s">
        <v>254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ht="16.5" customHeight="1">
      <c r="A9" s="223" t="s">
        <v>128</v>
      </c>
      <c r="B9" s="287" t="s">
        <v>255</v>
      </c>
      <c r="C9" s="229" t="s">
        <v>82</v>
      </c>
      <c r="D9" s="22" t="s">
        <v>97</v>
      </c>
      <c r="E9" s="23">
        <f>E11+E12+E13+E14</f>
        <v>49354779.080000006</v>
      </c>
      <c r="F9" s="23">
        <f aca="true" t="shared" si="0" ref="F9:L9">F11+F12+F13+F14</f>
        <v>6791464</v>
      </c>
      <c r="G9" s="23">
        <f t="shared" si="0"/>
        <v>6800330.36</v>
      </c>
      <c r="H9" s="23">
        <f t="shared" si="0"/>
        <v>6935497</v>
      </c>
      <c r="I9" s="23">
        <f t="shared" si="0"/>
        <v>7385545</v>
      </c>
      <c r="J9" s="23">
        <f t="shared" si="0"/>
        <v>7145552.96</v>
      </c>
      <c r="K9" s="23">
        <f t="shared" si="0"/>
        <v>7148194.88</v>
      </c>
      <c r="L9" s="23">
        <f t="shared" si="0"/>
        <v>7148194.88</v>
      </c>
      <c r="M9" s="205" t="s">
        <v>256</v>
      </c>
      <c r="N9" s="294">
        <v>2101</v>
      </c>
      <c r="O9" s="294">
        <v>2137</v>
      </c>
      <c r="P9" s="294">
        <v>2140</v>
      </c>
      <c r="Q9" s="294">
        <v>2140</v>
      </c>
      <c r="R9" s="294">
        <v>2140</v>
      </c>
      <c r="S9" s="294">
        <v>2140</v>
      </c>
      <c r="T9" s="294">
        <v>2140</v>
      </c>
      <c r="U9" s="258" t="s">
        <v>257</v>
      </c>
    </row>
    <row r="10" spans="1:21" ht="16.5" customHeight="1">
      <c r="A10" s="223"/>
      <c r="B10" s="288"/>
      <c r="C10" s="230"/>
      <c r="D10" s="216" t="s">
        <v>117</v>
      </c>
      <c r="E10" s="217"/>
      <c r="F10" s="217"/>
      <c r="G10" s="217"/>
      <c r="H10" s="217"/>
      <c r="I10" s="217"/>
      <c r="J10" s="217"/>
      <c r="K10" s="217"/>
      <c r="L10" s="218"/>
      <c r="M10" s="206"/>
      <c r="N10" s="295"/>
      <c r="O10" s="295"/>
      <c r="P10" s="295"/>
      <c r="Q10" s="295"/>
      <c r="R10" s="295"/>
      <c r="S10" s="295"/>
      <c r="T10" s="295"/>
      <c r="U10" s="259"/>
    </row>
    <row r="11" spans="1:21" ht="12.75">
      <c r="A11" s="223"/>
      <c r="B11" s="288"/>
      <c r="C11" s="230"/>
      <c r="D11" s="22" t="s">
        <v>95</v>
      </c>
      <c r="E11" s="23">
        <f>F11+G11+H11+I11+J11+K11+L11</f>
        <v>39478479.080000006</v>
      </c>
      <c r="F11" s="23">
        <v>5886264</v>
      </c>
      <c r="G11" s="23">
        <v>5658330.36</v>
      </c>
      <c r="H11" s="23">
        <v>5478597</v>
      </c>
      <c r="I11" s="23">
        <v>5783945</v>
      </c>
      <c r="J11" s="23">
        <v>5555352.96</v>
      </c>
      <c r="K11" s="23">
        <v>5557994.88</v>
      </c>
      <c r="L11" s="23">
        <v>5557994.88</v>
      </c>
      <c r="M11" s="206"/>
      <c r="N11" s="295"/>
      <c r="O11" s="295"/>
      <c r="P11" s="295"/>
      <c r="Q11" s="295"/>
      <c r="R11" s="295"/>
      <c r="S11" s="295"/>
      <c r="T11" s="295"/>
      <c r="U11" s="259"/>
    </row>
    <row r="12" spans="1:21" ht="12.75">
      <c r="A12" s="223"/>
      <c r="B12" s="288"/>
      <c r="C12" s="230"/>
      <c r="D12" s="22" t="s">
        <v>93</v>
      </c>
      <c r="E12" s="23">
        <f>F12+G12+H12+I12+J12+K12+L12</f>
        <v>9876300</v>
      </c>
      <c r="F12" s="23">
        <v>905200</v>
      </c>
      <c r="G12" s="23">
        <f>1119300+22700</f>
        <v>1142000</v>
      </c>
      <c r="H12" s="23">
        <f>1396800+60100</f>
        <v>1456900</v>
      </c>
      <c r="I12" s="23">
        <v>1601600</v>
      </c>
      <c r="J12" s="23">
        <v>1590200</v>
      </c>
      <c r="K12" s="23">
        <v>1590200</v>
      </c>
      <c r="L12" s="23">
        <v>1590200</v>
      </c>
      <c r="M12" s="206"/>
      <c r="N12" s="295"/>
      <c r="O12" s="295"/>
      <c r="P12" s="295"/>
      <c r="Q12" s="295"/>
      <c r="R12" s="295"/>
      <c r="S12" s="295"/>
      <c r="T12" s="295"/>
      <c r="U12" s="259"/>
    </row>
    <row r="13" spans="1:21" ht="12.75" customHeight="1">
      <c r="A13" s="223"/>
      <c r="B13" s="288"/>
      <c r="C13" s="230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06"/>
      <c r="N13" s="295"/>
      <c r="O13" s="295"/>
      <c r="P13" s="295"/>
      <c r="Q13" s="295"/>
      <c r="R13" s="295"/>
      <c r="S13" s="295"/>
      <c r="T13" s="295"/>
      <c r="U13" s="259"/>
    </row>
    <row r="14" spans="1:21" ht="18.75" customHeight="1">
      <c r="A14" s="223"/>
      <c r="B14" s="289"/>
      <c r="C14" s="231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07"/>
      <c r="N14" s="296"/>
      <c r="O14" s="296"/>
      <c r="P14" s="296"/>
      <c r="Q14" s="296"/>
      <c r="R14" s="296"/>
      <c r="S14" s="296"/>
      <c r="T14" s="296"/>
      <c r="U14" s="260"/>
    </row>
    <row r="15" spans="1:21" ht="24" customHeight="1">
      <c r="A15" s="223" t="s">
        <v>129</v>
      </c>
      <c r="B15" s="287" t="s">
        <v>258</v>
      </c>
      <c r="C15" s="229" t="s">
        <v>82</v>
      </c>
      <c r="D15" s="22" t="s">
        <v>97</v>
      </c>
      <c r="E15" s="23">
        <f>E17+E18+E19+E20</f>
        <v>95376100</v>
      </c>
      <c r="F15" s="23">
        <f aca="true" t="shared" si="1" ref="F15:L15">F17+F18+F19+F20</f>
        <v>15275700</v>
      </c>
      <c r="G15" s="23">
        <f t="shared" si="1"/>
        <v>12637800</v>
      </c>
      <c r="H15" s="23">
        <f t="shared" si="1"/>
        <v>13485800</v>
      </c>
      <c r="I15" s="23">
        <f t="shared" si="1"/>
        <v>13494200</v>
      </c>
      <c r="J15" s="23">
        <f t="shared" si="1"/>
        <v>13494200</v>
      </c>
      <c r="K15" s="23">
        <f t="shared" si="1"/>
        <v>13494200</v>
      </c>
      <c r="L15" s="23">
        <f t="shared" si="1"/>
        <v>13494200</v>
      </c>
      <c r="M15" s="205" t="s">
        <v>259</v>
      </c>
      <c r="N15" s="294">
        <v>1002</v>
      </c>
      <c r="O15" s="294">
        <v>1011</v>
      </c>
      <c r="P15" s="294">
        <v>1021</v>
      </c>
      <c r="Q15" s="294">
        <v>1021</v>
      </c>
      <c r="R15" s="294">
        <v>1021</v>
      </c>
      <c r="S15" s="294">
        <v>1021</v>
      </c>
      <c r="T15" s="294">
        <v>1021</v>
      </c>
      <c r="U15" s="258" t="s">
        <v>260</v>
      </c>
    </row>
    <row r="16" spans="1:21" ht="16.5" customHeight="1">
      <c r="A16" s="223"/>
      <c r="B16" s="288"/>
      <c r="C16" s="230"/>
      <c r="D16" s="216" t="s">
        <v>117</v>
      </c>
      <c r="E16" s="217"/>
      <c r="F16" s="217"/>
      <c r="G16" s="217"/>
      <c r="H16" s="217"/>
      <c r="I16" s="217"/>
      <c r="J16" s="217"/>
      <c r="K16" s="217"/>
      <c r="L16" s="218"/>
      <c r="M16" s="206"/>
      <c r="N16" s="295"/>
      <c r="O16" s="295"/>
      <c r="P16" s="295"/>
      <c r="Q16" s="295"/>
      <c r="R16" s="295"/>
      <c r="S16" s="295"/>
      <c r="T16" s="295"/>
      <c r="U16" s="259"/>
    </row>
    <row r="17" spans="1:21" ht="18" customHeight="1">
      <c r="A17" s="223"/>
      <c r="B17" s="288"/>
      <c r="C17" s="230"/>
      <c r="D17" s="22" t="s">
        <v>95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06"/>
      <c r="N17" s="295"/>
      <c r="O17" s="295"/>
      <c r="P17" s="295"/>
      <c r="Q17" s="295"/>
      <c r="R17" s="295"/>
      <c r="S17" s="295"/>
      <c r="T17" s="295"/>
      <c r="U17" s="259"/>
    </row>
    <row r="18" spans="1:21" ht="12.75" customHeight="1">
      <c r="A18" s="223"/>
      <c r="B18" s="288"/>
      <c r="C18" s="230"/>
      <c r="D18" s="22" t="s">
        <v>93</v>
      </c>
      <c r="E18" s="23">
        <f>F18+G18+H18+I18+J18+K18+L18</f>
        <v>95376100</v>
      </c>
      <c r="F18" s="23">
        <v>15275700</v>
      </c>
      <c r="G18" s="23">
        <v>12637800</v>
      </c>
      <c r="H18" s="23">
        <f>13137100+348700</f>
        <v>13485800</v>
      </c>
      <c r="I18" s="23">
        <v>13494200</v>
      </c>
      <c r="J18" s="23">
        <v>13494200</v>
      </c>
      <c r="K18" s="23">
        <v>13494200</v>
      </c>
      <c r="L18" s="23">
        <v>13494200</v>
      </c>
      <c r="M18" s="206"/>
      <c r="N18" s="295"/>
      <c r="O18" s="295"/>
      <c r="P18" s="295"/>
      <c r="Q18" s="295"/>
      <c r="R18" s="295"/>
      <c r="S18" s="295"/>
      <c r="T18" s="295"/>
      <c r="U18" s="259"/>
    </row>
    <row r="19" spans="1:21" ht="12.75" customHeight="1">
      <c r="A19" s="223"/>
      <c r="B19" s="288"/>
      <c r="C19" s="230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06"/>
      <c r="N19" s="295"/>
      <c r="O19" s="295"/>
      <c r="P19" s="295"/>
      <c r="Q19" s="295"/>
      <c r="R19" s="295"/>
      <c r="S19" s="295"/>
      <c r="T19" s="295"/>
      <c r="U19" s="259"/>
    </row>
    <row r="20" spans="1:21" ht="24" customHeight="1">
      <c r="A20" s="223"/>
      <c r="B20" s="289"/>
      <c r="C20" s="231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07"/>
      <c r="N20" s="296"/>
      <c r="O20" s="296"/>
      <c r="P20" s="296"/>
      <c r="Q20" s="296"/>
      <c r="R20" s="296"/>
      <c r="S20" s="296"/>
      <c r="T20" s="296"/>
      <c r="U20" s="260"/>
    </row>
    <row r="21" spans="1:21" ht="15" customHeight="1">
      <c r="A21" s="223" t="s">
        <v>130</v>
      </c>
      <c r="B21" s="287" t="s">
        <v>261</v>
      </c>
      <c r="C21" s="229" t="s">
        <v>82</v>
      </c>
      <c r="D21" s="22" t="s">
        <v>97</v>
      </c>
      <c r="E21" s="23">
        <f>E23+E24+E25+E26</f>
        <v>171622619.45</v>
      </c>
      <c r="F21" s="23">
        <f aca="true" t="shared" si="2" ref="F21:L21">F23+F24+F25+F26</f>
        <v>19837340</v>
      </c>
      <c r="G21" s="23">
        <f t="shared" si="2"/>
        <v>31512579.45</v>
      </c>
      <c r="H21" s="23">
        <f t="shared" si="2"/>
        <v>28310100</v>
      </c>
      <c r="I21" s="23">
        <f t="shared" si="2"/>
        <v>28310100</v>
      </c>
      <c r="J21" s="23">
        <f t="shared" si="2"/>
        <v>21217500</v>
      </c>
      <c r="K21" s="23">
        <f t="shared" si="2"/>
        <v>21217500</v>
      </c>
      <c r="L21" s="23">
        <f t="shared" si="2"/>
        <v>21217500</v>
      </c>
      <c r="M21" s="205" t="s">
        <v>262</v>
      </c>
      <c r="N21" s="294">
        <v>90</v>
      </c>
      <c r="O21" s="294">
        <v>93</v>
      </c>
      <c r="P21" s="294">
        <v>94</v>
      </c>
      <c r="Q21" s="294">
        <v>95</v>
      </c>
      <c r="R21" s="294">
        <v>100</v>
      </c>
      <c r="S21" s="294">
        <v>100</v>
      </c>
      <c r="T21" s="294">
        <v>100</v>
      </c>
      <c r="U21" s="258" t="s">
        <v>260</v>
      </c>
    </row>
    <row r="22" spans="1:21" ht="16.5" customHeight="1">
      <c r="A22" s="223"/>
      <c r="B22" s="288"/>
      <c r="C22" s="230"/>
      <c r="D22" s="216" t="s">
        <v>117</v>
      </c>
      <c r="E22" s="217"/>
      <c r="F22" s="217"/>
      <c r="G22" s="217"/>
      <c r="H22" s="217"/>
      <c r="I22" s="217"/>
      <c r="J22" s="217"/>
      <c r="K22" s="217"/>
      <c r="L22" s="218"/>
      <c r="M22" s="206"/>
      <c r="N22" s="295"/>
      <c r="O22" s="295"/>
      <c r="P22" s="295"/>
      <c r="Q22" s="295"/>
      <c r="R22" s="295"/>
      <c r="S22" s="295"/>
      <c r="T22" s="295"/>
      <c r="U22" s="259"/>
    </row>
    <row r="23" spans="1:21" ht="12.75" customHeight="1">
      <c r="A23" s="223"/>
      <c r="B23" s="288"/>
      <c r="C23" s="230"/>
      <c r="D23" s="22" t="s">
        <v>95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06"/>
      <c r="N23" s="295"/>
      <c r="O23" s="295"/>
      <c r="P23" s="295"/>
      <c r="Q23" s="295"/>
      <c r="R23" s="295"/>
      <c r="S23" s="295"/>
      <c r="T23" s="295"/>
      <c r="U23" s="259"/>
    </row>
    <row r="24" spans="1:21" ht="12.75" customHeight="1">
      <c r="A24" s="223"/>
      <c r="B24" s="288"/>
      <c r="C24" s="230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06"/>
      <c r="N24" s="295"/>
      <c r="O24" s="295"/>
      <c r="P24" s="295"/>
      <c r="Q24" s="295"/>
      <c r="R24" s="295"/>
      <c r="S24" s="295"/>
      <c r="T24" s="295"/>
      <c r="U24" s="259"/>
    </row>
    <row r="25" spans="1:21" ht="12.75" customHeight="1">
      <c r="A25" s="223"/>
      <c r="B25" s="288"/>
      <c r="C25" s="230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06"/>
      <c r="N25" s="295"/>
      <c r="O25" s="295"/>
      <c r="P25" s="295"/>
      <c r="Q25" s="295"/>
      <c r="R25" s="295"/>
      <c r="S25" s="295"/>
      <c r="T25" s="295"/>
      <c r="U25" s="259"/>
    </row>
    <row r="26" spans="1:21" ht="12.75" customHeight="1">
      <c r="A26" s="223"/>
      <c r="B26" s="289"/>
      <c r="C26" s="231"/>
      <c r="D26" s="22" t="s">
        <v>96</v>
      </c>
      <c r="E26" s="23">
        <f>F26+G26+H26+I26+J26+K26+L26</f>
        <v>171622619.45</v>
      </c>
      <c r="F26" s="23">
        <v>19837340</v>
      </c>
      <c r="G26" s="84">
        <v>31512579.45</v>
      </c>
      <c r="H26" s="84">
        <v>28310100</v>
      </c>
      <c r="I26" s="84">
        <v>28310100</v>
      </c>
      <c r="J26" s="84">
        <v>21217500</v>
      </c>
      <c r="K26" s="84">
        <v>21217500</v>
      </c>
      <c r="L26" s="84">
        <v>21217500</v>
      </c>
      <c r="M26" s="207"/>
      <c r="N26" s="296"/>
      <c r="O26" s="296"/>
      <c r="P26" s="296"/>
      <c r="Q26" s="296"/>
      <c r="R26" s="296"/>
      <c r="S26" s="296"/>
      <c r="T26" s="296"/>
      <c r="U26" s="260"/>
    </row>
    <row r="27" spans="1:21" ht="15" customHeight="1">
      <c r="A27" s="223" t="s">
        <v>131</v>
      </c>
      <c r="B27" s="287" t="s">
        <v>263</v>
      </c>
      <c r="C27" s="229" t="s">
        <v>82</v>
      </c>
      <c r="D27" s="22" t="s">
        <v>97</v>
      </c>
      <c r="E27" s="23">
        <f>E29+E30+E31+E32</f>
        <v>44288.86</v>
      </c>
      <c r="F27" s="23">
        <f aca="true" t="shared" si="3" ref="F27:L27">F29+F30+F31+F32</f>
        <v>33830</v>
      </c>
      <c r="G27" s="23">
        <f t="shared" si="3"/>
        <v>10458.86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05" t="s">
        <v>3</v>
      </c>
      <c r="N27" s="202">
        <v>1</v>
      </c>
      <c r="O27" s="202">
        <v>1</v>
      </c>
      <c r="P27" s="202">
        <v>1</v>
      </c>
      <c r="Q27" s="202">
        <v>1</v>
      </c>
      <c r="R27" s="202">
        <v>1</v>
      </c>
      <c r="S27" s="202">
        <v>1</v>
      </c>
      <c r="T27" s="202">
        <v>1</v>
      </c>
      <c r="U27" s="205" t="s">
        <v>264</v>
      </c>
    </row>
    <row r="28" spans="1:21" ht="16.5" customHeight="1">
      <c r="A28" s="223"/>
      <c r="B28" s="288"/>
      <c r="C28" s="230"/>
      <c r="D28" s="216" t="s">
        <v>117</v>
      </c>
      <c r="E28" s="217"/>
      <c r="F28" s="217"/>
      <c r="G28" s="217"/>
      <c r="H28" s="217"/>
      <c r="I28" s="217"/>
      <c r="J28" s="217"/>
      <c r="K28" s="217"/>
      <c r="L28" s="218"/>
      <c r="M28" s="206"/>
      <c r="N28" s="203"/>
      <c r="O28" s="203"/>
      <c r="P28" s="203"/>
      <c r="Q28" s="203"/>
      <c r="R28" s="203"/>
      <c r="S28" s="203"/>
      <c r="T28" s="203"/>
      <c r="U28" s="206"/>
    </row>
    <row r="29" spans="1:21" ht="12.75" customHeight="1">
      <c r="A29" s="223"/>
      <c r="B29" s="288"/>
      <c r="C29" s="230"/>
      <c r="D29" s="22" t="s">
        <v>95</v>
      </c>
      <c r="E29" s="23">
        <f>F29+G29+H29+I29+J29+K29+L29</f>
        <v>44288.86</v>
      </c>
      <c r="F29" s="23">
        <v>33830</v>
      </c>
      <c r="G29" s="23">
        <f>11046-587.32+0.18</f>
        <v>10458.86</v>
      </c>
      <c r="H29" s="23">
        <v>0</v>
      </c>
      <c r="I29" s="23">
        <v>0</v>
      </c>
      <c r="J29" s="23"/>
      <c r="K29" s="23"/>
      <c r="L29" s="23"/>
      <c r="M29" s="206"/>
      <c r="N29" s="203"/>
      <c r="O29" s="203"/>
      <c r="P29" s="203"/>
      <c r="Q29" s="203"/>
      <c r="R29" s="203"/>
      <c r="S29" s="203"/>
      <c r="T29" s="203"/>
      <c r="U29" s="206"/>
    </row>
    <row r="30" spans="1:21" ht="12.75" customHeight="1">
      <c r="A30" s="223"/>
      <c r="B30" s="288"/>
      <c r="C30" s="230"/>
      <c r="D30" s="22" t="s">
        <v>93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06"/>
      <c r="N30" s="203"/>
      <c r="O30" s="203"/>
      <c r="P30" s="203"/>
      <c r="Q30" s="203"/>
      <c r="R30" s="203"/>
      <c r="S30" s="203"/>
      <c r="T30" s="203"/>
      <c r="U30" s="206"/>
    </row>
    <row r="31" spans="1:21" ht="12.75" customHeight="1">
      <c r="A31" s="223"/>
      <c r="B31" s="288"/>
      <c r="C31" s="230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06"/>
      <c r="N31" s="203"/>
      <c r="O31" s="203"/>
      <c r="P31" s="203"/>
      <c r="Q31" s="203"/>
      <c r="R31" s="203"/>
      <c r="S31" s="203"/>
      <c r="T31" s="203"/>
      <c r="U31" s="206"/>
    </row>
    <row r="32" spans="1:21" ht="12.75" customHeight="1">
      <c r="A32" s="223"/>
      <c r="B32" s="289"/>
      <c r="C32" s="231"/>
      <c r="D32" s="22" t="s">
        <v>96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07"/>
      <c r="N32" s="204"/>
      <c r="O32" s="204"/>
      <c r="P32" s="204"/>
      <c r="Q32" s="204"/>
      <c r="R32" s="204"/>
      <c r="S32" s="204"/>
      <c r="T32" s="204"/>
      <c r="U32" s="207"/>
    </row>
    <row r="33" spans="1:21" ht="15" customHeight="1">
      <c r="A33" s="223" t="s">
        <v>132</v>
      </c>
      <c r="B33" s="287" t="s">
        <v>265</v>
      </c>
      <c r="C33" s="229" t="s">
        <v>82</v>
      </c>
      <c r="D33" s="22" t="s">
        <v>97</v>
      </c>
      <c r="E33" s="23">
        <f>E35+E36+E37+E38</f>
        <v>1857863.08</v>
      </c>
      <c r="F33" s="23">
        <f aca="true" t="shared" si="4" ref="F33:L33">F35+F36+F37+F38</f>
        <v>0</v>
      </c>
      <c r="G33" s="23">
        <f t="shared" si="4"/>
        <v>417908.01</v>
      </c>
      <c r="H33" s="23">
        <f t="shared" si="4"/>
        <v>295072.76</v>
      </c>
      <c r="I33" s="23">
        <f t="shared" si="4"/>
        <v>295072.76</v>
      </c>
      <c r="J33" s="23">
        <f t="shared" si="4"/>
        <v>283269.85</v>
      </c>
      <c r="K33" s="23">
        <f t="shared" si="4"/>
        <v>283269.85</v>
      </c>
      <c r="L33" s="23">
        <f t="shared" si="4"/>
        <v>283269.85</v>
      </c>
      <c r="M33" s="205" t="s">
        <v>202</v>
      </c>
      <c r="N33" s="202">
        <v>1</v>
      </c>
      <c r="O33" s="202">
        <v>1</v>
      </c>
      <c r="P33" s="202">
        <v>1</v>
      </c>
      <c r="Q33" s="202">
        <v>1</v>
      </c>
      <c r="R33" s="202">
        <v>1</v>
      </c>
      <c r="S33" s="202">
        <v>1</v>
      </c>
      <c r="T33" s="202">
        <v>1</v>
      </c>
      <c r="U33" s="205" t="s">
        <v>264</v>
      </c>
    </row>
    <row r="34" spans="1:21" ht="16.5" customHeight="1">
      <c r="A34" s="223"/>
      <c r="B34" s="288"/>
      <c r="C34" s="230"/>
      <c r="D34" s="216" t="s">
        <v>117</v>
      </c>
      <c r="E34" s="217"/>
      <c r="F34" s="217"/>
      <c r="G34" s="217"/>
      <c r="H34" s="217"/>
      <c r="I34" s="217"/>
      <c r="J34" s="217"/>
      <c r="K34" s="217"/>
      <c r="L34" s="218"/>
      <c r="M34" s="206"/>
      <c r="N34" s="203"/>
      <c r="O34" s="203"/>
      <c r="P34" s="203"/>
      <c r="Q34" s="203"/>
      <c r="R34" s="203"/>
      <c r="S34" s="203"/>
      <c r="T34" s="203"/>
      <c r="U34" s="206"/>
    </row>
    <row r="35" spans="1:21" ht="12.75" customHeight="1">
      <c r="A35" s="223"/>
      <c r="B35" s="288"/>
      <c r="C35" s="230"/>
      <c r="D35" s="22" t="s">
        <v>95</v>
      </c>
      <c r="E35" s="23">
        <f>F35+G35+H35+I35+J35+K35+L35</f>
        <v>1857863.08</v>
      </c>
      <c r="F35" s="23"/>
      <c r="G35" s="23">
        <f>592908.01-175000</f>
        <v>417908.01</v>
      </c>
      <c r="H35" s="23">
        <v>295072.76</v>
      </c>
      <c r="I35" s="23">
        <v>295072.76</v>
      </c>
      <c r="J35" s="23">
        <v>283269.85</v>
      </c>
      <c r="K35" s="23">
        <v>283269.85</v>
      </c>
      <c r="L35" s="23">
        <v>283269.85</v>
      </c>
      <c r="M35" s="206"/>
      <c r="N35" s="203"/>
      <c r="O35" s="203"/>
      <c r="P35" s="203"/>
      <c r="Q35" s="203"/>
      <c r="R35" s="203"/>
      <c r="S35" s="203"/>
      <c r="T35" s="203"/>
      <c r="U35" s="206"/>
    </row>
    <row r="36" spans="1:21" ht="12.75" customHeight="1">
      <c r="A36" s="223"/>
      <c r="B36" s="288"/>
      <c r="C36" s="230"/>
      <c r="D36" s="22" t="s">
        <v>93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06"/>
      <c r="N36" s="203"/>
      <c r="O36" s="203"/>
      <c r="P36" s="203"/>
      <c r="Q36" s="203"/>
      <c r="R36" s="203"/>
      <c r="S36" s="203"/>
      <c r="T36" s="203"/>
      <c r="U36" s="206"/>
    </row>
    <row r="37" spans="1:21" ht="12.75" customHeight="1">
      <c r="A37" s="223"/>
      <c r="B37" s="288"/>
      <c r="C37" s="230"/>
      <c r="D37" s="22" t="s">
        <v>94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06"/>
      <c r="N37" s="203"/>
      <c r="O37" s="203"/>
      <c r="P37" s="203"/>
      <c r="Q37" s="203"/>
      <c r="R37" s="203"/>
      <c r="S37" s="203"/>
      <c r="T37" s="203"/>
      <c r="U37" s="206"/>
    </row>
    <row r="38" spans="1:21" ht="12.75" customHeight="1">
      <c r="A38" s="223"/>
      <c r="B38" s="289"/>
      <c r="C38" s="231"/>
      <c r="D38" s="22" t="s">
        <v>96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07"/>
      <c r="N38" s="204"/>
      <c r="O38" s="204"/>
      <c r="P38" s="204"/>
      <c r="Q38" s="204"/>
      <c r="R38" s="204"/>
      <c r="S38" s="204"/>
      <c r="T38" s="204"/>
      <c r="U38" s="207"/>
    </row>
    <row r="39" spans="1:21" ht="12.75" customHeight="1">
      <c r="A39" s="223" t="s">
        <v>133</v>
      </c>
      <c r="B39" s="287" t="s">
        <v>266</v>
      </c>
      <c r="C39" s="229" t="s">
        <v>82</v>
      </c>
      <c r="D39" s="22" t="s">
        <v>97</v>
      </c>
      <c r="E39" s="23">
        <f>E41+E42+E43+E44</f>
        <v>800000</v>
      </c>
      <c r="F39" s="23">
        <f aca="true" t="shared" si="5" ref="F39:L39">F41+F42+F43+F44</f>
        <v>450000</v>
      </c>
      <c r="G39" s="23">
        <f t="shared" si="5"/>
        <v>175000</v>
      </c>
      <c r="H39" s="23">
        <f t="shared" si="5"/>
        <v>175000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05" t="s">
        <v>267</v>
      </c>
      <c r="N39" s="202">
        <v>1</v>
      </c>
      <c r="O39" s="202">
        <v>1</v>
      </c>
      <c r="P39" s="202">
        <v>1</v>
      </c>
      <c r="Q39" s="202">
        <v>1</v>
      </c>
      <c r="R39" s="202">
        <v>1</v>
      </c>
      <c r="S39" s="202">
        <v>1</v>
      </c>
      <c r="T39" s="202">
        <v>1</v>
      </c>
      <c r="U39" s="205" t="s">
        <v>264</v>
      </c>
    </row>
    <row r="40" spans="1:21" ht="12.75" customHeight="1">
      <c r="A40" s="223"/>
      <c r="B40" s="288"/>
      <c r="C40" s="230"/>
      <c r="D40" s="216" t="s">
        <v>117</v>
      </c>
      <c r="E40" s="217"/>
      <c r="F40" s="217"/>
      <c r="G40" s="217"/>
      <c r="H40" s="217"/>
      <c r="I40" s="217"/>
      <c r="J40" s="217"/>
      <c r="K40" s="217"/>
      <c r="L40" s="218"/>
      <c r="M40" s="206"/>
      <c r="N40" s="203"/>
      <c r="O40" s="203"/>
      <c r="P40" s="203"/>
      <c r="Q40" s="203"/>
      <c r="R40" s="203"/>
      <c r="S40" s="203"/>
      <c r="T40" s="203"/>
      <c r="U40" s="206"/>
    </row>
    <row r="41" spans="1:21" ht="12.75" customHeight="1">
      <c r="A41" s="223"/>
      <c r="B41" s="288"/>
      <c r="C41" s="230"/>
      <c r="D41" s="22" t="s">
        <v>95</v>
      </c>
      <c r="E41" s="23">
        <f>F41+G41+H41+I41+J41+K41+L41</f>
        <v>800000</v>
      </c>
      <c r="F41" s="23">
        <v>450000</v>
      </c>
      <c r="G41" s="23">
        <f>175000</f>
        <v>175000</v>
      </c>
      <c r="H41" s="23">
        <v>175000</v>
      </c>
      <c r="I41" s="23">
        <v>0</v>
      </c>
      <c r="J41" s="23">
        <v>0</v>
      </c>
      <c r="K41" s="23">
        <v>0</v>
      </c>
      <c r="L41" s="23">
        <v>0</v>
      </c>
      <c r="M41" s="206"/>
      <c r="N41" s="203"/>
      <c r="O41" s="203"/>
      <c r="P41" s="203"/>
      <c r="Q41" s="203"/>
      <c r="R41" s="203"/>
      <c r="S41" s="203"/>
      <c r="T41" s="203"/>
      <c r="U41" s="206"/>
    </row>
    <row r="42" spans="1:21" ht="12.75" customHeight="1">
      <c r="A42" s="223"/>
      <c r="B42" s="288"/>
      <c r="C42" s="230"/>
      <c r="D42" s="22" t="s">
        <v>93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206"/>
      <c r="N42" s="203"/>
      <c r="O42" s="203"/>
      <c r="P42" s="203"/>
      <c r="Q42" s="203"/>
      <c r="R42" s="203"/>
      <c r="S42" s="203"/>
      <c r="T42" s="203"/>
      <c r="U42" s="206"/>
    </row>
    <row r="43" spans="1:21" ht="12.75" customHeight="1">
      <c r="A43" s="223"/>
      <c r="B43" s="288"/>
      <c r="C43" s="230"/>
      <c r="D43" s="22" t="s">
        <v>94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206"/>
      <c r="N43" s="203"/>
      <c r="O43" s="203"/>
      <c r="P43" s="203"/>
      <c r="Q43" s="203"/>
      <c r="R43" s="203"/>
      <c r="S43" s="203"/>
      <c r="T43" s="203"/>
      <c r="U43" s="206"/>
    </row>
    <row r="44" spans="1:21" ht="12.75" customHeight="1">
      <c r="A44" s="223"/>
      <c r="B44" s="289"/>
      <c r="C44" s="231"/>
      <c r="D44" s="22" t="s">
        <v>96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207"/>
      <c r="N44" s="204"/>
      <c r="O44" s="204"/>
      <c r="P44" s="204"/>
      <c r="Q44" s="204"/>
      <c r="R44" s="204"/>
      <c r="S44" s="204"/>
      <c r="T44" s="204"/>
      <c r="U44" s="207"/>
    </row>
    <row r="45" spans="1:21" ht="13.5" customHeight="1">
      <c r="A45" s="234"/>
      <c r="B45" s="264" t="s">
        <v>161</v>
      </c>
      <c r="C45" s="234"/>
      <c r="D45" s="102" t="s">
        <v>97</v>
      </c>
      <c r="E45" s="103">
        <f aca="true" t="shared" si="6" ref="E45:L45">E47+E48+E49+E50</f>
        <v>319055650.46999997</v>
      </c>
      <c r="F45" s="103">
        <f t="shared" si="6"/>
        <v>42388334</v>
      </c>
      <c r="G45" s="103">
        <f t="shared" si="6"/>
        <v>51554076.68</v>
      </c>
      <c r="H45" s="103">
        <f t="shared" si="6"/>
        <v>49201469.76</v>
      </c>
      <c r="I45" s="103">
        <f t="shared" si="6"/>
        <v>49484917.76</v>
      </c>
      <c r="J45" s="103">
        <f t="shared" si="6"/>
        <v>42140522.81</v>
      </c>
      <c r="K45" s="103">
        <f t="shared" si="6"/>
        <v>42143164.730000004</v>
      </c>
      <c r="L45" s="103">
        <f t="shared" si="6"/>
        <v>42143164.730000004</v>
      </c>
      <c r="M45" s="236"/>
      <c r="N45" s="244"/>
      <c r="O45" s="244"/>
      <c r="P45" s="244"/>
      <c r="Q45" s="244"/>
      <c r="R45" s="244"/>
      <c r="S45" s="244"/>
      <c r="T45" s="244"/>
      <c r="U45" s="247"/>
    </row>
    <row r="46" spans="1:21" ht="12.75" customHeight="1">
      <c r="A46" s="234"/>
      <c r="B46" s="265"/>
      <c r="C46" s="234"/>
      <c r="D46" s="239" t="s">
        <v>117</v>
      </c>
      <c r="E46" s="240"/>
      <c r="F46" s="240"/>
      <c r="G46" s="240"/>
      <c r="H46" s="240"/>
      <c r="I46" s="240"/>
      <c r="J46" s="240"/>
      <c r="K46" s="240"/>
      <c r="L46" s="241"/>
      <c r="M46" s="237"/>
      <c r="N46" s="245"/>
      <c r="O46" s="245"/>
      <c r="P46" s="245"/>
      <c r="Q46" s="245"/>
      <c r="R46" s="245"/>
      <c r="S46" s="245"/>
      <c r="T46" s="245"/>
      <c r="U46" s="248"/>
    </row>
    <row r="47" spans="1:21" ht="13.5" customHeight="1">
      <c r="A47" s="234"/>
      <c r="B47" s="265"/>
      <c r="C47" s="234"/>
      <c r="D47" s="104" t="s">
        <v>95</v>
      </c>
      <c r="E47" s="103">
        <f>F47+G47+H47+I47+J47+K47+L47</f>
        <v>42180631.019999996</v>
      </c>
      <c r="F47" s="105">
        <f>F11+F17+F23+F29+F35+F41</f>
        <v>6370094</v>
      </c>
      <c r="G47" s="105">
        <f>G11+G17+G23+G29+G35+G41</f>
        <v>6261697.23</v>
      </c>
      <c r="H47" s="105">
        <f>H11+H17+H23+H29+H35+H41</f>
        <v>5948669.76</v>
      </c>
      <c r="I47" s="105">
        <f>I11+I17+I23+I29+I35</f>
        <v>6079017.76</v>
      </c>
      <c r="J47" s="105">
        <f>J11+J17+J23+J29+J35</f>
        <v>5838622.81</v>
      </c>
      <c r="K47" s="105">
        <f>K11+K17+K23+K29+K35</f>
        <v>5841264.7299999995</v>
      </c>
      <c r="L47" s="105">
        <f>L11+L17+L23+L29+L35</f>
        <v>5841264.7299999995</v>
      </c>
      <c r="M47" s="237"/>
      <c r="N47" s="245"/>
      <c r="O47" s="245"/>
      <c r="P47" s="245"/>
      <c r="Q47" s="245"/>
      <c r="R47" s="245"/>
      <c r="S47" s="245"/>
      <c r="T47" s="245"/>
      <c r="U47" s="248"/>
    </row>
    <row r="48" spans="1:21" ht="13.5" customHeight="1">
      <c r="A48" s="234"/>
      <c r="B48" s="265"/>
      <c r="C48" s="234"/>
      <c r="D48" s="104" t="s">
        <v>93</v>
      </c>
      <c r="E48" s="103">
        <f>F48+G48+H48+I48+J48+K48+L48</f>
        <v>105252400</v>
      </c>
      <c r="F48" s="105">
        <f aca="true" t="shared" si="7" ref="F48:H50">F12+F18+F24+F30+F36</f>
        <v>16180900</v>
      </c>
      <c r="G48" s="105">
        <f t="shared" si="7"/>
        <v>13779800</v>
      </c>
      <c r="H48" s="105">
        <f t="shared" si="7"/>
        <v>14942700</v>
      </c>
      <c r="I48" s="105">
        <f aca="true" t="shared" si="8" ref="I48:L50">I12+I18+I24+I30+I36</f>
        <v>15095800</v>
      </c>
      <c r="J48" s="105">
        <f t="shared" si="8"/>
        <v>15084400</v>
      </c>
      <c r="K48" s="105">
        <f t="shared" si="8"/>
        <v>15084400</v>
      </c>
      <c r="L48" s="105">
        <f t="shared" si="8"/>
        <v>15084400</v>
      </c>
      <c r="M48" s="237"/>
      <c r="N48" s="245"/>
      <c r="O48" s="245"/>
      <c r="P48" s="245"/>
      <c r="Q48" s="245"/>
      <c r="R48" s="245"/>
      <c r="S48" s="245"/>
      <c r="T48" s="245"/>
      <c r="U48" s="248"/>
    </row>
    <row r="49" spans="1:21" ht="13.5" customHeight="1">
      <c r="A49" s="234"/>
      <c r="B49" s="265"/>
      <c r="C49" s="234"/>
      <c r="D49" s="104" t="s">
        <v>94</v>
      </c>
      <c r="E49" s="103">
        <f>F49+G49+H49+I49+J49+K49+L49</f>
        <v>0</v>
      </c>
      <c r="F49" s="105">
        <f t="shared" si="7"/>
        <v>0</v>
      </c>
      <c r="G49" s="105">
        <f t="shared" si="7"/>
        <v>0</v>
      </c>
      <c r="H49" s="105">
        <f t="shared" si="7"/>
        <v>0</v>
      </c>
      <c r="I49" s="105">
        <f t="shared" si="8"/>
        <v>0</v>
      </c>
      <c r="J49" s="105">
        <f t="shared" si="8"/>
        <v>0</v>
      </c>
      <c r="K49" s="105">
        <f t="shared" si="8"/>
        <v>0</v>
      </c>
      <c r="L49" s="105">
        <f t="shared" si="8"/>
        <v>0</v>
      </c>
      <c r="M49" s="237"/>
      <c r="N49" s="245"/>
      <c r="O49" s="245"/>
      <c r="P49" s="245"/>
      <c r="Q49" s="245"/>
      <c r="R49" s="245"/>
      <c r="S49" s="245"/>
      <c r="T49" s="245"/>
      <c r="U49" s="248"/>
    </row>
    <row r="50" spans="1:21" ht="13.5" customHeight="1">
      <c r="A50" s="234"/>
      <c r="B50" s="266"/>
      <c r="C50" s="234"/>
      <c r="D50" s="104" t="s">
        <v>96</v>
      </c>
      <c r="E50" s="103">
        <f>F50+G50+H50+I50+J50+K50+L50</f>
        <v>171622619.45</v>
      </c>
      <c r="F50" s="105">
        <f t="shared" si="7"/>
        <v>19837340</v>
      </c>
      <c r="G50" s="105">
        <f t="shared" si="7"/>
        <v>31512579.45</v>
      </c>
      <c r="H50" s="105">
        <f t="shared" si="7"/>
        <v>28310100</v>
      </c>
      <c r="I50" s="105">
        <f t="shared" si="8"/>
        <v>28310100</v>
      </c>
      <c r="J50" s="105">
        <f t="shared" si="8"/>
        <v>21217500</v>
      </c>
      <c r="K50" s="105">
        <f t="shared" si="8"/>
        <v>21217500</v>
      </c>
      <c r="L50" s="105">
        <f t="shared" si="8"/>
        <v>21217500</v>
      </c>
      <c r="M50" s="238"/>
      <c r="N50" s="246"/>
      <c r="O50" s="246"/>
      <c r="P50" s="246"/>
      <c r="Q50" s="246"/>
      <c r="R50" s="246"/>
      <c r="S50" s="246"/>
      <c r="T50" s="246"/>
      <c r="U50" s="249"/>
    </row>
    <row r="51" spans="1:21" ht="13.5" customHeight="1">
      <c r="A51" s="234"/>
      <c r="B51" s="264" t="s">
        <v>268</v>
      </c>
      <c r="C51" s="234"/>
      <c r="D51" s="102" t="s">
        <v>97</v>
      </c>
      <c r="E51" s="103">
        <f aca="true" t="shared" si="9" ref="E51:L51">E53+E54+E55+E56</f>
        <v>319055650.46999997</v>
      </c>
      <c r="F51" s="103">
        <f t="shared" si="9"/>
        <v>42388334</v>
      </c>
      <c r="G51" s="103">
        <f t="shared" si="9"/>
        <v>51554076.68</v>
      </c>
      <c r="H51" s="103">
        <f t="shared" si="9"/>
        <v>49201469.76</v>
      </c>
      <c r="I51" s="103">
        <f t="shared" si="9"/>
        <v>49484917.76</v>
      </c>
      <c r="J51" s="103">
        <f t="shared" si="9"/>
        <v>42140522.81</v>
      </c>
      <c r="K51" s="103">
        <f t="shared" si="9"/>
        <v>42143164.730000004</v>
      </c>
      <c r="L51" s="103">
        <f t="shared" si="9"/>
        <v>42143164.730000004</v>
      </c>
      <c r="M51" s="236"/>
      <c r="N51" s="244"/>
      <c r="O51" s="244"/>
      <c r="P51" s="244"/>
      <c r="Q51" s="244"/>
      <c r="R51" s="244"/>
      <c r="S51" s="244"/>
      <c r="T51" s="244"/>
      <c r="U51" s="247"/>
    </row>
    <row r="52" spans="1:21" ht="12.75" customHeight="1">
      <c r="A52" s="234"/>
      <c r="B52" s="265"/>
      <c r="C52" s="234"/>
      <c r="D52" s="239" t="s">
        <v>117</v>
      </c>
      <c r="E52" s="240"/>
      <c r="F52" s="240"/>
      <c r="G52" s="240"/>
      <c r="H52" s="240"/>
      <c r="I52" s="240"/>
      <c r="J52" s="240"/>
      <c r="K52" s="240"/>
      <c r="L52" s="241"/>
      <c r="M52" s="237"/>
      <c r="N52" s="245"/>
      <c r="O52" s="245"/>
      <c r="P52" s="245"/>
      <c r="Q52" s="245"/>
      <c r="R52" s="245"/>
      <c r="S52" s="245"/>
      <c r="T52" s="245"/>
      <c r="U52" s="248"/>
    </row>
    <row r="53" spans="1:21" ht="13.5" customHeight="1">
      <c r="A53" s="234"/>
      <c r="B53" s="265"/>
      <c r="C53" s="234"/>
      <c r="D53" s="104" t="s">
        <v>95</v>
      </c>
      <c r="E53" s="103">
        <f>F53+G53+H53+I53+J53+K53+L53</f>
        <v>42180631.019999996</v>
      </c>
      <c r="F53" s="105">
        <f aca="true" t="shared" si="10" ref="F53:L56">F47</f>
        <v>6370094</v>
      </c>
      <c r="G53" s="105">
        <f t="shared" si="10"/>
        <v>6261697.23</v>
      </c>
      <c r="H53" s="105">
        <f t="shared" si="10"/>
        <v>5948669.76</v>
      </c>
      <c r="I53" s="105">
        <f t="shared" si="10"/>
        <v>6079017.76</v>
      </c>
      <c r="J53" s="105">
        <f t="shared" si="10"/>
        <v>5838622.81</v>
      </c>
      <c r="K53" s="105">
        <f t="shared" si="10"/>
        <v>5841264.7299999995</v>
      </c>
      <c r="L53" s="105">
        <f t="shared" si="10"/>
        <v>5841264.7299999995</v>
      </c>
      <c r="M53" s="237"/>
      <c r="N53" s="245"/>
      <c r="O53" s="245"/>
      <c r="P53" s="245"/>
      <c r="Q53" s="245"/>
      <c r="R53" s="245"/>
      <c r="S53" s="245"/>
      <c r="T53" s="245"/>
      <c r="U53" s="248"/>
    </row>
    <row r="54" spans="1:21" ht="13.5" customHeight="1">
      <c r="A54" s="234"/>
      <c r="B54" s="265"/>
      <c r="C54" s="234"/>
      <c r="D54" s="104" t="s">
        <v>93</v>
      </c>
      <c r="E54" s="103">
        <f>F54+G54+H54+I54+J54+K54+L54</f>
        <v>105252400</v>
      </c>
      <c r="F54" s="105">
        <f t="shared" si="10"/>
        <v>16180900</v>
      </c>
      <c r="G54" s="105">
        <f t="shared" si="10"/>
        <v>13779800</v>
      </c>
      <c r="H54" s="105">
        <f t="shared" si="10"/>
        <v>14942700</v>
      </c>
      <c r="I54" s="105">
        <f t="shared" si="10"/>
        <v>15095800</v>
      </c>
      <c r="J54" s="105">
        <f t="shared" si="10"/>
        <v>15084400</v>
      </c>
      <c r="K54" s="105">
        <f t="shared" si="10"/>
        <v>15084400</v>
      </c>
      <c r="L54" s="105">
        <f t="shared" si="10"/>
        <v>15084400</v>
      </c>
      <c r="M54" s="237"/>
      <c r="N54" s="245"/>
      <c r="O54" s="245"/>
      <c r="P54" s="245"/>
      <c r="Q54" s="245"/>
      <c r="R54" s="245"/>
      <c r="S54" s="245"/>
      <c r="T54" s="245"/>
      <c r="U54" s="248"/>
    </row>
    <row r="55" spans="1:21" ht="13.5" customHeight="1">
      <c r="A55" s="234"/>
      <c r="B55" s="265"/>
      <c r="C55" s="234"/>
      <c r="D55" s="104" t="s">
        <v>94</v>
      </c>
      <c r="E55" s="103">
        <f>F55+G55+H55+I55+J55+K55+L55</f>
        <v>0</v>
      </c>
      <c r="F55" s="105">
        <f t="shared" si="10"/>
        <v>0</v>
      </c>
      <c r="G55" s="105">
        <f t="shared" si="10"/>
        <v>0</v>
      </c>
      <c r="H55" s="105">
        <f t="shared" si="10"/>
        <v>0</v>
      </c>
      <c r="I55" s="105">
        <f t="shared" si="10"/>
        <v>0</v>
      </c>
      <c r="J55" s="105">
        <f t="shared" si="10"/>
        <v>0</v>
      </c>
      <c r="K55" s="105">
        <f t="shared" si="10"/>
        <v>0</v>
      </c>
      <c r="L55" s="105">
        <f t="shared" si="10"/>
        <v>0</v>
      </c>
      <c r="M55" s="237"/>
      <c r="N55" s="245"/>
      <c r="O55" s="245"/>
      <c r="P55" s="245"/>
      <c r="Q55" s="245"/>
      <c r="R55" s="245"/>
      <c r="S55" s="245"/>
      <c r="T55" s="245"/>
      <c r="U55" s="248"/>
    </row>
    <row r="56" spans="1:21" ht="13.5" customHeight="1">
      <c r="A56" s="234"/>
      <c r="B56" s="266"/>
      <c r="C56" s="234"/>
      <c r="D56" s="104" t="s">
        <v>96</v>
      </c>
      <c r="E56" s="103">
        <f>F56+G56+H56+I56+J56+K56+L56</f>
        <v>171622619.45</v>
      </c>
      <c r="F56" s="105">
        <f t="shared" si="10"/>
        <v>19837340</v>
      </c>
      <c r="G56" s="105">
        <f t="shared" si="10"/>
        <v>31512579.45</v>
      </c>
      <c r="H56" s="105">
        <f t="shared" si="10"/>
        <v>28310100</v>
      </c>
      <c r="I56" s="105">
        <f t="shared" si="10"/>
        <v>28310100</v>
      </c>
      <c r="J56" s="105">
        <f t="shared" si="10"/>
        <v>21217500</v>
      </c>
      <c r="K56" s="105">
        <f t="shared" si="10"/>
        <v>21217500</v>
      </c>
      <c r="L56" s="105">
        <f t="shared" si="10"/>
        <v>21217500</v>
      </c>
      <c r="M56" s="238"/>
      <c r="N56" s="246"/>
      <c r="O56" s="246"/>
      <c r="P56" s="246"/>
      <c r="Q56" s="246"/>
      <c r="R56" s="246"/>
      <c r="S56" s="246"/>
      <c r="T56" s="246"/>
      <c r="U56" s="249"/>
    </row>
    <row r="59" spans="8:9" ht="12.75">
      <c r="H59" s="116"/>
      <c r="I59" s="116"/>
    </row>
    <row r="60" spans="7:9" ht="12.75">
      <c r="G60" s="26"/>
      <c r="H60" s="116"/>
      <c r="I60" s="116"/>
    </row>
    <row r="61" spans="8:9" ht="12.75">
      <c r="H61" s="116"/>
      <c r="I61" s="116"/>
    </row>
    <row r="62" ht="12.75">
      <c r="H62" s="116"/>
    </row>
  </sheetData>
  <sheetProtection/>
  <mergeCells count="115">
    <mergeCell ref="U51:U56"/>
    <mergeCell ref="D52:L52"/>
    <mergeCell ref="O51:O56"/>
    <mergeCell ref="P51:P56"/>
    <mergeCell ref="Q51:Q56"/>
    <mergeCell ref="R51:R56"/>
    <mergeCell ref="S51:S56"/>
    <mergeCell ref="T51:T56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30" customWidth="1"/>
    <col min="2" max="2" width="18.28125" style="130" customWidth="1"/>
    <col min="3" max="7" width="14.28125" style="130" bestFit="1" customWidth="1"/>
    <col min="8" max="8" width="15.7109375" style="130" bestFit="1" customWidth="1"/>
    <col min="9" max="9" width="14.28125" style="130" bestFit="1" customWidth="1"/>
    <col min="10" max="16384" width="9.140625" style="130" customWidth="1"/>
  </cols>
  <sheetData>
    <row r="1" spans="6:10" s="92" customFormat="1" ht="79.5" customHeight="1">
      <c r="F1" s="176" t="s">
        <v>284</v>
      </c>
      <c r="G1" s="177"/>
      <c r="H1" s="177"/>
      <c r="I1" s="177"/>
      <c r="J1" s="129"/>
    </row>
    <row r="2" spans="5:10" ht="18.75" customHeight="1">
      <c r="E2" s="131"/>
      <c r="G2" s="106"/>
      <c r="H2" s="132" t="s">
        <v>39</v>
      </c>
      <c r="J2" s="106"/>
    </row>
    <row r="4" spans="1:9" ht="36.75" customHeight="1">
      <c r="A4" s="196" t="s">
        <v>18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97" t="s">
        <v>103</v>
      </c>
      <c r="B5" s="199" t="s">
        <v>104</v>
      </c>
      <c r="C5" s="201" t="s">
        <v>105</v>
      </c>
      <c r="D5" s="201"/>
      <c r="E5" s="201"/>
      <c r="F5" s="201"/>
      <c r="G5" s="201"/>
      <c r="H5" s="201"/>
      <c r="I5" s="201"/>
    </row>
    <row r="6" spans="1:9" ht="16.5" customHeight="1">
      <c r="A6" s="198"/>
      <c r="B6" s="200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57">
        <v>1</v>
      </c>
      <c r="B7" s="134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57">
        <v>9</v>
      </c>
    </row>
    <row r="8" spans="1:9" ht="34.5" customHeight="1">
      <c r="A8" s="136" t="s">
        <v>19</v>
      </c>
      <c r="B8" s="137">
        <f>B10+B11+B12+B13</f>
        <v>119713619.19999999</v>
      </c>
      <c r="C8" s="137">
        <f aca="true" t="shared" si="0" ref="C8:I8">C10+C11+C12+C13</f>
        <v>17676119</v>
      </c>
      <c r="D8" s="137">
        <f t="shared" si="0"/>
        <v>16780520.299999997</v>
      </c>
      <c r="E8" s="137">
        <f t="shared" si="0"/>
        <v>15441758.7</v>
      </c>
      <c r="F8" s="137">
        <f t="shared" si="0"/>
        <v>16574790</v>
      </c>
      <c r="G8" s="137">
        <f t="shared" si="0"/>
        <v>17746810.4</v>
      </c>
      <c r="H8" s="137">
        <f t="shared" si="0"/>
        <v>17746810.4</v>
      </c>
      <c r="I8" s="137">
        <f t="shared" si="0"/>
        <v>17746810.4</v>
      </c>
    </row>
    <row r="9" spans="1:9" ht="15.75">
      <c r="A9" s="190" t="s">
        <v>106</v>
      </c>
      <c r="B9" s="191"/>
      <c r="C9" s="191"/>
      <c r="D9" s="191"/>
      <c r="E9" s="191"/>
      <c r="F9" s="191"/>
      <c r="G9" s="191"/>
      <c r="H9" s="191"/>
      <c r="I9" s="192"/>
    </row>
    <row r="10" spans="1:9" ht="20.25" customHeight="1">
      <c r="A10" s="138" t="s">
        <v>107</v>
      </c>
      <c r="B10" s="137">
        <f>C10+D10+E10+F10+G10+H10+I10</f>
        <v>61987385.199999996</v>
      </c>
      <c r="C10" s="139">
        <f>C17</f>
        <v>10150939</v>
      </c>
      <c r="D10" s="139">
        <f aca="true" t="shared" si="1" ref="D10:I10">D17</f>
        <v>9058458.299999999</v>
      </c>
      <c r="E10" s="139">
        <f t="shared" si="1"/>
        <v>8455158.7</v>
      </c>
      <c r="F10" s="139">
        <f t="shared" si="1"/>
        <v>8846090</v>
      </c>
      <c r="G10" s="139">
        <f t="shared" si="1"/>
        <v>8492246.4</v>
      </c>
      <c r="H10" s="139">
        <f t="shared" si="1"/>
        <v>8492246.4</v>
      </c>
      <c r="I10" s="139">
        <f t="shared" si="1"/>
        <v>8492246.4</v>
      </c>
    </row>
    <row r="11" spans="1:9" ht="20.25" customHeight="1">
      <c r="A11" s="138" t="s">
        <v>20</v>
      </c>
      <c r="B11" s="137">
        <f>C11+D11+E11+F11+G11+H11+I11</f>
        <v>24487804</v>
      </c>
      <c r="C11" s="139">
        <f aca="true" t="shared" si="2" ref="C11:I13">C18</f>
        <v>3072400</v>
      </c>
      <c r="D11" s="139">
        <f t="shared" si="2"/>
        <v>2824004</v>
      </c>
      <c r="E11" s="139">
        <f t="shared" si="2"/>
        <v>3124600</v>
      </c>
      <c r="F11" s="139">
        <f t="shared" si="2"/>
        <v>3866700</v>
      </c>
      <c r="G11" s="139">
        <f t="shared" si="2"/>
        <v>3866700</v>
      </c>
      <c r="H11" s="139">
        <f t="shared" si="2"/>
        <v>3866700</v>
      </c>
      <c r="I11" s="139">
        <f t="shared" si="2"/>
        <v>3866700</v>
      </c>
    </row>
    <row r="12" spans="1:9" ht="20.25" customHeight="1">
      <c r="A12" s="138" t="s">
        <v>21</v>
      </c>
      <c r="B12" s="137">
        <f>C12+D12+E12+F12+G12+H12+I12</f>
        <v>0</v>
      </c>
      <c r="C12" s="139">
        <f>C19</f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20.25" customHeight="1">
      <c r="A13" s="138" t="s">
        <v>110</v>
      </c>
      <c r="B13" s="137">
        <f>C13+D13+E13+F13+G13+H13+I13</f>
        <v>33238430</v>
      </c>
      <c r="C13" s="139">
        <f t="shared" si="2"/>
        <v>4452780</v>
      </c>
      <c r="D13" s="139">
        <f t="shared" si="2"/>
        <v>4898058</v>
      </c>
      <c r="E13" s="139">
        <f t="shared" si="2"/>
        <v>3862000</v>
      </c>
      <c r="F13" s="139">
        <f t="shared" si="2"/>
        <v>3862000</v>
      </c>
      <c r="G13" s="139">
        <f t="shared" si="2"/>
        <v>5387864</v>
      </c>
      <c r="H13" s="139">
        <f t="shared" si="2"/>
        <v>5387864</v>
      </c>
      <c r="I13" s="139">
        <f t="shared" si="2"/>
        <v>5387864</v>
      </c>
    </row>
    <row r="14" spans="1:9" ht="20.25" customHeight="1">
      <c r="A14" s="193" t="s">
        <v>111</v>
      </c>
      <c r="B14" s="194"/>
      <c r="C14" s="194"/>
      <c r="D14" s="194"/>
      <c r="E14" s="194"/>
      <c r="F14" s="194"/>
      <c r="G14" s="194"/>
      <c r="H14" s="194"/>
      <c r="I14" s="195"/>
    </row>
    <row r="15" spans="1:9" ht="49.5" customHeight="1">
      <c r="A15" s="140" t="s">
        <v>118</v>
      </c>
      <c r="B15" s="137">
        <f>B17+B18+B19+B20</f>
        <v>119713619.19999999</v>
      </c>
      <c r="C15" s="137">
        <f>C17+C18+C19+C20</f>
        <v>17676119</v>
      </c>
      <c r="D15" s="137">
        <f aca="true" t="shared" si="3" ref="D15:I15">D17+D18+D19+D20</f>
        <v>16780520.299999997</v>
      </c>
      <c r="E15" s="137">
        <f t="shared" si="3"/>
        <v>15441758.7</v>
      </c>
      <c r="F15" s="137">
        <f t="shared" si="3"/>
        <v>16574790</v>
      </c>
      <c r="G15" s="137">
        <f t="shared" si="3"/>
        <v>17746810.4</v>
      </c>
      <c r="H15" s="137">
        <f t="shared" si="3"/>
        <v>17746810.4</v>
      </c>
      <c r="I15" s="137">
        <f t="shared" si="3"/>
        <v>17746810.4</v>
      </c>
    </row>
    <row r="16" spans="1:9" ht="15.75">
      <c r="A16" s="190" t="s">
        <v>106</v>
      </c>
      <c r="B16" s="191"/>
      <c r="C16" s="191"/>
      <c r="D16" s="191"/>
      <c r="E16" s="191"/>
      <c r="F16" s="191"/>
      <c r="G16" s="191"/>
      <c r="H16" s="191"/>
      <c r="I16" s="192"/>
    </row>
    <row r="17" spans="1:9" ht="25.5" customHeight="1">
      <c r="A17" s="138" t="s">
        <v>107</v>
      </c>
      <c r="B17" s="137">
        <f>C17+D17+E17+F17+G17+H17+I17</f>
        <v>61987385.199999996</v>
      </c>
      <c r="C17" s="139">
        <f>'таб 3(7)'!F30</f>
        <v>10150939</v>
      </c>
      <c r="D17" s="139">
        <f>+'таб 3(7)'!G30</f>
        <v>9058458.299999999</v>
      </c>
      <c r="E17" s="139">
        <f>+'таб 3(7)'!H30</f>
        <v>8455158.7</v>
      </c>
      <c r="F17" s="139">
        <f>+'таб 3(7)'!I30</f>
        <v>8846090</v>
      </c>
      <c r="G17" s="139">
        <f>+'таб 3(7)'!J30</f>
        <v>8492246.4</v>
      </c>
      <c r="H17" s="139">
        <f>+'таб 3(7)'!K30</f>
        <v>8492246.4</v>
      </c>
      <c r="I17" s="139">
        <f>+'таб 3(7)'!L30</f>
        <v>8492246.4</v>
      </c>
    </row>
    <row r="18" spans="1:9" ht="25.5" customHeight="1">
      <c r="A18" s="141" t="s">
        <v>20</v>
      </c>
      <c r="B18" s="137">
        <f>C18+D18+E18+F18+G18+H18+I18</f>
        <v>24487804</v>
      </c>
      <c r="C18" s="139">
        <v>3072400</v>
      </c>
      <c r="D18" s="139">
        <f>+'таб 3(7)'!G31</f>
        <v>2824004</v>
      </c>
      <c r="E18" s="139">
        <f>+'таб 3(7)'!H31</f>
        <v>3124600</v>
      </c>
      <c r="F18" s="139">
        <f>+'таб 3(7)'!I31</f>
        <v>3866700</v>
      </c>
      <c r="G18" s="139">
        <f>+'таб 3(7)'!J31</f>
        <v>3866700</v>
      </c>
      <c r="H18" s="139">
        <f>+'таб 3(7)'!K31</f>
        <v>3866700</v>
      </c>
      <c r="I18" s="139">
        <f>+'таб 3(7)'!L31</f>
        <v>3866700</v>
      </c>
    </row>
    <row r="19" spans="1:9" ht="25.5" customHeight="1">
      <c r="A19" s="138" t="s">
        <v>21</v>
      </c>
      <c r="B19" s="137">
        <f>C19+D19+E19+F19+G19+H19+I19</f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</row>
    <row r="20" spans="1:9" ht="25.5" customHeight="1">
      <c r="A20" s="138" t="s">
        <v>110</v>
      </c>
      <c r="B20" s="137">
        <f>C20+D20+E20+F20+G20+H20+I20</f>
        <v>33238430</v>
      </c>
      <c r="C20" s="139">
        <f>'таб 3(7)'!F33</f>
        <v>4452780</v>
      </c>
      <c r="D20" s="139">
        <f>+'таб 3(7)'!G33</f>
        <v>4898058</v>
      </c>
      <c r="E20" s="139">
        <f>+'таб 3(7)'!H33</f>
        <v>3862000</v>
      </c>
      <c r="F20" s="139">
        <f>+'таб 3(7)'!I33</f>
        <v>3862000</v>
      </c>
      <c r="G20" s="139">
        <f>+'таб 3(7)'!J33</f>
        <v>5387864</v>
      </c>
      <c r="H20" s="139">
        <f>+'таб 3(7)'!K33</f>
        <v>5387864</v>
      </c>
      <c r="I20" s="139">
        <f>+'таб 3(7)'!L33</f>
        <v>5387864</v>
      </c>
    </row>
    <row r="21" spans="1:9" ht="30.75" customHeight="1">
      <c r="A21" s="17" t="s">
        <v>112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view="pageBreakPreview" zoomScale="115" zoomScaleSheetLayoutView="115" zoomScalePageLayoutView="0" workbookViewId="0" topLeftCell="A1">
      <pane xSplit="4" ySplit="9" topLeftCell="N2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" sqref="P1:U1"/>
    </sheetView>
  </sheetViews>
  <sheetFormatPr defaultColWidth="9.140625" defaultRowHeight="15"/>
  <cols>
    <col min="1" max="1" width="5.00390625" style="19" customWidth="1"/>
    <col min="2" max="2" width="27.2812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4.140625" style="19" customWidth="1"/>
    <col min="7" max="7" width="13.7109375" style="19" customWidth="1"/>
    <col min="8" max="8" width="14.8515625" style="19" customWidth="1"/>
    <col min="9" max="12" width="12.8515625" style="19" bestFit="1" customWidth="1"/>
    <col min="13" max="13" width="25.421875" style="19" customWidth="1"/>
    <col min="14" max="20" width="5.7109375" style="19" bestFit="1" customWidth="1"/>
    <col min="21" max="21" width="17.851562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29"/>
      <c r="P1" s="176" t="s">
        <v>285</v>
      </c>
      <c r="Q1" s="177"/>
      <c r="R1" s="177"/>
      <c r="S1" s="177"/>
      <c r="T1" s="177"/>
      <c r="U1" s="177"/>
    </row>
    <row r="2" spans="20:21" ht="27" customHeight="1">
      <c r="T2" s="100"/>
      <c r="U2" s="106" t="s">
        <v>179</v>
      </c>
    </row>
    <row r="3" spans="1:21" ht="15.75">
      <c r="A3" s="309" t="s">
        <v>22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</row>
    <row r="4" spans="1:21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7"/>
    </row>
    <row r="5" spans="1:21" ht="31.5" customHeight="1">
      <c r="A5" s="186" t="s">
        <v>101</v>
      </c>
      <c r="B5" s="186" t="s">
        <v>113</v>
      </c>
      <c r="C5" s="186" t="s">
        <v>114</v>
      </c>
      <c r="D5" s="186" t="s">
        <v>103</v>
      </c>
      <c r="E5" s="186" t="s">
        <v>115</v>
      </c>
      <c r="F5" s="186"/>
      <c r="G5" s="186"/>
      <c r="H5" s="186"/>
      <c r="I5" s="186"/>
      <c r="J5" s="186"/>
      <c r="K5" s="186"/>
      <c r="L5" s="186"/>
      <c r="M5" s="186" t="s">
        <v>32</v>
      </c>
      <c r="N5" s="186"/>
      <c r="O5" s="186"/>
      <c r="P5" s="186"/>
      <c r="Q5" s="186"/>
      <c r="R5" s="186"/>
      <c r="S5" s="186"/>
      <c r="T5" s="186"/>
      <c r="U5" s="232" t="s">
        <v>116</v>
      </c>
    </row>
    <row r="6" spans="1:21" ht="21" customHeight="1">
      <c r="A6" s="186"/>
      <c r="B6" s="186"/>
      <c r="C6" s="186"/>
      <c r="D6" s="186"/>
      <c r="E6" s="20" t="s">
        <v>97</v>
      </c>
      <c r="F6" s="6" t="s">
        <v>86</v>
      </c>
      <c r="G6" s="6" t="s">
        <v>87</v>
      </c>
      <c r="H6" s="6" t="s">
        <v>88</v>
      </c>
      <c r="I6" s="6" t="s">
        <v>89</v>
      </c>
      <c r="J6" s="6" t="s">
        <v>90</v>
      </c>
      <c r="K6" s="6" t="s">
        <v>91</v>
      </c>
      <c r="L6" s="6" t="s">
        <v>92</v>
      </c>
      <c r="M6" s="3" t="s">
        <v>102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233"/>
    </row>
    <row r="7" spans="1:2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</row>
    <row r="8" spans="1:21" ht="12.75">
      <c r="A8" s="21"/>
      <c r="B8" s="213" t="s">
        <v>180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ht="12.75">
      <c r="A9" s="21">
        <v>1</v>
      </c>
      <c r="B9" s="58" t="s">
        <v>17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1" ht="16.5" customHeight="1">
      <c r="A10" s="223" t="s">
        <v>128</v>
      </c>
      <c r="B10" s="287" t="s">
        <v>187</v>
      </c>
      <c r="C10" s="229" t="s">
        <v>82</v>
      </c>
      <c r="D10" s="22" t="s">
        <v>97</v>
      </c>
      <c r="E10" s="23">
        <f>E12+E13+E14+E15</f>
        <v>81820287.57</v>
      </c>
      <c r="F10" s="23">
        <f aca="true" t="shared" si="0" ref="F10:L10">F12+F13+F14+F15</f>
        <v>12453039</v>
      </c>
      <c r="G10" s="23">
        <f t="shared" si="0"/>
        <v>11826060.739999998</v>
      </c>
      <c r="H10" s="23">
        <f t="shared" si="0"/>
        <v>10293225.899999999</v>
      </c>
      <c r="I10" s="23">
        <f t="shared" si="0"/>
        <v>11436557.2</v>
      </c>
      <c r="J10" s="23">
        <f t="shared" si="0"/>
        <v>11937134.91</v>
      </c>
      <c r="K10" s="23">
        <f t="shared" si="0"/>
        <v>11937134.91</v>
      </c>
      <c r="L10" s="23">
        <f t="shared" si="0"/>
        <v>11937134.91</v>
      </c>
      <c r="M10" s="258" t="s">
        <v>4</v>
      </c>
      <c r="N10" s="208">
        <v>96</v>
      </c>
      <c r="O10" s="208">
        <v>96</v>
      </c>
      <c r="P10" s="208">
        <v>96</v>
      </c>
      <c r="Q10" s="208">
        <v>96</v>
      </c>
      <c r="R10" s="208">
        <v>96</v>
      </c>
      <c r="S10" s="208">
        <v>96</v>
      </c>
      <c r="T10" s="208">
        <v>96</v>
      </c>
      <c r="U10" s="258" t="s">
        <v>213</v>
      </c>
    </row>
    <row r="11" spans="1:21" ht="16.5" customHeight="1">
      <c r="A11" s="223"/>
      <c r="B11" s="288"/>
      <c r="C11" s="230"/>
      <c r="D11" s="216" t="s">
        <v>117</v>
      </c>
      <c r="E11" s="217"/>
      <c r="F11" s="217"/>
      <c r="G11" s="217"/>
      <c r="H11" s="217"/>
      <c r="I11" s="217"/>
      <c r="J11" s="217"/>
      <c r="K11" s="217"/>
      <c r="L11" s="218"/>
      <c r="M11" s="259"/>
      <c r="N11" s="209"/>
      <c r="O11" s="209"/>
      <c r="P11" s="209"/>
      <c r="Q11" s="209"/>
      <c r="R11" s="209"/>
      <c r="S11" s="209"/>
      <c r="T11" s="209"/>
      <c r="U11" s="259"/>
    </row>
    <row r="12" spans="1:21" ht="12.75">
      <c r="A12" s="223"/>
      <c r="B12" s="288"/>
      <c r="C12" s="230"/>
      <c r="D12" s="22" t="s">
        <v>95</v>
      </c>
      <c r="E12" s="23">
        <f>F12+G12+H12+I12+J12+K12+L12</f>
        <v>47829457.56999999</v>
      </c>
      <c r="F12" s="23">
        <f>7560259+440000</f>
        <v>8000259</v>
      </c>
      <c r="G12" s="23">
        <f>6820974.14+107028.6</f>
        <v>6928002.739999999</v>
      </c>
      <c r="H12" s="23">
        <f>7038601.3-607375.4</f>
        <v>6431225.899999999</v>
      </c>
      <c r="I12" s="61">
        <f>6822157.2</f>
        <v>6822157.2</v>
      </c>
      <c r="J12" s="61">
        <v>6549270.91</v>
      </c>
      <c r="K12" s="61">
        <v>6549270.91</v>
      </c>
      <c r="L12" s="61">
        <v>6549270.91</v>
      </c>
      <c r="M12" s="259"/>
      <c r="N12" s="209"/>
      <c r="O12" s="209"/>
      <c r="P12" s="209"/>
      <c r="Q12" s="209"/>
      <c r="R12" s="209"/>
      <c r="S12" s="209"/>
      <c r="T12" s="209"/>
      <c r="U12" s="259"/>
    </row>
    <row r="13" spans="1:21" ht="12.75">
      <c r="A13" s="223"/>
      <c r="B13" s="288"/>
      <c r="C13" s="230"/>
      <c r="D13" s="22" t="s">
        <v>93</v>
      </c>
      <c r="E13" s="23">
        <f>F13+G13+H13+I13+J13+K13+L13</f>
        <v>752400</v>
      </c>
      <c r="F13" s="23"/>
      <c r="G13" s="23"/>
      <c r="H13" s="23"/>
      <c r="I13" s="167">
        <v>752400</v>
      </c>
      <c r="J13" s="23"/>
      <c r="K13" s="23"/>
      <c r="L13" s="23"/>
      <c r="M13" s="259"/>
      <c r="N13" s="209"/>
      <c r="O13" s="209"/>
      <c r="P13" s="209"/>
      <c r="Q13" s="209"/>
      <c r="R13" s="209"/>
      <c r="S13" s="209"/>
      <c r="T13" s="209"/>
      <c r="U13" s="259"/>
    </row>
    <row r="14" spans="1:21" ht="12.75" customHeight="1">
      <c r="A14" s="223"/>
      <c r="B14" s="288"/>
      <c r="C14" s="230"/>
      <c r="D14" s="22" t="s">
        <v>94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59"/>
      <c r="N14" s="209"/>
      <c r="O14" s="209"/>
      <c r="P14" s="209"/>
      <c r="Q14" s="209"/>
      <c r="R14" s="209"/>
      <c r="S14" s="209"/>
      <c r="T14" s="209"/>
      <c r="U14" s="259"/>
    </row>
    <row r="15" spans="1:21" ht="18.75" customHeight="1">
      <c r="A15" s="223"/>
      <c r="B15" s="289"/>
      <c r="C15" s="231"/>
      <c r="D15" s="22" t="s">
        <v>96</v>
      </c>
      <c r="E15" s="23">
        <f>F15+G15+H15+I15+J15+K15+L15</f>
        <v>33238430</v>
      </c>
      <c r="F15" s="62">
        <v>4452780</v>
      </c>
      <c r="G15" s="62">
        <v>4898058</v>
      </c>
      <c r="H15" s="62">
        <v>3862000</v>
      </c>
      <c r="I15" s="160">
        <v>3862000</v>
      </c>
      <c r="J15" s="160">
        <v>5387864</v>
      </c>
      <c r="K15" s="160">
        <v>5387864</v>
      </c>
      <c r="L15" s="160">
        <v>5387864</v>
      </c>
      <c r="M15" s="260"/>
      <c r="N15" s="210"/>
      <c r="O15" s="210"/>
      <c r="P15" s="210"/>
      <c r="Q15" s="210"/>
      <c r="R15" s="210"/>
      <c r="S15" s="210"/>
      <c r="T15" s="210"/>
      <c r="U15" s="260"/>
    </row>
    <row r="16" spans="1:21" ht="24" customHeight="1">
      <c r="A16" s="223" t="s">
        <v>129</v>
      </c>
      <c r="B16" s="287" t="s">
        <v>177</v>
      </c>
      <c r="C16" s="229" t="s">
        <v>82</v>
      </c>
      <c r="D16" s="22" t="s">
        <v>97</v>
      </c>
      <c r="E16" s="23">
        <f>E18+E19+E20+E21</f>
        <v>37893331.63</v>
      </c>
      <c r="F16" s="23">
        <f aca="true" t="shared" si="1" ref="F16:L16">F18+F19+F20+F21</f>
        <v>5223080</v>
      </c>
      <c r="G16" s="23">
        <f t="shared" si="1"/>
        <v>4954459.5600000005</v>
      </c>
      <c r="H16" s="23">
        <f t="shared" si="1"/>
        <v>5148532.8</v>
      </c>
      <c r="I16" s="23">
        <f t="shared" si="1"/>
        <v>5138232.8</v>
      </c>
      <c r="J16" s="23">
        <f t="shared" si="1"/>
        <v>5809675.49</v>
      </c>
      <c r="K16" s="23">
        <f t="shared" si="1"/>
        <v>5809675.49</v>
      </c>
      <c r="L16" s="23">
        <f t="shared" si="1"/>
        <v>5809675.49</v>
      </c>
      <c r="M16" s="258" t="s">
        <v>178</v>
      </c>
      <c r="N16" s="208">
        <v>100</v>
      </c>
      <c r="O16" s="208">
        <v>100</v>
      </c>
      <c r="P16" s="208">
        <v>100</v>
      </c>
      <c r="Q16" s="208">
        <v>100</v>
      </c>
      <c r="R16" s="208">
        <v>100</v>
      </c>
      <c r="S16" s="208">
        <v>100</v>
      </c>
      <c r="T16" s="208">
        <v>100</v>
      </c>
      <c r="U16" s="258" t="s">
        <v>209</v>
      </c>
    </row>
    <row r="17" spans="1:21" ht="16.5" customHeight="1">
      <c r="A17" s="223"/>
      <c r="B17" s="288"/>
      <c r="C17" s="230"/>
      <c r="D17" s="216" t="s">
        <v>117</v>
      </c>
      <c r="E17" s="217"/>
      <c r="F17" s="217"/>
      <c r="G17" s="217"/>
      <c r="H17" s="217"/>
      <c r="I17" s="217"/>
      <c r="J17" s="217"/>
      <c r="K17" s="217"/>
      <c r="L17" s="218"/>
      <c r="M17" s="259"/>
      <c r="N17" s="209"/>
      <c r="O17" s="209"/>
      <c r="P17" s="209"/>
      <c r="Q17" s="209"/>
      <c r="R17" s="209"/>
      <c r="S17" s="209"/>
      <c r="T17" s="209"/>
      <c r="U17" s="259"/>
    </row>
    <row r="18" spans="1:21" ht="18" customHeight="1">
      <c r="A18" s="223"/>
      <c r="B18" s="288"/>
      <c r="C18" s="230"/>
      <c r="D18" s="22" t="s">
        <v>95</v>
      </c>
      <c r="E18" s="23">
        <f>F18+G18+H18+I18+J18+K18+L18</f>
        <v>14157927.63</v>
      </c>
      <c r="F18" s="23">
        <v>2150680</v>
      </c>
      <c r="G18" s="23">
        <f>2250093-119637.44</f>
        <v>2130455.56</v>
      </c>
      <c r="H18" s="23">
        <v>2023932.8</v>
      </c>
      <c r="I18" s="23">
        <f>2023932.8</f>
        <v>2023932.8</v>
      </c>
      <c r="J18" s="23">
        <v>1942975.49</v>
      </c>
      <c r="K18" s="23">
        <v>1942975.49</v>
      </c>
      <c r="L18" s="23">
        <v>1942975.49</v>
      </c>
      <c r="M18" s="259"/>
      <c r="N18" s="209"/>
      <c r="O18" s="209"/>
      <c r="P18" s="209"/>
      <c r="Q18" s="209"/>
      <c r="R18" s="209"/>
      <c r="S18" s="209"/>
      <c r="T18" s="209"/>
      <c r="U18" s="259"/>
    </row>
    <row r="19" spans="1:21" ht="12.75" customHeight="1">
      <c r="A19" s="223"/>
      <c r="B19" s="288"/>
      <c r="C19" s="230"/>
      <c r="D19" s="22" t="s">
        <v>93</v>
      </c>
      <c r="E19" s="23">
        <f>F19+G19+H19+I19+J19+K19+L19</f>
        <v>23735404</v>
      </c>
      <c r="F19" s="23">
        <v>3072400</v>
      </c>
      <c r="G19" s="84">
        <f>2920100-96096</f>
        <v>2824004</v>
      </c>
      <c r="H19" s="84">
        <v>3124600</v>
      </c>
      <c r="I19" s="84">
        <f>3866700-752400</f>
        <v>3114300</v>
      </c>
      <c r="J19" s="84">
        <v>3866700</v>
      </c>
      <c r="K19" s="84">
        <v>3866700</v>
      </c>
      <c r="L19" s="84">
        <v>3866700</v>
      </c>
      <c r="M19" s="259"/>
      <c r="N19" s="209"/>
      <c r="O19" s="209"/>
      <c r="P19" s="209"/>
      <c r="Q19" s="209"/>
      <c r="R19" s="209"/>
      <c r="S19" s="209"/>
      <c r="T19" s="209"/>
      <c r="U19" s="259"/>
    </row>
    <row r="20" spans="1:21" ht="12.75" customHeight="1">
      <c r="A20" s="223"/>
      <c r="B20" s="288"/>
      <c r="C20" s="230"/>
      <c r="D20" s="22" t="s">
        <v>94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59"/>
      <c r="N20" s="209"/>
      <c r="O20" s="209"/>
      <c r="P20" s="209"/>
      <c r="Q20" s="209"/>
      <c r="R20" s="209"/>
      <c r="S20" s="209"/>
      <c r="T20" s="209"/>
      <c r="U20" s="259"/>
    </row>
    <row r="21" spans="1:21" ht="24" customHeight="1">
      <c r="A21" s="223"/>
      <c r="B21" s="289"/>
      <c r="C21" s="231"/>
      <c r="D21" s="22" t="s">
        <v>96</v>
      </c>
      <c r="E21" s="23">
        <f>F21+G21+H21+I21+J21+K21+L21</f>
        <v>0</v>
      </c>
      <c r="F21" s="23"/>
      <c r="G21" s="23"/>
      <c r="H21" s="23"/>
      <c r="I21" s="23"/>
      <c r="J21" s="23"/>
      <c r="K21" s="23"/>
      <c r="L21" s="23"/>
      <c r="M21" s="260"/>
      <c r="N21" s="210"/>
      <c r="O21" s="210"/>
      <c r="P21" s="210"/>
      <c r="Q21" s="210"/>
      <c r="R21" s="210"/>
      <c r="S21" s="210"/>
      <c r="T21" s="210"/>
      <c r="U21" s="260"/>
    </row>
    <row r="22" spans="1:21" ht="13.5" customHeight="1">
      <c r="A22" s="234"/>
      <c r="B22" s="264" t="s">
        <v>161</v>
      </c>
      <c r="C22" s="234"/>
      <c r="D22" s="102" t="s">
        <v>97</v>
      </c>
      <c r="E22" s="103">
        <f aca="true" t="shared" si="2" ref="E22:L22">E24+E25+E26+E27</f>
        <v>119713619.19999999</v>
      </c>
      <c r="F22" s="103">
        <f t="shared" si="2"/>
        <v>17676119</v>
      </c>
      <c r="G22" s="103">
        <f>G24+G25+G26+G27</f>
        <v>16780520.299999997</v>
      </c>
      <c r="H22" s="103">
        <f t="shared" si="2"/>
        <v>15441758.7</v>
      </c>
      <c r="I22" s="103">
        <f t="shared" si="2"/>
        <v>16574790</v>
      </c>
      <c r="J22" s="103">
        <f t="shared" si="2"/>
        <v>17746810.4</v>
      </c>
      <c r="K22" s="103">
        <f t="shared" si="2"/>
        <v>17746810.4</v>
      </c>
      <c r="L22" s="103">
        <f t="shared" si="2"/>
        <v>17746810.4</v>
      </c>
      <c r="M22" s="236"/>
      <c r="N22" s="244"/>
      <c r="O22" s="244"/>
      <c r="P22" s="244"/>
      <c r="Q22" s="244"/>
      <c r="R22" s="244"/>
      <c r="S22" s="244"/>
      <c r="T22" s="244"/>
      <c r="U22" s="247"/>
    </row>
    <row r="23" spans="1:21" ht="12.75" customHeight="1">
      <c r="A23" s="234"/>
      <c r="B23" s="265"/>
      <c r="C23" s="234"/>
      <c r="D23" s="239" t="s">
        <v>117</v>
      </c>
      <c r="E23" s="240"/>
      <c r="F23" s="240"/>
      <c r="G23" s="240"/>
      <c r="H23" s="240"/>
      <c r="I23" s="240"/>
      <c r="J23" s="240"/>
      <c r="K23" s="240"/>
      <c r="L23" s="241"/>
      <c r="M23" s="237"/>
      <c r="N23" s="245"/>
      <c r="O23" s="245"/>
      <c r="P23" s="245"/>
      <c r="Q23" s="245"/>
      <c r="R23" s="245"/>
      <c r="S23" s="245"/>
      <c r="T23" s="245"/>
      <c r="U23" s="248"/>
    </row>
    <row r="24" spans="1:21" ht="13.5" customHeight="1">
      <c r="A24" s="234"/>
      <c r="B24" s="265"/>
      <c r="C24" s="234"/>
      <c r="D24" s="104" t="s">
        <v>95</v>
      </c>
      <c r="E24" s="103">
        <f>F24+G24+H24+I24+J24+K24+L24</f>
        <v>61987385.199999996</v>
      </c>
      <c r="F24" s="105">
        <f aca="true" t="shared" si="3" ref="F24:L27">F12+F18</f>
        <v>10150939</v>
      </c>
      <c r="G24" s="105">
        <f t="shared" si="3"/>
        <v>9058458.299999999</v>
      </c>
      <c r="H24" s="105">
        <f t="shared" si="3"/>
        <v>8455158.7</v>
      </c>
      <c r="I24" s="105">
        <f t="shared" si="3"/>
        <v>8846090</v>
      </c>
      <c r="J24" s="105">
        <f t="shared" si="3"/>
        <v>8492246.4</v>
      </c>
      <c r="K24" s="105">
        <f t="shared" si="3"/>
        <v>8492246.4</v>
      </c>
      <c r="L24" s="105">
        <f t="shared" si="3"/>
        <v>8492246.4</v>
      </c>
      <c r="M24" s="237"/>
      <c r="N24" s="245"/>
      <c r="O24" s="245"/>
      <c r="P24" s="245"/>
      <c r="Q24" s="245"/>
      <c r="R24" s="245"/>
      <c r="S24" s="245"/>
      <c r="T24" s="245"/>
      <c r="U24" s="248"/>
    </row>
    <row r="25" spans="1:21" ht="13.5" customHeight="1">
      <c r="A25" s="234"/>
      <c r="B25" s="265"/>
      <c r="C25" s="234"/>
      <c r="D25" s="104" t="s">
        <v>93</v>
      </c>
      <c r="E25" s="103">
        <f>F25+G25+H25+I25+J25+K25+L25</f>
        <v>24487804</v>
      </c>
      <c r="F25" s="105">
        <f aca="true" t="shared" si="4" ref="F25:H27">F13+F19</f>
        <v>3072400</v>
      </c>
      <c r="G25" s="105">
        <f t="shared" si="4"/>
        <v>2824004</v>
      </c>
      <c r="H25" s="105">
        <f t="shared" si="4"/>
        <v>3124600</v>
      </c>
      <c r="I25" s="105">
        <f t="shared" si="3"/>
        <v>3866700</v>
      </c>
      <c r="J25" s="105">
        <f t="shared" si="3"/>
        <v>3866700</v>
      </c>
      <c r="K25" s="105">
        <f t="shared" si="3"/>
        <v>3866700</v>
      </c>
      <c r="L25" s="105">
        <f t="shared" si="3"/>
        <v>3866700</v>
      </c>
      <c r="M25" s="237"/>
      <c r="N25" s="245"/>
      <c r="O25" s="245"/>
      <c r="P25" s="245"/>
      <c r="Q25" s="245"/>
      <c r="R25" s="245"/>
      <c r="S25" s="245"/>
      <c r="T25" s="245"/>
      <c r="U25" s="248"/>
    </row>
    <row r="26" spans="1:21" ht="13.5" customHeight="1">
      <c r="A26" s="234"/>
      <c r="B26" s="265"/>
      <c r="C26" s="234"/>
      <c r="D26" s="104" t="s">
        <v>94</v>
      </c>
      <c r="E26" s="103">
        <f>F26+G26+H26+I26+J26+K26+L26</f>
        <v>0</v>
      </c>
      <c r="F26" s="105">
        <f t="shared" si="4"/>
        <v>0</v>
      </c>
      <c r="G26" s="105">
        <f t="shared" si="4"/>
        <v>0</v>
      </c>
      <c r="H26" s="105">
        <f t="shared" si="4"/>
        <v>0</v>
      </c>
      <c r="I26" s="105">
        <f t="shared" si="3"/>
        <v>0</v>
      </c>
      <c r="J26" s="105">
        <f t="shared" si="3"/>
        <v>0</v>
      </c>
      <c r="K26" s="105">
        <f t="shared" si="3"/>
        <v>0</v>
      </c>
      <c r="L26" s="105">
        <f t="shared" si="3"/>
        <v>0</v>
      </c>
      <c r="M26" s="237"/>
      <c r="N26" s="245"/>
      <c r="O26" s="245"/>
      <c r="P26" s="245"/>
      <c r="Q26" s="245"/>
      <c r="R26" s="245"/>
      <c r="S26" s="245"/>
      <c r="T26" s="245"/>
      <c r="U26" s="248"/>
    </row>
    <row r="27" spans="1:21" ht="13.5" customHeight="1">
      <c r="A27" s="234"/>
      <c r="B27" s="266"/>
      <c r="C27" s="234"/>
      <c r="D27" s="104" t="s">
        <v>96</v>
      </c>
      <c r="E27" s="103">
        <f>F27+G27+H27+I27+J27+K27+L27</f>
        <v>33238430</v>
      </c>
      <c r="F27" s="105">
        <f t="shared" si="4"/>
        <v>4452780</v>
      </c>
      <c r="G27" s="105">
        <f t="shared" si="4"/>
        <v>4898058</v>
      </c>
      <c r="H27" s="105">
        <f t="shared" si="4"/>
        <v>3862000</v>
      </c>
      <c r="I27" s="105">
        <f t="shared" si="3"/>
        <v>3862000</v>
      </c>
      <c r="J27" s="105">
        <f t="shared" si="3"/>
        <v>5387864</v>
      </c>
      <c r="K27" s="105">
        <f t="shared" si="3"/>
        <v>5387864</v>
      </c>
      <c r="L27" s="105">
        <f t="shared" si="3"/>
        <v>5387864</v>
      </c>
      <c r="M27" s="238"/>
      <c r="N27" s="246"/>
      <c r="O27" s="246"/>
      <c r="P27" s="246"/>
      <c r="Q27" s="246"/>
      <c r="R27" s="246"/>
      <c r="S27" s="246"/>
      <c r="T27" s="246"/>
      <c r="U27" s="249"/>
    </row>
    <row r="28" spans="1:21" ht="13.5" customHeight="1">
      <c r="A28" s="234"/>
      <c r="B28" s="264" t="s">
        <v>23</v>
      </c>
      <c r="C28" s="234"/>
      <c r="D28" s="102" t="s">
        <v>97</v>
      </c>
      <c r="E28" s="103">
        <f>E30+E31+E32+E33</f>
        <v>119713619.19999999</v>
      </c>
      <c r="F28" s="105">
        <f>F16+F22</f>
        <v>22899199</v>
      </c>
      <c r="G28" s="105">
        <f aca="true" t="shared" si="5" ref="G28:L28">+G30+G31+G33</f>
        <v>16780520.299999997</v>
      </c>
      <c r="H28" s="105">
        <f t="shared" si="5"/>
        <v>15441758.7</v>
      </c>
      <c r="I28" s="105">
        <f t="shared" si="5"/>
        <v>16574790</v>
      </c>
      <c r="J28" s="105">
        <f t="shared" si="5"/>
        <v>17746810.4</v>
      </c>
      <c r="K28" s="105">
        <f t="shared" si="5"/>
        <v>17746810.4</v>
      </c>
      <c r="L28" s="105">
        <f t="shared" si="5"/>
        <v>17746810.4</v>
      </c>
      <c r="M28" s="236"/>
      <c r="N28" s="244"/>
      <c r="O28" s="244"/>
      <c r="P28" s="244"/>
      <c r="Q28" s="244"/>
      <c r="R28" s="244"/>
      <c r="S28" s="244"/>
      <c r="T28" s="244"/>
      <c r="U28" s="247"/>
    </row>
    <row r="29" spans="1:21" ht="12.75" customHeight="1">
      <c r="A29" s="234"/>
      <c r="B29" s="265"/>
      <c r="C29" s="234"/>
      <c r="D29" s="239" t="s">
        <v>117</v>
      </c>
      <c r="E29" s="240"/>
      <c r="F29" s="240"/>
      <c r="G29" s="240"/>
      <c r="H29" s="240"/>
      <c r="I29" s="240"/>
      <c r="J29" s="240"/>
      <c r="K29" s="240"/>
      <c r="L29" s="241"/>
      <c r="M29" s="237"/>
      <c r="N29" s="245"/>
      <c r="O29" s="245"/>
      <c r="P29" s="245"/>
      <c r="Q29" s="245"/>
      <c r="R29" s="245"/>
      <c r="S29" s="245"/>
      <c r="T29" s="245"/>
      <c r="U29" s="248"/>
    </row>
    <row r="30" spans="1:21" ht="13.5" customHeight="1">
      <c r="A30" s="234"/>
      <c r="B30" s="265"/>
      <c r="C30" s="234"/>
      <c r="D30" s="104" t="s">
        <v>95</v>
      </c>
      <c r="E30" s="103">
        <f>F30+G30+H30+I30+J30+K30+L30</f>
        <v>61987385.199999996</v>
      </c>
      <c r="F30" s="105">
        <f>F24</f>
        <v>10150939</v>
      </c>
      <c r="G30" s="105">
        <f aca="true" t="shared" si="6" ref="G30:L33">G24</f>
        <v>9058458.299999999</v>
      </c>
      <c r="H30" s="105">
        <f t="shared" si="6"/>
        <v>8455158.7</v>
      </c>
      <c r="I30" s="105">
        <f t="shared" si="6"/>
        <v>8846090</v>
      </c>
      <c r="J30" s="105">
        <f t="shared" si="6"/>
        <v>8492246.4</v>
      </c>
      <c r="K30" s="105">
        <f t="shared" si="6"/>
        <v>8492246.4</v>
      </c>
      <c r="L30" s="105">
        <f t="shared" si="6"/>
        <v>8492246.4</v>
      </c>
      <c r="M30" s="237"/>
      <c r="N30" s="245"/>
      <c r="O30" s="245"/>
      <c r="P30" s="245"/>
      <c r="Q30" s="245"/>
      <c r="R30" s="245"/>
      <c r="S30" s="245"/>
      <c r="T30" s="245"/>
      <c r="U30" s="248"/>
    </row>
    <row r="31" spans="1:21" ht="13.5" customHeight="1">
      <c r="A31" s="234"/>
      <c r="B31" s="265"/>
      <c r="C31" s="234"/>
      <c r="D31" s="104" t="s">
        <v>93</v>
      </c>
      <c r="E31" s="103">
        <f>F31+G31+H31+I31+J31+K31+L31</f>
        <v>24487804</v>
      </c>
      <c r="F31" s="105">
        <f>F25</f>
        <v>3072400</v>
      </c>
      <c r="G31" s="105">
        <f aca="true" t="shared" si="7" ref="G31:H33">G25</f>
        <v>2824004</v>
      </c>
      <c r="H31" s="105">
        <f t="shared" si="7"/>
        <v>3124600</v>
      </c>
      <c r="I31" s="105">
        <f t="shared" si="6"/>
        <v>3866700</v>
      </c>
      <c r="J31" s="105">
        <f t="shared" si="6"/>
        <v>3866700</v>
      </c>
      <c r="K31" s="105">
        <f t="shared" si="6"/>
        <v>3866700</v>
      </c>
      <c r="L31" s="105">
        <f t="shared" si="6"/>
        <v>3866700</v>
      </c>
      <c r="M31" s="237"/>
      <c r="N31" s="245"/>
      <c r="O31" s="245"/>
      <c r="P31" s="245"/>
      <c r="Q31" s="245"/>
      <c r="R31" s="245"/>
      <c r="S31" s="245"/>
      <c r="T31" s="245"/>
      <c r="U31" s="248"/>
    </row>
    <row r="32" spans="1:21" ht="13.5" customHeight="1">
      <c r="A32" s="234"/>
      <c r="B32" s="265"/>
      <c r="C32" s="234"/>
      <c r="D32" s="104" t="s">
        <v>94</v>
      </c>
      <c r="E32" s="103">
        <f>F32+G32+H32+I32+J32+K32+L32</f>
        <v>0</v>
      </c>
      <c r="F32" s="105">
        <f>F26</f>
        <v>0</v>
      </c>
      <c r="G32" s="105">
        <f t="shared" si="7"/>
        <v>0</v>
      </c>
      <c r="H32" s="105">
        <f t="shared" si="7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237"/>
      <c r="N32" s="245"/>
      <c r="O32" s="245"/>
      <c r="P32" s="245"/>
      <c r="Q32" s="245"/>
      <c r="R32" s="245"/>
      <c r="S32" s="245"/>
      <c r="T32" s="245"/>
      <c r="U32" s="248"/>
    </row>
    <row r="33" spans="1:21" ht="13.5" customHeight="1">
      <c r="A33" s="234"/>
      <c r="B33" s="266"/>
      <c r="C33" s="234"/>
      <c r="D33" s="104" t="s">
        <v>96</v>
      </c>
      <c r="E33" s="103">
        <f>F33+G33+H33+I33+J33+K33+L33</f>
        <v>33238430</v>
      </c>
      <c r="F33" s="105">
        <f>F27</f>
        <v>4452780</v>
      </c>
      <c r="G33" s="105">
        <f t="shared" si="7"/>
        <v>4898058</v>
      </c>
      <c r="H33" s="105">
        <f t="shared" si="7"/>
        <v>3862000</v>
      </c>
      <c r="I33" s="105">
        <f t="shared" si="6"/>
        <v>3862000</v>
      </c>
      <c r="J33" s="105">
        <f t="shared" si="6"/>
        <v>5387864</v>
      </c>
      <c r="K33" s="105">
        <f t="shared" si="6"/>
        <v>5387864</v>
      </c>
      <c r="L33" s="105">
        <f t="shared" si="6"/>
        <v>5387864</v>
      </c>
      <c r="M33" s="238"/>
      <c r="N33" s="246"/>
      <c r="O33" s="246"/>
      <c r="P33" s="246"/>
      <c r="Q33" s="246"/>
      <c r="R33" s="246"/>
      <c r="S33" s="246"/>
      <c r="T33" s="246"/>
      <c r="U33" s="249"/>
    </row>
    <row r="36" spans="6:7" ht="12.75">
      <c r="F36" s="108"/>
      <c r="G36" s="26"/>
    </row>
    <row r="37" spans="6:8" ht="12.75">
      <c r="F37" s="108"/>
      <c r="H37" s="25"/>
    </row>
    <row r="38" ht="12.75">
      <c r="F38" s="108"/>
    </row>
    <row r="39" spans="6:8" ht="12.75">
      <c r="F39" s="108"/>
      <c r="H39" s="27"/>
    </row>
    <row r="40" ht="12.75">
      <c r="F40" s="108"/>
    </row>
    <row r="41" ht="12.75">
      <c r="F41" s="108"/>
    </row>
    <row r="42" ht="12.75">
      <c r="F42" s="108"/>
    </row>
  </sheetData>
  <sheetProtection/>
  <mergeCells count="62"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C22:C27"/>
    <mergeCell ref="M22:M27"/>
    <mergeCell ref="R10:R15"/>
    <mergeCell ref="S10:S15"/>
    <mergeCell ref="T10:T15"/>
    <mergeCell ref="T22:T27"/>
    <mergeCell ref="U10:U15"/>
    <mergeCell ref="A16:A21"/>
    <mergeCell ref="M16:M21"/>
    <mergeCell ref="O16:O21"/>
    <mergeCell ref="B16:B21"/>
    <mergeCell ref="C16:C21"/>
    <mergeCell ref="N16:N21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P1:U1"/>
    <mergeCell ref="A3:U3"/>
    <mergeCell ref="A5:A6"/>
    <mergeCell ref="B5:B6"/>
    <mergeCell ref="C5:C6"/>
    <mergeCell ref="D5:D6"/>
    <mergeCell ref="E5:L5"/>
    <mergeCell ref="M5:T5"/>
    <mergeCell ref="U5:U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0"/>
  <sheetViews>
    <sheetView zoomScaleSheetLayoutView="115" zoomScalePageLayoutView="0" workbookViewId="0" topLeftCell="C1">
      <selection activeCell="F1" sqref="F1:I1"/>
    </sheetView>
  </sheetViews>
  <sheetFormatPr defaultColWidth="9.140625" defaultRowHeight="15"/>
  <cols>
    <col min="1" max="1" width="35.421875" style="52" customWidth="1"/>
    <col min="2" max="2" width="18.28125" style="52" customWidth="1"/>
    <col min="3" max="3" width="15.421875" style="52" customWidth="1"/>
    <col min="4" max="4" width="15.421875" style="52" bestFit="1" customWidth="1"/>
    <col min="5" max="5" width="19.140625" style="52" customWidth="1"/>
    <col min="6" max="6" width="16.8515625" style="52" customWidth="1"/>
    <col min="7" max="8" width="14.28125" style="52" bestFit="1" customWidth="1"/>
    <col min="9" max="9" width="15.140625" style="52" bestFit="1" customWidth="1"/>
    <col min="10" max="10" width="15.57421875" style="52" customWidth="1"/>
    <col min="11" max="11" width="12.57421875" style="52" bestFit="1" customWidth="1"/>
    <col min="12" max="16384" width="9.140625" style="52" customWidth="1"/>
  </cols>
  <sheetData>
    <row r="1" spans="6:10" ht="79.5" customHeight="1">
      <c r="F1" s="310" t="s">
        <v>286</v>
      </c>
      <c r="G1" s="311"/>
      <c r="H1" s="311"/>
      <c r="I1" s="311"/>
      <c r="J1" s="111"/>
    </row>
    <row r="2" spans="5:9" ht="18.75" customHeight="1">
      <c r="E2" s="7"/>
      <c r="G2" s="71"/>
      <c r="H2" s="71"/>
      <c r="I2" s="1" t="s">
        <v>181</v>
      </c>
    </row>
    <row r="4" spans="1:9" ht="36.75" customHeight="1">
      <c r="A4" s="315" t="s">
        <v>25</v>
      </c>
      <c r="B4" s="315"/>
      <c r="C4" s="315"/>
      <c r="D4" s="315"/>
      <c r="E4" s="315"/>
      <c r="F4" s="315"/>
      <c r="G4" s="315"/>
      <c r="H4" s="315"/>
      <c r="I4" s="315"/>
    </row>
    <row r="5" spans="1:9" ht="30" customHeight="1">
      <c r="A5" s="316" t="s">
        <v>103</v>
      </c>
      <c r="B5" s="318" t="s">
        <v>104</v>
      </c>
      <c r="C5" s="320" t="s">
        <v>105</v>
      </c>
      <c r="D5" s="320"/>
      <c r="E5" s="320"/>
      <c r="F5" s="320"/>
      <c r="G5" s="320"/>
      <c r="H5" s="320"/>
      <c r="I5" s="320"/>
    </row>
    <row r="6" spans="1:9" ht="16.5" customHeight="1">
      <c r="A6" s="317"/>
      <c r="B6" s="319"/>
      <c r="C6" s="63">
        <v>2014</v>
      </c>
      <c r="D6" s="63">
        <v>2015</v>
      </c>
      <c r="E6" s="63">
        <v>2016</v>
      </c>
      <c r="F6" s="63">
        <v>2017</v>
      </c>
      <c r="G6" s="63">
        <v>2018</v>
      </c>
      <c r="H6" s="63">
        <v>2019</v>
      </c>
      <c r="I6" s="64">
        <v>2020</v>
      </c>
    </row>
    <row r="7" spans="1:9" ht="16.5" customHeight="1">
      <c r="A7" s="74">
        <v>1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7">
        <v>9</v>
      </c>
    </row>
    <row r="8" spans="1:9" ht="19.5" customHeight="1">
      <c r="A8" s="72" t="s">
        <v>26</v>
      </c>
      <c r="B8" s="70">
        <f>B10+B11+B12+B13</f>
        <v>759338810.38</v>
      </c>
      <c r="C8" s="70">
        <f aca="true" t="shared" si="0" ref="C8:I8">C10+C11+C12+C13</f>
        <v>378697560.7</v>
      </c>
      <c r="D8" s="70">
        <f>D10+D11+D12+D13</f>
        <v>268862522.66999996</v>
      </c>
      <c r="E8" s="70">
        <f t="shared" si="0"/>
        <v>75942400.7</v>
      </c>
      <c r="F8" s="70">
        <f t="shared" si="0"/>
        <v>19417416.71</v>
      </c>
      <c r="G8" s="70">
        <f t="shared" si="0"/>
        <v>8653769.18</v>
      </c>
      <c r="H8" s="70">
        <f t="shared" si="0"/>
        <v>7765140.42</v>
      </c>
      <c r="I8" s="70">
        <f t="shared" si="0"/>
        <v>0</v>
      </c>
    </row>
    <row r="9" spans="1:9" ht="16.5" customHeight="1">
      <c r="A9" s="312" t="s">
        <v>106</v>
      </c>
      <c r="B9" s="313"/>
      <c r="C9" s="313"/>
      <c r="D9" s="313"/>
      <c r="E9" s="313"/>
      <c r="F9" s="313"/>
      <c r="G9" s="313"/>
      <c r="H9" s="313"/>
      <c r="I9" s="314"/>
    </row>
    <row r="10" spans="1:9" ht="16.5" customHeight="1">
      <c r="A10" s="65" t="s">
        <v>107</v>
      </c>
      <c r="B10" s="70">
        <f>C10+D10+E10+F10+G10+H10+I10</f>
        <v>497834212.46999997</v>
      </c>
      <c r="C10" s="66">
        <f aca="true" t="shared" si="1" ref="C10:I10">C17+C24</f>
        <v>224841076.51999998</v>
      </c>
      <c r="D10" s="66">
        <f>D17+D24</f>
        <v>179542022.67</v>
      </c>
      <c r="E10" s="66">
        <f>E17+E24</f>
        <v>60942400.7</v>
      </c>
      <c r="F10" s="66">
        <f t="shared" si="1"/>
        <v>18642902.98</v>
      </c>
      <c r="G10" s="66">
        <f t="shared" si="1"/>
        <v>6100669.18</v>
      </c>
      <c r="H10" s="66">
        <f t="shared" si="1"/>
        <v>7765140.42</v>
      </c>
      <c r="I10" s="66">
        <f t="shared" si="1"/>
        <v>0</v>
      </c>
    </row>
    <row r="11" spans="1:9" ht="16.5" customHeight="1">
      <c r="A11" s="65" t="s">
        <v>20</v>
      </c>
      <c r="B11" s="70">
        <f>C11+D11+E11+F11+G11+H11+I11</f>
        <v>38933713.73</v>
      </c>
      <c r="C11" s="66">
        <f aca="true" t="shared" si="2" ref="C11:I13">C18+C25</f>
        <v>0</v>
      </c>
      <c r="D11" s="66">
        <f t="shared" si="2"/>
        <v>20606100</v>
      </c>
      <c r="E11" s="66">
        <f t="shared" si="2"/>
        <v>15000000</v>
      </c>
      <c r="F11" s="66">
        <f>F18+F25</f>
        <v>774513.73</v>
      </c>
      <c r="G11" s="66">
        <f t="shared" si="2"/>
        <v>2553100</v>
      </c>
      <c r="H11" s="66">
        <f t="shared" si="2"/>
        <v>0</v>
      </c>
      <c r="I11" s="66">
        <f t="shared" si="2"/>
        <v>0</v>
      </c>
    </row>
    <row r="12" spans="1:9" ht="16.5" customHeight="1">
      <c r="A12" s="65" t="s">
        <v>21</v>
      </c>
      <c r="B12" s="70">
        <f>C12+D12+E12+F12+G12+H12+I12</f>
        <v>222570884.18</v>
      </c>
      <c r="C12" s="66">
        <f t="shared" si="2"/>
        <v>153856484.18</v>
      </c>
      <c r="D12" s="66">
        <f t="shared" si="2"/>
        <v>68714400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</row>
    <row r="13" spans="1:9" ht="16.5" customHeight="1">
      <c r="A13" s="65" t="s">
        <v>110</v>
      </c>
      <c r="B13" s="70">
        <f>C13+D13+E13+F13+G13+H13+I13</f>
        <v>0</v>
      </c>
      <c r="C13" s="66">
        <f t="shared" si="2"/>
        <v>0</v>
      </c>
      <c r="D13" s="66">
        <f t="shared" si="2"/>
        <v>0</v>
      </c>
      <c r="E13" s="66">
        <f t="shared" si="2"/>
        <v>0</v>
      </c>
      <c r="F13" s="66">
        <f t="shared" si="2"/>
        <v>0</v>
      </c>
      <c r="G13" s="66">
        <f t="shared" si="2"/>
        <v>0</v>
      </c>
      <c r="H13" s="66">
        <f t="shared" si="2"/>
        <v>0</v>
      </c>
      <c r="I13" s="66">
        <f t="shared" si="2"/>
        <v>0</v>
      </c>
    </row>
    <row r="14" spans="1:9" ht="16.5" customHeight="1">
      <c r="A14" s="321" t="s">
        <v>111</v>
      </c>
      <c r="B14" s="322"/>
      <c r="C14" s="322"/>
      <c r="D14" s="322"/>
      <c r="E14" s="322"/>
      <c r="F14" s="322"/>
      <c r="G14" s="322"/>
      <c r="H14" s="322"/>
      <c r="I14" s="323"/>
    </row>
    <row r="15" spans="1:11" ht="47.25" customHeight="1">
      <c r="A15" s="73" t="s">
        <v>118</v>
      </c>
      <c r="B15" s="70">
        <f>B17+B18+B19+B20</f>
        <v>113212107.96000002</v>
      </c>
      <c r="C15" s="70">
        <f>C17+C18+C19+C20</f>
        <v>37890057.95</v>
      </c>
      <c r="D15" s="70">
        <f aca="true" t="shared" si="3" ref="D15:I15">D17+D18+D19+D20</f>
        <v>32468676.48</v>
      </c>
      <c r="E15" s="70">
        <f>E17+E18+E19+E20</f>
        <v>8054460.949999999</v>
      </c>
      <c r="F15" s="70">
        <f t="shared" si="3"/>
        <v>18380002.98</v>
      </c>
      <c r="G15" s="70">
        <f t="shared" si="3"/>
        <v>8653769.18</v>
      </c>
      <c r="H15" s="70">
        <f t="shared" si="3"/>
        <v>7765140.42</v>
      </c>
      <c r="I15" s="70">
        <f t="shared" si="3"/>
        <v>0</v>
      </c>
      <c r="K15" s="91"/>
    </row>
    <row r="16" spans="1:10" ht="16.5" customHeight="1">
      <c r="A16" s="312" t="s">
        <v>106</v>
      </c>
      <c r="B16" s="313"/>
      <c r="C16" s="313"/>
      <c r="D16" s="313"/>
      <c r="E16" s="313"/>
      <c r="F16" s="313"/>
      <c r="G16" s="313"/>
      <c r="H16" s="313"/>
      <c r="I16" s="314"/>
      <c r="J16" s="91"/>
    </row>
    <row r="17" spans="1:9" ht="16.5" customHeight="1">
      <c r="A17" s="65" t="s">
        <v>107</v>
      </c>
      <c r="B17" s="70">
        <f>C17+D17+E17+F17+G17+H17+I17</f>
        <v>105052907.96000002</v>
      </c>
      <c r="C17" s="66">
        <v>37890057.95</v>
      </c>
      <c r="D17" s="66">
        <v>26862576.48</v>
      </c>
      <c r="E17" s="66">
        <f>6300010.14+1057802.74+366885.6+158204+182115-10556.53</f>
        <v>8054460.949999999</v>
      </c>
      <c r="F17" s="66">
        <f>'таб 3(8)'!I58+'таб 3(8)'!I70+'таб 3(8)'!I76+'таб 3(8)'!I64-262900</f>
        <v>18380002.98</v>
      </c>
      <c r="G17" s="66">
        <f>'таб 3(8)'!J94</f>
        <v>6100669.18</v>
      </c>
      <c r="H17" s="66">
        <f>'таб 3(8)'!K94</f>
        <v>7765140.42</v>
      </c>
      <c r="I17" s="66">
        <v>0</v>
      </c>
    </row>
    <row r="18" spans="1:10" ht="16.5" customHeight="1">
      <c r="A18" s="65" t="s">
        <v>20</v>
      </c>
      <c r="B18" s="70">
        <f>C18+D18+E18+F18+G18+H18+I18</f>
        <v>8159200</v>
      </c>
      <c r="C18" s="66">
        <v>0</v>
      </c>
      <c r="D18" s="66">
        <f>+'таб 3(8)'!G18+'таб 3(8)'!G48</f>
        <v>5606100</v>
      </c>
      <c r="E18" s="66">
        <v>0</v>
      </c>
      <c r="F18" s="66">
        <v>0</v>
      </c>
      <c r="G18" s="66">
        <f>'таб 3(8)'!J65</f>
        <v>2553100</v>
      </c>
      <c r="H18" s="66">
        <v>0</v>
      </c>
      <c r="I18" s="66">
        <v>0</v>
      </c>
      <c r="J18" s="128"/>
    </row>
    <row r="19" spans="1:9" ht="16.5" customHeight="1">
      <c r="A19" s="65" t="s">
        <v>21</v>
      </c>
      <c r="B19" s="70">
        <f>C19+D19+E19+F19+G19+H19+I19</f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16.5" customHeight="1">
      <c r="A20" s="65" t="s">
        <v>110</v>
      </c>
      <c r="B20" s="70">
        <f>C20+D20+E20+F20+G20+H20+I20</f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</row>
    <row r="21" spans="1:9" ht="30">
      <c r="A21" s="69" t="s">
        <v>112</v>
      </c>
      <c r="B21" s="70">
        <f>C21+D21+E21+F21+G21+H21+I21</f>
        <v>20333549.72</v>
      </c>
      <c r="C21" s="66">
        <f>'таб 3(8)'!F39</f>
        <v>20333549.72</v>
      </c>
      <c r="D21" s="66">
        <f>'таб 3(8)'!G39</f>
        <v>0</v>
      </c>
      <c r="E21" s="66">
        <f>'таб 3(8)'!H39</f>
        <v>0</v>
      </c>
      <c r="F21" s="66">
        <f>'таб 3(8)'!I39</f>
        <v>0</v>
      </c>
      <c r="G21" s="66">
        <f>'таб 3(8)'!J39</f>
        <v>0</v>
      </c>
      <c r="H21" s="66">
        <f>'таб 3(8)'!K39</f>
        <v>0</v>
      </c>
      <c r="I21" s="66">
        <f>'таб 3(8)'!L39</f>
        <v>0</v>
      </c>
    </row>
    <row r="22" spans="1:9" ht="45" customHeight="1">
      <c r="A22" s="73" t="s">
        <v>188</v>
      </c>
      <c r="B22" s="70">
        <f>B24+B25+B26+B27</f>
        <v>646126702.4200001</v>
      </c>
      <c r="C22" s="70">
        <f>C24+C25+C26+C27</f>
        <v>340807502.75</v>
      </c>
      <c r="D22" s="70">
        <f aca="true" t="shared" si="4" ref="D22:I22">D24+D25+D26+D27</f>
        <v>236393846.19</v>
      </c>
      <c r="E22" s="70">
        <f>E24+E25+E26+E27</f>
        <v>67887939.75</v>
      </c>
      <c r="F22" s="70">
        <f>F24+F25+F26+F27</f>
        <v>1037413.73</v>
      </c>
      <c r="G22" s="70">
        <f t="shared" si="4"/>
        <v>0</v>
      </c>
      <c r="H22" s="70">
        <f t="shared" si="4"/>
        <v>0</v>
      </c>
      <c r="I22" s="70">
        <f t="shared" si="4"/>
        <v>0</v>
      </c>
    </row>
    <row r="23" spans="1:9" ht="16.5" customHeight="1">
      <c r="A23" s="312" t="s">
        <v>106</v>
      </c>
      <c r="B23" s="313"/>
      <c r="C23" s="313"/>
      <c r="D23" s="313"/>
      <c r="E23" s="313"/>
      <c r="F23" s="313"/>
      <c r="G23" s="313"/>
      <c r="H23" s="313"/>
      <c r="I23" s="314"/>
    </row>
    <row r="24" spans="1:9" ht="16.5" customHeight="1">
      <c r="A24" s="65" t="s">
        <v>107</v>
      </c>
      <c r="B24" s="70">
        <f>C24+D24+E24+F24+G24+H24+I24</f>
        <v>392781304.51</v>
      </c>
      <c r="C24" s="66">
        <v>186951018.57</v>
      </c>
      <c r="D24" s="88">
        <v>152679446.19</v>
      </c>
      <c r="E24" s="88">
        <f>49779000-15000000+2702387.68+9207002.98+4989967.13+1209581.96</f>
        <v>52887939.75</v>
      </c>
      <c r="F24" s="66">
        <f>'таб 3(8)'!I33+262900</f>
        <v>262900</v>
      </c>
      <c r="G24" s="66"/>
      <c r="H24" s="66"/>
      <c r="I24" s="66"/>
    </row>
    <row r="25" spans="1:10" ht="16.5" customHeight="1">
      <c r="A25" s="65" t="s">
        <v>20</v>
      </c>
      <c r="B25" s="70">
        <f>C25+D25+E25+F25+G25+H25+I25</f>
        <v>30774513.73</v>
      </c>
      <c r="C25" s="68"/>
      <c r="D25" s="66">
        <f>+'таб 3(8)'!G12</f>
        <v>15000000</v>
      </c>
      <c r="E25" s="88">
        <v>15000000</v>
      </c>
      <c r="F25" s="66">
        <f>'таб 3(8)'!I12</f>
        <v>774513.73</v>
      </c>
      <c r="G25" s="66"/>
      <c r="H25" s="66"/>
      <c r="I25" s="66"/>
      <c r="J25" s="128"/>
    </row>
    <row r="26" spans="1:9" ht="16.5" customHeight="1">
      <c r="A26" s="65" t="s">
        <v>21</v>
      </c>
      <c r="B26" s="70">
        <f>C26+D26+E26+F26+G26+H26+I26</f>
        <v>222570884.18</v>
      </c>
      <c r="C26" s="66">
        <f>'таб 3(8)'!F96</f>
        <v>153856484.18</v>
      </c>
      <c r="D26" s="66">
        <f>+'таб 3(8)'!G13</f>
        <v>68714400</v>
      </c>
      <c r="E26" s="66">
        <f>+'таб 3(8)'!H96</f>
        <v>0</v>
      </c>
      <c r="F26" s="66"/>
      <c r="G26" s="66"/>
      <c r="H26" s="66"/>
      <c r="I26" s="66"/>
    </row>
    <row r="27" spans="1:9" ht="16.5" customHeight="1">
      <c r="A27" s="65" t="s">
        <v>110</v>
      </c>
      <c r="B27" s="70">
        <f>C27+D27+E27+F27+G27+H27+I27</f>
        <v>0</v>
      </c>
      <c r="C27" s="66">
        <f aca="true" t="shared" si="5" ref="C27:I27">C34+C41</f>
        <v>0</v>
      </c>
      <c r="D27" s="66">
        <f t="shared" si="5"/>
        <v>0</v>
      </c>
      <c r="E27" s="66">
        <f>+'таб 3(8)'!I97</f>
        <v>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I27" s="66">
        <f t="shared" si="5"/>
        <v>0</v>
      </c>
    </row>
    <row r="28" spans="1:9" ht="30">
      <c r="A28" s="69" t="s">
        <v>112</v>
      </c>
      <c r="B28" s="70">
        <f>B22</f>
        <v>646126702.4200001</v>
      </c>
      <c r="C28" s="67">
        <f aca="true" t="shared" si="6" ref="C28:I28">C22</f>
        <v>340807502.75</v>
      </c>
      <c r="D28" s="67">
        <f t="shared" si="6"/>
        <v>236393846.19</v>
      </c>
      <c r="E28" s="67">
        <f t="shared" si="6"/>
        <v>67887939.75</v>
      </c>
      <c r="F28" s="67">
        <f t="shared" si="6"/>
        <v>1037413.73</v>
      </c>
      <c r="G28" s="67">
        <f t="shared" si="6"/>
        <v>0</v>
      </c>
      <c r="H28" s="67">
        <f t="shared" si="6"/>
        <v>0</v>
      </c>
      <c r="I28" s="67">
        <f t="shared" si="6"/>
        <v>0</v>
      </c>
    </row>
    <row r="30" ht="15">
      <c r="D30" s="91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05"/>
  <sheetViews>
    <sheetView tabSelected="1" zoomScaleSheetLayoutView="115" zoomScalePageLayoutView="0" workbookViewId="0" topLeftCell="A1">
      <pane xSplit="3" ySplit="8" topLeftCell="L9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U1"/>
    </sheetView>
  </sheetViews>
  <sheetFormatPr defaultColWidth="9.140625" defaultRowHeight="15"/>
  <cols>
    <col min="1" max="1" width="9.140625" style="19" customWidth="1"/>
    <col min="2" max="2" width="38.00390625" style="19" customWidth="1"/>
    <col min="3" max="3" width="10.8515625" style="19" customWidth="1"/>
    <col min="4" max="4" width="10.00390625" style="19" customWidth="1"/>
    <col min="5" max="6" width="14.00390625" style="19" customWidth="1"/>
    <col min="7" max="7" width="14.00390625" style="19" bestFit="1" customWidth="1"/>
    <col min="8" max="8" width="15.421875" style="19" customWidth="1"/>
    <col min="9" max="9" width="12.8515625" style="19" customWidth="1"/>
    <col min="10" max="12" width="12.8515625" style="19" bestFit="1" customWidth="1"/>
    <col min="13" max="13" width="25.421875" style="19" customWidth="1"/>
    <col min="14" max="20" width="4.421875" style="19" bestFit="1" customWidth="1"/>
    <col min="21" max="21" width="20.7109375" style="19" customWidth="1"/>
    <col min="22" max="16384" width="9.140625" style="19" customWidth="1"/>
  </cols>
  <sheetData>
    <row r="1" spans="8:21" ht="79.5" customHeight="1">
      <c r="H1" s="26"/>
      <c r="J1" s="129"/>
      <c r="K1" s="92"/>
      <c r="L1" s="92"/>
      <c r="P1" s="310" t="s">
        <v>287</v>
      </c>
      <c r="Q1" s="311"/>
      <c r="R1" s="311"/>
      <c r="S1" s="311"/>
      <c r="T1" s="311"/>
      <c r="U1" s="311"/>
    </row>
    <row r="2" spans="20:21" ht="15" customHeight="1">
      <c r="T2" s="100"/>
      <c r="U2" s="106" t="s">
        <v>182</v>
      </c>
    </row>
    <row r="3" spans="1:21" ht="15.75">
      <c r="A3" s="243" t="s">
        <v>27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ht="24.75" customHeight="1">
      <c r="A4" s="186" t="s">
        <v>101</v>
      </c>
      <c r="B4" s="186" t="s">
        <v>113</v>
      </c>
      <c r="C4" s="186" t="s">
        <v>114</v>
      </c>
      <c r="D4" s="186" t="s">
        <v>103</v>
      </c>
      <c r="E4" s="186" t="s">
        <v>115</v>
      </c>
      <c r="F4" s="186"/>
      <c r="G4" s="186"/>
      <c r="H4" s="186"/>
      <c r="I4" s="186"/>
      <c r="J4" s="186"/>
      <c r="K4" s="186"/>
      <c r="L4" s="186"/>
      <c r="M4" s="186" t="s">
        <v>31</v>
      </c>
      <c r="N4" s="186"/>
      <c r="O4" s="186"/>
      <c r="P4" s="186"/>
      <c r="Q4" s="186"/>
      <c r="R4" s="186"/>
      <c r="S4" s="186"/>
      <c r="T4" s="186"/>
      <c r="U4" s="232" t="s">
        <v>116</v>
      </c>
    </row>
    <row r="5" spans="1:21" ht="27.75" customHeight="1">
      <c r="A5" s="186"/>
      <c r="B5" s="186"/>
      <c r="C5" s="186"/>
      <c r="D5" s="186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3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</row>
    <row r="8" spans="1:21" ht="12.75">
      <c r="A8" s="21">
        <v>1</v>
      </c>
      <c r="B8" s="213" t="s">
        <v>189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ht="12.75">
      <c r="A9" s="330" t="s">
        <v>99</v>
      </c>
      <c r="B9" s="287" t="s">
        <v>57</v>
      </c>
      <c r="C9" s="234">
        <v>2015</v>
      </c>
      <c r="D9" s="109" t="s">
        <v>97</v>
      </c>
      <c r="E9" s="23">
        <f aca="true" t="shared" si="0" ref="E9:L9">E11+E12+E13+E14</f>
        <v>370505619.30999994</v>
      </c>
      <c r="F9" s="23">
        <f t="shared" si="0"/>
        <v>155467418.57</v>
      </c>
      <c r="G9" s="23">
        <f t="shared" si="0"/>
        <v>158184676.87</v>
      </c>
      <c r="H9" s="23">
        <f t="shared" si="0"/>
        <v>56079010.14</v>
      </c>
      <c r="I9" s="23">
        <f t="shared" si="0"/>
        <v>774513.73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325" t="s">
        <v>196</v>
      </c>
      <c r="N9" s="328"/>
      <c r="O9" s="331">
        <v>0</v>
      </c>
      <c r="P9" s="329">
        <v>1</v>
      </c>
      <c r="Q9" s="328"/>
      <c r="R9" s="328"/>
      <c r="S9" s="328"/>
      <c r="T9" s="328"/>
      <c r="U9" s="247" t="s">
        <v>212</v>
      </c>
    </row>
    <row r="10" spans="1:21" ht="12.75">
      <c r="A10" s="234"/>
      <c r="B10" s="288"/>
      <c r="C10" s="234"/>
      <c r="D10" s="216" t="s">
        <v>117</v>
      </c>
      <c r="E10" s="217"/>
      <c r="F10" s="217"/>
      <c r="G10" s="217"/>
      <c r="H10" s="217"/>
      <c r="I10" s="217"/>
      <c r="J10" s="217"/>
      <c r="K10" s="217"/>
      <c r="L10" s="218"/>
      <c r="M10" s="326"/>
      <c r="N10" s="328"/>
      <c r="O10" s="331"/>
      <c r="P10" s="329"/>
      <c r="Q10" s="328"/>
      <c r="R10" s="328"/>
      <c r="S10" s="328"/>
      <c r="T10" s="328"/>
      <c r="U10" s="248"/>
    </row>
    <row r="11" spans="1:21" ht="12.75">
      <c r="A11" s="234"/>
      <c r="B11" s="288"/>
      <c r="C11" s="234"/>
      <c r="D11" s="22" t="s">
        <v>95</v>
      </c>
      <c r="E11" s="23">
        <f>F11+G11+H11+I11+J11+K11+L11</f>
        <v>146266705.57999998</v>
      </c>
      <c r="F11" s="23">
        <f>53237500-22520081.43</f>
        <v>30717418.57</v>
      </c>
      <c r="G11" s="23">
        <v>74470276.87</v>
      </c>
      <c r="H11" s="23">
        <f>34779000+6300010.14</f>
        <v>41079010.14</v>
      </c>
      <c r="I11" s="23">
        <v>0</v>
      </c>
      <c r="J11" s="23">
        <v>0</v>
      </c>
      <c r="K11" s="23">
        <v>0</v>
      </c>
      <c r="L11" s="23">
        <v>0</v>
      </c>
      <c r="M11" s="326"/>
      <c r="N11" s="328"/>
      <c r="O11" s="331"/>
      <c r="P11" s="329"/>
      <c r="Q11" s="328"/>
      <c r="R11" s="328"/>
      <c r="S11" s="328"/>
      <c r="T11" s="328"/>
      <c r="U11" s="248"/>
    </row>
    <row r="12" spans="1:21" ht="12.75">
      <c r="A12" s="234"/>
      <c r="B12" s="288"/>
      <c r="C12" s="234"/>
      <c r="D12" s="22" t="s">
        <v>93</v>
      </c>
      <c r="E12" s="23">
        <f>F12+G12+H12+I12+J12+K12+L12</f>
        <v>30774513.73</v>
      </c>
      <c r="F12" s="23">
        <v>0</v>
      </c>
      <c r="G12" s="23">
        <v>15000000</v>
      </c>
      <c r="H12" s="23">
        <v>15000000</v>
      </c>
      <c r="I12" s="23">
        <v>774513.73</v>
      </c>
      <c r="J12" s="23">
        <v>0</v>
      </c>
      <c r="K12" s="23">
        <v>0</v>
      </c>
      <c r="L12" s="23">
        <v>0</v>
      </c>
      <c r="M12" s="326"/>
      <c r="N12" s="328"/>
      <c r="O12" s="331"/>
      <c r="P12" s="329"/>
      <c r="Q12" s="328"/>
      <c r="R12" s="328"/>
      <c r="S12" s="328"/>
      <c r="T12" s="328"/>
      <c r="U12" s="248"/>
    </row>
    <row r="13" spans="1:21" ht="12.75">
      <c r="A13" s="234"/>
      <c r="B13" s="288"/>
      <c r="C13" s="234"/>
      <c r="D13" s="22" t="s">
        <v>94</v>
      </c>
      <c r="E13" s="23">
        <f>F13+G13+H13+I13+J13+K13+L13</f>
        <v>193464400</v>
      </c>
      <c r="F13" s="23">
        <v>124750000</v>
      </c>
      <c r="G13" s="23">
        <v>68714400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26"/>
      <c r="N13" s="328"/>
      <c r="O13" s="331"/>
      <c r="P13" s="329"/>
      <c r="Q13" s="328"/>
      <c r="R13" s="328"/>
      <c r="S13" s="328"/>
      <c r="T13" s="328"/>
      <c r="U13" s="248"/>
    </row>
    <row r="14" spans="1:21" ht="12.75">
      <c r="A14" s="234"/>
      <c r="B14" s="289"/>
      <c r="C14" s="234"/>
      <c r="D14" s="22" t="s">
        <v>96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327"/>
      <c r="N14" s="328"/>
      <c r="O14" s="331"/>
      <c r="P14" s="329"/>
      <c r="Q14" s="328"/>
      <c r="R14" s="328"/>
      <c r="S14" s="328"/>
      <c r="T14" s="328"/>
      <c r="U14" s="249"/>
    </row>
    <row r="15" spans="1:21" ht="12.75">
      <c r="A15" s="330" t="s">
        <v>98</v>
      </c>
      <c r="B15" s="287" t="s">
        <v>219</v>
      </c>
      <c r="C15" s="234">
        <v>2015</v>
      </c>
      <c r="D15" s="109" t="s">
        <v>97</v>
      </c>
      <c r="E15" s="23">
        <f aca="true" t="shared" si="1" ref="E15:L15">E17+E18+E19+E20</f>
        <v>276554268.36</v>
      </c>
      <c r="F15" s="23">
        <f t="shared" si="1"/>
        <v>185340084.18</v>
      </c>
      <c r="G15" s="23">
        <f t="shared" si="1"/>
        <v>88511796.5</v>
      </c>
      <c r="H15" s="23">
        <f t="shared" si="1"/>
        <v>2702387.68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325" t="s">
        <v>216</v>
      </c>
      <c r="N15" s="328"/>
      <c r="O15" s="331">
        <v>1</v>
      </c>
      <c r="P15" s="329"/>
      <c r="Q15" s="328"/>
      <c r="R15" s="328"/>
      <c r="S15" s="328"/>
      <c r="T15" s="328"/>
      <c r="U15" s="247" t="s">
        <v>212</v>
      </c>
    </row>
    <row r="16" spans="1:21" ht="12.75">
      <c r="A16" s="234"/>
      <c r="B16" s="288"/>
      <c r="C16" s="234"/>
      <c r="D16" s="216" t="s">
        <v>117</v>
      </c>
      <c r="E16" s="217"/>
      <c r="F16" s="217"/>
      <c r="G16" s="217"/>
      <c r="H16" s="217"/>
      <c r="I16" s="217"/>
      <c r="J16" s="217"/>
      <c r="K16" s="217"/>
      <c r="L16" s="218"/>
      <c r="M16" s="326"/>
      <c r="N16" s="328"/>
      <c r="O16" s="331"/>
      <c r="P16" s="329"/>
      <c r="Q16" s="328"/>
      <c r="R16" s="328"/>
      <c r="S16" s="328"/>
      <c r="T16" s="328"/>
      <c r="U16" s="248"/>
    </row>
    <row r="17" spans="1:21" ht="14.25" customHeight="1">
      <c r="A17" s="234"/>
      <c r="B17" s="288"/>
      <c r="C17" s="234"/>
      <c r="D17" s="22" t="s">
        <v>95</v>
      </c>
      <c r="E17" s="23">
        <f>F17+G17+H17+I17+J17+K17+L17</f>
        <v>246647784.18</v>
      </c>
      <c r="F17" s="23">
        <v>156233600</v>
      </c>
      <c r="G17" s="23">
        <v>87711796.5</v>
      </c>
      <c r="H17" s="23">
        <f>2702387.68</f>
        <v>2702387.68</v>
      </c>
      <c r="I17" s="23">
        <v>0</v>
      </c>
      <c r="J17" s="23">
        <v>0</v>
      </c>
      <c r="K17" s="23">
        <v>0</v>
      </c>
      <c r="L17" s="23">
        <v>0</v>
      </c>
      <c r="M17" s="326"/>
      <c r="N17" s="328"/>
      <c r="O17" s="331"/>
      <c r="P17" s="329"/>
      <c r="Q17" s="328"/>
      <c r="R17" s="328"/>
      <c r="S17" s="328"/>
      <c r="T17" s="328"/>
      <c r="U17" s="248"/>
    </row>
    <row r="18" spans="1:21" ht="12.75">
      <c r="A18" s="234"/>
      <c r="B18" s="288"/>
      <c r="C18" s="234"/>
      <c r="D18" s="22" t="s">
        <v>93</v>
      </c>
      <c r="E18" s="23">
        <f>F18+G18+H18+I18+J18+K18+L18</f>
        <v>800000</v>
      </c>
      <c r="F18" s="23">
        <v>0</v>
      </c>
      <c r="G18" s="23">
        <v>800000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26"/>
      <c r="N18" s="328"/>
      <c r="O18" s="331"/>
      <c r="P18" s="329"/>
      <c r="Q18" s="328"/>
      <c r="R18" s="328"/>
      <c r="S18" s="328"/>
      <c r="T18" s="328"/>
      <c r="U18" s="248"/>
    </row>
    <row r="19" spans="1:21" ht="12.75">
      <c r="A19" s="234"/>
      <c r="B19" s="288"/>
      <c r="C19" s="234"/>
      <c r="D19" s="22" t="s">
        <v>94</v>
      </c>
      <c r="E19" s="23">
        <f>F19+G19+H19+I19+J19+K19+L19</f>
        <v>29106484.18</v>
      </c>
      <c r="F19" s="23">
        <v>29106484.18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26"/>
      <c r="N19" s="328"/>
      <c r="O19" s="331"/>
      <c r="P19" s="329"/>
      <c r="Q19" s="328"/>
      <c r="R19" s="328"/>
      <c r="S19" s="328"/>
      <c r="T19" s="328"/>
      <c r="U19" s="248"/>
    </row>
    <row r="20" spans="1:21" ht="12.75">
      <c r="A20" s="234"/>
      <c r="B20" s="289"/>
      <c r="C20" s="234"/>
      <c r="D20" s="22" t="s">
        <v>96</v>
      </c>
      <c r="E20" s="23">
        <f>F20+G20+H20+I20+J20+K20+L20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327"/>
      <c r="N20" s="328"/>
      <c r="O20" s="331"/>
      <c r="P20" s="329"/>
      <c r="Q20" s="328"/>
      <c r="R20" s="328"/>
      <c r="S20" s="328"/>
      <c r="T20" s="328"/>
      <c r="U20" s="249"/>
    </row>
    <row r="21" spans="1:21" ht="12.75" customHeight="1" hidden="1">
      <c r="A21" s="234" t="s">
        <v>100</v>
      </c>
      <c r="B21" s="287" t="s">
        <v>217</v>
      </c>
      <c r="C21" s="234">
        <v>2015</v>
      </c>
      <c r="D21" s="22" t="s">
        <v>97</v>
      </c>
      <c r="E21" s="23">
        <f aca="true" t="shared" si="2" ref="E21:L21">E23+E24+E25+E26</f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325" t="s">
        <v>196</v>
      </c>
      <c r="N21" s="208"/>
      <c r="O21" s="202">
        <v>1</v>
      </c>
      <c r="P21" s="339"/>
      <c r="Q21" s="208"/>
      <c r="R21" s="208"/>
      <c r="S21" s="208"/>
      <c r="T21" s="208"/>
      <c r="U21" s="247" t="s">
        <v>212</v>
      </c>
    </row>
    <row r="22" spans="1:21" ht="12.75" hidden="1">
      <c r="A22" s="234"/>
      <c r="B22" s="288"/>
      <c r="C22" s="234"/>
      <c r="D22" s="216" t="s">
        <v>117</v>
      </c>
      <c r="E22" s="217"/>
      <c r="F22" s="217"/>
      <c r="G22" s="217"/>
      <c r="H22" s="217"/>
      <c r="I22" s="217"/>
      <c r="J22" s="217"/>
      <c r="K22" s="217"/>
      <c r="L22" s="218"/>
      <c r="M22" s="332"/>
      <c r="N22" s="273"/>
      <c r="O22" s="273"/>
      <c r="P22" s="340"/>
      <c r="Q22" s="273"/>
      <c r="R22" s="273"/>
      <c r="S22" s="273"/>
      <c r="T22" s="273"/>
      <c r="U22" s="248"/>
    </row>
    <row r="23" spans="1:21" ht="14.25" customHeight="1" hidden="1">
      <c r="A23" s="234"/>
      <c r="B23" s="288"/>
      <c r="C23" s="234"/>
      <c r="D23" s="22" t="s">
        <v>95</v>
      </c>
      <c r="E23" s="23">
        <f>F23+G23+H23+I23+J23+K23+L23</f>
        <v>0</v>
      </c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333"/>
      <c r="N23" s="274"/>
      <c r="O23" s="274"/>
      <c r="P23" s="341"/>
      <c r="Q23" s="274"/>
      <c r="R23" s="274"/>
      <c r="S23" s="274"/>
      <c r="T23" s="274"/>
      <c r="U23" s="248"/>
    </row>
    <row r="24" spans="1:21" ht="12.75" hidden="1">
      <c r="A24" s="234"/>
      <c r="B24" s="288"/>
      <c r="C24" s="234"/>
      <c r="D24" s="22" t="s">
        <v>93</v>
      </c>
      <c r="E24" s="23">
        <f>F24+G24+H24+I24+J24+K24+L24</f>
        <v>0</v>
      </c>
      <c r="F24" s="23">
        <v>0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25" t="s">
        <v>215</v>
      </c>
      <c r="N24" s="208"/>
      <c r="O24" s="202"/>
      <c r="P24" s="339">
        <v>1</v>
      </c>
      <c r="Q24" s="208"/>
      <c r="R24" s="208"/>
      <c r="S24" s="208"/>
      <c r="T24" s="208"/>
      <c r="U24" s="248"/>
    </row>
    <row r="25" spans="1:21" ht="12.75" hidden="1">
      <c r="A25" s="234"/>
      <c r="B25" s="288"/>
      <c r="C25" s="234"/>
      <c r="D25" s="22" t="s">
        <v>94</v>
      </c>
      <c r="E25" s="23">
        <f>F25+G25+H25+I25+J25+K25+L25</f>
        <v>0</v>
      </c>
      <c r="F25" s="23"/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32"/>
      <c r="N25" s="273"/>
      <c r="O25" s="273"/>
      <c r="P25" s="340"/>
      <c r="Q25" s="273"/>
      <c r="R25" s="273"/>
      <c r="S25" s="273"/>
      <c r="T25" s="273"/>
      <c r="U25" s="248"/>
    </row>
    <row r="26" spans="1:21" ht="27.75" customHeight="1" hidden="1">
      <c r="A26" s="234"/>
      <c r="B26" s="289"/>
      <c r="C26" s="234"/>
      <c r="D26" s="22" t="s">
        <v>96</v>
      </c>
      <c r="E26" s="23">
        <f>F26+G26+H26+I26+J26+K26+L26</f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33"/>
      <c r="N26" s="274"/>
      <c r="O26" s="274"/>
      <c r="P26" s="341"/>
      <c r="Q26" s="274"/>
      <c r="R26" s="274"/>
      <c r="S26" s="274"/>
      <c r="T26" s="274"/>
      <c r="U26" s="249"/>
    </row>
    <row r="27" spans="1:21" ht="12.75" hidden="1">
      <c r="A27" s="234" t="s">
        <v>208</v>
      </c>
      <c r="B27" s="224" t="s">
        <v>218</v>
      </c>
      <c r="C27" s="234">
        <v>2015</v>
      </c>
      <c r="D27" s="22" t="s">
        <v>97</v>
      </c>
      <c r="E27" s="23">
        <f aca="true" t="shared" si="3" ref="E27:L27">E29+E30+E31+E32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325" t="s">
        <v>216</v>
      </c>
      <c r="N27" s="208"/>
      <c r="O27" s="202">
        <v>1</v>
      </c>
      <c r="P27" s="339"/>
      <c r="Q27" s="208"/>
      <c r="R27" s="208"/>
      <c r="S27" s="208"/>
      <c r="T27" s="208"/>
      <c r="U27" s="247" t="s">
        <v>212</v>
      </c>
    </row>
    <row r="28" spans="1:21" ht="12.75" customHeight="1" hidden="1">
      <c r="A28" s="234"/>
      <c r="B28" s="224"/>
      <c r="C28" s="234"/>
      <c r="D28" s="216" t="s">
        <v>117</v>
      </c>
      <c r="E28" s="217"/>
      <c r="F28" s="217"/>
      <c r="G28" s="217"/>
      <c r="H28" s="217"/>
      <c r="I28" s="217"/>
      <c r="J28" s="217"/>
      <c r="K28" s="217"/>
      <c r="L28" s="218"/>
      <c r="M28" s="332"/>
      <c r="N28" s="273"/>
      <c r="O28" s="273"/>
      <c r="P28" s="273"/>
      <c r="Q28" s="273"/>
      <c r="R28" s="273"/>
      <c r="S28" s="273"/>
      <c r="T28" s="273"/>
      <c r="U28" s="248"/>
    </row>
    <row r="29" spans="1:21" ht="15" customHeight="1" hidden="1">
      <c r="A29" s="234"/>
      <c r="B29" s="224"/>
      <c r="C29" s="234"/>
      <c r="D29" s="22" t="s">
        <v>95</v>
      </c>
      <c r="E29" s="23">
        <f>F29+G29+H29+I29+J29+K29+L29</f>
        <v>0</v>
      </c>
      <c r="F29" s="23">
        <v>0</v>
      </c>
      <c r="G29" s="23"/>
      <c r="H29" s="23"/>
      <c r="I29" s="23">
        <v>0</v>
      </c>
      <c r="J29" s="23">
        <v>0</v>
      </c>
      <c r="K29" s="23">
        <v>0</v>
      </c>
      <c r="L29" s="23">
        <v>0</v>
      </c>
      <c r="M29" s="332"/>
      <c r="N29" s="273"/>
      <c r="O29" s="273"/>
      <c r="P29" s="273"/>
      <c r="Q29" s="273"/>
      <c r="R29" s="273"/>
      <c r="S29" s="273"/>
      <c r="T29" s="273"/>
      <c r="U29" s="248"/>
    </row>
    <row r="30" spans="1:21" ht="12.75" hidden="1">
      <c r="A30" s="234"/>
      <c r="B30" s="224"/>
      <c r="C30" s="234"/>
      <c r="D30" s="22" t="s">
        <v>93</v>
      </c>
      <c r="E30" s="23">
        <f>F30+G30+H30+I30+J30+K30+L30</f>
        <v>0</v>
      </c>
      <c r="F30" s="23">
        <v>0</v>
      </c>
      <c r="G30" s="23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32"/>
      <c r="N30" s="273"/>
      <c r="O30" s="273"/>
      <c r="P30" s="273"/>
      <c r="Q30" s="273"/>
      <c r="R30" s="273"/>
      <c r="S30" s="273"/>
      <c r="T30" s="273"/>
      <c r="U30" s="248"/>
    </row>
    <row r="31" spans="1:21" ht="12.75" customHeight="1" hidden="1">
      <c r="A31" s="234"/>
      <c r="B31" s="224"/>
      <c r="C31" s="234"/>
      <c r="D31" s="22" t="s">
        <v>94</v>
      </c>
      <c r="E31" s="23">
        <f>F31+G31+H31+I31+J31+K31+L31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32"/>
      <c r="N31" s="273"/>
      <c r="O31" s="273"/>
      <c r="P31" s="273"/>
      <c r="Q31" s="273"/>
      <c r="R31" s="273"/>
      <c r="S31" s="273"/>
      <c r="T31" s="273"/>
      <c r="U31" s="248"/>
    </row>
    <row r="32" spans="1:21" ht="29.25" customHeight="1" hidden="1">
      <c r="A32" s="234"/>
      <c r="B32" s="224"/>
      <c r="C32" s="234"/>
      <c r="D32" s="22" t="s">
        <v>96</v>
      </c>
      <c r="E32" s="23">
        <f>F32+G32+H32+I32+J32+K32+L32</f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33"/>
      <c r="N32" s="274"/>
      <c r="O32" s="274"/>
      <c r="P32" s="274"/>
      <c r="Q32" s="274"/>
      <c r="R32" s="274"/>
      <c r="S32" s="274"/>
      <c r="T32" s="274"/>
      <c r="U32" s="249"/>
    </row>
    <row r="33" spans="1:21" ht="12.75">
      <c r="A33" s="324" t="s">
        <v>100</v>
      </c>
      <c r="B33" s="224" t="s">
        <v>58</v>
      </c>
      <c r="C33" s="234">
        <v>2017</v>
      </c>
      <c r="D33" s="22" t="s">
        <v>97</v>
      </c>
      <c r="E33" s="23">
        <f aca="true" t="shared" si="4" ref="E33:L33">E35+E36+E37+E38</f>
        <v>2430000</v>
      </c>
      <c r="F33" s="23">
        <f t="shared" si="4"/>
        <v>0</v>
      </c>
      <c r="G33" s="23">
        <f t="shared" si="4"/>
        <v>2430000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325" t="s">
        <v>196</v>
      </c>
      <c r="N33" s="328"/>
      <c r="O33" s="331">
        <v>1</v>
      </c>
      <c r="P33" s="331"/>
      <c r="Q33" s="331"/>
      <c r="R33" s="328"/>
      <c r="S33" s="328"/>
      <c r="T33" s="328"/>
      <c r="U33" s="247" t="s">
        <v>197</v>
      </c>
    </row>
    <row r="34" spans="1:21" ht="12.75">
      <c r="A34" s="234"/>
      <c r="B34" s="224"/>
      <c r="C34" s="234"/>
      <c r="D34" s="216" t="s">
        <v>117</v>
      </c>
      <c r="E34" s="217"/>
      <c r="F34" s="217"/>
      <c r="G34" s="217"/>
      <c r="H34" s="217"/>
      <c r="I34" s="217"/>
      <c r="J34" s="217"/>
      <c r="K34" s="217"/>
      <c r="L34" s="218"/>
      <c r="M34" s="326"/>
      <c r="N34" s="328"/>
      <c r="O34" s="331"/>
      <c r="P34" s="331"/>
      <c r="Q34" s="331"/>
      <c r="R34" s="328"/>
      <c r="S34" s="328"/>
      <c r="T34" s="328"/>
      <c r="U34" s="248"/>
    </row>
    <row r="35" spans="1:21" ht="12.75">
      <c r="A35" s="234"/>
      <c r="B35" s="224"/>
      <c r="C35" s="234"/>
      <c r="D35" s="22" t="s">
        <v>95</v>
      </c>
      <c r="E35" s="23">
        <f>F35+G35+H35+I35+J35+K35+L35</f>
        <v>2430000</v>
      </c>
      <c r="F35" s="23">
        <v>0</v>
      </c>
      <c r="G35" s="23">
        <v>2430000</v>
      </c>
      <c r="H35" s="23">
        <v>0</v>
      </c>
      <c r="I35" s="23"/>
      <c r="J35" s="23">
        <v>0</v>
      </c>
      <c r="K35" s="23">
        <v>0</v>
      </c>
      <c r="L35" s="23">
        <v>0</v>
      </c>
      <c r="M35" s="326"/>
      <c r="N35" s="328"/>
      <c r="O35" s="331"/>
      <c r="P35" s="331"/>
      <c r="Q35" s="331"/>
      <c r="R35" s="328"/>
      <c r="S35" s="328"/>
      <c r="T35" s="328"/>
      <c r="U35" s="248"/>
    </row>
    <row r="36" spans="1:21" ht="12.75">
      <c r="A36" s="234"/>
      <c r="B36" s="224"/>
      <c r="C36" s="234"/>
      <c r="D36" s="22" t="s">
        <v>93</v>
      </c>
      <c r="E36" s="23">
        <f>F36+G36+H36+I36+J36+K36+L36</f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26"/>
      <c r="N36" s="328"/>
      <c r="O36" s="331"/>
      <c r="P36" s="331"/>
      <c r="Q36" s="331"/>
      <c r="R36" s="328"/>
      <c r="S36" s="328"/>
      <c r="T36" s="328"/>
      <c r="U36" s="248"/>
    </row>
    <row r="37" spans="1:21" ht="12.75">
      <c r="A37" s="234"/>
      <c r="B37" s="224"/>
      <c r="C37" s="234"/>
      <c r="D37" s="22" t="s">
        <v>94</v>
      </c>
      <c r="E37" s="23">
        <f>F37+G37+H37+I37+J37+K37+L37</f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26"/>
      <c r="N37" s="328"/>
      <c r="O37" s="331"/>
      <c r="P37" s="331"/>
      <c r="Q37" s="331"/>
      <c r="R37" s="328"/>
      <c r="S37" s="328"/>
      <c r="T37" s="328"/>
      <c r="U37" s="248"/>
    </row>
    <row r="38" spans="1:21" ht="12.75">
      <c r="A38" s="234"/>
      <c r="B38" s="224"/>
      <c r="C38" s="234"/>
      <c r="D38" s="22" t="s">
        <v>96</v>
      </c>
      <c r="E38" s="23">
        <f>F38+G38+H38+I38+J38+K38+L38</f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327"/>
      <c r="N38" s="328"/>
      <c r="O38" s="331"/>
      <c r="P38" s="331"/>
      <c r="Q38" s="331"/>
      <c r="R38" s="328"/>
      <c r="S38" s="328"/>
      <c r="T38" s="328"/>
      <c r="U38" s="249"/>
    </row>
    <row r="39" spans="1:21" ht="12.75">
      <c r="A39" s="223" t="s">
        <v>208</v>
      </c>
      <c r="B39" s="287" t="s">
        <v>210</v>
      </c>
      <c r="C39" s="229" t="s">
        <v>82</v>
      </c>
      <c r="D39" s="22" t="s">
        <v>97</v>
      </c>
      <c r="E39" s="23">
        <f>E41+E42+E43+E44</f>
        <v>20333549.72</v>
      </c>
      <c r="F39" s="23">
        <f aca="true" t="shared" si="5" ref="F39:L39">F41+F42+F43+F44</f>
        <v>20333549.72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325" t="s">
        <v>196</v>
      </c>
      <c r="N39" s="202">
        <v>1</v>
      </c>
      <c r="O39" s="202"/>
      <c r="P39" s="208"/>
      <c r="Q39" s="208"/>
      <c r="R39" s="208"/>
      <c r="S39" s="208"/>
      <c r="T39" s="208"/>
      <c r="U39" s="258" t="s">
        <v>28</v>
      </c>
    </row>
    <row r="40" spans="1:21" ht="12.75">
      <c r="A40" s="223"/>
      <c r="B40" s="288"/>
      <c r="C40" s="230"/>
      <c r="D40" s="216" t="s">
        <v>117</v>
      </c>
      <c r="E40" s="217"/>
      <c r="F40" s="217"/>
      <c r="G40" s="217"/>
      <c r="H40" s="217"/>
      <c r="I40" s="217"/>
      <c r="J40" s="217"/>
      <c r="K40" s="217"/>
      <c r="L40" s="218"/>
      <c r="M40" s="326"/>
      <c r="N40" s="203"/>
      <c r="O40" s="203"/>
      <c r="P40" s="209"/>
      <c r="Q40" s="209"/>
      <c r="R40" s="209"/>
      <c r="S40" s="209"/>
      <c r="T40" s="209"/>
      <c r="U40" s="259"/>
    </row>
    <row r="41" spans="1:21" ht="12.75">
      <c r="A41" s="223"/>
      <c r="B41" s="288"/>
      <c r="C41" s="230"/>
      <c r="D41" s="22" t="s">
        <v>95</v>
      </c>
      <c r="E41" s="23">
        <f>F41+G41+H41+I41+J41+K41+L41</f>
        <v>20333549.72</v>
      </c>
      <c r="F41" s="23">
        <v>20333549.72</v>
      </c>
      <c r="G41" s="23"/>
      <c r="H41" s="23"/>
      <c r="I41" s="23"/>
      <c r="J41" s="23"/>
      <c r="K41" s="23"/>
      <c r="L41" s="23"/>
      <c r="M41" s="326"/>
      <c r="N41" s="203"/>
      <c r="O41" s="203"/>
      <c r="P41" s="209"/>
      <c r="Q41" s="209"/>
      <c r="R41" s="209"/>
      <c r="S41" s="209"/>
      <c r="T41" s="209"/>
      <c r="U41" s="259"/>
    </row>
    <row r="42" spans="1:21" ht="12.75">
      <c r="A42" s="223"/>
      <c r="B42" s="288"/>
      <c r="C42" s="230"/>
      <c r="D42" s="22" t="s">
        <v>93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326"/>
      <c r="N42" s="203"/>
      <c r="O42" s="203"/>
      <c r="P42" s="209"/>
      <c r="Q42" s="209"/>
      <c r="R42" s="209"/>
      <c r="S42" s="209"/>
      <c r="T42" s="209"/>
      <c r="U42" s="259"/>
    </row>
    <row r="43" spans="1:21" ht="12.75">
      <c r="A43" s="223"/>
      <c r="B43" s="288"/>
      <c r="C43" s="230"/>
      <c r="D43" s="22" t="s">
        <v>94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326"/>
      <c r="N43" s="203"/>
      <c r="O43" s="203"/>
      <c r="P43" s="209"/>
      <c r="Q43" s="209"/>
      <c r="R43" s="209"/>
      <c r="S43" s="209"/>
      <c r="T43" s="209"/>
      <c r="U43" s="259"/>
    </row>
    <row r="44" spans="1:21" ht="43.5" customHeight="1">
      <c r="A44" s="223"/>
      <c r="B44" s="289"/>
      <c r="C44" s="231"/>
      <c r="D44" s="22" t="s">
        <v>96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327"/>
      <c r="N44" s="204"/>
      <c r="O44" s="204"/>
      <c r="P44" s="210"/>
      <c r="Q44" s="210"/>
      <c r="R44" s="210"/>
      <c r="S44" s="210"/>
      <c r="T44" s="210"/>
      <c r="U44" s="260"/>
    </row>
    <row r="45" spans="1:21" ht="32.25" customHeight="1">
      <c r="A45" s="275" t="s">
        <v>220</v>
      </c>
      <c r="B45" s="287" t="s">
        <v>211</v>
      </c>
      <c r="C45" s="229">
        <v>2015</v>
      </c>
      <c r="D45" s="22" t="s">
        <v>97</v>
      </c>
      <c r="E45" s="23">
        <f>+F45+G45+H45+I45+J45+K45+L45</f>
        <v>6205020.28</v>
      </c>
      <c r="F45" s="23">
        <f aca="true" t="shared" si="6" ref="F45:L45">+F48</f>
        <v>0</v>
      </c>
      <c r="G45" s="23">
        <f>+G47+G48</f>
        <v>6205020.28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83"/>
      <c r="N45" s="81"/>
      <c r="O45" s="81"/>
      <c r="P45" s="80"/>
      <c r="Q45" s="80"/>
      <c r="R45" s="80"/>
      <c r="S45" s="80"/>
      <c r="T45" s="80"/>
      <c r="U45" s="82"/>
    </row>
    <row r="46" spans="1:21" ht="20.25" customHeight="1">
      <c r="A46" s="332"/>
      <c r="B46" s="334"/>
      <c r="C46" s="332"/>
      <c r="D46" s="22" t="s">
        <v>117</v>
      </c>
      <c r="E46" s="336"/>
      <c r="F46" s="337"/>
      <c r="G46" s="337"/>
      <c r="H46" s="337"/>
      <c r="I46" s="337"/>
      <c r="J46" s="337"/>
      <c r="K46" s="337"/>
      <c r="L46" s="338"/>
      <c r="M46" s="83"/>
      <c r="N46" s="81"/>
      <c r="O46" s="81"/>
      <c r="P46" s="80"/>
      <c r="Q46" s="80"/>
      <c r="R46" s="80"/>
      <c r="S46" s="80"/>
      <c r="T46" s="80"/>
      <c r="U46" s="82"/>
    </row>
    <row r="47" spans="1:21" ht="20.25" customHeight="1">
      <c r="A47" s="332"/>
      <c r="B47" s="334"/>
      <c r="C47" s="332"/>
      <c r="D47" s="22" t="s">
        <v>95</v>
      </c>
      <c r="E47" s="23">
        <v>0</v>
      </c>
      <c r="F47" s="23">
        <v>0</v>
      </c>
      <c r="G47" s="23">
        <v>1398920.28</v>
      </c>
      <c r="H47" s="110"/>
      <c r="I47" s="110"/>
      <c r="J47" s="110"/>
      <c r="K47" s="110"/>
      <c r="L47" s="110"/>
      <c r="M47" s="83"/>
      <c r="N47" s="81"/>
      <c r="O47" s="81"/>
      <c r="P47" s="80"/>
      <c r="Q47" s="80"/>
      <c r="R47" s="80"/>
      <c r="S47" s="80"/>
      <c r="T47" s="80"/>
      <c r="U47" s="82"/>
    </row>
    <row r="48" spans="1:21" ht="42" customHeight="1">
      <c r="A48" s="333"/>
      <c r="B48" s="335"/>
      <c r="C48" s="333"/>
      <c r="D48" s="22" t="s">
        <v>93</v>
      </c>
      <c r="E48" s="23">
        <v>0</v>
      </c>
      <c r="F48" s="23">
        <v>0</v>
      </c>
      <c r="G48" s="23">
        <v>4806100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83"/>
      <c r="N48" s="81"/>
      <c r="O48" s="81"/>
      <c r="P48" s="80"/>
      <c r="Q48" s="80"/>
      <c r="R48" s="80"/>
      <c r="S48" s="80"/>
      <c r="T48" s="80"/>
      <c r="U48" s="82"/>
    </row>
    <row r="49" spans="1:21" ht="13.5">
      <c r="A49" s="234"/>
      <c r="B49" s="264" t="s">
        <v>161</v>
      </c>
      <c r="C49" s="234"/>
      <c r="D49" s="102" t="s">
        <v>97</v>
      </c>
      <c r="E49" s="103">
        <f aca="true" t="shared" si="7" ref="E49:L49">E51+E52+E53+E54</f>
        <v>676028457.6700001</v>
      </c>
      <c r="F49" s="103">
        <f t="shared" si="7"/>
        <v>361141052.47</v>
      </c>
      <c r="G49" s="103">
        <f>G51+G52+G53+G54</f>
        <v>255331493.65</v>
      </c>
      <c r="H49" s="103">
        <f t="shared" si="7"/>
        <v>58781397.82</v>
      </c>
      <c r="I49" s="103">
        <f t="shared" si="7"/>
        <v>774513.73</v>
      </c>
      <c r="J49" s="103">
        <f t="shared" si="7"/>
        <v>0</v>
      </c>
      <c r="K49" s="103">
        <f t="shared" si="7"/>
        <v>0</v>
      </c>
      <c r="L49" s="103">
        <f t="shared" si="7"/>
        <v>0</v>
      </c>
      <c r="M49" s="236"/>
      <c r="N49" s="244"/>
      <c r="O49" s="244"/>
      <c r="P49" s="244"/>
      <c r="Q49" s="244"/>
      <c r="R49" s="244"/>
      <c r="S49" s="244"/>
      <c r="T49" s="244"/>
      <c r="U49" s="247"/>
    </row>
    <row r="50" spans="1:21" ht="12.75">
      <c r="A50" s="234"/>
      <c r="B50" s="265"/>
      <c r="C50" s="234"/>
      <c r="D50" s="239" t="s">
        <v>117</v>
      </c>
      <c r="E50" s="240"/>
      <c r="F50" s="240"/>
      <c r="G50" s="240"/>
      <c r="H50" s="240"/>
      <c r="I50" s="240"/>
      <c r="J50" s="240"/>
      <c r="K50" s="240"/>
      <c r="L50" s="241"/>
      <c r="M50" s="237"/>
      <c r="N50" s="245"/>
      <c r="O50" s="245"/>
      <c r="P50" s="245"/>
      <c r="Q50" s="245"/>
      <c r="R50" s="245"/>
      <c r="S50" s="245"/>
      <c r="T50" s="245"/>
      <c r="U50" s="248"/>
    </row>
    <row r="51" spans="1:21" ht="13.5">
      <c r="A51" s="234"/>
      <c r="B51" s="265"/>
      <c r="C51" s="234"/>
      <c r="D51" s="104" t="s">
        <v>95</v>
      </c>
      <c r="E51" s="103">
        <f>F51+G51+H51+I51+J51+K51+L51</f>
        <v>417076959.76</v>
      </c>
      <c r="F51" s="105">
        <f>F11+F23+F35+F41+F17</f>
        <v>207284568.29</v>
      </c>
      <c r="G51" s="105">
        <f>G11+G23+G35+G41+G47+G17+G29</f>
        <v>166010993.65</v>
      </c>
      <c r="H51" s="105">
        <f>H11+H23+H35+H41+H17</f>
        <v>43781397.82</v>
      </c>
      <c r="I51" s="105">
        <f aca="true" t="shared" si="8" ref="I51:L53">I11+I23+I35+I41</f>
        <v>0</v>
      </c>
      <c r="J51" s="105">
        <f t="shared" si="8"/>
        <v>0</v>
      </c>
      <c r="K51" s="105">
        <f t="shared" si="8"/>
        <v>0</v>
      </c>
      <c r="L51" s="105">
        <f t="shared" si="8"/>
        <v>0</v>
      </c>
      <c r="M51" s="237"/>
      <c r="N51" s="245"/>
      <c r="O51" s="245"/>
      <c r="P51" s="245"/>
      <c r="Q51" s="245"/>
      <c r="R51" s="245"/>
      <c r="S51" s="245"/>
      <c r="T51" s="245"/>
      <c r="U51" s="248"/>
    </row>
    <row r="52" spans="1:21" ht="13.5">
      <c r="A52" s="234"/>
      <c r="B52" s="265"/>
      <c r="C52" s="234"/>
      <c r="D52" s="104" t="s">
        <v>93</v>
      </c>
      <c r="E52" s="103">
        <f>F52+G52+H52+I52+J52+K52+L52</f>
        <v>36380613.73</v>
      </c>
      <c r="F52" s="105">
        <f>F12+F24+F36+F42</f>
        <v>0</v>
      </c>
      <c r="G52" s="105">
        <f>+G24+G12+G30+G48+G18</f>
        <v>20606100</v>
      </c>
      <c r="H52" s="105">
        <f>H12+H24+H36+H42</f>
        <v>15000000</v>
      </c>
      <c r="I52" s="105">
        <f t="shared" si="8"/>
        <v>774513.73</v>
      </c>
      <c r="J52" s="105">
        <f t="shared" si="8"/>
        <v>0</v>
      </c>
      <c r="K52" s="105">
        <f t="shared" si="8"/>
        <v>0</v>
      </c>
      <c r="L52" s="105">
        <f t="shared" si="8"/>
        <v>0</v>
      </c>
      <c r="M52" s="237"/>
      <c r="N52" s="245"/>
      <c r="O52" s="245"/>
      <c r="P52" s="245"/>
      <c r="Q52" s="245"/>
      <c r="R52" s="245"/>
      <c r="S52" s="245"/>
      <c r="T52" s="245"/>
      <c r="U52" s="248"/>
    </row>
    <row r="53" spans="1:21" ht="13.5">
      <c r="A53" s="234"/>
      <c r="B53" s="265"/>
      <c r="C53" s="234"/>
      <c r="D53" s="104" t="s">
        <v>94</v>
      </c>
      <c r="E53" s="103">
        <f>F53+G53+H53+I53+J53+K53+L53</f>
        <v>222570884.18</v>
      </c>
      <c r="F53" s="105">
        <f>F13+F25+F37+F43+F19</f>
        <v>153856484.18</v>
      </c>
      <c r="G53" s="105">
        <f>G13+G25+G37+G43</f>
        <v>68714400</v>
      </c>
      <c r="H53" s="105">
        <f>H13+H25+H37+H43</f>
        <v>0</v>
      </c>
      <c r="I53" s="105">
        <f t="shared" si="8"/>
        <v>0</v>
      </c>
      <c r="J53" s="105">
        <f t="shared" si="8"/>
        <v>0</v>
      </c>
      <c r="K53" s="105">
        <f t="shared" si="8"/>
        <v>0</v>
      </c>
      <c r="L53" s="105">
        <f t="shared" si="8"/>
        <v>0</v>
      </c>
      <c r="M53" s="237"/>
      <c r="N53" s="245"/>
      <c r="O53" s="245"/>
      <c r="P53" s="245"/>
      <c r="Q53" s="245"/>
      <c r="R53" s="245"/>
      <c r="S53" s="245"/>
      <c r="T53" s="245"/>
      <c r="U53" s="248"/>
    </row>
    <row r="54" spans="1:21" ht="13.5">
      <c r="A54" s="234"/>
      <c r="B54" s="266"/>
      <c r="C54" s="234"/>
      <c r="D54" s="104" t="s">
        <v>96</v>
      </c>
      <c r="E54" s="103">
        <f>F54+G54+H54+I54+J54+K54+L54</f>
        <v>0</v>
      </c>
      <c r="F54" s="105"/>
      <c r="G54" s="105"/>
      <c r="H54" s="105"/>
      <c r="I54" s="105"/>
      <c r="J54" s="105"/>
      <c r="K54" s="105"/>
      <c r="L54" s="105"/>
      <c r="M54" s="238"/>
      <c r="N54" s="246"/>
      <c r="O54" s="246"/>
      <c r="P54" s="246"/>
      <c r="Q54" s="246"/>
      <c r="R54" s="246"/>
      <c r="S54" s="246"/>
      <c r="T54" s="246"/>
      <c r="U54" s="249"/>
    </row>
    <row r="55" spans="1:21" ht="12.75">
      <c r="A55" s="21">
        <v>2</v>
      </c>
      <c r="B55" s="213" t="s">
        <v>24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5"/>
    </row>
    <row r="56" spans="1:21" ht="12.75">
      <c r="A56" s="223" t="s">
        <v>134</v>
      </c>
      <c r="B56" s="287" t="s">
        <v>183</v>
      </c>
      <c r="C56" s="229" t="s">
        <v>82</v>
      </c>
      <c r="D56" s="22" t="s">
        <v>97</v>
      </c>
      <c r="E56" s="23">
        <f>E58+E59+E60+E61</f>
        <v>12870076</v>
      </c>
      <c r="F56" s="23">
        <f aca="true" t="shared" si="9" ref="F56:L56">F58+F59+F60+F61</f>
        <v>4391930.86</v>
      </c>
      <c r="G56" s="23">
        <f t="shared" si="9"/>
        <v>1573281.96</v>
      </c>
      <c r="H56" s="23">
        <f t="shared" si="9"/>
        <v>0</v>
      </c>
      <c r="I56" s="23">
        <f t="shared" si="9"/>
        <v>1651188</v>
      </c>
      <c r="J56" s="23">
        <f t="shared" si="9"/>
        <v>5253675.18</v>
      </c>
      <c r="K56" s="23">
        <f t="shared" si="9"/>
        <v>0</v>
      </c>
      <c r="L56" s="23">
        <f t="shared" si="9"/>
        <v>0</v>
      </c>
      <c r="M56" s="258" t="s">
        <v>55</v>
      </c>
      <c r="N56" s="202">
        <v>1</v>
      </c>
      <c r="O56" s="202">
        <v>1</v>
      </c>
      <c r="P56" s="202">
        <v>1</v>
      </c>
      <c r="Q56" s="202">
        <v>1</v>
      </c>
      <c r="R56" s="202">
        <v>1</v>
      </c>
      <c r="S56" s="202">
        <v>1</v>
      </c>
      <c r="T56" s="202">
        <v>1</v>
      </c>
      <c r="U56" s="258" t="s">
        <v>207</v>
      </c>
    </row>
    <row r="57" spans="1:21" ht="12.75">
      <c r="A57" s="223"/>
      <c r="B57" s="288"/>
      <c r="C57" s="230"/>
      <c r="D57" s="216" t="s">
        <v>117</v>
      </c>
      <c r="E57" s="217"/>
      <c r="F57" s="217"/>
      <c r="G57" s="217"/>
      <c r="H57" s="217"/>
      <c r="I57" s="217"/>
      <c r="J57" s="217"/>
      <c r="K57" s="217"/>
      <c r="L57" s="218"/>
      <c r="M57" s="259"/>
      <c r="N57" s="203"/>
      <c r="O57" s="203"/>
      <c r="P57" s="203"/>
      <c r="Q57" s="203"/>
      <c r="R57" s="203"/>
      <c r="S57" s="203"/>
      <c r="T57" s="203"/>
      <c r="U57" s="259"/>
    </row>
    <row r="58" spans="1:21" ht="12.75">
      <c r="A58" s="223"/>
      <c r="B58" s="288"/>
      <c r="C58" s="230"/>
      <c r="D58" s="22" t="s">
        <v>95</v>
      </c>
      <c r="E58" s="23">
        <f>F58+G58+H58+I58+J58+K58+L58</f>
        <v>12870076</v>
      </c>
      <c r="F58" s="23">
        <v>4391930.86</v>
      </c>
      <c r="G58" s="23">
        <v>1573281.96</v>
      </c>
      <c r="H58" s="23"/>
      <c r="I58" s="23">
        <f>1187188+464000</f>
        <v>1651188</v>
      </c>
      <c r="J58" s="23">
        <v>5253675.18</v>
      </c>
      <c r="K58" s="23"/>
      <c r="L58" s="23"/>
      <c r="M58" s="259"/>
      <c r="N58" s="203"/>
      <c r="O58" s="203"/>
      <c r="P58" s="203"/>
      <c r="Q58" s="203"/>
      <c r="R58" s="203"/>
      <c r="S58" s="203"/>
      <c r="T58" s="203"/>
      <c r="U58" s="259"/>
    </row>
    <row r="59" spans="1:21" ht="12.75">
      <c r="A59" s="223"/>
      <c r="B59" s="288"/>
      <c r="C59" s="230"/>
      <c r="D59" s="22" t="s">
        <v>93</v>
      </c>
      <c r="E59" s="23">
        <f>F59+G59+H59+I59+J59+K59+L59</f>
        <v>0</v>
      </c>
      <c r="F59" s="23"/>
      <c r="G59" s="23"/>
      <c r="H59" s="23"/>
      <c r="I59" s="23"/>
      <c r="J59" s="23"/>
      <c r="K59" s="23"/>
      <c r="L59" s="23"/>
      <c r="M59" s="259"/>
      <c r="N59" s="203"/>
      <c r="O59" s="203"/>
      <c r="P59" s="203"/>
      <c r="Q59" s="203"/>
      <c r="R59" s="203"/>
      <c r="S59" s="203"/>
      <c r="T59" s="203"/>
      <c r="U59" s="259"/>
    </row>
    <row r="60" spans="1:21" ht="12.75">
      <c r="A60" s="223"/>
      <c r="B60" s="288"/>
      <c r="C60" s="230"/>
      <c r="D60" s="22" t="s">
        <v>94</v>
      </c>
      <c r="E60" s="23">
        <f>F60+G60+H60+I60+J60+K60+L60</f>
        <v>0</v>
      </c>
      <c r="F60" s="23"/>
      <c r="G60" s="23"/>
      <c r="H60" s="23"/>
      <c r="I60" s="23"/>
      <c r="J60" s="23"/>
      <c r="K60" s="23"/>
      <c r="L60" s="23"/>
      <c r="M60" s="259"/>
      <c r="N60" s="203"/>
      <c r="O60" s="203"/>
      <c r="P60" s="203"/>
      <c r="Q60" s="203"/>
      <c r="R60" s="203"/>
      <c r="S60" s="203"/>
      <c r="T60" s="203"/>
      <c r="U60" s="259"/>
    </row>
    <row r="61" spans="1:21" ht="12.75">
      <c r="A61" s="223"/>
      <c r="B61" s="289"/>
      <c r="C61" s="231"/>
      <c r="D61" s="22" t="s">
        <v>96</v>
      </c>
      <c r="E61" s="23">
        <f>F61+G61+H61+I61+J61+K61+L61</f>
        <v>0</v>
      </c>
      <c r="F61" s="23"/>
      <c r="G61" s="23"/>
      <c r="H61" s="23"/>
      <c r="I61" s="23"/>
      <c r="J61" s="23"/>
      <c r="K61" s="23"/>
      <c r="L61" s="23"/>
      <c r="M61" s="260"/>
      <c r="N61" s="204"/>
      <c r="O61" s="204"/>
      <c r="P61" s="204"/>
      <c r="Q61" s="204"/>
      <c r="R61" s="204"/>
      <c r="S61" s="204"/>
      <c r="T61" s="204"/>
      <c r="U61" s="260"/>
    </row>
    <row r="62" spans="1:21" ht="12.75" customHeight="1">
      <c r="A62" s="223" t="s">
        <v>135</v>
      </c>
      <c r="B62" s="287" t="s">
        <v>184</v>
      </c>
      <c r="C62" s="229" t="s">
        <v>82</v>
      </c>
      <c r="D62" s="22" t="s">
        <v>97</v>
      </c>
      <c r="E62" s="23">
        <f>E64+E65+E66+E67</f>
        <v>44232257.04000001</v>
      </c>
      <c r="F62" s="23">
        <f aca="true" t="shared" si="10" ref="F62:L62">F64+F65+F66+F67</f>
        <v>9671279.75</v>
      </c>
      <c r="G62" s="23">
        <f t="shared" si="10"/>
        <v>11246543.73</v>
      </c>
      <c r="H62" s="23">
        <f t="shared" si="10"/>
        <v>9573888.58</v>
      </c>
      <c r="I62" s="23">
        <f t="shared" si="10"/>
        <v>10993444.98</v>
      </c>
      <c r="J62" s="23">
        <f t="shared" si="10"/>
        <v>2747100</v>
      </c>
      <c r="K62" s="23">
        <f t="shared" si="10"/>
        <v>0</v>
      </c>
      <c r="L62" s="23">
        <f t="shared" si="10"/>
        <v>0</v>
      </c>
      <c r="M62" s="258" t="s">
        <v>54</v>
      </c>
      <c r="N62" s="202">
        <v>1</v>
      </c>
      <c r="O62" s="202">
        <v>1</v>
      </c>
      <c r="P62" s="202">
        <v>1</v>
      </c>
      <c r="Q62" s="202">
        <v>1</v>
      </c>
      <c r="R62" s="202">
        <v>1</v>
      </c>
      <c r="S62" s="202">
        <v>1</v>
      </c>
      <c r="T62" s="202">
        <v>1</v>
      </c>
      <c r="U62" s="258" t="s">
        <v>214</v>
      </c>
    </row>
    <row r="63" spans="1:21" ht="12.75">
      <c r="A63" s="223"/>
      <c r="B63" s="288"/>
      <c r="C63" s="230"/>
      <c r="D63" s="216" t="s">
        <v>117</v>
      </c>
      <c r="E63" s="217"/>
      <c r="F63" s="217"/>
      <c r="G63" s="217"/>
      <c r="H63" s="217"/>
      <c r="I63" s="217"/>
      <c r="J63" s="217"/>
      <c r="K63" s="217"/>
      <c r="L63" s="218"/>
      <c r="M63" s="259"/>
      <c r="N63" s="203"/>
      <c r="O63" s="203"/>
      <c r="P63" s="203"/>
      <c r="Q63" s="203"/>
      <c r="R63" s="203"/>
      <c r="S63" s="203"/>
      <c r="T63" s="203"/>
      <c r="U63" s="259"/>
    </row>
    <row r="64" spans="1:21" ht="12.75">
      <c r="A64" s="223"/>
      <c r="B64" s="288"/>
      <c r="C64" s="230"/>
      <c r="D64" s="22" t="s">
        <v>95</v>
      </c>
      <c r="E64" s="23">
        <f>F64+G64+H64+I64+J64+K64+L64</f>
        <v>41679157.04000001</v>
      </c>
      <c r="F64" s="23">
        <v>9671279.75</v>
      </c>
      <c r="G64" s="23">
        <v>11246543.73</v>
      </c>
      <c r="H64" s="23">
        <f>9207002.98+366885.6</f>
        <v>9573888.58</v>
      </c>
      <c r="I64" s="23">
        <f>944051+9786493.98+262900</f>
        <v>10993444.98</v>
      </c>
      <c r="J64" s="23">
        <v>194000</v>
      </c>
      <c r="K64" s="23"/>
      <c r="L64" s="23"/>
      <c r="M64" s="259"/>
      <c r="N64" s="203"/>
      <c r="O64" s="203"/>
      <c r="P64" s="203"/>
      <c r="Q64" s="203"/>
      <c r="R64" s="203"/>
      <c r="S64" s="203"/>
      <c r="T64" s="203"/>
      <c r="U64" s="259"/>
    </row>
    <row r="65" spans="1:21" ht="12.75">
      <c r="A65" s="223"/>
      <c r="B65" s="288"/>
      <c r="C65" s="230"/>
      <c r="D65" s="22" t="s">
        <v>93</v>
      </c>
      <c r="E65" s="23">
        <f>F65+G65+H65+I65+J65+K65+L65</f>
        <v>2553100</v>
      </c>
      <c r="F65" s="23"/>
      <c r="G65" s="23"/>
      <c r="H65" s="23"/>
      <c r="I65" s="23"/>
      <c r="J65" s="23">
        <v>2553100</v>
      </c>
      <c r="K65" s="23"/>
      <c r="L65" s="23"/>
      <c r="M65" s="259"/>
      <c r="N65" s="203"/>
      <c r="O65" s="203"/>
      <c r="P65" s="203"/>
      <c r="Q65" s="203"/>
      <c r="R65" s="203"/>
      <c r="S65" s="203"/>
      <c r="T65" s="203"/>
      <c r="U65" s="259"/>
    </row>
    <row r="66" spans="1:21" ht="12.75">
      <c r="A66" s="223"/>
      <c r="B66" s="288"/>
      <c r="C66" s="230"/>
      <c r="D66" s="22" t="s">
        <v>94</v>
      </c>
      <c r="E66" s="23">
        <f>F66+G66+H66+I66+J66+K66+L66</f>
        <v>0</v>
      </c>
      <c r="F66" s="23"/>
      <c r="G66" s="23"/>
      <c r="H66" s="23"/>
      <c r="I66" s="23"/>
      <c r="J66" s="23"/>
      <c r="K66" s="23"/>
      <c r="L66" s="23"/>
      <c r="M66" s="259"/>
      <c r="N66" s="203"/>
      <c r="O66" s="203"/>
      <c r="P66" s="203"/>
      <c r="Q66" s="203"/>
      <c r="R66" s="203"/>
      <c r="S66" s="203"/>
      <c r="T66" s="203"/>
      <c r="U66" s="259"/>
    </row>
    <row r="67" spans="1:21" ht="12.75">
      <c r="A67" s="223"/>
      <c r="B67" s="289"/>
      <c r="C67" s="231"/>
      <c r="D67" s="22" t="s">
        <v>96</v>
      </c>
      <c r="E67" s="23">
        <f>F67+G67+H67+I67+J67+K67+L67</f>
        <v>0</v>
      </c>
      <c r="F67" s="23"/>
      <c r="G67" s="23"/>
      <c r="H67" s="23"/>
      <c r="I67" s="23"/>
      <c r="J67" s="23"/>
      <c r="K67" s="23"/>
      <c r="L67" s="23"/>
      <c r="M67" s="260"/>
      <c r="N67" s="204"/>
      <c r="O67" s="204"/>
      <c r="P67" s="204"/>
      <c r="Q67" s="204"/>
      <c r="R67" s="204"/>
      <c r="S67" s="204"/>
      <c r="T67" s="204"/>
      <c r="U67" s="260"/>
    </row>
    <row r="68" spans="1:21" ht="12.75">
      <c r="A68" s="223" t="s">
        <v>136</v>
      </c>
      <c r="B68" s="287" t="s">
        <v>185</v>
      </c>
      <c r="C68" s="229" t="s">
        <v>82</v>
      </c>
      <c r="D68" s="22" t="s">
        <v>97</v>
      </c>
      <c r="E68" s="23">
        <f>E70+E71+E72+E73</f>
        <v>3617636</v>
      </c>
      <c r="F68" s="23">
        <f aca="true" t="shared" si="11" ref="F68:L68">F70+F71+F72+F73</f>
        <v>0</v>
      </c>
      <c r="G68" s="23">
        <f t="shared" si="11"/>
        <v>0</v>
      </c>
      <c r="H68" s="23">
        <f t="shared" si="11"/>
        <v>0</v>
      </c>
      <c r="I68" s="23">
        <f t="shared" si="11"/>
        <v>3617636</v>
      </c>
      <c r="J68" s="23">
        <f t="shared" si="11"/>
        <v>0</v>
      </c>
      <c r="K68" s="23">
        <f t="shared" si="11"/>
        <v>0</v>
      </c>
      <c r="L68" s="23">
        <f t="shared" si="11"/>
        <v>0</v>
      </c>
      <c r="M68" s="258" t="s">
        <v>53</v>
      </c>
      <c r="N68" s="202">
        <v>1</v>
      </c>
      <c r="O68" s="202">
        <v>1</v>
      </c>
      <c r="P68" s="202">
        <v>1</v>
      </c>
      <c r="Q68" s="202">
        <v>1</v>
      </c>
      <c r="R68" s="202">
        <v>1</v>
      </c>
      <c r="S68" s="202">
        <v>1</v>
      </c>
      <c r="T68" s="202">
        <v>1</v>
      </c>
      <c r="U68" s="258" t="s">
        <v>207</v>
      </c>
    </row>
    <row r="69" spans="1:21" ht="12.75">
      <c r="A69" s="223"/>
      <c r="B69" s="288"/>
      <c r="C69" s="230"/>
      <c r="D69" s="216" t="s">
        <v>117</v>
      </c>
      <c r="E69" s="217"/>
      <c r="F69" s="217"/>
      <c r="G69" s="217"/>
      <c r="H69" s="217"/>
      <c r="I69" s="217"/>
      <c r="J69" s="217"/>
      <c r="K69" s="217"/>
      <c r="L69" s="218"/>
      <c r="M69" s="259"/>
      <c r="N69" s="203"/>
      <c r="O69" s="203"/>
      <c r="P69" s="203"/>
      <c r="Q69" s="203"/>
      <c r="R69" s="203"/>
      <c r="S69" s="203"/>
      <c r="T69" s="203"/>
      <c r="U69" s="259"/>
    </row>
    <row r="70" spans="1:21" ht="12.75">
      <c r="A70" s="223"/>
      <c r="B70" s="288"/>
      <c r="C70" s="230"/>
      <c r="D70" s="22" t="s">
        <v>95</v>
      </c>
      <c r="E70" s="23">
        <f>F70+G70+H70+I70+J70+K70+L70</f>
        <v>3617636</v>
      </c>
      <c r="F70" s="23"/>
      <c r="G70" s="23"/>
      <c r="H70" s="23"/>
      <c r="I70" s="23">
        <v>3617636</v>
      </c>
      <c r="J70" s="23"/>
      <c r="K70" s="23"/>
      <c r="L70" s="23"/>
      <c r="M70" s="259"/>
      <c r="N70" s="203"/>
      <c r="O70" s="203"/>
      <c r="P70" s="203"/>
      <c r="Q70" s="203"/>
      <c r="R70" s="203"/>
      <c r="S70" s="203"/>
      <c r="T70" s="203"/>
      <c r="U70" s="259"/>
    </row>
    <row r="71" spans="1:21" ht="12.75">
      <c r="A71" s="223"/>
      <c r="B71" s="288"/>
      <c r="C71" s="230"/>
      <c r="D71" s="22" t="s">
        <v>93</v>
      </c>
      <c r="E71" s="23">
        <f>F71+G71+H71+I71+J71+K71+L71</f>
        <v>0</v>
      </c>
      <c r="F71" s="23"/>
      <c r="G71" s="23"/>
      <c r="H71" s="23"/>
      <c r="I71" s="23"/>
      <c r="J71" s="23"/>
      <c r="K71" s="23"/>
      <c r="L71" s="23"/>
      <c r="M71" s="259"/>
      <c r="N71" s="203"/>
      <c r="O71" s="203"/>
      <c r="P71" s="203"/>
      <c r="Q71" s="203"/>
      <c r="R71" s="203"/>
      <c r="S71" s="203"/>
      <c r="T71" s="203"/>
      <c r="U71" s="259"/>
    </row>
    <row r="72" spans="1:21" ht="12.75">
      <c r="A72" s="223"/>
      <c r="B72" s="288"/>
      <c r="C72" s="230"/>
      <c r="D72" s="22" t="s">
        <v>94</v>
      </c>
      <c r="E72" s="23">
        <f>F72+G72+H72+I72+J72+K72+L72</f>
        <v>0</v>
      </c>
      <c r="F72" s="23"/>
      <c r="G72" s="23"/>
      <c r="H72" s="23"/>
      <c r="I72" s="23"/>
      <c r="J72" s="23"/>
      <c r="K72" s="23"/>
      <c r="L72" s="23"/>
      <c r="M72" s="259"/>
      <c r="N72" s="203"/>
      <c r="O72" s="203"/>
      <c r="P72" s="203"/>
      <c r="Q72" s="203"/>
      <c r="R72" s="203"/>
      <c r="S72" s="203"/>
      <c r="T72" s="203"/>
      <c r="U72" s="259"/>
    </row>
    <row r="73" spans="1:21" ht="12.75">
      <c r="A73" s="223"/>
      <c r="B73" s="289"/>
      <c r="C73" s="231"/>
      <c r="D73" s="22" t="s">
        <v>96</v>
      </c>
      <c r="E73" s="23">
        <f>F73+G73+H73+I73+J73+K73+L73</f>
        <v>0</v>
      </c>
      <c r="F73" s="23"/>
      <c r="G73" s="23"/>
      <c r="H73" s="23"/>
      <c r="I73" s="23"/>
      <c r="J73" s="23"/>
      <c r="K73" s="23"/>
      <c r="L73" s="23"/>
      <c r="M73" s="260"/>
      <c r="N73" s="204"/>
      <c r="O73" s="204"/>
      <c r="P73" s="204"/>
      <c r="Q73" s="204"/>
      <c r="R73" s="204"/>
      <c r="S73" s="204"/>
      <c r="T73" s="204"/>
      <c r="U73" s="260"/>
    </row>
    <row r="74" spans="1:21" ht="12.75" customHeight="1">
      <c r="A74" s="223" t="s">
        <v>157</v>
      </c>
      <c r="B74" s="287" t="s">
        <v>186</v>
      </c>
      <c r="C74" s="229" t="s">
        <v>82</v>
      </c>
      <c r="D74" s="22" t="s">
        <v>97</v>
      </c>
      <c r="E74" s="23">
        <f>E76+E77+E78+E79</f>
        <v>21380801.71</v>
      </c>
      <c r="F74" s="23">
        <f aca="true" t="shared" si="12" ref="F74:L74">F76+F77+F78+F79</f>
        <v>3493297.62</v>
      </c>
      <c r="G74" s="23">
        <f t="shared" si="12"/>
        <v>711203.33</v>
      </c>
      <c r="H74" s="23">
        <f t="shared" si="12"/>
        <v>6377532.34</v>
      </c>
      <c r="I74" s="23">
        <f t="shared" si="12"/>
        <v>2380634</v>
      </c>
      <c r="J74" s="23">
        <f t="shared" si="12"/>
        <v>652994</v>
      </c>
      <c r="K74" s="23">
        <f t="shared" si="12"/>
        <v>7765140.42</v>
      </c>
      <c r="L74" s="23">
        <f t="shared" si="12"/>
        <v>0</v>
      </c>
      <c r="M74" s="258" t="s">
        <v>52</v>
      </c>
      <c r="N74" s="202">
        <v>1</v>
      </c>
      <c r="O74" s="202">
        <v>1</v>
      </c>
      <c r="P74" s="202">
        <v>1</v>
      </c>
      <c r="Q74" s="202">
        <v>1</v>
      </c>
      <c r="R74" s="202">
        <v>1</v>
      </c>
      <c r="S74" s="202">
        <v>1</v>
      </c>
      <c r="T74" s="202">
        <v>1</v>
      </c>
      <c r="U74" s="258" t="s">
        <v>214</v>
      </c>
    </row>
    <row r="75" spans="1:21" ht="12.75">
      <c r="A75" s="223"/>
      <c r="B75" s="288"/>
      <c r="C75" s="230"/>
      <c r="D75" s="216" t="s">
        <v>117</v>
      </c>
      <c r="E75" s="217"/>
      <c r="F75" s="217"/>
      <c r="G75" s="217"/>
      <c r="H75" s="217"/>
      <c r="I75" s="217"/>
      <c r="J75" s="217"/>
      <c r="K75" s="217"/>
      <c r="L75" s="218"/>
      <c r="M75" s="259"/>
      <c r="N75" s="203"/>
      <c r="O75" s="203"/>
      <c r="P75" s="203"/>
      <c r="Q75" s="203"/>
      <c r="R75" s="203"/>
      <c r="S75" s="203"/>
      <c r="T75" s="203"/>
      <c r="U75" s="259"/>
    </row>
    <row r="76" spans="1:21" ht="12.75">
      <c r="A76" s="223"/>
      <c r="B76" s="288"/>
      <c r="C76" s="230"/>
      <c r="D76" s="22" t="s">
        <v>95</v>
      </c>
      <c r="E76" s="23">
        <f>F76+G76+H76+I76+J76+K76+L76</f>
        <v>21380801.71</v>
      </c>
      <c r="F76" s="23">
        <v>3493297.62</v>
      </c>
      <c r="G76" s="23">
        <v>711203.33</v>
      </c>
      <c r="H76" s="23">
        <f>4989967.13+1387565.21</f>
        <v>6377532.34</v>
      </c>
      <c r="I76" s="23">
        <f>180030+469737+843817+887050</f>
        <v>2380634</v>
      </c>
      <c r="J76" s="23">
        <f>212884+440110</f>
        <v>652994</v>
      </c>
      <c r="K76" s="23">
        <f>4777350.42+2987790</f>
        <v>7765140.42</v>
      </c>
      <c r="L76" s="23"/>
      <c r="M76" s="259"/>
      <c r="N76" s="203"/>
      <c r="O76" s="203"/>
      <c r="P76" s="203"/>
      <c r="Q76" s="203"/>
      <c r="R76" s="203"/>
      <c r="S76" s="203"/>
      <c r="T76" s="203"/>
      <c r="U76" s="259"/>
    </row>
    <row r="77" spans="1:21" ht="12.75">
      <c r="A77" s="223"/>
      <c r="B77" s="288"/>
      <c r="C77" s="230"/>
      <c r="D77" s="22" t="s">
        <v>93</v>
      </c>
      <c r="E77" s="23">
        <f>F77+G77+H77+I77+J77+K77+L77</f>
        <v>0</v>
      </c>
      <c r="F77" s="23"/>
      <c r="G77" s="23"/>
      <c r="H77" s="23"/>
      <c r="I77" s="23"/>
      <c r="J77" s="23"/>
      <c r="K77" s="23"/>
      <c r="L77" s="23"/>
      <c r="M77" s="259"/>
      <c r="N77" s="203"/>
      <c r="O77" s="203"/>
      <c r="P77" s="203"/>
      <c r="Q77" s="203"/>
      <c r="R77" s="203"/>
      <c r="S77" s="203"/>
      <c r="T77" s="203"/>
      <c r="U77" s="259"/>
    </row>
    <row r="78" spans="1:21" ht="12.75">
      <c r="A78" s="223"/>
      <c r="B78" s="288"/>
      <c r="C78" s="230"/>
      <c r="D78" s="22" t="s">
        <v>94</v>
      </c>
      <c r="E78" s="23">
        <f>F78+G78+H78+I78+J78+K78+L78</f>
        <v>0</v>
      </c>
      <c r="F78" s="23"/>
      <c r="G78" s="23"/>
      <c r="H78" s="23"/>
      <c r="I78" s="23"/>
      <c r="J78" s="23"/>
      <c r="K78" s="23"/>
      <c r="L78" s="23"/>
      <c r="M78" s="259"/>
      <c r="N78" s="203"/>
      <c r="O78" s="203"/>
      <c r="P78" s="203"/>
      <c r="Q78" s="203"/>
      <c r="R78" s="203"/>
      <c r="S78" s="203"/>
      <c r="T78" s="203"/>
      <c r="U78" s="259"/>
    </row>
    <row r="79" spans="1:21" ht="12.75">
      <c r="A79" s="223"/>
      <c r="B79" s="289"/>
      <c r="C79" s="231"/>
      <c r="D79" s="22" t="s">
        <v>96</v>
      </c>
      <c r="E79" s="23">
        <f>F79+G79+H79+I79+J79+K79+L79</f>
        <v>0</v>
      </c>
      <c r="F79" s="23"/>
      <c r="G79" s="23"/>
      <c r="H79" s="23"/>
      <c r="I79" s="23"/>
      <c r="J79" s="23"/>
      <c r="K79" s="23"/>
      <c r="L79" s="23"/>
      <c r="M79" s="260"/>
      <c r="N79" s="204"/>
      <c r="O79" s="204"/>
      <c r="P79" s="204"/>
      <c r="Q79" s="204"/>
      <c r="R79" s="204"/>
      <c r="S79" s="204"/>
      <c r="T79" s="204"/>
      <c r="U79" s="260"/>
    </row>
    <row r="80" spans="1:21" ht="12.75" customHeight="1">
      <c r="A80" s="223" t="s">
        <v>269</v>
      </c>
      <c r="B80" s="287" t="s">
        <v>221</v>
      </c>
      <c r="C80" s="229" t="s">
        <v>82</v>
      </c>
      <c r="D80" s="22" t="s">
        <v>97</v>
      </c>
      <c r="E80" s="23">
        <f>E82+E83+E84+E85</f>
        <v>1209581.96</v>
      </c>
      <c r="F80" s="23">
        <f aca="true" t="shared" si="13" ref="F80:L80">F82+F83+F84+F85</f>
        <v>0</v>
      </c>
      <c r="G80" s="23">
        <f t="shared" si="13"/>
        <v>0</v>
      </c>
      <c r="H80" s="23">
        <f t="shared" si="13"/>
        <v>1209581.96</v>
      </c>
      <c r="I80" s="23">
        <f t="shared" si="13"/>
        <v>0</v>
      </c>
      <c r="J80" s="23">
        <f t="shared" si="13"/>
        <v>0</v>
      </c>
      <c r="K80" s="23">
        <f t="shared" si="13"/>
        <v>0</v>
      </c>
      <c r="L80" s="23">
        <f t="shared" si="13"/>
        <v>0</v>
      </c>
      <c r="M80" s="258" t="s">
        <v>270</v>
      </c>
      <c r="N80" s="202">
        <v>1</v>
      </c>
      <c r="O80" s="202">
        <v>1</v>
      </c>
      <c r="P80" s="202">
        <v>1</v>
      </c>
      <c r="Q80" s="202">
        <v>1</v>
      </c>
      <c r="R80" s="202">
        <v>1</v>
      </c>
      <c r="S80" s="202">
        <v>1</v>
      </c>
      <c r="T80" s="202">
        <v>1</v>
      </c>
      <c r="U80" s="205" t="s">
        <v>197</v>
      </c>
    </row>
    <row r="81" spans="1:21" ht="12.75">
      <c r="A81" s="223"/>
      <c r="B81" s="288"/>
      <c r="C81" s="230"/>
      <c r="D81" s="216" t="s">
        <v>117</v>
      </c>
      <c r="E81" s="217"/>
      <c r="F81" s="217"/>
      <c r="G81" s="217"/>
      <c r="H81" s="217"/>
      <c r="I81" s="217"/>
      <c r="J81" s="217"/>
      <c r="K81" s="217"/>
      <c r="L81" s="218"/>
      <c r="M81" s="259"/>
      <c r="N81" s="203"/>
      <c r="O81" s="203"/>
      <c r="P81" s="203"/>
      <c r="Q81" s="203"/>
      <c r="R81" s="203"/>
      <c r="S81" s="203"/>
      <c r="T81" s="203"/>
      <c r="U81" s="206"/>
    </row>
    <row r="82" spans="1:21" ht="12.75">
      <c r="A82" s="223"/>
      <c r="B82" s="288"/>
      <c r="C82" s="230"/>
      <c r="D82" s="22" t="s">
        <v>95</v>
      </c>
      <c r="E82" s="23">
        <f>F82+G82+H82+I82+J82+K82+L82</f>
        <v>1209581.96</v>
      </c>
      <c r="F82" s="23"/>
      <c r="G82" s="23"/>
      <c r="H82" s="23">
        <v>1209581.96</v>
      </c>
      <c r="I82" s="23"/>
      <c r="J82" s="23"/>
      <c r="K82" s="23"/>
      <c r="L82" s="23"/>
      <c r="M82" s="259"/>
      <c r="N82" s="203"/>
      <c r="O82" s="203"/>
      <c r="P82" s="203"/>
      <c r="Q82" s="203"/>
      <c r="R82" s="203"/>
      <c r="S82" s="203"/>
      <c r="T82" s="203"/>
      <c r="U82" s="206"/>
    </row>
    <row r="83" spans="1:21" ht="12.75">
      <c r="A83" s="223"/>
      <c r="B83" s="288"/>
      <c r="C83" s="230"/>
      <c r="D83" s="22" t="s">
        <v>93</v>
      </c>
      <c r="E83" s="23">
        <f>F83+G83+H83+I83+J83+K83+L83</f>
        <v>0</v>
      </c>
      <c r="F83" s="23"/>
      <c r="G83" s="23"/>
      <c r="H83" s="23"/>
      <c r="I83" s="23"/>
      <c r="J83" s="23"/>
      <c r="K83" s="23"/>
      <c r="L83" s="23"/>
      <c r="M83" s="259"/>
      <c r="N83" s="203"/>
      <c r="O83" s="203"/>
      <c r="P83" s="203"/>
      <c r="Q83" s="203"/>
      <c r="R83" s="203"/>
      <c r="S83" s="203"/>
      <c r="T83" s="203"/>
      <c r="U83" s="206"/>
    </row>
    <row r="84" spans="1:21" ht="12.75">
      <c r="A84" s="223"/>
      <c r="B84" s="288"/>
      <c r="C84" s="230"/>
      <c r="D84" s="22" t="s">
        <v>94</v>
      </c>
      <c r="E84" s="23">
        <f>F84+G84+H84+I84+J84+K84+L84</f>
        <v>0</v>
      </c>
      <c r="F84" s="23"/>
      <c r="G84" s="23"/>
      <c r="H84" s="23"/>
      <c r="I84" s="23"/>
      <c r="J84" s="23"/>
      <c r="K84" s="23"/>
      <c r="L84" s="23"/>
      <c r="M84" s="259"/>
      <c r="N84" s="203"/>
      <c r="O84" s="203"/>
      <c r="P84" s="203"/>
      <c r="Q84" s="203"/>
      <c r="R84" s="203"/>
      <c r="S84" s="203"/>
      <c r="T84" s="203"/>
      <c r="U84" s="206"/>
    </row>
    <row r="85" spans="1:21" ht="12.75">
      <c r="A85" s="223"/>
      <c r="B85" s="289"/>
      <c r="C85" s="231"/>
      <c r="D85" s="22" t="s">
        <v>96</v>
      </c>
      <c r="E85" s="23">
        <f>F85+G85+H85+I85+J85+K85+L85</f>
        <v>0</v>
      </c>
      <c r="F85" s="23"/>
      <c r="G85" s="23"/>
      <c r="H85" s="23"/>
      <c r="I85" s="23"/>
      <c r="J85" s="23"/>
      <c r="K85" s="23"/>
      <c r="L85" s="23"/>
      <c r="M85" s="260"/>
      <c r="N85" s="204"/>
      <c r="O85" s="204"/>
      <c r="P85" s="204"/>
      <c r="Q85" s="204"/>
      <c r="R85" s="204"/>
      <c r="S85" s="204"/>
      <c r="T85" s="204"/>
      <c r="U85" s="207"/>
    </row>
    <row r="86" spans="1:21" ht="13.5" customHeight="1">
      <c r="A86" s="234"/>
      <c r="B86" s="264" t="s">
        <v>160</v>
      </c>
      <c r="C86" s="234"/>
      <c r="D86" s="102" t="s">
        <v>97</v>
      </c>
      <c r="E86" s="103">
        <f aca="true" t="shared" si="14" ref="E86:L86">E88+E89+E90+E91</f>
        <v>83310352.71</v>
      </c>
      <c r="F86" s="103">
        <f t="shared" si="14"/>
        <v>17556508.23</v>
      </c>
      <c r="G86" s="103">
        <f t="shared" si="14"/>
        <v>13531029.020000001</v>
      </c>
      <c r="H86" s="103">
        <f t="shared" si="14"/>
        <v>17161002.88</v>
      </c>
      <c r="I86" s="103">
        <f t="shared" si="14"/>
        <v>18642902.98</v>
      </c>
      <c r="J86" s="103">
        <f t="shared" si="14"/>
        <v>8653769.18</v>
      </c>
      <c r="K86" s="103">
        <f t="shared" si="14"/>
        <v>7765140.42</v>
      </c>
      <c r="L86" s="103">
        <f t="shared" si="14"/>
        <v>0</v>
      </c>
      <c r="M86" s="236"/>
      <c r="N86" s="244"/>
      <c r="O86" s="244"/>
      <c r="P86" s="244"/>
      <c r="Q86" s="244"/>
      <c r="R86" s="244"/>
      <c r="S86" s="244"/>
      <c r="T86" s="244"/>
      <c r="U86" s="247"/>
    </row>
    <row r="87" spans="1:21" ht="12.75" customHeight="1">
      <c r="A87" s="234"/>
      <c r="B87" s="265"/>
      <c r="C87" s="234"/>
      <c r="D87" s="239" t="s">
        <v>117</v>
      </c>
      <c r="E87" s="240"/>
      <c r="F87" s="240"/>
      <c r="G87" s="240"/>
      <c r="H87" s="240"/>
      <c r="I87" s="240"/>
      <c r="J87" s="240"/>
      <c r="K87" s="240"/>
      <c r="L87" s="241"/>
      <c r="M87" s="237"/>
      <c r="N87" s="245"/>
      <c r="O87" s="245"/>
      <c r="P87" s="245"/>
      <c r="Q87" s="245"/>
      <c r="R87" s="245"/>
      <c r="S87" s="245"/>
      <c r="T87" s="245"/>
      <c r="U87" s="248"/>
    </row>
    <row r="88" spans="1:21" ht="13.5" customHeight="1">
      <c r="A88" s="234"/>
      <c r="B88" s="265"/>
      <c r="C88" s="234"/>
      <c r="D88" s="104" t="s">
        <v>95</v>
      </c>
      <c r="E88" s="103">
        <f>F88+G88+H88+I88+J88+K88+L88</f>
        <v>80757252.71</v>
      </c>
      <c r="F88" s="105">
        <f>F58+F64+F70+F76+F82</f>
        <v>17556508.23</v>
      </c>
      <c r="G88" s="105">
        <f aca="true" t="shared" si="15" ref="G88:L91">G58+G64+G70+G76+G82</f>
        <v>13531029.020000001</v>
      </c>
      <c r="H88" s="105">
        <f t="shared" si="15"/>
        <v>17161002.88</v>
      </c>
      <c r="I88" s="105">
        <f t="shared" si="15"/>
        <v>18642902.98</v>
      </c>
      <c r="J88" s="105">
        <f t="shared" si="15"/>
        <v>6100669.18</v>
      </c>
      <c r="K88" s="105">
        <f t="shared" si="15"/>
        <v>7765140.42</v>
      </c>
      <c r="L88" s="105">
        <f t="shared" si="15"/>
        <v>0</v>
      </c>
      <c r="M88" s="237"/>
      <c r="N88" s="245"/>
      <c r="O88" s="245"/>
      <c r="P88" s="245"/>
      <c r="Q88" s="245"/>
      <c r="R88" s="245"/>
      <c r="S88" s="245"/>
      <c r="T88" s="245"/>
      <c r="U88" s="248"/>
    </row>
    <row r="89" spans="1:21" ht="13.5" customHeight="1">
      <c r="A89" s="234"/>
      <c r="B89" s="265"/>
      <c r="C89" s="234"/>
      <c r="D89" s="104" t="s">
        <v>93</v>
      </c>
      <c r="E89" s="103">
        <f>F89+G89+H89+I89+J89+K89+L89</f>
        <v>2553100</v>
      </c>
      <c r="F89" s="105">
        <f>F59+F65+F71+F77+F83</f>
        <v>0</v>
      </c>
      <c r="G89" s="105">
        <f aca="true" t="shared" si="16" ref="G89:H91">G59+G65+G71+G77+G83</f>
        <v>0</v>
      </c>
      <c r="H89" s="105">
        <f t="shared" si="16"/>
        <v>0</v>
      </c>
      <c r="I89" s="105">
        <f t="shared" si="15"/>
        <v>0</v>
      </c>
      <c r="J89" s="105">
        <f t="shared" si="15"/>
        <v>2553100</v>
      </c>
      <c r="K89" s="105">
        <f t="shared" si="15"/>
        <v>0</v>
      </c>
      <c r="L89" s="105">
        <f t="shared" si="15"/>
        <v>0</v>
      </c>
      <c r="M89" s="237"/>
      <c r="N89" s="245"/>
      <c r="O89" s="245"/>
      <c r="P89" s="245"/>
      <c r="Q89" s="245"/>
      <c r="R89" s="245"/>
      <c r="S89" s="245"/>
      <c r="T89" s="245"/>
      <c r="U89" s="248"/>
    </row>
    <row r="90" spans="1:21" ht="13.5" customHeight="1">
      <c r="A90" s="234"/>
      <c r="B90" s="265"/>
      <c r="C90" s="234"/>
      <c r="D90" s="104" t="s">
        <v>94</v>
      </c>
      <c r="E90" s="103">
        <f>F90+G90+H90+I90+J90+K90+L90</f>
        <v>0</v>
      </c>
      <c r="F90" s="105">
        <f>F60+F66+F72+F78+F84</f>
        <v>0</v>
      </c>
      <c r="G90" s="105">
        <f t="shared" si="16"/>
        <v>0</v>
      </c>
      <c r="H90" s="105">
        <f t="shared" si="16"/>
        <v>0</v>
      </c>
      <c r="I90" s="105">
        <f t="shared" si="15"/>
        <v>0</v>
      </c>
      <c r="J90" s="105">
        <f t="shared" si="15"/>
        <v>0</v>
      </c>
      <c r="K90" s="105">
        <f t="shared" si="15"/>
        <v>0</v>
      </c>
      <c r="L90" s="105">
        <f t="shared" si="15"/>
        <v>0</v>
      </c>
      <c r="M90" s="237"/>
      <c r="N90" s="245"/>
      <c r="O90" s="245"/>
      <c r="P90" s="245"/>
      <c r="Q90" s="245"/>
      <c r="R90" s="245"/>
      <c r="S90" s="245"/>
      <c r="T90" s="245"/>
      <c r="U90" s="248"/>
    </row>
    <row r="91" spans="1:21" ht="13.5" customHeight="1">
      <c r="A91" s="234"/>
      <c r="B91" s="266"/>
      <c r="C91" s="234"/>
      <c r="D91" s="104" t="s">
        <v>96</v>
      </c>
      <c r="E91" s="103">
        <f>F91+G91+H91+I91+J91+K91+L91</f>
        <v>0</v>
      </c>
      <c r="F91" s="105">
        <f>F61+F67+F73+F79+F85</f>
        <v>0</v>
      </c>
      <c r="G91" s="105">
        <f t="shared" si="16"/>
        <v>0</v>
      </c>
      <c r="H91" s="105">
        <f t="shared" si="16"/>
        <v>0</v>
      </c>
      <c r="I91" s="105">
        <f t="shared" si="15"/>
        <v>0</v>
      </c>
      <c r="J91" s="105">
        <f t="shared" si="15"/>
        <v>0</v>
      </c>
      <c r="K91" s="105">
        <f t="shared" si="15"/>
        <v>0</v>
      </c>
      <c r="L91" s="105">
        <f t="shared" si="15"/>
        <v>0</v>
      </c>
      <c r="M91" s="238"/>
      <c r="N91" s="246"/>
      <c r="O91" s="246"/>
      <c r="P91" s="246"/>
      <c r="Q91" s="246"/>
      <c r="R91" s="246"/>
      <c r="S91" s="246"/>
      <c r="T91" s="246"/>
      <c r="U91" s="249"/>
    </row>
    <row r="92" spans="1:21" ht="13.5" customHeight="1">
      <c r="A92" s="234"/>
      <c r="B92" s="264" t="s">
        <v>30</v>
      </c>
      <c r="C92" s="234"/>
      <c r="D92" s="102" t="s">
        <v>97</v>
      </c>
      <c r="E92" s="103">
        <f aca="true" t="shared" si="17" ref="E92:L92">E94+E95+E96+E97</f>
        <v>759338810.3800001</v>
      </c>
      <c r="F92" s="103">
        <f t="shared" si="17"/>
        <v>378697560.7</v>
      </c>
      <c r="G92" s="103">
        <f t="shared" si="17"/>
        <v>268862522.67</v>
      </c>
      <c r="H92" s="103">
        <f t="shared" si="17"/>
        <v>75942400.7</v>
      </c>
      <c r="I92" s="103">
        <f t="shared" si="17"/>
        <v>19417416.71</v>
      </c>
      <c r="J92" s="103">
        <f t="shared" si="17"/>
        <v>8653769.18</v>
      </c>
      <c r="K92" s="103">
        <f t="shared" si="17"/>
        <v>7765140.42</v>
      </c>
      <c r="L92" s="103">
        <f t="shared" si="17"/>
        <v>0</v>
      </c>
      <c r="M92" s="236"/>
      <c r="N92" s="244"/>
      <c r="O92" s="244"/>
      <c r="P92" s="244"/>
      <c r="Q92" s="244"/>
      <c r="R92" s="244"/>
      <c r="S92" s="244"/>
      <c r="T92" s="244"/>
      <c r="U92" s="247"/>
    </row>
    <row r="93" spans="1:21" ht="12.75" customHeight="1">
      <c r="A93" s="234"/>
      <c r="B93" s="265"/>
      <c r="C93" s="234"/>
      <c r="D93" s="239" t="s">
        <v>117</v>
      </c>
      <c r="E93" s="240"/>
      <c r="F93" s="240"/>
      <c r="G93" s="240"/>
      <c r="H93" s="240"/>
      <c r="I93" s="240"/>
      <c r="J93" s="240"/>
      <c r="K93" s="240"/>
      <c r="L93" s="241"/>
      <c r="M93" s="237"/>
      <c r="N93" s="245"/>
      <c r="O93" s="245"/>
      <c r="P93" s="245"/>
      <c r="Q93" s="245"/>
      <c r="R93" s="245"/>
      <c r="S93" s="245"/>
      <c r="T93" s="245"/>
      <c r="U93" s="248"/>
    </row>
    <row r="94" spans="1:21" ht="13.5" customHeight="1">
      <c r="A94" s="234"/>
      <c r="B94" s="265"/>
      <c r="C94" s="234"/>
      <c r="D94" s="104" t="s">
        <v>95</v>
      </c>
      <c r="E94" s="103">
        <f>F94+G94+H94+I94+J94+K94+L94</f>
        <v>497834212.47</v>
      </c>
      <c r="F94" s="105">
        <f aca="true" t="shared" si="18" ref="F94:L97">F51+F88</f>
        <v>224841076.51999998</v>
      </c>
      <c r="G94" s="105">
        <f t="shared" si="18"/>
        <v>179542022.67000002</v>
      </c>
      <c r="H94" s="105">
        <f t="shared" si="18"/>
        <v>60942400.7</v>
      </c>
      <c r="I94" s="105">
        <f t="shared" si="18"/>
        <v>18642902.98</v>
      </c>
      <c r="J94" s="105">
        <f t="shared" si="18"/>
        <v>6100669.18</v>
      </c>
      <c r="K94" s="105">
        <f t="shared" si="18"/>
        <v>7765140.42</v>
      </c>
      <c r="L94" s="105">
        <f t="shared" si="18"/>
        <v>0</v>
      </c>
      <c r="M94" s="237"/>
      <c r="N94" s="245"/>
      <c r="O94" s="245"/>
      <c r="P94" s="245"/>
      <c r="Q94" s="245"/>
      <c r="R94" s="245"/>
      <c r="S94" s="245"/>
      <c r="T94" s="245"/>
      <c r="U94" s="248"/>
    </row>
    <row r="95" spans="1:21" ht="13.5" customHeight="1">
      <c r="A95" s="234"/>
      <c r="B95" s="265"/>
      <c r="C95" s="234"/>
      <c r="D95" s="104" t="s">
        <v>93</v>
      </c>
      <c r="E95" s="103">
        <f>F95+G95+H95+I95+J95+K95+L95</f>
        <v>38933713.73</v>
      </c>
      <c r="F95" s="105">
        <f aca="true" t="shared" si="19" ref="F95:H97">F52+F89</f>
        <v>0</v>
      </c>
      <c r="G95" s="105">
        <f t="shared" si="19"/>
        <v>20606100</v>
      </c>
      <c r="H95" s="105">
        <f t="shared" si="19"/>
        <v>15000000</v>
      </c>
      <c r="I95" s="105">
        <f t="shared" si="18"/>
        <v>774513.73</v>
      </c>
      <c r="J95" s="105">
        <f t="shared" si="18"/>
        <v>2553100</v>
      </c>
      <c r="K95" s="105">
        <f t="shared" si="18"/>
        <v>0</v>
      </c>
      <c r="L95" s="105">
        <f t="shared" si="18"/>
        <v>0</v>
      </c>
      <c r="M95" s="237"/>
      <c r="N95" s="245"/>
      <c r="O95" s="245"/>
      <c r="P95" s="245"/>
      <c r="Q95" s="245"/>
      <c r="R95" s="245"/>
      <c r="S95" s="245"/>
      <c r="T95" s="245"/>
      <c r="U95" s="248"/>
    </row>
    <row r="96" spans="1:21" ht="13.5" customHeight="1">
      <c r="A96" s="234"/>
      <c r="B96" s="265"/>
      <c r="C96" s="234"/>
      <c r="D96" s="104" t="s">
        <v>94</v>
      </c>
      <c r="E96" s="103">
        <f>F96+G96+H96+I96+J96+K96+L96</f>
        <v>222570884.18</v>
      </c>
      <c r="F96" s="105">
        <f t="shared" si="19"/>
        <v>153856484.18</v>
      </c>
      <c r="G96" s="105">
        <f t="shared" si="19"/>
        <v>68714400</v>
      </c>
      <c r="H96" s="105">
        <f t="shared" si="19"/>
        <v>0</v>
      </c>
      <c r="I96" s="105">
        <f t="shared" si="18"/>
        <v>0</v>
      </c>
      <c r="J96" s="105">
        <f t="shared" si="18"/>
        <v>0</v>
      </c>
      <c r="K96" s="105">
        <f t="shared" si="18"/>
        <v>0</v>
      </c>
      <c r="L96" s="105">
        <f t="shared" si="18"/>
        <v>0</v>
      </c>
      <c r="M96" s="237"/>
      <c r="N96" s="245"/>
      <c r="O96" s="245"/>
      <c r="P96" s="245"/>
      <c r="Q96" s="245"/>
      <c r="R96" s="245"/>
      <c r="S96" s="245"/>
      <c r="T96" s="245"/>
      <c r="U96" s="248"/>
    </row>
    <row r="97" spans="1:21" ht="13.5" customHeight="1">
      <c r="A97" s="234"/>
      <c r="B97" s="266"/>
      <c r="C97" s="234"/>
      <c r="D97" s="104" t="s">
        <v>96</v>
      </c>
      <c r="E97" s="103">
        <f>F97+G97+H97+I97+J97+K97+L97</f>
        <v>0</v>
      </c>
      <c r="F97" s="105">
        <f t="shared" si="19"/>
        <v>0</v>
      </c>
      <c r="G97" s="105">
        <f t="shared" si="19"/>
        <v>0</v>
      </c>
      <c r="H97" s="105">
        <f t="shared" si="19"/>
        <v>0</v>
      </c>
      <c r="I97" s="105">
        <f t="shared" si="18"/>
        <v>0</v>
      </c>
      <c r="J97" s="105">
        <f t="shared" si="18"/>
        <v>0</v>
      </c>
      <c r="K97" s="105">
        <f t="shared" si="18"/>
        <v>0</v>
      </c>
      <c r="L97" s="105">
        <f t="shared" si="18"/>
        <v>0</v>
      </c>
      <c r="M97" s="238"/>
      <c r="N97" s="246"/>
      <c r="O97" s="246"/>
      <c r="P97" s="246"/>
      <c r="Q97" s="246"/>
      <c r="R97" s="246"/>
      <c r="S97" s="246"/>
      <c r="T97" s="246"/>
      <c r="U97" s="249"/>
    </row>
    <row r="100" ht="12.75">
      <c r="G100" s="26"/>
    </row>
    <row r="101" ht="12.75">
      <c r="G101" s="26"/>
    </row>
    <row r="102" ht="12.75">
      <c r="G102" s="26"/>
    </row>
    <row r="103" ht="12.75">
      <c r="G103" s="26"/>
    </row>
    <row r="104" ht="12.75">
      <c r="G104" s="26"/>
    </row>
    <row r="105" ht="12.75">
      <c r="G105" s="26"/>
    </row>
  </sheetData>
  <sheetProtection/>
  <mergeCells count="206">
    <mergeCell ref="D28:L28"/>
    <mergeCell ref="C27:C32"/>
    <mergeCell ref="T24:T26"/>
    <mergeCell ref="C21:C26"/>
    <mergeCell ref="D22:L22"/>
    <mergeCell ref="U21:U26"/>
    <mergeCell ref="M27:M32"/>
    <mergeCell ref="T21:T23"/>
    <mergeCell ref="N27:N32"/>
    <mergeCell ref="O27:O32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N21:N23"/>
    <mergeCell ref="O21:O23"/>
    <mergeCell ref="P21:P23"/>
    <mergeCell ref="N24:N26"/>
    <mergeCell ref="O24:O26"/>
    <mergeCell ref="P24:P26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R21:R23"/>
    <mergeCell ref="R49:R54"/>
    <mergeCell ref="S49:S54"/>
    <mergeCell ref="Q49:Q54"/>
    <mergeCell ref="T49:T54"/>
    <mergeCell ref="U49:U54"/>
    <mergeCell ref="Q24:Q26"/>
    <mergeCell ref="R24:R26"/>
    <mergeCell ref="S24:S26"/>
    <mergeCell ref="T39:T44"/>
    <mergeCell ref="A49:A54"/>
    <mergeCell ref="B49:B54"/>
    <mergeCell ref="C49:C54"/>
    <mergeCell ref="M49:M54"/>
    <mergeCell ref="N49:N54"/>
    <mergeCell ref="O49:O54"/>
    <mergeCell ref="D50:L50"/>
    <mergeCell ref="T15:T20"/>
    <mergeCell ref="T9:T14"/>
    <mergeCell ref="R33:R38"/>
    <mergeCell ref="P49:P54"/>
    <mergeCell ref="U39:U44"/>
    <mergeCell ref="A39:A44"/>
    <mergeCell ref="B39:B44"/>
    <mergeCell ref="C39:C44"/>
    <mergeCell ref="M39:M44"/>
    <mergeCell ref="N39:N44"/>
    <mergeCell ref="R39:R44"/>
    <mergeCell ref="S39:S44"/>
    <mergeCell ref="P33:P38"/>
    <mergeCell ref="O33:O38"/>
    <mergeCell ref="Q33:Q38"/>
    <mergeCell ref="O39:O44"/>
    <mergeCell ref="Q39:Q44"/>
    <mergeCell ref="S33:S38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U86:U91"/>
    <mergeCell ref="U74:U79"/>
    <mergeCell ref="Q74:Q79"/>
    <mergeCell ref="R74:R79"/>
    <mergeCell ref="S74:S79"/>
    <mergeCell ref="U68:U73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A27:A32"/>
    <mergeCell ref="O86:O91"/>
    <mergeCell ref="P86:P91"/>
    <mergeCell ref="Q86:Q91"/>
    <mergeCell ref="D87:L87"/>
    <mergeCell ref="B8:U8"/>
    <mergeCell ref="P9:P14"/>
    <mergeCell ref="Q9:Q14"/>
    <mergeCell ref="R9:R14"/>
    <mergeCell ref="S9:S14"/>
    <mergeCell ref="B27:B32"/>
    <mergeCell ref="R86:R91"/>
    <mergeCell ref="S86:S91"/>
    <mergeCell ref="D93:L93"/>
    <mergeCell ref="A86:A91"/>
    <mergeCell ref="B86:B91"/>
    <mergeCell ref="C86:C91"/>
    <mergeCell ref="M86:M91"/>
    <mergeCell ref="N86:N91"/>
    <mergeCell ref="A92:A97"/>
    <mergeCell ref="B92:B97"/>
    <mergeCell ref="C92:C97"/>
    <mergeCell ref="M92:M97"/>
    <mergeCell ref="T86:T91"/>
    <mergeCell ref="Q80:Q85"/>
    <mergeCell ref="T92:T97"/>
    <mergeCell ref="N92:N97"/>
    <mergeCell ref="D81:L81"/>
    <mergeCell ref="S80:S85"/>
    <mergeCell ref="U92:U97"/>
    <mergeCell ref="U80:U85"/>
    <mergeCell ref="O92:O97"/>
    <mergeCell ref="P92:P97"/>
    <mergeCell ref="Q92:Q97"/>
    <mergeCell ref="R92:R97"/>
    <mergeCell ref="S92:S97"/>
    <mergeCell ref="P80:P85"/>
    <mergeCell ref="R80:R85"/>
    <mergeCell ref="T80:T85"/>
    <mergeCell ref="A80:A85"/>
    <mergeCell ref="B80:B85"/>
    <mergeCell ref="C80:C85"/>
    <mergeCell ref="M80:M85"/>
    <mergeCell ref="N80:N85"/>
    <mergeCell ref="O80:O85"/>
    <mergeCell ref="A74:A79"/>
    <mergeCell ref="B74:B79"/>
    <mergeCell ref="C74:C79"/>
    <mergeCell ref="M74:M79"/>
    <mergeCell ref="N74:N79"/>
    <mergeCell ref="D75:L75"/>
    <mergeCell ref="O68:O73"/>
    <mergeCell ref="P68:P73"/>
    <mergeCell ref="Q68:Q73"/>
    <mergeCell ref="T74:T79"/>
    <mergeCell ref="R68:R73"/>
    <mergeCell ref="S68:S73"/>
    <mergeCell ref="O74:O79"/>
    <mergeCell ref="T68:T73"/>
    <mergeCell ref="P74:P79"/>
    <mergeCell ref="A68:A73"/>
    <mergeCell ref="B68:B73"/>
    <mergeCell ref="C68:C73"/>
    <mergeCell ref="M68:M73"/>
    <mergeCell ref="N68:N73"/>
    <mergeCell ref="D69:L69"/>
    <mergeCell ref="O62:O67"/>
    <mergeCell ref="P62:P67"/>
    <mergeCell ref="Q62:Q67"/>
    <mergeCell ref="R62:R67"/>
    <mergeCell ref="Q56:Q61"/>
    <mergeCell ref="U62:U67"/>
    <mergeCell ref="U56:U61"/>
    <mergeCell ref="S62:S67"/>
    <mergeCell ref="T62:T67"/>
    <mergeCell ref="T56:T61"/>
    <mergeCell ref="D57:L57"/>
    <mergeCell ref="A62:A67"/>
    <mergeCell ref="B62:B67"/>
    <mergeCell ref="C62:C67"/>
    <mergeCell ref="M62:M67"/>
    <mergeCell ref="N62:N67"/>
    <mergeCell ref="D63:L63"/>
    <mergeCell ref="B55:U55"/>
    <mergeCell ref="A56:A61"/>
    <mergeCell ref="B56:B61"/>
    <mergeCell ref="C56:C61"/>
    <mergeCell ref="M56:M61"/>
    <mergeCell ref="N56:N61"/>
    <mergeCell ref="O56:O61"/>
    <mergeCell ref="P56:P61"/>
    <mergeCell ref="R56:R61"/>
    <mergeCell ref="S56:S61"/>
    <mergeCell ref="C4:C5"/>
    <mergeCell ref="D4:D5"/>
    <mergeCell ref="E4:L4"/>
    <mergeCell ref="M4:T4"/>
    <mergeCell ref="U4:U5"/>
    <mergeCell ref="B7:U7"/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2"/>
  <sheetViews>
    <sheetView zoomScaleSheetLayoutView="115" zoomScalePageLayoutView="0" workbookViewId="0" topLeftCell="B1">
      <selection activeCell="G1" sqref="G1:I1"/>
    </sheetView>
  </sheetViews>
  <sheetFormatPr defaultColWidth="9.140625" defaultRowHeight="15"/>
  <cols>
    <col min="1" max="1" width="35.00390625" style="130" bestFit="1" customWidth="1"/>
    <col min="2" max="9" width="17.28125" style="130" customWidth="1"/>
    <col min="10" max="16384" width="9.140625" style="130" customWidth="1"/>
  </cols>
  <sheetData>
    <row r="1" spans="7:10" s="92" customFormat="1" ht="79.5" customHeight="1">
      <c r="G1" s="176" t="s">
        <v>272</v>
      </c>
      <c r="H1" s="177"/>
      <c r="I1" s="177"/>
      <c r="J1" s="129"/>
    </row>
    <row r="2" spans="5:10" ht="39" customHeight="1">
      <c r="E2" s="131"/>
      <c r="F2" s="132"/>
      <c r="G2" s="132"/>
      <c r="I2" s="132" t="s">
        <v>127</v>
      </c>
      <c r="J2" s="106"/>
    </row>
    <row r="3" ht="15.75">
      <c r="F3" s="132"/>
    </row>
    <row r="4" spans="1:9" ht="36.75" customHeight="1">
      <c r="A4" s="196" t="s">
        <v>61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97" t="s">
        <v>103</v>
      </c>
      <c r="B5" s="199" t="s">
        <v>104</v>
      </c>
      <c r="C5" s="201" t="s">
        <v>105</v>
      </c>
      <c r="D5" s="201"/>
      <c r="E5" s="201"/>
      <c r="F5" s="201"/>
      <c r="G5" s="201"/>
      <c r="H5" s="201"/>
      <c r="I5" s="201"/>
    </row>
    <row r="6" spans="1:9" ht="16.5" customHeight="1">
      <c r="A6" s="198"/>
      <c r="B6" s="200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47" t="s">
        <v>63</v>
      </c>
      <c r="B7" s="147" t="s">
        <v>64</v>
      </c>
      <c r="C7" s="147" t="s">
        <v>65</v>
      </c>
      <c r="D7" s="147" t="s">
        <v>66</v>
      </c>
      <c r="E7" s="147" t="s">
        <v>67</v>
      </c>
      <c r="F7" s="147" t="s">
        <v>68</v>
      </c>
      <c r="G7" s="147" t="s">
        <v>69</v>
      </c>
      <c r="H7" s="147" t="s">
        <v>70</v>
      </c>
      <c r="I7" s="147" t="s">
        <v>71</v>
      </c>
    </row>
    <row r="8" spans="1:9" ht="19.5" customHeight="1">
      <c r="A8" s="136" t="s">
        <v>62</v>
      </c>
      <c r="B8" s="137">
        <f>B10+B11+B12+B13</f>
        <v>4097270448.7</v>
      </c>
      <c r="C8" s="137">
        <f>C10+C11+C12+C13</f>
        <v>529444436.56</v>
      </c>
      <c r="D8" s="137">
        <f aca="true" t="shared" si="0" ref="D8:I8">D10+D11+D12+D13</f>
        <v>534443846.3399999</v>
      </c>
      <c r="E8" s="137">
        <f t="shared" si="0"/>
        <v>581563893.9100001</v>
      </c>
      <c r="F8" s="137">
        <f t="shared" si="0"/>
        <v>625264593.7199999</v>
      </c>
      <c r="G8" s="137">
        <f t="shared" si="0"/>
        <v>609063259.46</v>
      </c>
      <c r="H8" s="137">
        <f t="shared" si="0"/>
        <v>611473784.54</v>
      </c>
      <c r="I8" s="137">
        <f t="shared" si="0"/>
        <v>606016634.17</v>
      </c>
    </row>
    <row r="9" spans="1:9" ht="16.5" customHeight="1">
      <c r="A9" s="190" t="s">
        <v>106</v>
      </c>
      <c r="B9" s="191"/>
      <c r="C9" s="191"/>
      <c r="D9" s="191"/>
      <c r="E9" s="191"/>
      <c r="F9" s="191"/>
      <c r="G9" s="191"/>
      <c r="H9" s="191"/>
      <c r="I9" s="192"/>
    </row>
    <row r="10" spans="1:9" ht="16.5" customHeight="1">
      <c r="A10" s="138" t="s">
        <v>107</v>
      </c>
      <c r="B10" s="137">
        <f>B17</f>
        <v>1374252498.3700001</v>
      </c>
      <c r="C10" s="156">
        <f aca="true" t="shared" si="1" ref="C10:I10">C17</f>
        <v>188197260.56</v>
      </c>
      <c r="D10" s="156">
        <f t="shared" si="1"/>
        <v>183358996.29999998</v>
      </c>
      <c r="E10" s="156">
        <f t="shared" si="1"/>
        <v>200063567.48000002</v>
      </c>
      <c r="F10" s="156">
        <f t="shared" si="1"/>
        <v>212586360.98</v>
      </c>
      <c r="G10" s="156">
        <f t="shared" si="1"/>
        <v>195145725.99</v>
      </c>
      <c r="H10" s="156">
        <f t="shared" si="1"/>
        <v>197450293.53</v>
      </c>
      <c r="I10" s="156">
        <f t="shared" si="1"/>
        <v>197450293.53</v>
      </c>
    </row>
    <row r="11" spans="1:9" ht="16.5" customHeight="1">
      <c r="A11" s="138" t="s">
        <v>20</v>
      </c>
      <c r="B11" s="137">
        <f aca="true" t="shared" si="2" ref="B11:I11">B18</f>
        <v>2375346121.05</v>
      </c>
      <c r="C11" s="156">
        <f t="shared" si="2"/>
        <v>296853576</v>
      </c>
      <c r="D11" s="156">
        <f t="shared" si="2"/>
        <v>303770524.76</v>
      </c>
      <c r="E11" s="156">
        <f t="shared" si="2"/>
        <v>323224934.43</v>
      </c>
      <c r="F11" s="156">
        <f t="shared" si="2"/>
        <v>354402840.73999995</v>
      </c>
      <c r="G11" s="156">
        <f t="shared" si="2"/>
        <v>367446493.46999997</v>
      </c>
      <c r="H11" s="156">
        <f t="shared" si="2"/>
        <v>367552451.01</v>
      </c>
      <c r="I11" s="156">
        <f t="shared" si="2"/>
        <v>362095300.64</v>
      </c>
    </row>
    <row r="12" spans="1:9" ht="16.5" customHeight="1">
      <c r="A12" s="138" t="s">
        <v>21</v>
      </c>
      <c r="B12" s="137">
        <f aca="true" t="shared" si="3" ref="B12:I12">B19</f>
        <v>0</v>
      </c>
      <c r="C12" s="156">
        <f t="shared" si="3"/>
        <v>0</v>
      </c>
      <c r="D12" s="156">
        <f t="shared" si="3"/>
        <v>0</v>
      </c>
      <c r="E12" s="156">
        <f t="shared" si="3"/>
        <v>0</v>
      </c>
      <c r="F12" s="156">
        <f t="shared" si="3"/>
        <v>0</v>
      </c>
      <c r="G12" s="156">
        <f t="shared" si="3"/>
        <v>0</v>
      </c>
      <c r="H12" s="156">
        <f t="shared" si="3"/>
        <v>0</v>
      </c>
      <c r="I12" s="156">
        <f t="shared" si="3"/>
        <v>0</v>
      </c>
    </row>
    <row r="13" spans="1:9" ht="16.5" customHeight="1">
      <c r="A13" s="138" t="s">
        <v>110</v>
      </c>
      <c r="B13" s="137">
        <f aca="true" t="shared" si="4" ref="B13:I13">B20</f>
        <v>347671829.28</v>
      </c>
      <c r="C13" s="156">
        <f t="shared" si="4"/>
        <v>44393600</v>
      </c>
      <c r="D13" s="156">
        <f t="shared" si="4"/>
        <v>47314325.28</v>
      </c>
      <c r="E13" s="156">
        <f t="shared" si="4"/>
        <v>58275392</v>
      </c>
      <c r="F13" s="156">
        <f t="shared" si="4"/>
        <v>58275392</v>
      </c>
      <c r="G13" s="156">
        <f t="shared" si="4"/>
        <v>46471040</v>
      </c>
      <c r="H13" s="156">
        <f t="shared" si="4"/>
        <v>46471040</v>
      </c>
      <c r="I13" s="156">
        <f t="shared" si="4"/>
        <v>46471040</v>
      </c>
    </row>
    <row r="14" spans="1:9" ht="16.5" customHeight="1">
      <c r="A14" s="193" t="s">
        <v>111</v>
      </c>
      <c r="B14" s="194"/>
      <c r="C14" s="194"/>
      <c r="D14" s="194"/>
      <c r="E14" s="194"/>
      <c r="F14" s="194"/>
      <c r="G14" s="194"/>
      <c r="H14" s="194"/>
      <c r="I14" s="195"/>
    </row>
    <row r="15" spans="1:9" ht="46.5" customHeight="1">
      <c r="A15" s="140" t="s">
        <v>118</v>
      </c>
      <c r="B15" s="137">
        <f>B17+B18+B19+B20</f>
        <v>4097270448.7</v>
      </c>
      <c r="C15" s="137">
        <f>C17+C18+C19+C20</f>
        <v>529444436.56</v>
      </c>
      <c r="D15" s="137">
        <f>D17+D18+D20</f>
        <v>534443846.3399999</v>
      </c>
      <c r="E15" s="137">
        <f>E17+E18+E19+E20</f>
        <v>581563893.9100001</v>
      </c>
      <c r="F15" s="137">
        <f>F17+F18+F19+F20</f>
        <v>625264593.7199999</v>
      </c>
      <c r="G15" s="137">
        <f>G17+G18+G19+G20</f>
        <v>609063259.46</v>
      </c>
      <c r="H15" s="137">
        <f>H17+H18+H19+H20</f>
        <v>611473784.54</v>
      </c>
      <c r="I15" s="137">
        <f>I17+I18+I19+I20</f>
        <v>606016634.17</v>
      </c>
    </row>
    <row r="16" spans="1:9" ht="16.5" customHeight="1">
      <c r="A16" s="190" t="s">
        <v>106</v>
      </c>
      <c r="B16" s="191"/>
      <c r="C16" s="191"/>
      <c r="D16" s="191"/>
      <c r="E16" s="191"/>
      <c r="F16" s="191"/>
      <c r="G16" s="191"/>
      <c r="H16" s="191"/>
      <c r="I16" s="192"/>
    </row>
    <row r="17" spans="1:9" ht="16.5" customHeight="1">
      <c r="A17" s="138" t="s">
        <v>107</v>
      </c>
      <c r="B17" s="137">
        <f>SUM(C17:I17)</f>
        <v>1374252498.3700001</v>
      </c>
      <c r="C17" s="157">
        <f>'таб 3(1)'!F53</f>
        <v>188197260.56</v>
      </c>
      <c r="D17" s="139">
        <f>+'таб 3(1)'!G53</f>
        <v>183358996.29999998</v>
      </c>
      <c r="E17" s="139">
        <f>+'таб 3(1)'!H53</f>
        <v>200063567.48000002</v>
      </c>
      <c r="F17" s="139">
        <f>+'таб 3(1)'!I53</f>
        <v>212586360.98</v>
      </c>
      <c r="G17" s="139">
        <f>+'таб 3(1)'!J53</f>
        <v>195145725.99</v>
      </c>
      <c r="H17" s="139">
        <f>+'таб 3(1)'!K53</f>
        <v>197450293.53</v>
      </c>
      <c r="I17" s="139">
        <f>+'таб 3(1)'!L53</f>
        <v>197450293.53</v>
      </c>
    </row>
    <row r="18" spans="1:9" ht="16.5" customHeight="1">
      <c r="A18" s="138" t="s">
        <v>20</v>
      </c>
      <c r="B18" s="137">
        <f>SUM(C18:I18)</f>
        <v>2375346121.05</v>
      </c>
      <c r="C18" s="158">
        <f>'таб 3(1)'!F54</f>
        <v>296853576</v>
      </c>
      <c r="D18" s="139">
        <f>+'таб 3(1)'!G54</f>
        <v>303770524.76</v>
      </c>
      <c r="E18" s="139">
        <f>+'таб 3(1)'!H54</f>
        <v>323224934.43</v>
      </c>
      <c r="F18" s="139">
        <f>+'таб 3(1)'!I54</f>
        <v>354402840.73999995</v>
      </c>
      <c r="G18" s="139">
        <f>+'таб 3(1)'!J54</f>
        <v>367446493.46999997</v>
      </c>
      <c r="H18" s="139">
        <f>+'таб 3(1)'!K54</f>
        <v>367552451.01</v>
      </c>
      <c r="I18" s="139">
        <f>+'таб 3(1)'!L54</f>
        <v>362095300.64</v>
      </c>
    </row>
    <row r="19" spans="1:9" ht="16.5" customHeight="1">
      <c r="A19" s="138" t="s">
        <v>21</v>
      </c>
      <c r="B19" s="137">
        <f>SUM(C19:I19)</f>
        <v>0</v>
      </c>
      <c r="C19" s="139">
        <f>'таб 3(1)'!F55</f>
        <v>0</v>
      </c>
      <c r="D19" s="139">
        <f>'таб 3(1)'!G55</f>
        <v>0</v>
      </c>
      <c r="E19" s="139">
        <f>'таб 3(1)'!H55</f>
        <v>0</v>
      </c>
      <c r="F19" s="139">
        <f>'таб 3(1)'!I55</f>
        <v>0</v>
      </c>
      <c r="G19" s="139">
        <f>'таб 3(1)'!J55</f>
        <v>0</v>
      </c>
      <c r="H19" s="139">
        <f>'таб 3(1)'!K55</f>
        <v>0</v>
      </c>
      <c r="I19" s="139">
        <f>'таб 3(1)'!L55</f>
        <v>0</v>
      </c>
    </row>
    <row r="20" spans="1:9" ht="16.5" customHeight="1">
      <c r="A20" s="138" t="s">
        <v>110</v>
      </c>
      <c r="B20" s="137">
        <f>SUM(C20:I20)</f>
        <v>347671829.28</v>
      </c>
      <c r="C20" s="158">
        <f>'таб 3(1)'!F56</f>
        <v>44393600</v>
      </c>
      <c r="D20" s="139">
        <f>'таб 3(1)'!G56</f>
        <v>47314325.28</v>
      </c>
      <c r="E20" s="139">
        <f>'таб 3(1)'!H56</f>
        <v>58275392</v>
      </c>
      <c r="F20" s="139">
        <f>'таб 3(1)'!I56</f>
        <v>58275392</v>
      </c>
      <c r="G20" s="139">
        <f>'таб 3(1)'!J56</f>
        <v>46471040</v>
      </c>
      <c r="H20" s="139">
        <f>'таб 3(1)'!K56</f>
        <v>46471040</v>
      </c>
      <c r="I20" s="139">
        <f>'таб 3(1)'!L56</f>
        <v>46471040</v>
      </c>
    </row>
    <row r="21" spans="1:9" ht="31.5">
      <c r="A21" s="17" t="s">
        <v>112</v>
      </c>
      <c r="B21" s="137">
        <f>SUM(C21:I21)</f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9" ht="15.75">
      <c r="A22" s="18"/>
      <c r="B22" s="131"/>
      <c r="C22" s="159"/>
      <c r="D22" s="159"/>
      <c r="E22" s="159"/>
      <c r="F22" s="159"/>
      <c r="G22" s="159"/>
      <c r="H22" s="159"/>
      <c r="I22" s="159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="80" zoomScaleNormal="80" zoomScaleSheetLayoutView="115" zoomScalePageLayoutView="0" workbookViewId="0" topLeftCell="A1">
      <pane xSplit="3" ySplit="8" topLeftCell="L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7.140625" style="19" bestFit="1" customWidth="1"/>
    <col min="6" max="6" width="16.00390625" style="19" customWidth="1"/>
    <col min="7" max="7" width="15.57421875" style="19" bestFit="1" customWidth="1"/>
    <col min="8" max="8" width="15.28125" style="19" customWidth="1"/>
    <col min="9" max="12" width="15.57421875" style="19" bestFit="1" customWidth="1"/>
    <col min="13" max="13" width="28.140625" style="19" customWidth="1"/>
    <col min="14" max="14" width="7.421875" style="19" customWidth="1"/>
    <col min="15" max="20" width="7.421875" style="19" bestFit="1" customWidth="1"/>
    <col min="21" max="21" width="17.00390625" style="19" customWidth="1"/>
    <col min="22" max="16384" width="9.140625" style="19" customWidth="1"/>
  </cols>
  <sheetData>
    <row r="1" spans="7:21" s="92" customFormat="1" ht="79.5" customHeight="1">
      <c r="G1" s="152"/>
      <c r="H1" s="113"/>
      <c r="I1" s="19"/>
      <c r="J1" s="129"/>
      <c r="Q1" s="176" t="s">
        <v>273</v>
      </c>
      <c r="R1" s="177"/>
      <c r="S1" s="177"/>
      <c r="T1" s="177"/>
      <c r="U1" s="177"/>
    </row>
    <row r="2" spans="20:21" ht="12.75">
      <c r="T2" s="100"/>
      <c r="U2" s="100" t="s">
        <v>119</v>
      </c>
    </row>
    <row r="3" spans="1:21" ht="15.75">
      <c r="A3" s="243" t="s">
        <v>72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ht="31.5" customHeight="1">
      <c r="A4" s="186" t="s">
        <v>101</v>
      </c>
      <c r="B4" s="186" t="s">
        <v>113</v>
      </c>
      <c r="C4" s="186" t="s">
        <v>114</v>
      </c>
      <c r="D4" s="186" t="s">
        <v>103</v>
      </c>
      <c r="E4" s="186" t="s">
        <v>115</v>
      </c>
      <c r="F4" s="186"/>
      <c r="G4" s="186"/>
      <c r="H4" s="186"/>
      <c r="I4" s="186"/>
      <c r="J4" s="186"/>
      <c r="K4" s="186"/>
      <c r="L4" s="186"/>
      <c r="M4" s="186" t="s">
        <v>32</v>
      </c>
      <c r="N4" s="186"/>
      <c r="O4" s="186"/>
      <c r="P4" s="186"/>
      <c r="Q4" s="186"/>
      <c r="R4" s="186"/>
      <c r="S4" s="186"/>
      <c r="T4" s="186"/>
      <c r="U4" s="232" t="s">
        <v>116</v>
      </c>
    </row>
    <row r="5" spans="1:21" ht="24.75" customHeight="1">
      <c r="A5" s="186"/>
      <c r="B5" s="186"/>
      <c r="C5" s="186"/>
      <c r="D5" s="186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3" t="s">
        <v>120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</row>
    <row r="8" spans="1:21" ht="12.75">
      <c r="A8" s="28">
        <v>1</v>
      </c>
      <c r="B8" s="213" t="s">
        <v>121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ht="18" customHeight="1">
      <c r="A9" s="223" t="s">
        <v>128</v>
      </c>
      <c r="B9" s="224" t="s">
        <v>122</v>
      </c>
      <c r="C9" s="229" t="s">
        <v>82</v>
      </c>
      <c r="D9" s="22" t="s">
        <v>97</v>
      </c>
      <c r="E9" s="23">
        <f>E11+E12+E13+E14</f>
        <v>2265622991.94</v>
      </c>
      <c r="F9" s="23">
        <f aca="true" t="shared" si="0" ref="F9:L9">F11+F12+F13+F14</f>
        <v>287085070</v>
      </c>
      <c r="G9" s="23">
        <f t="shared" si="0"/>
        <v>289512389</v>
      </c>
      <c r="H9" s="23">
        <f t="shared" si="0"/>
        <v>309857326.13</v>
      </c>
      <c r="I9" s="23">
        <f t="shared" si="0"/>
        <v>336265219.90999997</v>
      </c>
      <c r="J9" s="23">
        <f t="shared" si="0"/>
        <v>349397551.34999996</v>
      </c>
      <c r="K9" s="23">
        <f t="shared" si="0"/>
        <v>349481292.96</v>
      </c>
      <c r="L9" s="23">
        <f t="shared" si="0"/>
        <v>344024142.59</v>
      </c>
      <c r="M9" s="226" t="s">
        <v>199</v>
      </c>
      <c r="N9" s="208">
        <v>99.6</v>
      </c>
      <c r="O9" s="208">
        <v>95.7</v>
      </c>
      <c r="P9" s="208">
        <v>97.5</v>
      </c>
      <c r="Q9" s="208">
        <v>100</v>
      </c>
      <c r="R9" s="208">
        <v>100</v>
      </c>
      <c r="S9" s="208">
        <v>100</v>
      </c>
      <c r="T9" s="208">
        <v>100</v>
      </c>
      <c r="U9" s="205" t="s">
        <v>56</v>
      </c>
    </row>
    <row r="10" spans="1:21" ht="24.75" customHeight="1">
      <c r="A10" s="223"/>
      <c r="B10" s="224"/>
      <c r="C10" s="230"/>
      <c r="D10" s="216" t="s">
        <v>117</v>
      </c>
      <c r="E10" s="217"/>
      <c r="F10" s="217"/>
      <c r="G10" s="217"/>
      <c r="H10" s="217"/>
      <c r="I10" s="217"/>
      <c r="J10" s="217"/>
      <c r="K10" s="217"/>
      <c r="L10" s="218"/>
      <c r="M10" s="227"/>
      <c r="N10" s="209"/>
      <c r="O10" s="209"/>
      <c r="P10" s="209"/>
      <c r="Q10" s="209"/>
      <c r="R10" s="209"/>
      <c r="S10" s="209"/>
      <c r="T10" s="209"/>
      <c r="U10" s="206"/>
    </row>
    <row r="11" spans="1:21" ht="18" customHeight="1">
      <c r="A11" s="223"/>
      <c r="B11" s="224"/>
      <c r="C11" s="230"/>
      <c r="D11" s="22" t="s">
        <v>95</v>
      </c>
      <c r="E11" s="23">
        <f>F11+G11+H11+I11+J11+K11+L11</f>
        <v>4199206.01</v>
      </c>
      <c r="F11" s="23">
        <v>3970110</v>
      </c>
      <c r="G11" s="23"/>
      <c r="H11" s="23">
        <f>82156+30701.13</f>
        <v>112857.13</v>
      </c>
      <c r="I11" s="23">
        <f>25732.57+4968.56</f>
        <v>30701.13</v>
      </c>
      <c r="J11" s="23">
        <v>25732.57</v>
      </c>
      <c r="K11" s="23">
        <v>29902.59</v>
      </c>
      <c r="L11" s="23">
        <v>29902.59</v>
      </c>
      <c r="M11" s="227"/>
      <c r="N11" s="209"/>
      <c r="O11" s="209"/>
      <c r="P11" s="209"/>
      <c r="Q11" s="209"/>
      <c r="R11" s="209"/>
      <c r="S11" s="209"/>
      <c r="T11" s="209"/>
      <c r="U11" s="206"/>
    </row>
    <row r="12" spans="1:21" ht="18" customHeight="1">
      <c r="A12" s="223"/>
      <c r="B12" s="224"/>
      <c r="C12" s="230"/>
      <c r="D12" s="22" t="s">
        <v>93</v>
      </c>
      <c r="E12" s="23">
        <f>F12+G12+H12+I12+J12+K12+L12</f>
        <v>2261423785.93</v>
      </c>
      <c r="F12" s="23">
        <f>279467500+2997400+650060</f>
        <v>283114960</v>
      </c>
      <c r="G12" s="23">
        <f>924600+573289+288014500</f>
        <v>289512389</v>
      </c>
      <c r="H12" s="23">
        <f>306311700+1150930+553739+1728100</f>
        <v>309744469</v>
      </c>
      <c r="I12" s="23">
        <f>335745600+488918.78</f>
        <v>336234518.78</v>
      </c>
      <c r="J12" s="23">
        <f>488918.78+348882900</f>
        <v>349371818.78</v>
      </c>
      <c r="K12" s="23">
        <f>568490.37+348882900</f>
        <v>349451390.37</v>
      </c>
      <c r="L12" s="23">
        <v>343994240</v>
      </c>
      <c r="M12" s="227"/>
      <c r="N12" s="209"/>
      <c r="O12" s="209"/>
      <c r="P12" s="209"/>
      <c r="Q12" s="209"/>
      <c r="R12" s="209"/>
      <c r="S12" s="209"/>
      <c r="T12" s="209"/>
      <c r="U12" s="206"/>
    </row>
    <row r="13" spans="1:21" ht="22.5" customHeight="1">
      <c r="A13" s="223"/>
      <c r="B13" s="224"/>
      <c r="C13" s="230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27"/>
      <c r="N13" s="209"/>
      <c r="O13" s="209"/>
      <c r="P13" s="209"/>
      <c r="Q13" s="209"/>
      <c r="R13" s="209"/>
      <c r="S13" s="209"/>
      <c r="T13" s="209"/>
      <c r="U13" s="206"/>
    </row>
    <row r="14" spans="1:21" ht="23.25" customHeight="1">
      <c r="A14" s="223"/>
      <c r="B14" s="224"/>
      <c r="C14" s="231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28"/>
      <c r="N14" s="210"/>
      <c r="O14" s="210"/>
      <c r="P14" s="210"/>
      <c r="Q14" s="210"/>
      <c r="R14" s="210"/>
      <c r="S14" s="210"/>
      <c r="T14" s="210"/>
      <c r="U14" s="207"/>
    </row>
    <row r="15" spans="1:21" ht="18.75" customHeight="1">
      <c r="A15" s="223" t="s">
        <v>129</v>
      </c>
      <c r="B15" s="224" t="s">
        <v>141</v>
      </c>
      <c r="C15" s="229" t="s">
        <v>82</v>
      </c>
      <c r="D15" s="22" t="s">
        <v>97</v>
      </c>
      <c r="E15" s="23">
        <f>E17+E18+E19+E20</f>
        <v>1618384992.99</v>
      </c>
      <c r="F15" s="23">
        <f aca="true" t="shared" si="1" ref="F15:L15">F17+F18+F19+F20</f>
        <v>209551061.53</v>
      </c>
      <c r="G15" s="23">
        <f t="shared" si="1"/>
        <v>203813083.76</v>
      </c>
      <c r="H15" s="23">
        <f t="shared" si="1"/>
        <v>247178201.23000002</v>
      </c>
      <c r="I15" s="23">
        <f t="shared" si="1"/>
        <v>261019018.85</v>
      </c>
      <c r="J15" s="23">
        <f t="shared" si="1"/>
        <v>231062790.06</v>
      </c>
      <c r="K15" s="23">
        <f t="shared" si="1"/>
        <v>232880418.78</v>
      </c>
      <c r="L15" s="23">
        <f t="shared" si="1"/>
        <v>232880418.78</v>
      </c>
      <c r="M15" s="226" t="s">
        <v>198</v>
      </c>
      <c r="N15" s="208">
        <v>100</v>
      </c>
      <c r="O15" s="208">
        <v>100</v>
      </c>
      <c r="P15" s="208">
        <v>100</v>
      </c>
      <c r="Q15" s="208">
        <v>100</v>
      </c>
      <c r="R15" s="208">
        <v>100</v>
      </c>
      <c r="S15" s="208">
        <v>100</v>
      </c>
      <c r="T15" s="208">
        <v>100</v>
      </c>
      <c r="U15" s="205" t="s">
        <v>56</v>
      </c>
    </row>
    <row r="16" spans="1:21" ht="16.5" customHeight="1">
      <c r="A16" s="223"/>
      <c r="B16" s="224"/>
      <c r="C16" s="230"/>
      <c r="D16" s="216" t="s">
        <v>117</v>
      </c>
      <c r="E16" s="217"/>
      <c r="F16" s="217"/>
      <c r="G16" s="217"/>
      <c r="H16" s="217"/>
      <c r="I16" s="217"/>
      <c r="J16" s="217"/>
      <c r="K16" s="217"/>
      <c r="L16" s="218"/>
      <c r="M16" s="227"/>
      <c r="N16" s="209"/>
      <c r="O16" s="209"/>
      <c r="P16" s="209"/>
      <c r="Q16" s="209"/>
      <c r="R16" s="209"/>
      <c r="S16" s="209"/>
      <c r="T16" s="209"/>
      <c r="U16" s="206"/>
    </row>
    <row r="17" spans="1:21" ht="12.75" customHeight="1">
      <c r="A17" s="223"/>
      <c r="B17" s="224"/>
      <c r="C17" s="230"/>
      <c r="D17" s="22" t="s">
        <v>95</v>
      </c>
      <c r="E17" s="23">
        <f>F17+G17+H17+I17+J17+K17+L17</f>
        <v>1287253323.21</v>
      </c>
      <c r="F17" s="23">
        <f>166906451.53</f>
        <v>166906451.53</v>
      </c>
      <c r="G17" s="23">
        <v>157638427.98</v>
      </c>
      <c r="H17" s="23">
        <f>181419742.53+5992432-164443.47+1823219.61+2011460.83-379602.27</f>
        <v>190702809.23000002</v>
      </c>
      <c r="I17" s="23">
        <f>193799176.87+10744449.98</f>
        <v>204543626.85</v>
      </c>
      <c r="J17" s="23">
        <v>187942250.06</v>
      </c>
      <c r="K17" s="23">
        <v>189759878.78</v>
      </c>
      <c r="L17" s="23">
        <v>189759878.78</v>
      </c>
      <c r="M17" s="227"/>
      <c r="N17" s="209"/>
      <c r="O17" s="209"/>
      <c r="P17" s="209"/>
      <c r="Q17" s="209"/>
      <c r="R17" s="209"/>
      <c r="S17" s="209"/>
      <c r="T17" s="209"/>
      <c r="U17" s="206"/>
    </row>
    <row r="18" spans="1:21" ht="12.75" customHeight="1">
      <c r="A18" s="223"/>
      <c r="B18" s="224"/>
      <c r="C18" s="230"/>
      <c r="D18" s="22" t="s">
        <v>93</v>
      </c>
      <c r="E18" s="23">
        <f>F18+G18+H18+I18+J18+K18+L18</f>
        <v>967810</v>
      </c>
      <c r="F18" s="23">
        <v>967810</v>
      </c>
      <c r="G18" s="23"/>
      <c r="H18" s="23"/>
      <c r="I18" s="23"/>
      <c r="J18" s="23"/>
      <c r="K18" s="23"/>
      <c r="L18" s="23"/>
      <c r="M18" s="227"/>
      <c r="N18" s="209"/>
      <c r="O18" s="209"/>
      <c r="P18" s="209"/>
      <c r="Q18" s="209"/>
      <c r="R18" s="209"/>
      <c r="S18" s="209"/>
      <c r="T18" s="209"/>
      <c r="U18" s="206"/>
    </row>
    <row r="19" spans="1:21" ht="12.75" customHeight="1">
      <c r="A19" s="223"/>
      <c r="B19" s="224"/>
      <c r="C19" s="230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27"/>
      <c r="N19" s="209"/>
      <c r="O19" s="209"/>
      <c r="P19" s="209"/>
      <c r="Q19" s="209"/>
      <c r="R19" s="209"/>
      <c r="S19" s="209"/>
      <c r="T19" s="209"/>
      <c r="U19" s="206"/>
    </row>
    <row r="20" spans="1:21" ht="13.5" customHeight="1">
      <c r="A20" s="223"/>
      <c r="B20" s="224"/>
      <c r="C20" s="231"/>
      <c r="D20" s="22" t="s">
        <v>96</v>
      </c>
      <c r="E20" s="23">
        <f>F20+G20+H20+I20+J20+K20+L20</f>
        <v>330163859.78</v>
      </c>
      <c r="F20" s="23">
        <v>41676800</v>
      </c>
      <c r="G20" s="23">
        <f>45883796.78+290859</f>
        <v>46174655.78</v>
      </c>
      <c r="H20" s="23">
        <v>56475392</v>
      </c>
      <c r="I20" s="23">
        <v>56475392</v>
      </c>
      <c r="J20" s="23">
        <v>43120540</v>
      </c>
      <c r="K20" s="23">
        <v>43120540</v>
      </c>
      <c r="L20" s="23">
        <v>43120540</v>
      </c>
      <c r="M20" s="228"/>
      <c r="N20" s="210"/>
      <c r="O20" s="210"/>
      <c r="P20" s="210"/>
      <c r="Q20" s="210"/>
      <c r="R20" s="210"/>
      <c r="S20" s="210"/>
      <c r="T20" s="210"/>
      <c r="U20" s="207"/>
    </row>
    <row r="21" spans="1:21" ht="19.5" customHeight="1">
      <c r="A21" s="223" t="s">
        <v>130</v>
      </c>
      <c r="B21" s="224" t="s">
        <v>123</v>
      </c>
      <c r="C21" s="229" t="s">
        <v>82</v>
      </c>
      <c r="D21" s="22" t="s">
        <v>97</v>
      </c>
      <c r="E21" s="23">
        <f>E23+E24+E25+E26</f>
        <v>34547131.85</v>
      </c>
      <c r="F21" s="23">
        <f aca="true" t="shared" si="2" ref="F21:L21">F23+F24+F25+F26</f>
        <v>17320699.03</v>
      </c>
      <c r="G21" s="23">
        <f t="shared" si="2"/>
        <v>17226432.82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19" t="s">
        <v>3</v>
      </c>
      <c r="N21" s="202">
        <v>1</v>
      </c>
      <c r="O21" s="202">
        <v>1</v>
      </c>
      <c r="P21" s="202">
        <v>1</v>
      </c>
      <c r="Q21" s="202">
        <v>1</v>
      </c>
      <c r="R21" s="202">
        <v>1</v>
      </c>
      <c r="S21" s="202">
        <v>1</v>
      </c>
      <c r="T21" s="202">
        <v>1</v>
      </c>
      <c r="U21" s="205" t="s">
        <v>56</v>
      </c>
    </row>
    <row r="22" spans="1:21" ht="16.5" customHeight="1">
      <c r="A22" s="223"/>
      <c r="B22" s="224"/>
      <c r="C22" s="230"/>
      <c r="D22" s="216" t="s">
        <v>117</v>
      </c>
      <c r="E22" s="217"/>
      <c r="F22" s="217"/>
      <c r="G22" s="217"/>
      <c r="H22" s="217"/>
      <c r="I22" s="217"/>
      <c r="J22" s="217"/>
      <c r="K22" s="217"/>
      <c r="L22" s="218"/>
      <c r="M22" s="220"/>
      <c r="N22" s="203"/>
      <c r="O22" s="203"/>
      <c r="P22" s="203"/>
      <c r="Q22" s="203"/>
      <c r="R22" s="203"/>
      <c r="S22" s="203"/>
      <c r="T22" s="203"/>
      <c r="U22" s="206"/>
    </row>
    <row r="23" spans="1:21" ht="23.25" customHeight="1">
      <c r="A23" s="223"/>
      <c r="B23" s="224"/>
      <c r="C23" s="230"/>
      <c r="D23" s="22" t="s">
        <v>95</v>
      </c>
      <c r="E23" s="23">
        <f>F23+G23+H23+I23+J23+K23+L23</f>
        <v>34547131.85</v>
      </c>
      <c r="F23" s="23">
        <f>16842844.03+477855</f>
        <v>17320699.03</v>
      </c>
      <c r="G23" s="23">
        <f>18193797-967364.18</f>
        <v>17226432.82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20"/>
      <c r="N23" s="203"/>
      <c r="O23" s="203"/>
      <c r="P23" s="203"/>
      <c r="Q23" s="203"/>
      <c r="R23" s="203"/>
      <c r="S23" s="203"/>
      <c r="T23" s="203"/>
      <c r="U23" s="206"/>
    </row>
    <row r="24" spans="1:21" ht="12.75">
      <c r="A24" s="223"/>
      <c r="B24" s="224"/>
      <c r="C24" s="230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20"/>
      <c r="N24" s="203"/>
      <c r="O24" s="203"/>
      <c r="P24" s="203"/>
      <c r="Q24" s="203"/>
      <c r="R24" s="203"/>
      <c r="S24" s="203"/>
      <c r="T24" s="203"/>
      <c r="U24" s="206"/>
    </row>
    <row r="25" spans="1:21" ht="12.75">
      <c r="A25" s="223"/>
      <c r="B25" s="224"/>
      <c r="C25" s="230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20"/>
      <c r="N25" s="203"/>
      <c r="O25" s="203"/>
      <c r="P25" s="203"/>
      <c r="Q25" s="203"/>
      <c r="R25" s="203"/>
      <c r="S25" s="203"/>
      <c r="T25" s="203"/>
      <c r="U25" s="206"/>
    </row>
    <row r="26" spans="1:21" ht="12.75">
      <c r="A26" s="223"/>
      <c r="B26" s="224"/>
      <c r="C26" s="231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25"/>
      <c r="N26" s="204"/>
      <c r="O26" s="204"/>
      <c r="P26" s="204"/>
      <c r="Q26" s="204"/>
      <c r="R26" s="204"/>
      <c r="S26" s="204"/>
      <c r="T26" s="204"/>
      <c r="U26" s="207"/>
    </row>
    <row r="27" spans="1:21" ht="19.5" customHeight="1">
      <c r="A27" s="223" t="s">
        <v>131</v>
      </c>
      <c r="B27" s="224" t="s">
        <v>190</v>
      </c>
      <c r="C27" s="229" t="s">
        <v>82</v>
      </c>
      <c r="D27" s="22" t="s">
        <v>97</v>
      </c>
      <c r="E27" s="23">
        <f>E29+E30+E31+E32</f>
        <v>53252262.419999994</v>
      </c>
      <c r="F27" s="23">
        <f aca="true" t="shared" si="3" ref="F27:L27">F29+F30+F31+F32</f>
        <v>805706</v>
      </c>
      <c r="G27" s="23">
        <f t="shared" si="3"/>
        <v>9276871.26</v>
      </c>
      <c r="H27" s="23">
        <f t="shared" si="3"/>
        <v>9991366.549999999</v>
      </c>
      <c r="I27" s="23">
        <f t="shared" si="3"/>
        <v>8735954.96</v>
      </c>
      <c r="J27" s="23">
        <f t="shared" si="3"/>
        <v>7808018.050000001</v>
      </c>
      <c r="K27" s="23">
        <f t="shared" si="3"/>
        <v>8317172.8</v>
      </c>
      <c r="L27" s="23">
        <f t="shared" si="3"/>
        <v>8317172.8</v>
      </c>
      <c r="M27" s="219" t="s">
        <v>202</v>
      </c>
      <c r="N27" s="202">
        <v>1</v>
      </c>
      <c r="O27" s="202">
        <v>1</v>
      </c>
      <c r="P27" s="202">
        <v>1</v>
      </c>
      <c r="Q27" s="202">
        <v>1</v>
      </c>
      <c r="R27" s="202">
        <v>1</v>
      </c>
      <c r="S27" s="202">
        <v>1</v>
      </c>
      <c r="T27" s="202">
        <v>1</v>
      </c>
      <c r="U27" s="205" t="s">
        <v>56</v>
      </c>
    </row>
    <row r="28" spans="1:21" ht="16.5" customHeight="1">
      <c r="A28" s="223"/>
      <c r="B28" s="224"/>
      <c r="C28" s="230"/>
      <c r="D28" s="216" t="s">
        <v>117</v>
      </c>
      <c r="E28" s="217"/>
      <c r="F28" s="217"/>
      <c r="G28" s="217"/>
      <c r="H28" s="217"/>
      <c r="I28" s="217"/>
      <c r="J28" s="217"/>
      <c r="K28" s="217"/>
      <c r="L28" s="218"/>
      <c r="M28" s="220"/>
      <c r="N28" s="203"/>
      <c r="O28" s="203"/>
      <c r="P28" s="203"/>
      <c r="Q28" s="203"/>
      <c r="R28" s="203"/>
      <c r="S28" s="203"/>
      <c r="T28" s="203"/>
      <c r="U28" s="206"/>
    </row>
    <row r="29" spans="1:21" ht="23.25" customHeight="1">
      <c r="A29" s="223"/>
      <c r="B29" s="224"/>
      <c r="C29" s="230"/>
      <c r="D29" s="22" t="s">
        <v>95</v>
      </c>
      <c r="E29" s="23">
        <f>F29+G29+H29+I29+J29+K29+L29</f>
        <v>48252837.3</v>
      </c>
      <c r="F29" s="23"/>
      <c r="G29" s="23">
        <v>8494135.5</v>
      </c>
      <c r="H29" s="23">
        <f>6503695+685472.64+771517.94+1046435.17+240780.37</f>
        <v>9247901.12</v>
      </c>
      <c r="I29" s="23">
        <v>8012033</v>
      </c>
      <c r="J29" s="23">
        <v>7177743.36</v>
      </c>
      <c r="K29" s="23">
        <v>7660512.16</v>
      </c>
      <c r="L29" s="23">
        <v>7660512.16</v>
      </c>
      <c r="M29" s="220"/>
      <c r="N29" s="203"/>
      <c r="O29" s="203"/>
      <c r="P29" s="203"/>
      <c r="Q29" s="203"/>
      <c r="R29" s="203"/>
      <c r="S29" s="203"/>
      <c r="T29" s="203"/>
      <c r="U29" s="206"/>
    </row>
    <row r="30" spans="1:21" ht="15" customHeight="1">
      <c r="A30" s="223"/>
      <c r="B30" s="224"/>
      <c r="C30" s="230"/>
      <c r="D30" s="22" t="s">
        <v>93</v>
      </c>
      <c r="E30" s="23">
        <f>F30+G30+H30+I30+J30+K30+L30</f>
        <v>4999425.119999999</v>
      </c>
      <c r="F30" s="24">
        <v>805706</v>
      </c>
      <c r="G30" s="24">
        <f>4745+777990.76</f>
        <v>782735.76</v>
      </c>
      <c r="H30" s="24">
        <f>1785.43+741680</f>
        <v>743465.43</v>
      </c>
      <c r="I30" s="24">
        <f>1887.92+722034.04</f>
        <v>723921.9600000001</v>
      </c>
      <c r="J30" s="24">
        <f>1888.46+628386.23</f>
        <v>630274.69</v>
      </c>
      <c r="K30" s="24">
        <f>1888.47+654772.17</f>
        <v>656660.64</v>
      </c>
      <c r="L30" s="24">
        <v>656660.64</v>
      </c>
      <c r="M30" s="220"/>
      <c r="N30" s="203"/>
      <c r="O30" s="203"/>
      <c r="P30" s="203"/>
      <c r="Q30" s="203"/>
      <c r="R30" s="203"/>
      <c r="S30" s="203"/>
      <c r="T30" s="203"/>
      <c r="U30" s="206"/>
    </row>
    <row r="31" spans="1:21" ht="12.75">
      <c r="A31" s="223"/>
      <c r="B31" s="224"/>
      <c r="C31" s="230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20"/>
      <c r="N31" s="203"/>
      <c r="O31" s="203"/>
      <c r="P31" s="203"/>
      <c r="Q31" s="203"/>
      <c r="R31" s="203"/>
      <c r="S31" s="203"/>
      <c r="T31" s="203"/>
      <c r="U31" s="206"/>
    </row>
    <row r="32" spans="1:21" ht="12.75">
      <c r="A32" s="223"/>
      <c r="B32" s="224"/>
      <c r="C32" s="231"/>
      <c r="D32" s="22" t="s">
        <v>96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25"/>
      <c r="N32" s="204"/>
      <c r="O32" s="204"/>
      <c r="P32" s="204"/>
      <c r="Q32" s="204"/>
      <c r="R32" s="204"/>
      <c r="S32" s="204"/>
      <c r="T32" s="204"/>
      <c r="U32" s="207"/>
    </row>
    <row r="33" spans="1:21" ht="18" customHeight="1">
      <c r="A33" s="223" t="s">
        <v>132</v>
      </c>
      <c r="B33" s="224" t="s">
        <v>124</v>
      </c>
      <c r="C33" s="229" t="s">
        <v>82</v>
      </c>
      <c r="D33" s="22" t="s">
        <v>97</v>
      </c>
      <c r="E33" s="23">
        <f aca="true" t="shared" si="4" ref="E33:L33">E35+E36+E37+E38</f>
        <v>2633200</v>
      </c>
      <c r="F33" s="23">
        <f t="shared" si="4"/>
        <v>291800</v>
      </c>
      <c r="G33" s="23">
        <f t="shared" si="4"/>
        <v>328700</v>
      </c>
      <c r="H33" s="23">
        <f t="shared" si="4"/>
        <v>310700</v>
      </c>
      <c r="I33" s="23">
        <f t="shared" si="4"/>
        <v>425500</v>
      </c>
      <c r="J33" s="23">
        <f t="shared" si="4"/>
        <v>425500</v>
      </c>
      <c r="K33" s="23">
        <f t="shared" si="4"/>
        <v>425500</v>
      </c>
      <c r="L33" s="23">
        <f t="shared" si="4"/>
        <v>425500</v>
      </c>
      <c r="M33" s="219" t="s">
        <v>2</v>
      </c>
      <c r="N33" s="202">
        <v>1</v>
      </c>
      <c r="O33" s="202">
        <v>1</v>
      </c>
      <c r="P33" s="202">
        <v>1</v>
      </c>
      <c r="Q33" s="202">
        <v>1</v>
      </c>
      <c r="R33" s="202">
        <v>1</v>
      </c>
      <c r="S33" s="202">
        <v>1</v>
      </c>
      <c r="T33" s="202">
        <v>1</v>
      </c>
      <c r="U33" s="205" t="s">
        <v>56</v>
      </c>
    </row>
    <row r="34" spans="1:21" ht="16.5" customHeight="1">
      <c r="A34" s="223"/>
      <c r="B34" s="224"/>
      <c r="C34" s="230"/>
      <c r="D34" s="216" t="s">
        <v>117</v>
      </c>
      <c r="E34" s="217"/>
      <c r="F34" s="217"/>
      <c r="G34" s="217"/>
      <c r="H34" s="217"/>
      <c r="I34" s="217"/>
      <c r="J34" s="217"/>
      <c r="K34" s="217"/>
      <c r="L34" s="218"/>
      <c r="M34" s="220"/>
      <c r="N34" s="203"/>
      <c r="O34" s="203"/>
      <c r="P34" s="203"/>
      <c r="Q34" s="203"/>
      <c r="R34" s="203"/>
      <c r="S34" s="203"/>
      <c r="T34" s="203"/>
      <c r="U34" s="206"/>
    </row>
    <row r="35" spans="1:21" ht="18.75" customHeight="1">
      <c r="A35" s="223"/>
      <c r="B35" s="224"/>
      <c r="C35" s="230"/>
      <c r="D35" s="22" t="s">
        <v>95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20"/>
      <c r="N35" s="203"/>
      <c r="O35" s="203"/>
      <c r="P35" s="203"/>
      <c r="Q35" s="203"/>
      <c r="R35" s="203"/>
      <c r="S35" s="203"/>
      <c r="T35" s="203"/>
      <c r="U35" s="206"/>
    </row>
    <row r="36" spans="1:21" ht="15.75" customHeight="1">
      <c r="A36" s="223"/>
      <c r="B36" s="224"/>
      <c r="C36" s="230"/>
      <c r="D36" s="22" t="s">
        <v>93</v>
      </c>
      <c r="E36" s="23">
        <f>F36+G36+H36+I36+J36+K36+L36</f>
        <v>2633200</v>
      </c>
      <c r="F36" s="23">
        <f>472400-180600</f>
        <v>291800</v>
      </c>
      <c r="G36" s="23">
        <f>131499.5+197200.5</f>
        <v>328700</v>
      </c>
      <c r="H36" s="23">
        <f>168257.5+252442.5-43952-66048</f>
        <v>310700</v>
      </c>
      <c r="I36" s="23">
        <f>170216.5+255283.5</f>
        <v>425500</v>
      </c>
      <c r="J36" s="23">
        <f>170216.5+255283.5</f>
        <v>425500</v>
      </c>
      <c r="K36" s="23">
        <f>170216.5+255283.5</f>
        <v>425500</v>
      </c>
      <c r="L36" s="23">
        <v>425500</v>
      </c>
      <c r="M36" s="221"/>
      <c r="N36" s="211"/>
      <c r="O36" s="211"/>
      <c r="P36" s="211"/>
      <c r="Q36" s="211"/>
      <c r="R36" s="211"/>
      <c r="S36" s="211"/>
      <c r="T36" s="211"/>
      <c r="U36" s="206"/>
    </row>
    <row r="37" spans="1:21" ht="14.25" customHeight="1">
      <c r="A37" s="223"/>
      <c r="B37" s="224"/>
      <c r="C37" s="230"/>
      <c r="D37" s="22" t="s">
        <v>94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21"/>
      <c r="N37" s="211"/>
      <c r="O37" s="211"/>
      <c r="P37" s="211"/>
      <c r="Q37" s="211"/>
      <c r="R37" s="211"/>
      <c r="S37" s="211"/>
      <c r="T37" s="211"/>
      <c r="U37" s="206"/>
    </row>
    <row r="38" spans="1:21" ht="14.25" customHeight="1">
      <c r="A38" s="223"/>
      <c r="B38" s="224"/>
      <c r="C38" s="231"/>
      <c r="D38" s="22" t="s">
        <v>96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22"/>
      <c r="N38" s="212"/>
      <c r="O38" s="212"/>
      <c r="P38" s="212"/>
      <c r="Q38" s="212"/>
      <c r="R38" s="212"/>
      <c r="S38" s="212"/>
      <c r="T38" s="212"/>
      <c r="U38" s="207"/>
    </row>
    <row r="39" spans="1:21" ht="14.25" customHeight="1">
      <c r="A39" s="223" t="s">
        <v>133</v>
      </c>
      <c r="B39" s="242" t="s">
        <v>125</v>
      </c>
      <c r="C39" s="229" t="s">
        <v>82</v>
      </c>
      <c r="D39" s="22" t="s">
        <v>97</v>
      </c>
      <c r="E39" s="23">
        <f>E41+E42+E43+E44</f>
        <v>105321900</v>
      </c>
      <c r="F39" s="23">
        <f aca="true" t="shared" si="5" ref="F39:L39">F41+F42+F43+F44</f>
        <v>11673300</v>
      </c>
      <c r="G39" s="23">
        <f t="shared" si="5"/>
        <v>13146700</v>
      </c>
      <c r="H39" s="23">
        <f t="shared" si="5"/>
        <v>12426300</v>
      </c>
      <c r="I39" s="23">
        <f t="shared" si="5"/>
        <v>17018900</v>
      </c>
      <c r="J39" s="23">
        <f t="shared" si="5"/>
        <v>17018900</v>
      </c>
      <c r="K39" s="23">
        <f t="shared" si="5"/>
        <v>17018900</v>
      </c>
      <c r="L39" s="23">
        <f t="shared" si="5"/>
        <v>17018900</v>
      </c>
      <c r="M39" s="219" t="s">
        <v>200</v>
      </c>
      <c r="N39" s="208">
        <v>93.7</v>
      </c>
      <c r="O39" s="208">
        <v>93.5</v>
      </c>
      <c r="P39" s="208">
        <v>93.3</v>
      </c>
      <c r="Q39" s="208">
        <v>93</v>
      </c>
      <c r="R39" s="208">
        <v>93</v>
      </c>
      <c r="S39" s="208">
        <v>93</v>
      </c>
      <c r="T39" s="208">
        <v>93</v>
      </c>
      <c r="U39" s="205" t="s">
        <v>56</v>
      </c>
    </row>
    <row r="40" spans="1:21" ht="16.5" customHeight="1">
      <c r="A40" s="223"/>
      <c r="B40" s="242"/>
      <c r="C40" s="230"/>
      <c r="D40" s="216" t="s">
        <v>117</v>
      </c>
      <c r="E40" s="217"/>
      <c r="F40" s="217"/>
      <c r="G40" s="217"/>
      <c r="H40" s="217"/>
      <c r="I40" s="217"/>
      <c r="J40" s="217"/>
      <c r="K40" s="217"/>
      <c r="L40" s="218"/>
      <c r="M40" s="220"/>
      <c r="N40" s="209"/>
      <c r="O40" s="209"/>
      <c r="P40" s="209"/>
      <c r="Q40" s="209"/>
      <c r="R40" s="209"/>
      <c r="S40" s="209"/>
      <c r="T40" s="209"/>
      <c r="U40" s="206"/>
    </row>
    <row r="41" spans="1:21" ht="14.25" customHeight="1">
      <c r="A41" s="223"/>
      <c r="B41" s="242"/>
      <c r="C41" s="230"/>
      <c r="D41" s="22" t="s">
        <v>95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20"/>
      <c r="N41" s="209"/>
      <c r="O41" s="209"/>
      <c r="P41" s="209"/>
      <c r="Q41" s="209"/>
      <c r="R41" s="209"/>
      <c r="S41" s="209"/>
      <c r="T41" s="209"/>
      <c r="U41" s="206"/>
    </row>
    <row r="42" spans="1:21" ht="14.25" customHeight="1">
      <c r="A42" s="223"/>
      <c r="B42" s="242"/>
      <c r="C42" s="230"/>
      <c r="D42" s="22" t="s">
        <v>93</v>
      </c>
      <c r="E42" s="23">
        <f>F42+G42+H42+I42+J42+K42+L42</f>
        <v>105321900</v>
      </c>
      <c r="F42" s="24">
        <f>18894800-7221500</f>
        <v>11673300</v>
      </c>
      <c r="G42" s="23">
        <f>13146700</f>
        <v>13146700</v>
      </c>
      <c r="H42" s="23">
        <f>16829500-4403200</f>
        <v>12426300</v>
      </c>
      <c r="I42" s="23">
        <v>17018900</v>
      </c>
      <c r="J42" s="23">
        <v>17018900</v>
      </c>
      <c r="K42" s="23">
        <v>17018900</v>
      </c>
      <c r="L42" s="23">
        <v>17018900</v>
      </c>
      <c r="M42" s="220"/>
      <c r="N42" s="209"/>
      <c r="O42" s="209"/>
      <c r="P42" s="209"/>
      <c r="Q42" s="209"/>
      <c r="R42" s="209"/>
      <c r="S42" s="209"/>
      <c r="T42" s="209"/>
      <c r="U42" s="206"/>
    </row>
    <row r="43" spans="1:21" ht="14.25" customHeight="1">
      <c r="A43" s="223"/>
      <c r="B43" s="242"/>
      <c r="C43" s="230"/>
      <c r="D43" s="22" t="s">
        <v>94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20"/>
      <c r="N43" s="209"/>
      <c r="O43" s="209"/>
      <c r="P43" s="209"/>
      <c r="Q43" s="209"/>
      <c r="R43" s="209"/>
      <c r="S43" s="209"/>
      <c r="T43" s="209"/>
      <c r="U43" s="206"/>
    </row>
    <row r="44" spans="1:21" ht="14.25" customHeight="1">
      <c r="A44" s="223"/>
      <c r="B44" s="242"/>
      <c r="C44" s="231"/>
      <c r="D44" s="22" t="s">
        <v>96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25"/>
      <c r="N44" s="210"/>
      <c r="O44" s="210"/>
      <c r="P44" s="210"/>
      <c r="Q44" s="210"/>
      <c r="R44" s="210"/>
      <c r="S44" s="210"/>
      <c r="T44" s="210"/>
      <c r="U44" s="207"/>
    </row>
    <row r="45" spans="1:21" ht="12.75">
      <c r="A45" s="223" t="s">
        <v>149</v>
      </c>
      <c r="B45" s="242" t="s">
        <v>126</v>
      </c>
      <c r="C45" s="229" t="s">
        <v>82</v>
      </c>
      <c r="D45" s="22" t="s">
        <v>97</v>
      </c>
      <c r="E45" s="23">
        <f>E47+E48+E49+E50</f>
        <v>17507969.5</v>
      </c>
      <c r="F45" s="23">
        <f aca="true" t="shared" si="6" ref="F45:L45">F47+F48+F49+F50</f>
        <v>2716800</v>
      </c>
      <c r="G45" s="23">
        <f t="shared" si="6"/>
        <v>1139669.5</v>
      </c>
      <c r="H45" s="23">
        <f t="shared" si="6"/>
        <v>1800000</v>
      </c>
      <c r="I45" s="23">
        <f t="shared" si="6"/>
        <v>1800000</v>
      </c>
      <c r="J45" s="23">
        <f t="shared" si="6"/>
        <v>3350500</v>
      </c>
      <c r="K45" s="23">
        <f t="shared" si="6"/>
        <v>3350500</v>
      </c>
      <c r="L45" s="23">
        <f t="shared" si="6"/>
        <v>3350500</v>
      </c>
      <c r="M45" s="219" t="s">
        <v>201</v>
      </c>
      <c r="N45" s="202">
        <v>1</v>
      </c>
      <c r="O45" s="202">
        <v>1</v>
      </c>
      <c r="P45" s="202">
        <v>1</v>
      </c>
      <c r="Q45" s="202">
        <v>1</v>
      </c>
      <c r="R45" s="202">
        <v>1</v>
      </c>
      <c r="S45" s="202">
        <v>1</v>
      </c>
      <c r="T45" s="202">
        <v>1</v>
      </c>
      <c r="U45" s="205" t="s">
        <v>56</v>
      </c>
    </row>
    <row r="46" spans="1:21" ht="12.75">
      <c r="A46" s="223"/>
      <c r="B46" s="242"/>
      <c r="C46" s="230"/>
      <c r="D46" s="216" t="s">
        <v>117</v>
      </c>
      <c r="E46" s="217"/>
      <c r="F46" s="217"/>
      <c r="G46" s="217"/>
      <c r="H46" s="217"/>
      <c r="I46" s="217"/>
      <c r="J46" s="217"/>
      <c r="K46" s="217"/>
      <c r="L46" s="218"/>
      <c r="M46" s="220"/>
      <c r="N46" s="203"/>
      <c r="O46" s="203"/>
      <c r="P46" s="203"/>
      <c r="Q46" s="203"/>
      <c r="R46" s="203"/>
      <c r="S46" s="203"/>
      <c r="T46" s="203"/>
      <c r="U46" s="206"/>
    </row>
    <row r="47" spans="1:21" ht="17.25" customHeight="1">
      <c r="A47" s="223"/>
      <c r="B47" s="242"/>
      <c r="C47" s="230"/>
      <c r="D47" s="22" t="s">
        <v>95</v>
      </c>
      <c r="E47" s="23">
        <f>F47+G47+H47+I47+J47+K47+L47</f>
        <v>0</v>
      </c>
      <c r="F47" s="24"/>
      <c r="G47" s="24"/>
      <c r="H47" s="24"/>
      <c r="I47" s="24"/>
      <c r="J47" s="24"/>
      <c r="K47" s="24"/>
      <c r="L47" s="24"/>
      <c r="M47" s="220"/>
      <c r="N47" s="203"/>
      <c r="O47" s="203"/>
      <c r="P47" s="203"/>
      <c r="Q47" s="203"/>
      <c r="R47" s="203"/>
      <c r="S47" s="203"/>
      <c r="T47" s="203"/>
      <c r="U47" s="206"/>
    </row>
    <row r="48" spans="1:21" ht="12.75">
      <c r="A48" s="223"/>
      <c r="B48" s="242"/>
      <c r="C48" s="230"/>
      <c r="D48" s="22" t="s">
        <v>93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220"/>
      <c r="N48" s="203"/>
      <c r="O48" s="203"/>
      <c r="P48" s="203"/>
      <c r="Q48" s="203"/>
      <c r="R48" s="203"/>
      <c r="S48" s="203"/>
      <c r="T48" s="203"/>
      <c r="U48" s="206"/>
    </row>
    <row r="49" spans="1:21" ht="12.75">
      <c r="A49" s="223"/>
      <c r="B49" s="242"/>
      <c r="C49" s="230"/>
      <c r="D49" s="22" t="s">
        <v>94</v>
      </c>
      <c r="E49" s="23">
        <f>F49+G49+H49+I49+J49+K49+L49</f>
        <v>0</v>
      </c>
      <c r="F49" s="24"/>
      <c r="G49" s="24"/>
      <c r="H49" s="24"/>
      <c r="I49" s="24"/>
      <c r="J49" s="24"/>
      <c r="K49" s="24"/>
      <c r="L49" s="24"/>
      <c r="M49" s="220"/>
      <c r="N49" s="203"/>
      <c r="O49" s="203"/>
      <c r="P49" s="203"/>
      <c r="Q49" s="203"/>
      <c r="R49" s="203"/>
      <c r="S49" s="203"/>
      <c r="T49" s="203"/>
      <c r="U49" s="206"/>
    </row>
    <row r="50" spans="1:21" ht="12.75">
      <c r="A50" s="223"/>
      <c r="B50" s="242"/>
      <c r="C50" s="231"/>
      <c r="D50" s="22" t="s">
        <v>96</v>
      </c>
      <c r="E50" s="23">
        <f>F50+G50+H50+I50+J50+K50+L50</f>
        <v>17507969.5</v>
      </c>
      <c r="F50" s="24">
        <f>3350500-633700</f>
        <v>2716800</v>
      </c>
      <c r="G50" s="24">
        <f>1108669.5+31000</f>
        <v>1139669.5</v>
      </c>
      <c r="H50" s="24">
        <v>1800000</v>
      </c>
      <c r="I50" s="24">
        <v>1800000</v>
      </c>
      <c r="J50" s="24">
        <v>3350500</v>
      </c>
      <c r="K50" s="24">
        <v>3350500</v>
      </c>
      <c r="L50" s="24">
        <v>3350500</v>
      </c>
      <c r="M50" s="225"/>
      <c r="N50" s="204"/>
      <c r="O50" s="204"/>
      <c r="P50" s="204"/>
      <c r="Q50" s="204"/>
      <c r="R50" s="204"/>
      <c r="S50" s="204"/>
      <c r="T50" s="204"/>
      <c r="U50" s="207"/>
    </row>
    <row r="51" spans="1:21" ht="13.5" customHeight="1">
      <c r="A51" s="234"/>
      <c r="B51" s="235" t="s">
        <v>75</v>
      </c>
      <c r="C51" s="234"/>
      <c r="D51" s="102" t="s">
        <v>97</v>
      </c>
      <c r="E51" s="103">
        <f aca="true" t="shared" si="7" ref="E51:L51">E53+E54+E55+E56</f>
        <v>4097270448.7</v>
      </c>
      <c r="F51" s="103">
        <f t="shared" si="7"/>
        <v>529444436.56</v>
      </c>
      <c r="G51" s="103">
        <f>G53+G54+G55+G56</f>
        <v>534443846.3399999</v>
      </c>
      <c r="H51" s="103">
        <f t="shared" si="7"/>
        <v>581563893.9100001</v>
      </c>
      <c r="I51" s="103">
        <f t="shared" si="7"/>
        <v>625264593.7199999</v>
      </c>
      <c r="J51" s="103">
        <f t="shared" si="7"/>
        <v>609063259.46</v>
      </c>
      <c r="K51" s="103">
        <f t="shared" si="7"/>
        <v>611473784.54</v>
      </c>
      <c r="L51" s="103">
        <f t="shared" si="7"/>
        <v>606016634.17</v>
      </c>
      <c r="M51" s="236"/>
      <c r="N51" s="244"/>
      <c r="O51" s="244"/>
      <c r="P51" s="244"/>
      <c r="Q51" s="244"/>
      <c r="R51" s="244"/>
      <c r="S51" s="244"/>
      <c r="T51" s="244"/>
      <c r="U51" s="247"/>
    </row>
    <row r="52" spans="1:21" ht="12.75">
      <c r="A52" s="234"/>
      <c r="B52" s="235"/>
      <c r="C52" s="234"/>
      <c r="D52" s="239" t="s">
        <v>117</v>
      </c>
      <c r="E52" s="240"/>
      <c r="F52" s="240"/>
      <c r="G52" s="240"/>
      <c r="H52" s="240"/>
      <c r="I52" s="240"/>
      <c r="J52" s="240"/>
      <c r="K52" s="240"/>
      <c r="L52" s="241"/>
      <c r="M52" s="237"/>
      <c r="N52" s="245"/>
      <c r="O52" s="245"/>
      <c r="P52" s="245"/>
      <c r="Q52" s="245"/>
      <c r="R52" s="245"/>
      <c r="S52" s="245"/>
      <c r="T52" s="245"/>
      <c r="U52" s="248"/>
    </row>
    <row r="53" spans="1:21" ht="13.5">
      <c r="A53" s="234"/>
      <c r="B53" s="235"/>
      <c r="C53" s="234"/>
      <c r="D53" s="104" t="s">
        <v>95</v>
      </c>
      <c r="E53" s="103">
        <f>F53+G53+H53+I53+J53+K53+L53</f>
        <v>1374252498.3700001</v>
      </c>
      <c r="F53" s="105">
        <f>F11+F17+F23+F29+F35+F41+F47</f>
        <v>188197260.56</v>
      </c>
      <c r="G53" s="105">
        <f aca="true" t="shared" si="8" ref="G53:L56">G11+G17+G23+G29+G35+G41+G47</f>
        <v>183358996.29999998</v>
      </c>
      <c r="H53" s="105">
        <f t="shared" si="8"/>
        <v>200063567.48000002</v>
      </c>
      <c r="I53" s="105">
        <f t="shared" si="8"/>
        <v>212586360.98</v>
      </c>
      <c r="J53" s="105">
        <f t="shared" si="8"/>
        <v>195145725.99</v>
      </c>
      <c r="K53" s="105">
        <f t="shared" si="8"/>
        <v>197450293.53</v>
      </c>
      <c r="L53" s="105">
        <f t="shared" si="8"/>
        <v>197450293.53</v>
      </c>
      <c r="M53" s="237"/>
      <c r="N53" s="245"/>
      <c r="O53" s="245"/>
      <c r="P53" s="245"/>
      <c r="Q53" s="245"/>
      <c r="R53" s="245"/>
      <c r="S53" s="245"/>
      <c r="T53" s="245"/>
      <c r="U53" s="248"/>
    </row>
    <row r="54" spans="1:21" ht="13.5">
      <c r="A54" s="234"/>
      <c r="B54" s="235"/>
      <c r="C54" s="234"/>
      <c r="D54" s="104" t="s">
        <v>93</v>
      </c>
      <c r="E54" s="103">
        <f>F54+G54+H54+I54+J54+K54+L54</f>
        <v>2375346121.05</v>
      </c>
      <c r="F54" s="105">
        <f>F12+F18+F24+F30+F36+F42+F48</f>
        <v>296853576</v>
      </c>
      <c r="G54" s="105">
        <f t="shared" si="8"/>
        <v>303770524.76</v>
      </c>
      <c r="H54" s="105">
        <f t="shared" si="8"/>
        <v>323224934.43</v>
      </c>
      <c r="I54" s="105">
        <f t="shared" si="8"/>
        <v>354402840.73999995</v>
      </c>
      <c r="J54" s="105">
        <f t="shared" si="8"/>
        <v>367446493.46999997</v>
      </c>
      <c r="K54" s="105">
        <f t="shared" si="8"/>
        <v>367552451.01</v>
      </c>
      <c r="L54" s="105">
        <f t="shared" si="8"/>
        <v>362095300.64</v>
      </c>
      <c r="M54" s="237"/>
      <c r="N54" s="245"/>
      <c r="O54" s="245"/>
      <c r="P54" s="245"/>
      <c r="Q54" s="245"/>
      <c r="R54" s="245"/>
      <c r="S54" s="245"/>
      <c r="T54" s="245"/>
      <c r="U54" s="248"/>
    </row>
    <row r="55" spans="1:21" ht="13.5">
      <c r="A55" s="234"/>
      <c r="B55" s="235"/>
      <c r="C55" s="234"/>
      <c r="D55" s="104" t="s">
        <v>94</v>
      </c>
      <c r="E55" s="103">
        <f>F55+G55+H55+I55+J55+K55+L55</f>
        <v>0</v>
      </c>
      <c r="F55" s="105">
        <f>F13+F19+F25+F31+F37+F43+F49</f>
        <v>0</v>
      </c>
      <c r="G55" s="105">
        <f t="shared" si="8"/>
        <v>0</v>
      </c>
      <c r="H55" s="105">
        <f t="shared" si="8"/>
        <v>0</v>
      </c>
      <c r="I55" s="105">
        <f t="shared" si="8"/>
        <v>0</v>
      </c>
      <c r="J55" s="105">
        <f t="shared" si="8"/>
        <v>0</v>
      </c>
      <c r="K55" s="105">
        <f t="shared" si="8"/>
        <v>0</v>
      </c>
      <c r="L55" s="105">
        <f t="shared" si="8"/>
        <v>0</v>
      </c>
      <c r="M55" s="237"/>
      <c r="N55" s="245"/>
      <c r="O55" s="245"/>
      <c r="P55" s="245"/>
      <c r="Q55" s="245"/>
      <c r="R55" s="245"/>
      <c r="S55" s="245"/>
      <c r="T55" s="245"/>
      <c r="U55" s="248"/>
    </row>
    <row r="56" spans="1:21" ht="13.5">
      <c r="A56" s="234"/>
      <c r="B56" s="235"/>
      <c r="C56" s="234"/>
      <c r="D56" s="104" t="s">
        <v>96</v>
      </c>
      <c r="E56" s="103">
        <f>F56+G56+H56+I56+J56+K56+L56</f>
        <v>347671829.28</v>
      </c>
      <c r="F56" s="105">
        <f>F14+F20+F26+F32+F38+F44+F50</f>
        <v>44393600</v>
      </c>
      <c r="G56" s="105">
        <f t="shared" si="8"/>
        <v>47314325.28</v>
      </c>
      <c r="H56" s="105">
        <f t="shared" si="8"/>
        <v>58275392</v>
      </c>
      <c r="I56" s="105">
        <f t="shared" si="8"/>
        <v>58275392</v>
      </c>
      <c r="J56" s="105">
        <f t="shared" si="8"/>
        <v>46471040</v>
      </c>
      <c r="K56" s="105">
        <f t="shared" si="8"/>
        <v>46471040</v>
      </c>
      <c r="L56" s="105">
        <f t="shared" si="8"/>
        <v>46471040</v>
      </c>
      <c r="M56" s="238"/>
      <c r="N56" s="246"/>
      <c r="O56" s="246"/>
      <c r="P56" s="246"/>
      <c r="Q56" s="246"/>
      <c r="R56" s="246"/>
      <c r="S56" s="246"/>
      <c r="T56" s="246"/>
      <c r="U56" s="249"/>
    </row>
    <row r="58" spans="6:9" ht="12.75">
      <c r="F58" s="112"/>
      <c r="G58" s="96"/>
      <c r="H58" s="96"/>
      <c r="I58" s="96"/>
    </row>
    <row r="59" spans="6:9" ht="12.75">
      <c r="F59" s="112"/>
      <c r="G59" s="96"/>
      <c r="H59" s="96"/>
      <c r="I59" s="96"/>
    </row>
    <row r="60" spans="6:9" ht="12.75">
      <c r="F60" s="112"/>
      <c r="G60" s="96"/>
      <c r="H60" s="96"/>
      <c r="I60" s="96"/>
    </row>
    <row r="61" spans="6:9" ht="12.75">
      <c r="F61" s="112"/>
      <c r="G61" s="96"/>
      <c r="H61" s="96"/>
      <c r="I61" s="96"/>
    </row>
    <row r="62" spans="6:9" ht="12.75">
      <c r="F62" s="29"/>
      <c r="G62" s="29"/>
      <c r="H62" s="29"/>
      <c r="I62" s="29"/>
    </row>
    <row r="63" spans="6:9" ht="12.75">
      <c r="F63" s="30"/>
      <c r="G63" s="29"/>
      <c r="H63" s="29"/>
      <c r="I63" s="29"/>
    </row>
    <row r="64" spans="6:9" ht="12.75">
      <c r="F64" s="31"/>
      <c r="G64" s="30"/>
      <c r="H64" s="30"/>
      <c r="I64" s="30"/>
    </row>
    <row r="65" spans="6:9" ht="12.75">
      <c r="F65" s="30"/>
      <c r="G65" s="30"/>
      <c r="H65" s="30"/>
      <c r="I65" s="30"/>
    </row>
  </sheetData>
  <sheetProtection/>
  <mergeCells count="115"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Q45:Q50"/>
    <mergeCell ref="C33:C38"/>
    <mergeCell ref="U39:U44"/>
    <mergeCell ref="R39:R44"/>
    <mergeCell ref="S39:S44"/>
    <mergeCell ref="T39:T44"/>
    <mergeCell ref="S45:S50"/>
    <mergeCell ref="R45:R50"/>
    <mergeCell ref="Q39:Q44"/>
    <mergeCell ref="P39:P44"/>
    <mergeCell ref="N39:N44"/>
    <mergeCell ref="T51:T56"/>
    <mergeCell ref="U51:U56"/>
    <mergeCell ref="N51:N56"/>
    <mergeCell ref="O51:O56"/>
    <mergeCell ref="P51:P56"/>
    <mergeCell ref="Q51:Q56"/>
    <mergeCell ref="R51:R56"/>
    <mergeCell ref="S51:S56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C21:C26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B39:B44"/>
    <mergeCell ref="O21:O26"/>
    <mergeCell ref="P21:P26"/>
    <mergeCell ref="N21:N26"/>
    <mergeCell ref="O9:O14"/>
    <mergeCell ref="N9:N14"/>
    <mergeCell ref="D10:L10"/>
    <mergeCell ref="M9:M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27" customWidth="1"/>
    <col min="2" max="2" width="14.8515625" style="127" bestFit="1" customWidth="1"/>
    <col min="3" max="9" width="13.421875" style="127" bestFit="1" customWidth="1"/>
    <col min="10" max="16384" width="9.140625" style="127" customWidth="1"/>
  </cols>
  <sheetData>
    <row r="1" spans="6:10" s="92" customFormat="1" ht="79.5" customHeight="1">
      <c r="F1" s="176" t="s">
        <v>274</v>
      </c>
      <c r="G1" s="177"/>
      <c r="H1" s="177"/>
      <c r="I1" s="177"/>
      <c r="J1" s="129"/>
    </row>
    <row r="2" spans="5:9" ht="18.75" customHeight="1">
      <c r="E2" s="124"/>
      <c r="F2" s="146"/>
      <c r="G2" s="143"/>
      <c r="I2" s="146" t="s">
        <v>137</v>
      </c>
    </row>
    <row r="3" spans="1:9" ht="36.75" customHeight="1">
      <c r="A3" s="243" t="s">
        <v>73</v>
      </c>
      <c r="B3" s="243"/>
      <c r="C3" s="243"/>
      <c r="D3" s="243"/>
      <c r="E3" s="243"/>
      <c r="F3" s="243"/>
      <c r="G3" s="243"/>
      <c r="H3" s="243"/>
      <c r="I3" s="243"/>
    </row>
    <row r="4" spans="1:9" ht="30" customHeight="1">
      <c r="A4" s="182" t="s">
        <v>103</v>
      </c>
      <c r="B4" s="182" t="s">
        <v>104</v>
      </c>
      <c r="C4" s="254" t="s">
        <v>105</v>
      </c>
      <c r="D4" s="255"/>
      <c r="E4" s="255"/>
      <c r="F4" s="255"/>
      <c r="G4" s="255"/>
      <c r="H4" s="255"/>
      <c r="I4" s="256"/>
    </row>
    <row r="5" spans="1:9" ht="16.5" customHeight="1">
      <c r="A5" s="253"/>
      <c r="B5" s="253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9" ht="16.5" customHeight="1">
      <c r="A6" s="153" t="s">
        <v>63</v>
      </c>
      <c r="B6" s="153" t="s">
        <v>64</v>
      </c>
      <c r="C6" s="153" t="s">
        <v>65</v>
      </c>
      <c r="D6" s="153" t="s">
        <v>66</v>
      </c>
      <c r="E6" s="153" t="s">
        <v>67</v>
      </c>
      <c r="F6" s="153" t="s">
        <v>68</v>
      </c>
      <c r="G6" s="153" t="s">
        <v>69</v>
      </c>
      <c r="H6" s="153" t="s">
        <v>70</v>
      </c>
      <c r="I6" s="153" t="s">
        <v>71</v>
      </c>
    </row>
    <row r="7" spans="1:9" ht="19.5" customHeight="1">
      <c r="A7" s="144" t="s">
        <v>74</v>
      </c>
      <c r="B7" s="126">
        <f>B9+B10+B11+B12</f>
        <v>4735648065.79</v>
      </c>
      <c r="C7" s="126">
        <f aca="true" t="shared" si="0" ref="C7:I7">C9+C10+C11+C12</f>
        <v>630157257.97</v>
      </c>
      <c r="D7" s="126">
        <f t="shared" si="0"/>
        <v>629509067.4799999</v>
      </c>
      <c r="E7" s="126">
        <f t="shared" si="0"/>
        <v>659507806.04</v>
      </c>
      <c r="F7" s="126">
        <f t="shared" si="0"/>
        <v>699024721.33</v>
      </c>
      <c r="G7" s="126">
        <f t="shared" si="0"/>
        <v>706261723.46</v>
      </c>
      <c r="H7" s="126">
        <f t="shared" si="0"/>
        <v>705594450.1700001</v>
      </c>
      <c r="I7" s="126">
        <f t="shared" si="0"/>
        <v>705593039.3399999</v>
      </c>
    </row>
    <row r="8" spans="1:9" ht="16.5" customHeight="1">
      <c r="A8" s="250" t="s">
        <v>106</v>
      </c>
      <c r="B8" s="251"/>
      <c r="C8" s="251"/>
      <c r="D8" s="251"/>
      <c r="E8" s="251"/>
      <c r="F8" s="251"/>
      <c r="G8" s="251"/>
      <c r="H8" s="251"/>
      <c r="I8" s="252"/>
    </row>
    <row r="9" spans="1:9" ht="16.5" customHeight="1">
      <c r="A9" s="154" t="s">
        <v>107</v>
      </c>
      <c r="B9" s="126">
        <f>B16</f>
        <v>2116921688.99</v>
      </c>
      <c r="C9" s="84">
        <f>C16</f>
        <v>288108773.96999997</v>
      </c>
      <c r="D9" s="84">
        <f aca="true" t="shared" si="1" ref="D9:I9">D16</f>
        <v>288034535.81</v>
      </c>
      <c r="E9" s="84">
        <f t="shared" si="1"/>
        <v>305418423.32</v>
      </c>
      <c r="F9" s="84">
        <f t="shared" si="1"/>
        <v>315876789</v>
      </c>
      <c r="G9" s="84">
        <f t="shared" si="1"/>
        <v>303517595.36</v>
      </c>
      <c r="H9" s="84">
        <f t="shared" si="1"/>
        <v>307983491.18</v>
      </c>
      <c r="I9" s="84">
        <f t="shared" si="1"/>
        <v>307982080.34999996</v>
      </c>
    </row>
    <row r="10" spans="1:9" ht="16.5" customHeight="1">
      <c r="A10" s="154" t="s">
        <v>20</v>
      </c>
      <c r="B10" s="126">
        <f aca="true" t="shared" si="2" ref="B10:I12">B17</f>
        <v>2410582802.07</v>
      </c>
      <c r="C10" s="84">
        <f t="shared" si="2"/>
        <v>308069784</v>
      </c>
      <c r="D10" s="84">
        <f t="shared" si="2"/>
        <v>318165579.24</v>
      </c>
      <c r="E10" s="84">
        <f t="shared" si="2"/>
        <v>331671421.57</v>
      </c>
      <c r="F10" s="84">
        <f t="shared" si="2"/>
        <v>360729971.18</v>
      </c>
      <c r="G10" s="84">
        <f>G17</f>
        <v>367404128.1</v>
      </c>
      <c r="H10" s="84">
        <f t="shared" si="2"/>
        <v>362270958.99</v>
      </c>
      <c r="I10" s="84">
        <f t="shared" si="2"/>
        <v>362270958.99</v>
      </c>
    </row>
    <row r="11" spans="1:9" ht="16.5" customHeight="1">
      <c r="A11" s="154" t="s">
        <v>21</v>
      </c>
      <c r="B11" s="126">
        <f t="shared" si="2"/>
        <v>0</v>
      </c>
      <c r="C11" s="84">
        <f t="shared" si="2"/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154" t="s">
        <v>110</v>
      </c>
      <c r="B12" s="126">
        <f t="shared" si="2"/>
        <v>208143574.73</v>
      </c>
      <c r="C12" s="84">
        <f t="shared" si="2"/>
        <v>33978700</v>
      </c>
      <c r="D12" s="84">
        <f t="shared" si="2"/>
        <v>23308952.43</v>
      </c>
      <c r="E12" s="84">
        <f t="shared" si="2"/>
        <v>22417961.15</v>
      </c>
      <c r="F12" s="84">
        <f t="shared" si="2"/>
        <v>22417961.15</v>
      </c>
      <c r="G12" s="84">
        <f t="shared" si="2"/>
        <v>35340000</v>
      </c>
      <c r="H12" s="84">
        <f t="shared" si="2"/>
        <v>35340000</v>
      </c>
      <c r="I12" s="84">
        <f t="shared" si="2"/>
        <v>35340000</v>
      </c>
    </row>
    <row r="13" spans="1:9" ht="16.5" customHeight="1">
      <c r="A13" s="187" t="s">
        <v>111</v>
      </c>
      <c r="B13" s="188"/>
      <c r="C13" s="188"/>
      <c r="D13" s="188"/>
      <c r="E13" s="188"/>
      <c r="F13" s="188"/>
      <c r="G13" s="188"/>
      <c r="H13" s="188"/>
      <c r="I13" s="189"/>
    </row>
    <row r="14" spans="1:9" ht="39.75" customHeight="1">
      <c r="A14" s="145" t="s">
        <v>118</v>
      </c>
      <c r="B14" s="126">
        <f>B16+B17+B18+B19</f>
        <v>4735648065.79</v>
      </c>
      <c r="C14" s="126">
        <f>C16+C17+C18+C19</f>
        <v>630157257.97</v>
      </c>
      <c r="D14" s="126">
        <f aca="true" t="shared" si="3" ref="D14:I14">D16+D17+D18+D19</f>
        <v>629509067.4799999</v>
      </c>
      <c r="E14" s="126">
        <f t="shared" si="3"/>
        <v>659507806.04</v>
      </c>
      <c r="F14" s="126">
        <f t="shared" si="3"/>
        <v>699024721.33</v>
      </c>
      <c r="G14" s="126">
        <f t="shared" si="3"/>
        <v>706261723.46</v>
      </c>
      <c r="H14" s="126">
        <f t="shared" si="3"/>
        <v>705594450.1700001</v>
      </c>
      <c r="I14" s="126">
        <f t="shared" si="3"/>
        <v>705593039.3399999</v>
      </c>
    </row>
    <row r="15" spans="1:9" ht="16.5" customHeight="1">
      <c r="A15" s="250" t="s">
        <v>106</v>
      </c>
      <c r="B15" s="251"/>
      <c r="C15" s="251"/>
      <c r="D15" s="251"/>
      <c r="E15" s="251"/>
      <c r="F15" s="251"/>
      <c r="G15" s="251"/>
      <c r="H15" s="251"/>
      <c r="I15" s="252"/>
    </row>
    <row r="16" spans="1:9" ht="16.5" customHeight="1">
      <c r="A16" s="154" t="s">
        <v>107</v>
      </c>
      <c r="B16" s="126">
        <f>SUM(C16:I16)</f>
        <v>2116921688.99</v>
      </c>
      <c r="C16" s="84">
        <f>'таб 3(2)'!F126</f>
        <v>288108773.96999997</v>
      </c>
      <c r="D16" s="84">
        <f>'таб 3(2)'!G126</f>
        <v>288034535.81</v>
      </c>
      <c r="E16" s="84">
        <f>'таб 3(2)'!H126</f>
        <v>305418423.32</v>
      </c>
      <c r="F16" s="84">
        <f>'таб 3(2)'!I126</f>
        <v>315876789</v>
      </c>
      <c r="G16" s="84">
        <f>'таб 3(2)'!J126</f>
        <v>303517595.36</v>
      </c>
      <c r="H16" s="84">
        <f>'таб 3(2)'!K126</f>
        <v>307983491.18</v>
      </c>
      <c r="I16" s="84">
        <f>'таб 3(2)'!L126</f>
        <v>307982080.34999996</v>
      </c>
    </row>
    <row r="17" spans="1:9" ht="16.5" customHeight="1">
      <c r="A17" s="154" t="s">
        <v>20</v>
      </c>
      <c r="B17" s="126">
        <f>SUM(C17:I17)</f>
        <v>2410582802.07</v>
      </c>
      <c r="C17" s="84">
        <f>'таб 3(2)'!F127</f>
        <v>308069784</v>
      </c>
      <c r="D17" s="84">
        <f>'таб 3(2)'!G127</f>
        <v>318165579.24</v>
      </c>
      <c r="E17" s="84">
        <f>'таб 3(2)'!H127</f>
        <v>331671421.57</v>
      </c>
      <c r="F17" s="84">
        <f>'таб 3(2)'!I127</f>
        <v>360729971.18</v>
      </c>
      <c r="G17" s="84">
        <f>'таб 3(2)'!J127</f>
        <v>367404128.1</v>
      </c>
      <c r="H17" s="84">
        <f>'таб 3(2)'!K127</f>
        <v>362270958.99</v>
      </c>
      <c r="I17" s="84">
        <f>'таб 3(2)'!L127</f>
        <v>362270958.99</v>
      </c>
    </row>
    <row r="18" spans="1:9" ht="16.5" customHeight="1">
      <c r="A18" s="154" t="s">
        <v>21</v>
      </c>
      <c r="B18" s="126">
        <f>SUM(C18:I18)</f>
        <v>0</v>
      </c>
      <c r="C18" s="84">
        <f>'таб 3(2)'!F128</f>
        <v>0</v>
      </c>
      <c r="D18" s="84">
        <f>'таб 3(2)'!G128</f>
        <v>0</v>
      </c>
      <c r="E18" s="84">
        <f>'таб 3(2)'!H128</f>
        <v>0</v>
      </c>
      <c r="F18" s="84">
        <f>'[1]таб 3(2)'!I134</f>
        <v>0</v>
      </c>
      <c r="G18" s="84">
        <f>'[1]таб 3(2)'!J134</f>
        <v>0</v>
      </c>
      <c r="H18" s="84">
        <f>'[1]таб 3(2)'!K134</f>
        <v>0</v>
      </c>
      <c r="I18" s="84">
        <f>'[1]таб 3(2)'!L134</f>
        <v>0</v>
      </c>
    </row>
    <row r="19" spans="1:9" ht="16.5" customHeight="1">
      <c r="A19" s="154" t="s">
        <v>110</v>
      </c>
      <c r="B19" s="126">
        <f>SUM(C19:I19)</f>
        <v>208143574.73</v>
      </c>
      <c r="C19" s="84">
        <f>'таб 3(2)'!F129</f>
        <v>33978700</v>
      </c>
      <c r="D19" s="84">
        <f>'таб 3(2)'!G129</f>
        <v>23308952.43</v>
      </c>
      <c r="E19" s="84">
        <f>'таб 3(2)'!H129</f>
        <v>22417961.15</v>
      </c>
      <c r="F19" s="84">
        <f>'таб 3(2)'!I129</f>
        <v>22417961.15</v>
      </c>
      <c r="G19" s="84">
        <f>'таб 3(2)'!J129</f>
        <v>35340000</v>
      </c>
      <c r="H19" s="84">
        <f>'таб 3(2)'!K129</f>
        <v>35340000</v>
      </c>
      <c r="I19" s="84">
        <f>'таб 3(2)'!L129</f>
        <v>35340000</v>
      </c>
    </row>
    <row r="20" spans="1:9" ht="25.5">
      <c r="A20" s="4" t="s">
        <v>112</v>
      </c>
      <c r="B20" s="126">
        <f>SUM(C20:I20)</f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</row>
    <row r="22" ht="15">
      <c r="C22" s="155"/>
    </row>
    <row r="23" ht="15">
      <c r="C23" s="155"/>
    </row>
    <row r="24" ht="15">
      <c r="C24" s="155"/>
    </row>
    <row r="25" ht="15">
      <c r="C25" s="155"/>
    </row>
    <row r="28" ht="15">
      <c r="C28" s="155"/>
    </row>
    <row r="29" ht="15">
      <c r="C29" s="155"/>
    </row>
    <row r="30" ht="15">
      <c r="C30" s="155"/>
    </row>
    <row r="31" ht="15">
      <c r="C31" s="155"/>
    </row>
    <row r="32" ht="15">
      <c r="C32" s="155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7"/>
  <sheetViews>
    <sheetView zoomScaleSheetLayoutView="115" zoomScalePageLayoutView="0" workbookViewId="0" topLeftCell="A1">
      <pane xSplit="3" ySplit="8" topLeftCell="N16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5.421875" style="19" customWidth="1"/>
    <col min="6" max="6" width="18.140625" style="19" customWidth="1"/>
    <col min="7" max="12" width="14.00390625" style="19" bestFit="1" customWidth="1"/>
    <col min="13" max="13" width="32.421875" style="19" customWidth="1"/>
    <col min="14" max="14" width="5.7109375" style="19" bestFit="1" customWidth="1"/>
    <col min="15" max="20" width="7.421875" style="19" bestFit="1" customWidth="1"/>
    <col min="21" max="21" width="18.00390625" style="19" customWidth="1"/>
    <col min="22" max="16384" width="9.140625" style="19" customWidth="1"/>
  </cols>
  <sheetData>
    <row r="1" spans="6:21" s="92" customFormat="1" ht="79.5" customHeight="1">
      <c r="F1" s="152"/>
      <c r="G1" s="113"/>
      <c r="H1" s="113"/>
      <c r="I1" s="19"/>
      <c r="J1" s="129"/>
      <c r="Q1" s="176" t="s">
        <v>275</v>
      </c>
      <c r="R1" s="177"/>
      <c r="S1" s="177"/>
      <c r="T1" s="177"/>
      <c r="U1" s="177"/>
    </row>
    <row r="2" spans="20:21" ht="15.75">
      <c r="T2" s="100"/>
      <c r="U2" s="106" t="s">
        <v>138</v>
      </c>
    </row>
    <row r="3" spans="1:21" ht="15.75">
      <c r="A3" s="243" t="s">
        <v>77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ht="31.5" customHeight="1">
      <c r="A4" s="182" t="s">
        <v>101</v>
      </c>
      <c r="B4" s="182" t="s">
        <v>113</v>
      </c>
      <c r="C4" s="182" t="s">
        <v>114</v>
      </c>
      <c r="D4" s="182" t="s">
        <v>103</v>
      </c>
      <c r="E4" s="186" t="s">
        <v>115</v>
      </c>
      <c r="F4" s="186"/>
      <c r="G4" s="186"/>
      <c r="H4" s="186"/>
      <c r="I4" s="186"/>
      <c r="J4" s="186"/>
      <c r="K4" s="186"/>
      <c r="L4" s="186"/>
      <c r="M4" s="186" t="s">
        <v>32</v>
      </c>
      <c r="N4" s="186"/>
      <c r="O4" s="186"/>
      <c r="P4" s="186"/>
      <c r="Q4" s="186"/>
      <c r="R4" s="186"/>
      <c r="S4" s="186"/>
      <c r="T4" s="186"/>
      <c r="U4" s="232" t="s">
        <v>116</v>
      </c>
    </row>
    <row r="5" spans="1:21" ht="21" customHeight="1">
      <c r="A5" s="253"/>
      <c r="B5" s="253"/>
      <c r="C5" s="253"/>
      <c r="D5" s="253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3" t="s">
        <v>139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</row>
    <row r="8" spans="1:21" ht="12.75">
      <c r="A8" s="21">
        <v>1</v>
      </c>
      <c r="B8" s="213" t="s">
        <v>33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ht="16.5" customHeight="1">
      <c r="A9" s="275" t="s">
        <v>128</v>
      </c>
      <c r="B9" s="287" t="s">
        <v>140</v>
      </c>
      <c r="C9" s="229" t="s">
        <v>82</v>
      </c>
      <c r="D9" s="22" t="s">
        <v>97</v>
      </c>
      <c r="E9" s="23">
        <f>E11+E12+E13+E14</f>
        <v>952984146.95</v>
      </c>
      <c r="F9" s="23">
        <f aca="true" t="shared" si="0" ref="F9:L9">F11+F12+F13+F14</f>
        <v>117460965.8</v>
      </c>
      <c r="G9" s="23">
        <f t="shared" si="0"/>
        <v>135349395.49</v>
      </c>
      <c r="H9" s="23">
        <f t="shared" si="0"/>
        <v>130598022.34</v>
      </c>
      <c r="I9" s="23">
        <f t="shared" si="0"/>
        <v>140333941.06000003</v>
      </c>
      <c r="J9" s="23">
        <f t="shared" si="0"/>
        <v>142912826.49</v>
      </c>
      <c r="K9" s="23">
        <f t="shared" si="0"/>
        <v>143165203.29999998</v>
      </c>
      <c r="L9" s="23">
        <f t="shared" si="0"/>
        <v>143163792.47</v>
      </c>
      <c r="M9" s="205" t="s">
        <v>43</v>
      </c>
      <c r="N9" s="208">
        <v>100</v>
      </c>
      <c r="O9" s="208">
        <v>100</v>
      </c>
      <c r="P9" s="208">
        <v>100</v>
      </c>
      <c r="Q9" s="208">
        <v>100</v>
      </c>
      <c r="R9" s="208">
        <v>100</v>
      </c>
      <c r="S9" s="208">
        <v>100</v>
      </c>
      <c r="T9" s="208">
        <v>100</v>
      </c>
      <c r="U9" s="219" t="s">
        <v>44</v>
      </c>
    </row>
    <row r="10" spans="1:21" ht="16.5" customHeight="1">
      <c r="A10" s="276"/>
      <c r="B10" s="288"/>
      <c r="C10" s="230"/>
      <c r="D10" s="216" t="s">
        <v>117</v>
      </c>
      <c r="E10" s="217"/>
      <c r="F10" s="217"/>
      <c r="G10" s="217"/>
      <c r="H10" s="217"/>
      <c r="I10" s="217"/>
      <c r="J10" s="217"/>
      <c r="K10" s="217"/>
      <c r="L10" s="218"/>
      <c r="M10" s="206"/>
      <c r="N10" s="209"/>
      <c r="O10" s="209"/>
      <c r="P10" s="209"/>
      <c r="Q10" s="209"/>
      <c r="R10" s="209"/>
      <c r="S10" s="209"/>
      <c r="T10" s="209"/>
      <c r="U10" s="220"/>
    </row>
    <row r="11" spans="1:21" ht="12.75">
      <c r="A11" s="276"/>
      <c r="B11" s="288"/>
      <c r="C11" s="230"/>
      <c r="D11" s="22" t="s">
        <v>95</v>
      </c>
      <c r="E11" s="23">
        <f>F11+G11+H11+I11+J11+K11+L11</f>
        <v>63198.670000000006</v>
      </c>
      <c r="F11" s="23"/>
      <c r="G11" s="23"/>
      <c r="H11" s="23">
        <f>13285.36</f>
        <v>13285.36</v>
      </c>
      <c r="I11" s="23">
        <v>12125.62</v>
      </c>
      <c r="J11" s="23">
        <v>12125.62</v>
      </c>
      <c r="K11" s="23">
        <v>13536.45</v>
      </c>
      <c r="L11" s="23">
        <v>12125.62</v>
      </c>
      <c r="M11" s="206"/>
      <c r="N11" s="209"/>
      <c r="O11" s="209"/>
      <c r="P11" s="209"/>
      <c r="Q11" s="209"/>
      <c r="R11" s="209"/>
      <c r="S11" s="209"/>
      <c r="T11" s="209"/>
      <c r="U11" s="220"/>
    </row>
    <row r="12" spans="1:21" ht="12.75">
      <c r="A12" s="276"/>
      <c r="B12" s="288"/>
      <c r="C12" s="230"/>
      <c r="D12" s="22" t="s">
        <v>93</v>
      </c>
      <c r="E12" s="23">
        <f>F12+G12+H12+I12+J12+K12+L12</f>
        <v>952920948.2800001</v>
      </c>
      <c r="F12" s="23">
        <f>117343741.8+117224</f>
        <v>117460965.8</v>
      </c>
      <c r="G12" s="23">
        <f>135114643+234752.49</f>
        <v>135349395.49</v>
      </c>
      <c r="H12" s="23">
        <f>239756+130947250+2659572.39-3261841.41</f>
        <v>130584736.98</v>
      </c>
      <c r="I12" s="23">
        <f>230386.86+140091428.58</f>
        <v>140321815.44000003</v>
      </c>
      <c r="J12" s="24">
        <f>230386.86+142670314.01</f>
        <v>142900700.87</v>
      </c>
      <c r="K12" s="24">
        <f>267909.03+142883757.82</f>
        <v>143151666.85</v>
      </c>
      <c r="L12" s="24">
        <v>143151666.85</v>
      </c>
      <c r="M12" s="206"/>
      <c r="N12" s="209"/>
      <c r="O12" s="209"/>
      <c r="P12" s="209"/>
      <c r="Q12" s="209"/>
      <c r="R12" s="209"/>
      <c r="S12" s="209"/>
      <c r="T12" s="209"/>
      <c r="U12" s="220"/>
    </row>
    <row r="13" spans="1:21" ht="12.75" customHeight="1">
      <c r="A13" s="276"/>
      <c r="B13" s="288"/>
      <c r="C13" s="230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06"/>
      <c r="N13" s="209"/>
      <c r="O13" s="209"/>
      <c r="P13" s="209"/>
      <c r="Q13" s="209"/>
      <c r="R13" s="209"/>
      <c r="S13" s="209"/>
      <c r="T13" s="209"/>
      <c r="U13" s="220"/>
    </row>
    <row r="14" spans="1:21" ht="18.75" customHeight="1">
      <c r="A14" s="277"/>
      <c r="B14" s="289"/>
      <c r="C14" s="231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07"/>
      <c r="N14" s="210"/>
      <c r="O14" s="210"/>
      <c r="P14" s="210"/>
      <c r="Q14" s="210"/>
      <c r="R14" s="210"/>
      <c r="S14" s="210"/>
      <c r="T14" s="210"/>
      <c r="U14" s="225"/>
    </row>
    <row r="15" spans="1:21" ht="24" customHeight="1">
      <c r="A15" s="275" t="s">
        <v>129</v>
      </c>
      <c r="B15" s="287" t="s">
        <v>142</v>
      </c>
      <c r="C15" s="229" t="s">
        <v>82</v>
      </c>
      <c r="D15" s="22" t="s">
        <v>97</v>
      </c>
      <c r="E15" s="23">
        <f>E17+E18+E19+E20</f>
        <v>1158110791.8100002</v>
      </c>
      <c r="F15" s="23">
        <f aca="true" t="shared" si="1" ref="F15:L15">F17+F18+F19+F20</f>
        <v>137693999.3</v>
      </c>
      <c r="G15" s="23">
        <f t="shared" si="1"/>
        <v>129055787.51</v>
      </c>
      <c r="H15" s="23">
        <f t="shared" si="1"/>
        <v>165212466.47000003</v>
      </c>
      <c r="I15" s="23">
        <f t="shared" si="1"/>
        <v>178529211.02</v>
      </c>
      <c r="J15" s="23">
        <f t="shared" si="1"/>
        <v>182653280.55</v>
      </c>
      <c r="K15" s="23">
        <f t="shared" si="1"/>
        <v>182483023.48</v>
      </c>
      <c r="L15" s="23">
        <f t="shared" si="1"/>
        <v>182483023.48</v>
      </c>
      <c r="M15" s="205" t="s">
        <v>45</v>
      </c>
      <c r="N15" s="208">
        <v>100</v>
      </c>
      <c r="O15" s="208">
        <v>100</v>
      </c>
      <c r="P15" s="208">
        <v>100</v>
      </c>
      <c r="Q15" s="208">
        <v>100</v>
      </c>
      <c r="R15" s="208">
        <v>100</v>
      </c>
      <c r="S15" s="208">
        <v>100</v>
      </c>
      <c r="T15" s="208">
        <v>100</v>
      </c>
      <c r="U15" s="219" t="s">
        <v>44</v>
      </c>
    </row>
    <row r="16" spans="1:21" ht="16.5" customHeight="1">
      <c r="A16" s="276"/>
      <c r="B16" s="288"/>
      <c r="C16" s="230"/>
      <c r="D16" s="216" t="s">
        <v>117</v>
      </c>
      <c r="E16" s="217"/>
      <c r="F16" s="217"/>
      <c r="G16" s="217"/>
      <c r="H16" s="217"/>
      <c r="I16" s="217"/>
      <c r="J16" s="217"/>
      <c r="K16" s="217"/>
      <c r="L16" s="218"/>
      <c r="M16" s="206"/>
      <c r="N16" s="209"/>
      <c r="O16" s="209"/>
      <c r="P16" s="209"/>
      <c r="Q16" s="209"/>
      <c r="R16" s="209"/>
      <c r="S16" s="209"/>
      <c r="T16" s="209"/>
      <c r="U16" s="220"/>
    </row>
    <row r="17" spans="1:21" ht="18" customHeight="1">
      <c r="A17" s="276"/>
      <c r="B17" s="288"/>
      <c r="C17" s="230"/>
      <c r="D17" s="22" t="s">
        <v>95</v>
      </c>
      <c r="E17" s="23">
        <f>F17+G17+H17+I17+J17+K17+L17</f>
        <v>68288.98999999999</v>
      </c>
      <c r="F17" s="23"/>
      <c r="G17" s="23"/>
      <c r="H17" s="23">
        <f>11357.15</f>
        <v>11357.15</v>
      </c>
      <c r="I17" s="23">
        <v>13450.47</v>
      </c>
      <c r="J17" s="23">
        <v>13450.47</v>
      </c>
      <c r="K17" s="23">
        <v>15015.45</v>
      </c>
      <c r="L17" s="23">
        <v>15015.45</v>
      </c>
      <c r="M17" s="206"/>
      <c r="N17" s="209"/>
      <c r="O17" s="209"/>
      <c r="P17" s="209"/>
      <c r="Q17" s="209"/>
      <c r="R17" s="209"/>
      <c r="S17" s="209"/>
      <c r="T17" s="209"/>
      <c r="U17" s="220"/>
    </row>
    <row r="18" spans="1:21" ht="12.75" customHeight="1">
      <c r="A18" s="276"/>
      <c r="B18" s="288"/>
      <c r="C18" s="230"/>
      <c r="D18" s="22" t="s">
        <v>93</v>
      </c>
      <c r="E18" s="23">
        <f>F18+G18+H18+I18+J18+K18+L18</f>
        <v>1158042502.8200002</v>
      </c>
      <c r="F18" s="23">
        <f>137514399.3+179600</f>
        <v>137693999.3</v>
      </c>
      <c r="G18" s="23">
        <f>128830241+225546.51</f>
        <v>129055787.51</v>
      </c>
      <c r="H18" s="23">
        <f>204953+164528250+169906.61+297999.71</f>
        <v>165201109.32000002</v>
      </c>
      <c r="I18" s="23">
        <f>255558.84+178260201.71</f>
        <v>178515760.55</v>
      </c>
      <c r="J18" s="24">
        <f>255558.84+182384271.24</f>
        <v>182639830.08</v>
      </c>
      <c r="K18" s="24">
        <f>297180.6+182170827.43</f>
        <v>182468008.03</v>
      </c>
      <c r="L18" s="24">
        <v>182468008.03</v>
      </c>
      <c r="M18" s="206"/>
      <c r="N18" s="209"/>
      <c r="O18" s="209"/>
      <c r="P18" s="209"/>
      <c r="Q18" s="209"/>
      <c r="R18" s="209"/>
      <c r="S18" s="209"/>
      <c r="T18" s="209"/>
      <c r="U18" s="220"/>
    </row>
    <row r="19" spans="1:21" ht="12.75" customHeight="1">
      <c r="A19" s="276"/>
      <c r="B19" s="288"/>
      <c r="C19" s="230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06"/>
      <c r="N19" s="209"/>
      <c r="O19" s="209"/>
      <c r="P19" s="209"/>
      <c r="Q19" s="209"/>
      <c r="R19" s="209"/>
      <c r="S19" s="209"/>
      <c r="T19" s="209"/>
      <c r="U19" s="220"/>
    </row>
    <row r="20" spans="1:21" ht="24" customHeight="1">
      <c r="A20" s="277"/>
      <c r="B20" s="289"/>
      <c r="C20" s="231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07"/>
      <c r="N20" s="210"/>
      <c r="O20" s="210"/>
      <c r="P20" s="210"/>
      <c r="Q20" s="210"/>
      <c r="R20" s="210"/>
      <c r="S20" s="210"/>
      <c r="T20" s="210"/>
      <c r="U20" s="225"/>
    </row>
    <row r="21" spans="1:21" ht="15" customHeight="1">
      <c r="A21" s="275" t="s">
        <v>130</v>
      </c>
      <c r="B21" s="287" t="s">
        <v>143</v>
      </c>
      <c r="C21" s="229" t="s">
        <v>82</v>
      </c>
      <c r="D21" s="22" t="s">
        <v>97</v>
      </c>
      <c r="E21" s="23">
        <f>E23+E24+E25+E26</f>
        <v>262307471.56</v>
      </c>
      <c r="F21" s="23">
        <f aca="true" t="shared" si="2" ref="F21:L21">F23+F24+F25+F26</f>
        <v>39462578.9</v>
      </c>
      <c r="G21" s="23">
        <f t="shared" si="2"/>
        <v>50275216</v>
      </c>
      <c r="H21" s="23">
        <f t="shared" si="2"/>
        <v>31629962.7</v>
      </c>
      <c r="I21" s="23">
        <f t="shared" si="2"/>
        <v>34687169.71</v>
      </c>
      <c r="J21" s="23">
        <f t="shared" si="2"/>
        <v>35417514.75</v>
      </c>
      <c r="K21" s="23">
        <f t="shared" si="2"/>
        <v>35417514.75</v>
      </c>
      <c r="L21" s="23">
        <f t="shared" si="2"/>
        <v>35417514.75</v>
      </c>
      <c r="M21" s="278" t="s">
        <v>46</v>
      </c>
      <c r="N21" s="208">
        <v>100</v>
      </c>
      <c r="O21" s="208">
        <v>100</v>
      </c>
      <c r="P21" s="208">
        <v>100</v>
      </c>
      <c r="Q21" s="208">
        <v>100</v>
      </c>
      <c r="R21" s="208">
        <v>100</v>
      </c>
      <c r="S21" s="208">
        <v>100</v>
      </c>
      <c r="T21" s="208">
        <v>100</v>
      </c>
      <c r="U21" s="219" t="s">
        <v>44</v>
      </c>
    </row>
    <row r="22" spans="1:21" ht="16.5" customHeight="1">
      <c r="A22" s="276"/>
      <c r="B22" s="288"/>
      <c r="C22" s="230"/>
      <c r="D22" s="216" t="s">
        <v>117</v>
      </c>
      <c r="E22" s="217"/>
      <c r="F22" s="217"/>
      <c r="G22" s="217"/>
      <c r="H22" s="217"/>
      <c r="I22" s="217"/>
      <c r="J22" s="217"/>
      <c r="K22" s="217"/>
      <c r="L22" s="218"/>
      <c r="M22" s="279"/>
      <c r="N22" s="209"/>
      <c r="O22" s="209"/>
      <c r="P22" s="209"/>
      <c r="Q22" s="209"/>
      <c r="R22" s="209"/>
      <c r="S22" s="209"/>
      <c r="T22" s="209"/>
      <c r="U22" s="220"/>
    </row>
    <row r="23" spans="1:21" ht="12.75" customHeight="1">
      <c r="A23" s="276"/>
      <c r="B23" s="288"/>
      <c r="C23" s="230"/>
      <c r="D23" s="22" t="s">
        <v>95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79"/>
      <c r="N23" s="209"/>
      <c r="O23" s="209"/>
      <c r="P23" s="209"/>
      <c r="Q23" s="209"/>
      <c r="R23" s="209"/>
      <c r="S23" s="209"/>
      <c r="T23" s="209"/>
      <c r="U23" s="220"/>
    </row>
    <row r="24" spans="1:21" ht="12.75" customHeight="1">
      <c r="A24" s="276"/>
      <c r="B24" s="288"/>
      <c r="C24" s="230"/>
      <c r="D24" s="22" t="s">
        <v>93</v>
      </c>
      <c r="E24" s="23">
        <f>F24+G24+H24+I24+J24+K24+L24</f>
        <v>262307471.56</v>
      </c>
      <c r="F24" s="23">
        <v>39462578.9</v>
      </c>
      <c r="G24" s="23">
        <f>50275216</f>
        <v>50275216</v>
      </c>
      <c r="H24" s="23">
        <f>30434100-1767979+2963841.7</f>
        <v>31629962.7</v>
      </c>
      <c r="I24" s="23">
        <v>34687169.71</v>
      </c>
      <c r="J24" s="24">
        <v>35417514.75</v>
      </c>
      <c r="K24" s="24">
        <v>35417514.75</v>
      </c>
      <c r="L24" s="24">
        <v>35417514.75</v>
      </c>
      <c r="M24" s="279"/>
      <c r="N24" s="209"/>
      <c r="O24" s="209"/>
      <c r="P24" s="209"/>
      <c r="Q24" s="209"/>
      <c r="R24" s="209"/>
      <c r="S24" s="209"/>
      <c r="T24" s="209"/>
      <c r="U24" s="220"/>
    </row>
    <row r="25" spans="1:21" ht="17.25" customHeight="1">
      <c r="A25" s="276"/>
      <c r="B25" s="288"/>
      <c r="C25" s="230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79"/>
      <c r="N25" s="209"/>
      <c r="O25" s="209"/>
      <c r="P25" s="209"/>
      <c r="Q25" s="209"/>
      <c r="R25" s="209"/>
      <c r="S25" s="209"/>
      <c r="T25" s="209"/>
      <c r="U25" s="220"/>
    </row>
    <row r="26" spans="1:21" ht="12.75" customHeight="1">
      <c r="A26" s="277"/>
      <c r="B26" s="289"/>
      <c r="C26" s="231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80"/>
      <c r="N26" s="210"/>
      <c r="O26" s="210"/>
      <c r="P26" s="210"/>
      <c r="Q26" s="210"/>
      <c r="R26" s="210"/>
      <c r="S26" s="210"/>
      <c r="T26" s="210"/>
      <c r="U26" s="225"/>
    </row>
    <row r="27" spans="1:21" ht="19.5" customHeight="1">
      <c r="A27" s="275" t="s">
        <v>131</v>
      </c>
      <c r="B27" s="287" t="s">
        <v>144</v>
      </c>
      <c r="C27" s="229" t="s">
        <v>82</v>
      </c>
      <c r="D27" s="22" t="s">
        <v>97</v>
      </c>
      <c r="E27" s="23">
        <f>E29+E30+E31+E32</f>
        <v>4583344</v>
      </c>
      <c r="F27" s="23">
        <f aca="true" t="shared" si="3" ref="F27:L27">F29+F30+F31+F32</f>
        <v>4583344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78" t="s">
        <v>203</v>
      </c>
      <c r="N27" s="208">
        <v>100</v>
      </c>
      <c r="O27" s="208">
        <v>100</v>
      </c>
      <c r="P27" s="208">
        <v>100</v>
      </c>
      <c r="Q27" s="208">
        <v>100</v>
      </c>
      <c r="R27" s="208">
        <v>100</v>
      </c>
      <c r="S27" s="208">
        <v>100</v>
      </c>
      <c r="T27" s="208">
        <v>100</v>
      </c>
      <c r="U27" s="219" t="s">
        <v>44</v>
      </c>
    </row>
    <row r="28" spans="1:21" ht="16.5" customHeight="1">
      <c r="A28" s="276"/>
      <c r="B28" s="288"/>
      <c r="C28" s="230"/>
      <c r="D28" s="216" t="s">
        <v>117</v>
      </c>
      <c r="E28" s="217"/>
      <c r="F28" s="217"/>
      <c r="G28" s="217"/>
      <c r="H28" s="217"/>
      <c r="I28" s="217"/>
      <c r="J28" s="217"/>
      <c r="K28" s="217"/>
      <c r="L28" s="218"/>
      <c r="M28" s="279"/>
      <c r="N28" s="209"/>
      <c r="O28" s="209"/>
      <c r="P28" s="209"/>
      <c r="Q28" s="209"/>
      <c r="R28" s="209"/>
      <c r="S28" s="209"/>
      <c r="T28" s="209"/>
      <c r="U28" s="220"/>
    </row>
    <row r="29" spans="1:21" ht="23.25" customHeight="1">
      <c r="A29" s="276"/>
      <c r="B29" s="288"/>
      <c r="C29" s="230"/>
      <c r="D29" s="22" t="s">
        <v>95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79"/>
      <c r="N29" s="209"/>
      <c r="O29" s="209"/>
      <c r="P29" s="209"/>
      <c r="Q29" s="209"/>
      <c r="R29" s="209"/>
      <c r="S29" s="209"/>
      <c r="T29" s="209"/>
      <c r="U29" s="220"/>
    </row>
    <row r="30" spans="1:21" ht="12.75" customHeight="1">
      <c r="A30" s="276"/>
      <c r="B30" s="288"/>
      <c r="C30" s="230"/>
      <c r="D30" s="22" t="s">
        <v>93</v>
      </c>
      <c r="E30" s="23">
        <f>F30+G30+H30+I30+J30+K30+L30</f>
        <v>4583344</v>
      </c>
      <c r="F30" s="23">
        <v>4583344</v>
      </c>
      <c r="G30" s="23">
        <v>0</v>
      </c>
      <c r="H30" s="23">
        <v>0</v>
      </c>
      <c r="I30" s="23">
        <v>0</v>
      </c>
      <c r="J30" s="24">
        <f>I30</f>
        <v>0</v>
      </c>
      <c r="K30" s="24">
        <f>J30</f>
        <v>0</v>
      </c>
      <c r="L30" s="24">
        <f>K30</f>
        <v>0</v>
      </c>
      <c r="M30" s="279"/>
      <c r="N30" s="209"/>
      <c r="O30" s="209"/>
      <c r="P30" s="209"/>
      <c r="Q30" s="209"/>
      <c r="R30" s="209"/>
      <c r="S30" s="209"/>
      <c r="T30" s="209"/>
      <c r="U30" s="220"/>
    </row>
    <row r="31" spans="1:21" ht="12.75" customHeight="1">
      <c r="A31" s="276"/>
      <c r="B31" s="288"/>
      <c r="C31" s="230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79"/>
      <c r="N31" s="209"/>
      <c r="O31" s="209"/>
      <c r="P31" s="209"/>
      <c r="Q31" s="209"/>
      <c r="R31" s="209"/>
      <c r="S31" s="209"/>
      <c r="T31" s="209"/>
      <c r="U31" s="220"/>
    </row>
    <row r="32" spans="1:21" ht="12.75" customHeight="1">
      <c r="A32" s="277"/>
      <c r="B32" s="289"/>
      <c r="C32" s="231"/>
      <c r="D32" s="22" t="s">
        <v>96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80"/>
      <c r="N32" s="210"/>
      <c r="O32" s="210"/>
      <c r="P32" s="210"/>
      <c r="Q32" s="210"/>
      <c r="R32" s="210"/>
      <c r="S32" s="210"/>
      <c r="T32" s="210"/>
      <c r="U32" s="225"/>
    </row>
    <row r="33" spans="1:21" ht="18" customHeight="1">
      <c r="A33" s="275" t="s">
        <v>132</v>
      </c>
      <c r="B33" s="287" t="s">
        <v>145</v>
      </c>
      <c r="C33" s="229" t="s">
        <v>82</v>
      </c>
      <c r="D33" s="22" t="s">
        <v>97</v>
      </c>
      <c r="E33" s="23">
        <f>E35+E36+E37+E38</f>
        <v>4964297</v>
      </c>
      <c r="F33" s="23">
        <f aca="true" t="shared" si="4" ref="F33:L33">F35+F36+F37+F38</f>
        <v>4964297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78" t="s">
        <v>204</v>
      </c>
      <c r="N33" s="208">
        <v>100</v>
      </c>
      <c r="O33" s="208">
        <v>100</v>
      </c>
      <c r="P33" s="208">
        <v>100</v>
      </c>
      <c r="Q33" s="208">
        <v>100</v>
      </c>
      <c r="R33" s="208">
        <v>100</v>
      </c>
      <c r="S33" s="208">
        <v>100</v>
      </c>
      <c r="T33" s="208">
        <v>100</v>
      </c>
      <c r="U33" s="219" t="s">
        <v>44</v>
      </c>
    </row>
    <row r="34" spans="1:21" ht="16.5" customHeight="1">
      <c r="A34" s="276"/>
      <c r="B34" s="288"/>
      <c r="C34" s="230"/>
      <c r="D34" s="216" t="s">
        <v>117</v>
      </c>
      <c r="E34" s="217"/>
      <c r="F34" s="217"/>
      <c r="G34" s="217"/>
      <c r="H34" s="217"/>
      <c r="I34" s="217"/>
      <c r="J34" s="217"/>
      <c r="K34" s="217"/>
      <c r="L34" s="218"/>
      <c r="M34" s="279"/>
      <c r="N34" s="209"/>
      <c r="O34" s="209"/>
      <c r="P34" s="209"/>
      <c r="Q34" s="209"/>
      <c r="R34" s="209"/>
      <c r="S34" s="209"/>
      <c r="T34" s="209"/>
      <c r="U34" s="220"/>
    </row>
    <row r="35" spans="1:21" ht="18.75" customHeight="1">
      <c r="A35" s="276"/>
      <c r="B35" s="288"/>
      <c r="C35" s="230"/>
      <c r="D35" s="22" t="s">
        <v>95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79"/>
      <c r="N35" s="209"/>
      <c r="O35" s="209"/>
      <c r="P35" s="209"/>
      <c r="Q35" s="209"/>
      <c r="R35" s="209"/>
      <c r="S35" s="209"/>
      <c r="T35" s="209"/>
      <c r="U35" s="220"/>
    </row>
    <row r="36" spans="1:21" ht="15.75" customHeight="1">
      <c r="A36" s="276"/>
      <c r="B36" s="288"/>
      <c r="C36" s="230"/>
      <c r="D36" s="22" t="s">
        <v>93</v>
      </c>
      <c r="E36" s="23">
        <f>F36+G36+H36+I36+J36+K36+L36</f>
        <v>4964297</v>
      </c>
      <c r="F36" s="23">
        <f>5476997-512700</f>
        <v>4964297</v>
      </c>
      <c r="G36" s="23">
        <v>0</v>
      </c>
      <c r="H36" s="23">
        <v>0</v>
      </c>
      <c r="I36" s="23">
        <v>0</v>
      </c>
      <c r="J36" s="24">
        <f>I36</f>
        <v>0</v>
      </c>
      <c r="K36" s="24">
        <f>J36</f>
        <v>0</v>
      </c>
      <c r="L36" s="24">
        <f>K36</f>
        <v>0</v>
      </c>
      <c r="M36" s="279"/>
      <c r="N36" s="273"/>
      <c r="O36" s="273"/>
      <c r="P36" s="273"/>
      <c r="Q36" s="273"/>
      <c r="R36" s="273"/>
      <c r="S36" s="273"/>
      <c r="T36" s="273"/>
      <c r="U36" s="220"/>
    </row>
    <row r="37" spans="1:21" ht="14.25" customHeight="1">
      <c r="A37" s="276"/>
      <c r="B37" s="288"/>
      <c r="C37" s="230"/>
      <c r="D37" s="22" t="s">
        <v>94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79"/>
      <c r="N37" s="273"/>
      <c r="O37" s="273"/>
      <c r="P37" s="273"/>
      <c r="Q37" s="273"/>
      <c r="R37" s="273"/>
      <c r="S37" s="273"/>
      <c r="T37" s="273"/>
      <c r="U37" s="220"/>
    </row>
    <row r="38" spans="1:21" ht="14.25" customHeight="1">
      <c r="A38" s="277"/>
      <c r="B38" s="289"/>
      <c r="C38" s="231"/>
      <c r="D38" s="22" t="s">
        <v>96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80"/>
      <c r="N38" s="274"/>
      <c r="O38" s="274"/>
      <c r="P38" s="274"/>
      <c r="Q38" s="274"/>
      <c r="R38" s="274"/>
      <c r="S38" s="274"/>
      <c r="T38" s="274"/>
      <c r="U38" s="225"/>
    </row>
    <row r="39" spans="1:21" ht="14.25" customHeight="1">
      <c r="A39" s="275" t="s">
        <v>133</v>
      </c>
      <c r="B39" s="267" t="s">
        <v>146</v>
      </c>
      <c r="C39" s="229" t="s">
        <v>82</v>
      </c>
      <c r="D39" s="22" t="s">
        <v>97</v>
      </c>
      <c r="E39" s="23">
        <f>E41+E42+E43+E44</f>
        <v>286459</v>
      </c>
      <c r="F39" s="23">
        <f aca="true" t="shared" si="5" ref="F39:L39">F41+F42+F43+F44</f>
        <v>286459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05" t="s">
        <v>205</v>
      </c>
      <c r="N39" s="208">
        <v>100</v>
      </c>
      <c r="O39" s="208">
        <v>100</v>
      </c>
      <c r="P39" s="208">
        <v>100</v>
      </c>
      <c r="Q39" s="208">
        <v>100</v>
      </c>
      <c r="R39" s="208">
        <v>100</v>
      </c>
      <c r="S39" s="208">
        <v>100</v>
      </c>
      <c r="T39" s="208">
        <v>100</v>
      </c>
      <c r="U39" s="219" t="s">
        <v>44</v>
      </c>
    </row>
    <row r="40" spans="1:21" ht="16.5" customHeight="1">
      <c r="A40" s="276"/>
      <c r="B40" s="268"/>
      <c r="C40" s="230"/>
      <c r="D40" s="216" t="s">
        <v>117</v>
      </c>
      <c r="E40" s="217"/>
      <c r="F40" s="217"/>
      <c r="G40" s="217"/>
      <c r="H40" s="217"/>
      <c r="I40" s="217"/>
      <c r="J40" s="217"/>
      <c r="K40" s="217"/>
      <c r="L40" s="218"/>
      <c r="M40" s="206"/>
      <c r="N40" s="209"/>
      <c r="O40" s="209"/>
      <c r="P40" s="209"/>
      <c r="Q40" s="209"/>
      <c r="R40" s="209"/>
      <c r="S40" s="209"/>
      <c r="T40" s="209"/>
      <c r="U40" s="220"/>
    </row>
    <row r="41" spans="1:21" ht="14.25" customHeight="1">
      <c r="A41" s="276"/>
      <c r="B41" s="268"/>
      <c r="C41" s="230"/>
      <c r="D41" s="22" t="s">
        <v>95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06"/>
      <c r="N41" s="209"/>
      <c r="O41" s="209"/>
      <c r="P41" s="209"/>
      <c r="Q41" s="209"/>
      <c r="R41" s="209"/>
      <c r="S41" s="209"/>
      <c r="T41" s="209"/>
      <c r="U41" s="220"/>
    </row>
    <row r="42" spans="1:21" ht="14.25" customHeight="1">
      <c r="A42" s="276"/>
      <c r="B42" s="268"/>
      <c r="C42" s="230"/>
      <c r="D42" s="22" t="s">
        <v>93</v>
      </c>
      <c r="E42" s="23">
        <f>F42+G42+H42+I42+J42+K42+L42</f>
        <v>286459</v>
      </c>
      <c r="F42" s="24">
        <v>286459</v>
      </c>
      <c r="G42" s="23">
        <v>0</v>
      </c>
      <c r="H42" s="23">
        <v>0</v>
      </c>
      <c r="I42" s="23">
        <v>0</v>
      </c>
      <c r="J42" s="24">
        <f>I42</f>
        <v>0</v>
      </c>
      <c r="K42" s="24">
        <f>J42</f>
        <v>0</v>
      </c>
      <c r="L42" s="24">
        <f>K42</f>
        <v>0</v>
      </c>
      <c r="M42" s="206"/>
      <c r="N42" s="209"/>
      <c r="O42" s="209"/>
      <c r="P42" s="209"/>
      <c r="Q42" s="209"/>
      <c r="R42" s="209"/>
      <c r="S42" s="209"/>
      <c r="T42" s="209"/>
      <c r="U42" s="220"/>
    </row>
    <row r="43" spans="1:21" ht="14.25" customHeight="1">
      <c r="A43" s="276"/>
      <c r="B43" s="268"/>
      <c r="C43" s="230"/>
      <c r="D43" s="22" t="s">
        <v>94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06"/>
      <c r="N43" s="209"/>
      <c r="O43" s="209"/>
      <c r="P43" s="209"/>
      <c r="Q43" s="209"/>
      <c r="R43" s="209"/>
      <c r="S43" s="209"/>
      <c r="T43" s="209"/>
      <c r="U43" s="220"/>
    </row>
    <row r="44" spans="1:21" ht="14.25" customHeight="1">
      <c r="A44" s="277"/>
      <c r="B44" s="269"/>
      <c r="C44" s="231"/>
      <c r="D44" s="22" t="s">
        <v>96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07"/>
      <c r="N44" s="210"/>
      <c r="O44" s="210"/>
      <c r="P44" s="210"/>
      <c r="Q44" s="210"/>
      <c r="R44" s="210"/>
      <c r="S44" s="210"/>
      <c r="T44" s="210"/>
      <c r="U44" s="225"/>
    </row>
    <row r="45" spans="1:21" ht="27" customHeight="1">
      <c r="A45" s="275" t="s">
        <v>149</v>
      </c>
      <c r="B45" s="267" t="s">
        <v>147</v>
      </c>
      <c r="C45" s="229" t="s">
        <v>82</v>
      </c>
      <c r="D45" s="22" t="s">
        <v>97</v>
      </c>
      <c r="E45" s="23">
        <f>E47+E48+E49+E50</f>
        <v>664587413.2500001</v>
      </c>
      <c r="F45" s="23">
        <f aca="true" t="shared" si="6" ref="F45:L45">F47+F48+F49+F50</f>
        <v>83110947.83</v>
      </c>
      <c r="G45" s="23">
        <f t="shared" si="6"/>
        <v>77108268.28</v>
      </c>
      <c r="H45" s="23">
        <f t="shared" si="6"/>
        <v>100496919.17999999</v>
      </c>
      <c r="I45" s="23">
        <f t="shared" si="6"/>
        <v>101563041.91</v>
      </c>
      <c r="J45" s="23">
        <f t="shared" si="6"/>
        <v>99495736.81</v>
      </c>
      <c r="K45" s="23">
        <f t="shared" si="6"/>
        <v>101406249.62</v>
      </c>
      <c r="L45" s="23">
        <f t="shared" si="6"/>
        <v>101406249.62</v>
      </c>
      <c r="M45" s="205" t="s">
        <v>47</v>
      </c>
      <c r="N45" s="208">
        <v>1</v>
      </c>
      <c r="O45" s="208">
        <v>1</v>
      </c>
      <c r="P45" s="208">
        <v>1</v>
      </c>
      <c r="Q45" s="208">
        <v>1</v>
      </c>
      <c r="R45" s="208">
        <v>1</v>
      </c>
      <c r="S45" s="208">
        <v>1</v>
      </c>
      <c r="T45" s="208">
        <v>1</v>
      </c>
      <c r="U45" s="219" t="s">
        <v>44</v>
      </c>
    </row>
    <row r="46" spans="1:21" ht="16.5" customHeight="1">
      <c r="A46" s="276"/>
      <c r="B46" s="268"/>
      <c r="C46" s="230"/>
      <c r="D46" s="216" t="s">
        <v>117</v>
      </c>
      <c r="E46" s="217"/>
      <c r="F46" s="217"/>
      <c r="G46" s="217"/>
      <c r="H46" s="217"/>
      <c r="I46" s="217"/>
      <c r="J46" s="217"/>
      <c r="K46" s="217"/>
      <c r="L46" s="218"/>
      <c r="M46" s="206"/>
      <c r="N46" s="209"/>
      <c r="O46" s="209"/>
      <c r="P46" s="209"/>
      <c r="Q46" s="209"/>
      <c r="R46" s="209"/>
      <c r="S46" s="209"/>
      <c r="T46" s="209"/>
      <c r="U46" s="220"/>
    </row>
    <row r="47" spans="1:21" ht="21" customHeight="1">
      <c r="A47" s="276"/>
      <c r="B47" s="268"/>
      <c r="C47" s="230"/>
      <c r="D47" s="22" t="s">
        <v>95</v>
      </c>
      <c r="E47" s="23">
        <f>F47+G47+H47+I47+J47+K47+L47</f>
        <v>664587413.2500001</v>
      </c>
      <c r="F47" s="24">
        <f>99968803-F53+1016650.83+232560+34977</f>
        <v>83110947.83</v>
      </c>
      <c r="G47" s="24">
        <v>77108268.28</v>
      </c>
      <c r="H47" s="24">
        <f>100923704.24-426785.06</f>
        <v>100496919.17999999</v>
      </c>
      <c r="I47" s="24">
        <v>101563041.91</v>
      </c>
      <c r="J47" s="24">
        <v>99495736.81</v>
      </c>
      <c r="K47" s="24">
        <v>101406249.62</v>
      </c>
      <c r="L47" s="24">
        <v>101406249.62</v>
      </c>
      <c r="M47" s="206"/>
      <c r="N47" s="209"/>
      <c r="O47" s="209"/>
      <c r="P47" s="209"/>
      <c r="Q47" s="209"/>
      <c r="R47" s="209"/>
      <c r="S47" s="209"/>
      <c r="T47" s="209"/>
      <c r="U47" s="220"/>
    </row>
    <row r="48" spans="1:21" ht="15" customHeight="1">
      <c r="A48" s="276"/>
      <c r="B48" s="268"/>
      <c r="C48" s="230"/>
      <c r="D48" s="22" t="s">
        <v>93</v>
      </c>
      <c r="E48" s="23">
        <f>F48+G48+H48+I48+J48+K48+L48</f>
        <v>0</v>
      </c>
      <c r="F48" s="24"/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06"/>
      <c r="N48" s="209"/>
      <c r="O48" s="209"/>
      <c r="P48" s="209"/>
      <c r="Q48" s="209"/>
      <c r="R48" s="209"/>
      <c r="S48" s="209"/>
      <c r="T48" s="209"/>
      <c r="U48" s="220"/>
    </row>
    <row r="49" spans="1:21" ht="14.25" customHeight="1">
      <c r="A49" s="276"/>
      <c r="B49" s="268"/>
      <c r="C49" s="230"/>
      <c r="D49" s="22" t="s">
        <v>94</v>
      </c>
      <c r="E49" s="23">
        <f>F49+G49+H49+I49+J49+K49+L49</f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06"/>
      <c r="N49" s="209"/>
      <c r="O49" s="209"/>
      <c r="P49" s="209"/>
      <c r="Q49" s="209"/>
      <c r="R49" s="209"/>
      <c r="S49" s="209"/>
      <c r="T49" s="209"/>
      <c r="U49" s="220"/>
    </row>
    <row r="50" spans="1:21" ht="14.25" customHeight="1">
      <c r="A50" s="277"/>
      <c r="B50" s="269"/>
      <c r="C50" s="231"/>
      <c r="D50" s="22" t="s">
        <v>96</v>
      </c>
      <c r="E50" s="23">
        <f>F50+G50+H50+I50+J50+K50+L50</f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07"/>
      <c r="N50" s="210"/>
      <c r="O50" s="210"/>
      <c r="P50" s="210"/>
      <c r="Q50" s="210"/>
      <c r="R50" s="210"/>
      <c r="S50" s="210"/>
      <c r="T50" s="210"/>
      <c r="U50" s="225"/>
    </row>
    <row r="51" spans="1:21" ht="27" customHeight="1">
      <c r="A51" s="275" t="s">
        <v>150</v>
      </c>
      <c r="B51" s="267" t="s">
        <v>155</v>
      </c>
      <c r="C51" s="229" t="s">
        <v>82</v>
      </c>
      <c r="D51" s="22" t="s">
        <v>97</v>
      </c>
      <c r="E51" s="23">
        <f>E53+E54+E55+E56</f>
        <v>36194498.82</v>
      </c>
      <c r="F51" s="23">
        <f aca="true" t="shared" si="7" ref="F51:L51">F53+F54+F55+F56</f>
        <v>18142043</v>
      </c>
      <c r="G51" s="23">
        <f t="shared" si="7"/>
        <v>18052455.82</v>
      </c>
      <c r="H51" s="23">
        <f t="shared" si="7"/>
        <v>0</v>
      </c>
      <c r="I51" s="23">
        <f t="shared" si="7"/>
        <v>0</v>
      </c>
      <c r="J51" s="23">
        <f t="shared" si="7"/>
        <v>0</v>
      </c>
      <c r="K51" s="23">
        <f t="shared" si="7"/>
        <v>0</v>
      </c>
      <c r="L51" s="23">
        <f t="shared" si="7"/>
        <v>0</v>
      </c>
      <c r="M51" s="205" t="s">
        <v>3</v>
      </c>
      <c r="N51" s="202">
        <v>1</v>
      </c>
      <c r="O51" s="202">
        <v>1</v>
      </c>
      <c r="P51" s="202">
        <v>1</v>
      </c>
      <c r="Q51" s="202">
        <v>1</v>
      </c>
      <c r="R51" s="202">
        <v>1</v>
      </c>
      <c r="S51" s="202">
        <v>1</v>
      </c>
      <c r="T51" s="202">
        <v>1</v>
      </c>
      <c r="U51" s="219" t="s">
        <v>44</v>
      </c>
    </row>
    <row r="52" spans="1:21" ht="16.5" customHeight="1">
      <c r="A52" s="276"/>
      <c r="B52" s="268"/>
      <c r="C52" s="230"/>
      <c r="D52" s="216" t="s">
        <v>117</v>
      </c>
      <c r="E52" s="217"/>
      <c r="F52" s="217"/>
      <c r="G52" s="217"/>
      <c r="H52" s="217"/>
      <c r="I52" s="217"/>
      <c r="J52" s="217"/>
      <c r="K52" s="217"/>
      <c r="L52" s="218"/>
      <c r="M52" s="206"/>
      <c r="N52" s="203"/>
      <c r="O52" s="203"/>
      <c r="P52" s="203"/>
      <c r="Q52" s="203"/>
      <c r="R52" s="203"/>
      <c r="S52" s="203"/>
      <c r="T52" s="203"/>
      <c r="U52" s="220"/>
    </row>
    <row r="53" spans="1:21" ht="21" customHeight="1">
      <c r="A53" s="276"/>
      <c r="B53" s="268"/>
      <c r="C53" s="230"/>
      <c r="D53" s="22" t="s">
        <v>95</v>
      </c>
      <c r="E53" s="23">
        <f>F53+G53+H53+I53+J53+K53+L53</f>
        <v>36194498.82</v>
      </c>
      <c r="F53" s="24">
        <f>25282883.97+5371987-F84</f>
        <v>18142043</v>
      </c>
      <c r="G53" s="24">
        <f>22306936-3240730-1013750.18</f>
        <v>18052455.82</v>
      </c>
      <c r="H53" s="24">
        <v>0</v>
      </c>
      <c r="I53" s="24">
        <v>0</v>
      </c>
      <c r="J53" s="24">
        <f>I53</f>
        <v>0</v>
      </c>
      <c r="K53" s="24">
        <f>J53</f>
        <v>0</v>
      </c>
      <c r="L53" s="24">
        <f>K53</f>
        <v>0</v>
      </c>
      <c r="M53" s="206"/>
      <c r="N53" s="203"/>
      <c r="O53" s="203"/>
      <c r="P53" s="203"/>
      <c r="Q53" s="203"/>
      <c r="R53" s="203"/>
      <c r="S53" s="203"/>
      <c r="T53" s="203"/>
      <c r="U53" s="220"/>
    </row>
    <row r="54" spans="1:21" ht="15" customHeight="1">
      <c r="A54" s="276"/>
      <c r="B54" s="268"/>
      <c r="C54" s="230"/>
      <c r="D54" s="22" t="s">
        <v>93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06"/>
      <c r="N54" s="203"/>
      <c r="O54" s="203"/>
      <c r="P54" s="203"/>
      <c r="Q54" s="203"/>
      <c r="R54" s="203"/>
      <c r="S54" s="203"/>
      <c r="T54" s="203"/>
      <c r="U54" s="220"/>
    </row>
    <row r="55" spans="1:21" ht="14.25" customHeight="1">
      <c r="A55" s="276"/>
      <c r="B55" s="268"/>
      <c r="C55" s="230"/>
      <c r="D55" s="22" t="s">
        <v>94</v>
      </c>
      <c r="E55" s="23">
        <f>F55+G55+H55+I55+J55+K55+L55</f>
        <v>0</v>
      </c>
      <c r="F55" s="24"/>
      <c r="G55" s="24"/>
      <c r="H55" s="24"/>
      <c r="I55" s="24"/>
      <c r="J55" s="24"/>
      <c r="K55" s="24"/>
      <c r="L55" s="24"/>
      <c r="M55" s="206"/>
      <c r="N55" s="203"/>
      <c r="O55" s="203"/>
      <c r="P55" s="203"/>
      <c r="Q55" s="203"/>
      <c r="R55" s="203"/>
      <c r="S55" s="203"/>
      <c r="T55" s="203"/>
      <c r="U55" s="220"/>
    </row>
    <row r="56" spans="1:21" ht="12.75">
      <c r="A56" s="277"/>
      <c r="B56" s="269"/>
      <c r="C56" s="231"/>
      <c r="D56" s="22" t="s">
        <v>96</v>
      </c>
      <c r="E56" s="23">
        <f>F56+G56+H56+I56+J56+K56+L56</f>
        <v>0</v>
      </c>
      <c r="F56" s="24"/>
      <c r="G56" s="24"/>
      <c r="H56" s="24"/>
      <c r="I56" s="24"/>
      <c r="J56" s="24"/>
      <c r="K56" s="24"/>
      <c r="L56" s="24"/>
      <c r="M56" s="207"/>
      <c r="N56" s="204"/>
      <c r="O56" s="204"/>
      <c r="P56" s="204"/>
      <c r="Q56" s="204"/>
      <c r="R56" s="204"/>
      <c r="S56" s="204"/>
      <c r="T56" s="204"/>
      <c r="U56" s="225"/>
    </row>
    <row r="57" spans="1:21" ht="27" customHeight="1">
      <c r="A57" s="275" t="s">
        <v>151</v>
      </c>
      <c r="B57" s="267" t="s">
        <v>190</v>
      </c>
      <c r="C57" s="229" t="s">
        <v>82</v>
      </c>
      <c r="D57" s="22" t="s">
        <v>97</v>
      </c>
      <c r="E57" s="23">
        <f>E59+E60+E61+E62</f>
        <v>45566378.4</v>
      </c>
      <c r="F57" s="23">
        <f aca="true" t="shared" si="8" ref="F57:L57">F59+F60+F61+F62</f>
        <v>1131090</v>
      </c>
      <c r="G57" s="23">
        <f t="shared" si="8"/>
        <v>5540424.87</v>
      </c>
      <c r="H57" s="23">
        <f t="shared" si="8"/>
        <v>7199353.0200000005</v>
      </c>
      <c r="I57" s="23">
        <f t="shared" si="8"/>
        <v>8217225.04</v>
      </c>
      <c r="J57" s="23">
        <f t="shared" si="8"/>
        <v>7531822.59</v>
      </c>
      <c r="K57" s="23">
        <f t="shared" si="8"/>
        <v>7973231.44</v>
      </c>
      <c r="L57" s="23">
        <f t="shared" si="8"/>
        <v>7973231.44</v>
      </c>
      <c r="M57" s="205" t="s">
        <v>202</v>
      </c>
      <c r="N57" s="202">
        <v>1</v>
      </c>
      <c r="O57" s="202">
        <v>1</v>
      </c>
      <c r="P57" s="202">
        <v>1</v>
      </c>
      <c r="Q57" s="202">
        <v>1</v>
      </c>
      <c r="R57" s="202">
        <v>1</v>
      </c>
      <c r="S57" s="202">
        <v>1</v>
      </c>
      <c r="T57" s="202">
        <v>1</v>
      </c>
      <c r="U57" s="219" t="s">
        <v>44</v>
      </c>
    </row>
    <row r="58" spans="1:21" ht="16.5" customHeight="1">
      <c r="A58" s="276"/>
      <c r="B58" s="268"/>
      <c r="C58" s="230"/>
      <c r="D58" s="216" t="s">
        <v>117</v>
      </c>
      <c r="E58" s="217"/>
      <c r="F58" s="217"/>
      <c r="G58" s="217"/>
      <c r="H58" s="217"/>
      <c r="I58" s="217"/>
      <c r="J58" s="217"/>
      <c r="K58" s="217"/>
      <c r="L58" s="218"/>
      <c r="M58" s="206"/>
      <c r="N58" s="203"/>
      <c r="O58" s="203"/>
      <c r="P58" s="203"/>
      <c r="Q58" s="203"/>
      <c r="R58" s="203"/>
      <c r="S58" s="203"/>
      <c r="T58" s="203"/>
      <c r="U58" s="220"/>
    </row>
    <row r="59" spans="1:21" ht="21" customHeight="1">
      <c r="A59" s="276"/>
      <c r="B59" s="268"/>
      <c r="C59" s="230"/>
      <c r="D59" s="22" t="s">
        <v>95</v>
      </c>
      <c r="E59" s="23">
        <f>F59+G59+H59+I59+J59+K59+L59</f>
        <v>37016913.519999996</v>
      </c>
      <c r="F59" s="24"/>
      <c r="G59" s="24">
        <f>4863632.5+11816.5-243772.44-200421.93</f>
        <v>4431254.63</v>
      </c>
      <c r="H59" s="24">
        <f>5326428.04-685472.64+834349.99+426785.06</f>
        <v>5902090.45</v>
      </c>
      <c r="I59" s="24">
        <v>6857011</v>
      </c>
      <c r="J59" s="24">
        <v>6347633.28</v>
      </c>
      <c r="K59" s="24">
        <v>6739462.08</v>
      </c>
      <c r="L59" s="24">
        <v>6739462.08</v>
      </c>
      <c r="M59" s="206"/>
      <c r="N59" s="203"/>
      <c r="O59" s="203"/>
      <c r="P59" s="203"/>
      <c r="Q59" s="203"/>
      <c r="R59" s="203"/>
      <c r="S59" s="203"/>
      <c r="T59" s="203"/>
      <c r="U59" s="220"/>
    </row>
    <row r="60" spans="1:21" ht="15" customHeight="1">
      <c r="A60" s="276"/>
      <c r="B60" s="268"/>
      <c r="C60" s="230"/>
      <c r="D60" s="22" t="s">
        <v>93</v>
      </c>
      <c r="E60" s="23">
        <f>F60+G60+H60+I60+J60+K60+L60</f>
        <v>8549464.88</v>
      </c>
      <c r="F60" s="24">
        <v>1131090</v>
      </c>
      <c r="G60" s="24">
        <f>5385+1103785.24</f>
        <v>1109170.24</v>
      </c>
      <c r="H60" s="24">
        <f>1240+1294282+1740.57</f>
        <v>1297262.57</v>
      </c>
      <c r="I60" s="24">
        <f>3548.08+1356665.96</f>
        <v>1360214.04</v>
      </c>
      <c r="J60" s="24">
        <f>3547.54+1180641.77</f>
        <v>1184189.31</v>
      </c>
      <c r="K60" s="24">
        <f>3547.53+1230221.83</f>
        <v>1233769.36</v>
      </c>
      <c r="L60" s="24">
        <f>K60</f>
        <v>1233769.36</v>
      </c>
      <c r="M60" s="206"/>
      <c r="N60" s="203"/>
      <c r="O60" s="203"/>
      <c r="P60" s="203"/>
      <c r="Q60" s="203"/>
      <c r="R60" s="203"/>
      <c r="S60" s="203"/>
      <c r="T60" s="203"/>
      <c r="U60" s="220"/>
    </row>
    <row r="61" spans="1:21" ht="14.25" customHeight="1">
      <c r="A61" s="276"/>
      <c r="B61" s="268"/>
      <c r="C61" s="230"/>
      <c r="D61" s="22" t="s">
        <v>94</v>
      </c>
      <c r="E61" s="23">
        <f>F61+G61+H61+I61+J61+K61+L61</f>
        <v>0</v>
      </c>
      <c r="F61" s="24"/>
      <c r="G61" s="24"/>
      <c r="H61" s="24"/>
      <c r="I61" s="24"/>
      <c r="J61" s="24"/>
      <c r="K61" s="24"/>
      <c r="L61" s="24"/>
      <c r="M61" s="206"/>
      <c r="N61" s="203"/>
      <c r="O61" s="203"/>
      <c r="P61" s="203"/>
      <c r="Q61" s="203"/>
      <c r="R61" s="203"/>
      <c r="S61" s="203"/>
      <c r="T61" s="203"/>
      <c r="U61" s="220"/>
    </row>
    <row r="62" spans="1:21" ht="12.75">
      <c r="A62" s="277"/>
      <c r="B62" s="269"/>
      <c r="C62" s="231"/>
      <c r="D62" s="22" t="s">
        <v>96</v>
      </c>
      <c r="E62" s="23">
        <f>F62+G62+H62+I62+J62+K62+L62</f>
        <v>0</v>
      </c>
      <c r="F62" s="24"/>
      <c r="G62" s="24"/>
      <c r="H62" s="24"/>
      <c r="I62" s="24"/>
      <c r="J62" s="24"/>
      <c r="K62" s="24"/>
      <c r="L62" s="24"/>
      <c r="M62" s="207"/>
      <c r="N62" s="204"/>
      <c r="O62" s="204"/>
      <c r="P62" s="204"/>
      <c r="Q62" s="204"/>
      <c r="R62" s="204"/>
      <c r="S62" s="204"/>
      <c r="T62" s="204"/>
      <c r="U62" s="225"/>
    </row>
    <row r="63" spans="1:21" ht="27" customHeight="1">
      <c r="A63" s="275" t="s">
        <v>206</v>
      </c>
      <c r="B63" s="267" t="s">
        <v>148</v>
      </c>
      <c r="C63" s="229" t="s">
        <v>82</v>
      </c>
      <c r="D63" s="22" t="s">
        <v>97</v>
      </c>
      <c r="E63" s="23">
        <f>E65+E66+E67+E68</f>
        <v>8010028.07</v>
      </c>
      <c r="F63" s="23">
        <f aca="true" t="shared" si="9" ref="F63:L63">F65+F66+F67+F68</f>
        <v>862705</v>
      </c>
      <c r="G63" s="23">
        <f t="shared" si="9"/>
        <v>1413208.07</v>
      </c>
      <c r="H63" s="23">
        <f t="shared" si="9"/>
        <v>1573000</v>
      </c>
      <c r="I63" s="23">
        <f t="shared" si="9"/>
        <v>1573000</v>
      </c>
      <c r="J63" s="23">
        <f t="shared" si="9"/>
        <v>862705</v>
      </c>
      <c r="K63" s="23">
        <f t="shared" si="9"/>
        <v>862705</v>
      </c>
      <c r="L63" s="23">
        <f t="shared" si="9"/>
        <v>862705</v>
      </c>
      <c r="M63" s="205" t="s">
        <v>51</v>
      </c>
      <c r="N63" s="202">
        <v>1</v>
      </c>
      <c r="O63" s="202">
        <v>1</v>
      </c>
      <c r="P63" s="202">
        <v>1</v>
      </c>
      <c r="Q63" s="202">
        <v>1</v>
      </c>
      <c r="R63" s="202">
        <v>1</v>
      </c>
      <c r="S63" s="202">
        <v>1</v>
      </c>
      <c r="T63" s="202">
        <v>1</v>
      </c>
      <c r="U63" s="219" t="s">
        <v>44</v>
      </c>
    </row>
    <row r="64" spans="1:21" ht="16.5" customHeight="1">
      <c r="A64" s="276"/>
      <c r="B64" s="268"/>
      <c r="C64" s="230"/>
      <c r="D64" s="216" t="s">
        <v>117</v>
      </c>
      <c r="E64" s="217"/>
      <c r="F64" s="217"/>
      <c r="G64" s="217"/>
      <c r="H64" s="217"/>
      <c r="I64" s="217"/>
      <c r="J64" s="217"/>
      <c r="K64" s="217"/>
      <c r="L64" s="218"/>
      <c r="M64" s="206"/>
      <c r="N64" s="203"/>
      <c r="O64" s="203"/>
      <c r="P64" s="203"/>
      <c r="Q64" s="203"/>
      <c r="R64" s="203"/>
      <c r="S64" s="203"/>
      <c r="T64" s="203"/>
      <c r="U64" s="220"/>
    </row>
    <row r="65" spans="1:21" ht="21" customHeight="1">
      <c r="A65" s="276"/>
      <c r="B65" s="268"/>
      <c r="C65" s="230"/>
      <c r="D65" s="22" t="s">
        <v>95</v>
      </c>
      <c r="E65" s="23">
        <f>F65+G65+H65+I65+J65+K65+L65</f>
        <v>0</v>
      </c>
      <c r="F65" s="24"/>
      <c r="G65" s="24"/>
      <c r="H65" s="24"/>
      <c r="I65" s="24"/>
      <c r="J65" s="24"/>
      <c r="K65" s="24"/>
      <c r="L65" s="24"/>
      <c r="M65" s="206"/>
      <c r="N65" s="203"/>
      <c r="O65" s="203"/>
      <c r="P65" s="203"/>
      <c r="Q65" s="203"/>
      <c r="R65" s="203"/>
      <c r="S65" s="203"/>
      <c r="T65" s="203"/>
      <c r="U65" s="220"/>
    </row>
    <row r="66" spans="1:21" ht="15" customHeight="1">
      <c r="A66" s="276"/>
      <c r="B66" s="268"/>
      <c r="C66" s="230"/>
      <c r="D66" s="22" t="s">
        <v>93</v>
      </c>
      <c r="E66" s="23">
        <f>F66+G66+H66+I66+J66+K66+L66</f>
        <v>0</v>
      </c>
      <c r="F66" s="24"/>
      <c r="G66" s="24"/>
      <c r="H66" s="24"/>
      <c r="I66" s="24"/>
      <c r="J66" s="24"/>
      <c r="K66" s="24"/>
      <c r="L66" s="24"/>
      <c r="M66" s="206"/>
      <c r="N66" s="203"/>
      <c r="O66" s="203"/>
      <c r="P66" s="203"/>
      <c r="Q66" s="203"/>
      <c r="R66" s="203"/>
      <c r="S66" s="203"/>
      <c r="T66" s="203"/>
      <c r="U66" s="220"/>
    </row>
    <row r="67" spans="1:21" ht="14.25" customHeight="1">
      <c r="A67" s="276"/>
      <c r="B67" s="268"/>
      <c r="C67" s="230"/>
      <c r="D67" s="22" t="s">
        <v>94</v>
      </c>
      <c r="E67" s="23">
        <f>F67+G67+H67+I67+J67+K67+L67</f>
        <v>0</v>
      </c>
      <c r="F67" s="24"/>
      <c r="G67" s="24"/>
      <c r="H67" s="24"/>
      <c r="I67" s="24"/>
      <c r="J67" s="24"/>
      <c r="K67" s="24"/>
      <c r="L67" s="24"/>
      <c r="M67" s="206"/>
      <c r="N67" s="203"/>
      <c r="O67" s="203"/>
      <c r="P67" s="203"/>
      <c r="Q67" s="203"/>
      <c r="R67" s="203"/>
      <c r="S67" s="203"/>
      <c r="T67" s="203"/>
      <c r="U67" s="220"/>
    </row>
    <row r="68" spans="1:21" ht="12.75" customHeight="1">
      <c r="A68" s="277"/>
      <c r="B68" s="269"/>
      <c r="C68" s="231"/>
      <c r="D68" s="22" t="s">
        <v>96</v>
      </c>
      <c r="E68" s="23">
        <f>F68+G68+H68+I68+J68+K68+L68</f>
        <v>8010028.07</v>
      </c>
      <c r="F68" s="24">
        <f>1403705-541000</f>
        <v>862705</v>
      </c>
      <c r="G68" s="24">
        <v>1413208.07</v>
      </c>
      <c r="H68" s="24">
        <v>1573000</v>
      </c>
      <c r="I68" s="24">
        <v>1573000</v>
      </c>
      <c r="J68" s="24">
        <v>862705</v>
      </c>
      <c r="K68" s="24">
        <f>J68</f>
        <v>862705</v>
      </c>
      <c r="L68" s="24">
        <f>K68</f>
        <v>862705</v>
      </c>
      <c r="M68" s="207"/>
      <c r="N68" s="204"/>
      <c r="O68" s="204"/>
      <c r="P68" s="204"/>
      <c r="Q68" s="204"/>
      <c r="R68" s="204"/>
      <c r="S68" s="204"/>
      <c r="T68" s="204"/>
      <c r="U68" s="225"/>
    </row>
    <row r="69" spans="1:21" ht="13.5" customHeight="1">
      <c r="A69" s="261"/>
      <c r="B69" s="264" t="s">
        <v>161</v>
      </c>
      <c r="C69" s="261"/>
      <c r="D69" s="102" t="s">
        <v>97</v>
      </c>
      <c r="E69" s="103">
        <f aca="true" t="shared" si="10" ref="E69:L69">E71+E72+E73+E74</f>
        <v>3137594828.86</v>
      </c>
      <c r="F69" s="103">
        <f t="shared" si="10"/>
        <v>407698429.83</v>
      </c>
      <c r="G69" s="103">
        <f t="shared" si="10"/>
        <v>416794756.04</v>
      </c>
      <c r="H69" s="103">
        <f t="shared" si="10"/>
        <v>436709723.71</v>
      </c>
      <c r="I69" s="103">
        <f t="shared" si="10"/>
        <v>464903588.74</v>
      </c>
      <c r="J69" s="103">
        <f t="shared" si="10"/>
        <v>468873886.19000006</v>
      </c>
      <c r="K69" s="103">
        <f t="shared" si="10"/>
        <v>471307927.59000003</v>
      </c>
      <c r="L69" s="103">
        <f t="shared" si="10"/>
        <v>471306516.76</v>
      </c>
      <c r="M69" s="236"/>
      <c r="N69" s="244"/>
      <c r="O69" s="244"/>
      <c r="P69" s="244"/>
      <c r="Q69" s="244"/>
      <c r="R69" s="244"/>
      <c r="S69" s="244"/>
      <c r="T69" s="244"/>
      <c r="U69" s="270"/>
    </row>
    <row r="70" spans="1:21" ht="12.75" customHeight="1">
      <c r="A70" s="262"/>
      <c r="B70" s="265"/>
      <c r="C70" s="262"/>
      <c r="D70" s="239" t="s">
        <v>117</v>
      </c>
      <c r="E70" s="240"/>
      <c r="F70" s="240"/>
      <c r="G70" s="240"/>
      <c r="H70" s="240"/>
      <c r="I70" s="240"/>
      <c r="J70" s="240"/>
      <c r="K70" s="240"/>
      <c r="L70" s="241"/>
      <c r="M70" s="237"/>
      <c r="N70" s="245"/>
      <c r="O70" s="245"/>
      <c r="P70" s="245"/>
      <c r="Q70" s="245"/>
      <c r="R70" s="245"/>
      <c r="S70" s="245"/>
      <c r="T70" s="245"/>
      <c r="U70" s="271"/>
    </row>
    <row r="71" spans="1:21" ht="13.5" customHeight="1">
      <c r="A71" s="262"/>
      <c r="B71" s="265"/>
      <c r="C71" s="262"/>
      <c r="D71" s="104" t="s">
        <v>95</v>
      </c>
      <c r="E71" s="103">
        <f>F71+G71+H71+I71+J71+K71+L71</f>
        <v>737930313.25</v>
      </c>
      <c r="F71" s="105">
        <f>F11+F17+F23+F29+F35+F41+F47+F65+F53+F59</f>
        <v>101252990.83</v>
      </c>
      <c r="G71" s="105">
        <f>G59+G53+G47+G41+G35+G29+G23+G17+G11</f>
        <v>99591978.73</v>
      </c>
      <c r="H71" s="105">
        <f>H11+H17+H23+H29+H35+H41+H47+H65+H53+H59</f>
        <v>106423652.14</v>
      </c>
      <c r="I71" s="105">
        <f>I11+I17+I23+I29+I35+I41+I47+I65+I53+I59</f>
        <v>108445629</v>
      </c>
      <c r="J71" s="105">
        <f>J11+J17+J23+J29+J35+J41+J47+J65+J53+J59</f>
        <v>105868946.18</v>
      </c>
      <c r="K71" s="105">
        <f>K11+K17+K23+K29+K35+K41+K47+K65+K53+K59</f>
        <v>108174263.60000001</v>
      </c>
      <c r="L71" s="105">
        <f>L11+L17+L23+L29+L35+L41+L47+L65+L53+L59</f>
        <v>108172852.77</v>
      </c>
      <c r="M71" s="237"/>
      <c r="N71" s="245"/>
      <c r="O71" s="245"/>
      <c r="P71" s="245"/>
      <c r="Q71" s="245"/>
      <c r="R71" s="245"/>
      <c r="S71" s="245"/>
      <c r="T71" s="245"/>
      <c r="U71" s="271"/>
    </row>
    <row r="72" spans="1:21" ht="13.5" customHeight="1">
      <c r="A72" s="262"/>
      <c r="B72" s="265"/>
      <c r="C72" s="262"/>
      <c r="D72" s="104" t="s">
        <v>93</v>
      </c>
      <c r="E72" s="103">
        <f>F72+G72+H72+I72+J72+K72+L72</f>
        <v>2391654487.54</v>
      </c>
      <c r="F72" s="105">
        <f aca="true" t="shared" si="11" ref="F72:L74">F12+F18+F24+F30+F36+F42+F48+F66+F54+F60</f>
        <v>305582734</v>
      </c>
      <c r="G72" s="105">
        <f t="shared" si="11"/>
        <v>315789569.24</v>
      </c>
      <c r="H72" s="105">
        <f t="shared" si="11"/>
        <v>328713071.57</v>
      </c>
      <c r="I72" s="105">
        <f t="shared" si="11"/>
        <v>354884959.74</v>
      </c>
      <c r="J72" s="105">
        <f t="shared" si="11"/>
        <v>362142235.01000005</v>
      </c>
      <c r="K72" s="105">
        <f t="shared" si="11"/>
        <v>362270958.99</v>
      </c>
      <c r="L72" s="105">
        <f t="shared" si="11"/>
        <v>362270958.99</v>
      </c>
      <c r="M72" s="237"/>
      <c r="N72" s="245"/>
      <c r="O72" s="245"/>
      <c r="P72" s="245"/>
      <c r="Q72" s="245"/>
      <c r="R72" s="245"/>
      <c r="S72" s="245"/>
      <c r="T72" s="245"/>
      <c r="U72" s="271"/>
    </row>
    <row r="73" spans="1:21" ht="13.5" customHeight="1">
      <c r="A73" s="262"/>
      <c r="B73" s="265"/>
      <c r="C73" s="262"/>
      <c r="D73" s="104" t="s">
        <v>94</v>
      </c>
      <c r="E73" s="103">
        <f>F73+G73+H73+I73+J73+K73+L73</f>
        <v>0</v>
      </c>
      <c r="F73" s="105">
        <f t="shared" si="11"/>
        <v>0</v>
      </c>
      <c r="G73" s="105">
        <f t="shared" si="11"/>
        <v>0</v>
      </c>
      <c r="H73" s="105">
        <f t="shared" si="11"/>
        <v>0</v>
      </c>
      <c r="I73" s="105">
        <f t="shared" si="11"/>
        <v>0</v>
      </c>
      <c r="J73" s="105">
        <f t="shared" si="11"/>
        <v>0</v>
      </c>
      <c r="K73" s="105">
        <f t="shared" si="11"/>
        <v>0</v>
      </c>
      <c r="L73" s="105">
        <f t="shared" si="11"/>
        <v>0</v>
      </c>
      <c r="M73" s="237"/>
      <c r="N73" s="245"/>
      <c r="O73" s="245"/>
      <c r="P73" s="245"/>
      <c r="Q73" s="245"/>
      <c r="R73" s="245"/>
      <c r="S73" s="245"/>
      <c r="T73" s="245"/>
      <c r="U73" s="271"/>
    </row>
    <row r="74" spans="1:21" ht="13.5" customHeight="1">
      <c r="A74" s="263"/>
      <c r="B74" s="266"/>
      <c r="C74" s="263"/>
      <c r="D74" s="104" t="s">
        <v>96</v>
      </c>
      <c r="E74" s="103">
        <f>F74+G74+H74+I74+J74+K74+L74</f>
        <v>8010028.07</v>
      </c>
      <c r="F74" s="105">
        <f t="shared" si="11"/>
        <v>862705</v>
      </c>
      <c r="G74" s="105">
        <f t="shared" si="11"/>
        <v>1413208.07</v>
      </c>
      <c r="H74" s="105">
        <f t="shared" si="11"/>
        <v>1573000</v>
      </c>
      <c r="I74" s="105">
        <f t="shared" si="11"/>
        <v>1573000</v>
      </c>
      <c r="J74" s="105">
        <f t="shared" si="11"/>
        <v>862705</v>
      </c>
      <c r="K74" s="105">
        <f t="shared" si="11"/>
        <v>862705</v>
      </c>
      <c r="L74" s="105">
        <f t="shared" si="11"/>
        <v>862705</v>
      </c>
      <c r="M74" s="238"/>
      <c r="N74" s="246"/>
      <c r="O74" s="246"/>
      <c r="P74" s="246"/>
      <c r="Q74" s="246"/>
      <c r="R74" s="246"/>
      <c r="S74" s="246"/>
      <c r="T74" s="246"/>
      <c r="U74" s="272"/>
    </row>
    <row r="75" spans="1:21" ht="12.75">
      <c r="A75" s="21">
        <v>2</v>
      </c>
      <c r="B75" s="213" t="s">
        <v>34</v>
      </c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5"/>
    </row>
    <row r="76" spans="1:21" ht="12.75" customHeight="1">
      <c r="A76" s="281" t="s">
        <v>134</v>
      </c>
      <c r="B76" s="267" t="s">
        <v>152</v>
      </c>
      <c r="C76" s="229" t="s">
        <v>82</v>
      </c>
      <c r="D76" s="22" t="s">
        <v>97</v>
      </c>
      <c r="E76" s="23">
        <f>E78+E79+E80+E81</f>
        <v>1346370560.6200001</v>
      </c>
      <c r="F76" s="23">
        <f aca="true" t="shared" si="12" ref="F76:L76">F78+F79+F80+F81</f>
        <v>168802759.17</v>
      </c>
      <c r="G76" s="23">
        <f t="shared" si="12"/>
        <v>175694783.6</v>
      </c>
      <c r="H76" s="23">
        <f t="shared" si="12"/>
        <v>198785017.62</v>
      </c>
      <c r="I76" s="23">
        <f t="shared" si="12"/>
        <v>209853851.44</v>
      </c>
      <c r="J76" s="23">
        <f t="shared" si="12"/>
        <v>200186548.03</v>
      </c>
      <c r="K76" s="23">
        <f t="shared" si="12"/>
        <v>196523800.38</v>
      </c>
      <c r="L76" s="23">
        <f t="shared" si="12"/>
        <v>196523800.38</v>
      </c>
      <c r="M76" s="205" t="s">
        <v>48</v>
      </c>
      <c r="N76" s="208">
        <v>100</v>
      </c>
      <c r="O76" s="208">
        <v>100</v>
      </c>
      <c r="P76" s="208">
        <v>100</v>
      </c>
      <c r="Q76" s="208">
        <v>100</v>
      </c>
      <c r="R76" s="208">
        <v>100</v>
      </c>
      <c r="S76" s="208">
        <v>100</v>
      </c>
      <c r="T76" s="208">
        <v>100</v>
      </c>
      <c r="U76" s="219" t="s">
        <v>49</v>
      </c>
    </row>
    <row r="77" spans="1:21" ht="12.75">
      <c r="A77" s="282"/>
      <c r="B77" s="268"/>
      <c r="C77" s="230"/>
      <c r="D77" s="216" t="s">
        <v>117</v>
      </c>
      <c r="E77" s="217"/>
      <c r="F77" s="217"/>
      <c r="G77" s="217"/>
      <c r="H77" s="217"/>
      <c r="I77" s="217"/>
      <c r="J77" s="217"/>
      <c r="K77" s="217"/>
      <c r="L77" s="218"/>
      <c r="M77" s="206"/>
      <c r="N77" s="209"/>
      <c r="O77" s="209"/>
      <c r="P77" s="209"/>
      <c r="Q77" s="209"/>
      <c r="R77" s="209"/>
      <c r="S77" s="209"/>
      <c r="T77" s="209"/>
      <c r="U77" s="220"/>
    </row>
    <row r="78" spans="1:21" ht="12.75">
      <c r="A78" s="282"/>
      <c r="B78" s="268"/>
      <c r="C78" s="230"/>
      <c r="D78" s="22" t="s">
        <v>95</v>
      </c>
      <c r="E78" s="23">
        <f>F78+G78+H78+I78+J78+K78+L78</f>
        <v>1327442246.0900002</v>
      </c>
      <c r="F78" s="24">
        <f>165597360+718349.17</f>
        <v>166315709.17</v>
      </c>
      <c r="G78" s="24">
        <v>173318773.6</v>
      </c>
      <c r="H78" s="24">
        <f>199958653.01+2667060.51-2989805.55-2568514.42-1083433.26-157292.67</f>
        <v>195826667.62</v>
      </c>
      <c r="I78" s="24">
        <f>111782201.11+89268288.89+1792820.87+1165529.13</f>
        <v>204008840</v>
      </c>
      <c r="J78" s="24">
        <f>108636589.82+86288065.12</f>
        <v>194924654.94</v>
      </c>
      <c r="K78" s="24">
        <f>109669676.78+86854123.6</f>
        <v>196523800.38</v>
      </c>
      <c r="L78" s="24">
        <f>K78</f>
        <v>196523800.38</v>
      </c>
      <c r="M78" s="206"/>
      <c r="N78" s="209"/>
      <c r="O78" s="209"/>
      <c r="P78" s="209"/>
      <c r="Q78" s="209"/>
      <c r="R78" s="209"/>
      <c r="S78" s="209"/>
      <c r="T78" s="209"/>
      <c r="U78" s="220"/>
    </row>
    <row r="79" spans="1:21" ht="12.75">
      <c r="A79" s="282"/>
      <c r="B79" s="268"/>
      <c r="C79" s="230"/>
      <c r="D79" s="22" t="s">
        <v>93</v>
      </c>
      <c r="E79" s="23">
        <f>F79+G79+H79+I79+J79+K79+L79</f>
        <v>18928314.53</v>
      </c>
      <c r="F79" s="24">
        <v>2487050</v>
      </c>
      <c r="G79" s="24">
        <v>2376010</v>
      </c>
      <c r="H79" s="24">
        <f>2958350</f>
        <v>2958350</v>
      </c>
      <c r="I79" s="24">
        <f>3340006.54+2505004.9</f>
        <v>5845011.4399999995</v>
      </c>
      <c r="J79" s="24">
        <f>3006796.05+2255097.04</f>
        <v>5261893.09</v>
      </c>
      <c r="K79" s="24"/>
      <c r="L79" s="24"/>
      <c r="M79" s="206"/>
      <c r="N79" s="209"/>
      <c r="O79" s="209"/>
      <c r="P79" s="209"/>
      <c r="Q79" s="209"/>
      <c r="R79" s="209"/>
      <c r="S79" s="209"/>
      <c r="T79" s="209"/>
      <c r="U79" s="220"/>
    </row>
    <row r="80" spans="1:21" ht="12.75">
      <c r="A80" s="282"/>
      <c r="B80" s="268"/>
      <c r="C80" s="230"/>
      <c r="D80" s="22" t="s">
        <v>94</v>
      </c>
      <c r="E80" s="23">
        <f>F80+G80+H80+I80+J80+K80+L80</f>
        <v>0</v>
      </c>
      <c r="F80" s="24"/>
      <c r="G80" s="24"/>
      <c r="H80" s="24"/>
      <c r="I80" s="24"/>
      <c r="J80" s="24"/>
      <c r="K80" s="24"/>
      <c r="L80" s="24"/>
      <c r="M80" s="206"/>
      <c r="N80" s="209"/>
      <c r="O80" s="209"/>
      <c r="P80" s="209"/>
      <c r="Q80" s="209"/>
      <c r="R80" s="209"/>
      <c r="S80" s="209"/>
      <c r="T80" s="209"/>
      <c r="U80" s="220"/>
    </row>
    <row r="81" spans="1:21" ht="12.75">
      <c r="A81" s="283"/>
      <c r="B81" s="269"/>
      <c r="C81" s="231"/>
      <c r="D81" s="22" t="s">
        <v>96</v>
      </c>
      <c r="E81" s="23">
        <f>F81+G81+H81+I81+J81+K81+L81</f>
        <v>0</v>
      </c>
      <c r="F81" s="24"/>
      <c r="G81" s="24"/>
      <c r="H81" s="24"/>
      <c r="I81" s="24"/>
      <c r="J81" s="24"/>
      <c r="K81" s="24"/>
      <c r="L81" s="24"/>
      <c r="M81" s="207"/>
      <c r="N81" s="210"/>
      <c r="O81" s="210"/>
      <c r="P81" s="210"/>
      <c r="Q81" s="210"/>
      <c r="R81" s="210"/>
      <c r="S81" s="210"/>
      <c r="T81" s="210"/>
      <c r="U81" s="225"/>
    </row>
    <row r="82" spans="1:21" ht="12.75" customHeight="1">
      <c r="A82" s="281" t="s">
        <v>135</v>
      </c>
      <c r="B82" s="267" t="s">
        <v>153</v>
      </c>
      <c r="C82" s="229" t="s">
        <v>82</v>
      </c>
      <c r="D82" s="22" t="s">
        <v>97</v>
      </c>
      <c r="E82" s="23">
        <f>E84+E85+E86+E87</f>
        <v>25470557.270000003</v>
      </c>
      <c r="F82" s="23">
        <f aca="true" t="shared" si="13" ref="F82:L82">F84+F85+F86+F87</f>
        <v>12512827.97</v>
      </c>
      <c r="G82" s="23">
        <f t="shared" si="13"/>
        <v>12957729.3</v>
      </c>
      <c r="H82" s="23">
        <f t="shared" si="13"/>
        <v>0</v>
      </c>
      <c r="I82" s="23">
        <f t="shared" si="13"/>
        <v>0</v>
      </c>
      <c r="J82" s="23">
        <f t="shared" si="13"/>
        <v>0</v>
      </c>
      <c r="K82" s="23">
        <f t="shared" si="13"/>
        <v>0</v>
      </c>
      <c r="L82" s="23">
        <f t="shared" si="13"/>
        <v>0</v>
      </c>
      <c r="M82" s="205" t="s">
        <v>3</v>
      </c>
      <c r="N82" s="202">
        <v>1</v>
      </c>
      <c r="O82" s="202">
        <v>1</v>
      </c>
      <c r="P82" s="202">
        <v>1</v>
      </c>
      <c r="Q82" s="202">
        <v>1</v>
      </c>
      <c r="R82" s="202">
        <v>1</v>
      </c>
      <c r="S82" s="202">
        <v>1</v>
      </c>
      <c r="T82" s="202">
        <v>1</v>
      </c>
      <c r="U82" s="219" t="s">
        <v>49</v>
      </c>
    </row>
    <row r="83" spans="1:21" ht="12.75">
      <c r="A83" s="282"/>
      <c r="B83" s="268"/>
      <c r="C83" s="230"/>
      <c r="D83" s="216" t="s">
        <v>117</v>
      </c>
      <c r="E83" s="217"/>
      <c r="F83" s="217"/>
      <c r="G83" s="217"/>
      <c r="H83" s="217"/>
      <c r="I83" s="217"/>
      <c r="J83" s="217"/>
      <c r="K83" s="217"/>
      <c r="L83" s="218"/>
      <c r="M83" s="206"/>
      <c r="N83" s="203"/>
      <c r="O83" s="203"/>
      <c r="P83" s="203"/>
      <c r="Q83" s="203"/>
      <c r="R83" s="203"/>
      <c r="S83" s="203"/>
      <c r="T83" s="203"/>
      <c r="U83" s="220"/>
    </row>
    <row r="84" spans="1:21" ht="12.75">
      <c r="A84" s="282"/>
      <c r="B84" s="268"/>
      <c r="C84" s="230"/>
      <c r="D84" s="22" t="s">
        <v>95</v>
      </c>
      <c r="E84" s="23">
        <f>F84+G84+H84+I84+J84+K84+L84</f>
        <v>25470557.270000003</v>
      </c>
      <c r="F84" s="24">
        <v>12512827.97</v>
      </c>
      <c r="G84" s="24">
        <f>13685381-727651.7</f>
        <v>12957729.3</v>
      </c>
      <c r="H84" s="24">
        <v>0</v>
      </c>
      <c r="I84" s="24">
        <v>0</v>
      </c>
      <c r="J84" s="24">
        <f>I84</f>
        <v>0</v>
      </c>
      <c r="K84" s="24">
        <f>J84</f>
        <v>0</v>
      </c>
      <c r="L84" s="24">
        <f>K84</f>
        <v>0</v>
      </c>
      <c r="M84" s="206"/>
      <c r="N84" s="203"/>
      <c r="O84" s="203"/>
      <c r="P84" s="203"/>
      <c r="Q84" s="203"/>
      <c r="R84" s="203"/>
      <c r="S84" s="203"/>
      <c r="T84" s="203"/>
      <c r="U84" s="220"/>
    </row>
    <row r="85" spans="1:21" ht="12.75">
      <c r="A85" s="282"/>
      <c r="B85" s="268"/>
      <c r="C85" s="230"/>
      <c r="D85" s="22" t="s">
        <v>93</v>
      </c>
      <c r="E85" s="23">
        <f>F85+G85+H85+I85+J85+K85+L85</f>
        <v>0</v>
      </c>
      <c r="F85" s="24"/>
      <c r="G85" s="24"/>
      <c r="H85" s="24"/>
      <c r="I85" s="24"/>
      <c r="J85" s="24"/>
      <c r="K85" s="24"/>
      <c r="L85" s="24"/>
      <c r="M85" s="206"/>
      <c r="N85" s="203"/>
      <c r="O85" s="203"/>
      <c r="P85" s="203"/>
      <c r="Q85" s="203"/>
      <c r="R85" s="203"/>
      <c r="S85" s="203"/>
      <c r="T85" s="203"/>
      <c r="U85" s="220"/>
    </row>
    <row r="86" spans="1:21" ht="12.75">
      <c r="A86" s="282"/>
      <c r="B86" s="268"/>
      <c r="C86" s="230"/>
      <c r="D86" s="22" t="s">
        <v>94</v>
      </c>
      <c r="E86" s="23">
        <f>F86+G86+H86+I86+J86+K86+L86</f>
        <v>0</v>
      </c>
      <c r="F86" s="24"/>
      <c r="G86" s="24"/>
      <c r="H86" s="24"/>
      <c r="I86" s="24"/>
      <c r="J86" s="24"/>
      <c r="K86" s="24"/>
      <c r="L86" s="24"/>
      <c r="M86" s="206"/>
      <c r="N86" s="203"/>
      <c r="O86" s="203"/>
      <c r="P86" s="203"/>
      <c r="Q86" s="203"/>
      <c r="R86" s="203"/>
      <c r="S86" s="203"/>
      <c r="T86" s="203"/>
      <c r="U86" s="220"/>
    </row>
    <row r="87" spans="1:21" ht="12.75">
      <c r="A87" s="283"/>
      <c r="B87" s="269"/>
      <c r="C87" s="231"/>
      <c r="D87" s="22" t="s">
        <v>96</v>
      </c>
      <c r="E87" s="23">
        <f>F87+G87+H87+I87+J87+K87+L87</f>
        <v>0</v>
      </c>
      <c r="F87" s="24"/>
      <c r="G87" s="24"/>
      <c r="H87" s="24"/>
      <c r="I87" s="24"/>
      <c r="J87" s="24"/>
      <c r="K87" s="24"/>
      <c r="L87" s="24"/>
      <c r="M87" s="207"/>
      <c r="N87" s="204"/>
      <c r="O87" s="204"/>
      <c r="P87" s="204"/>
      <c r="Q87" s="204"/>
      <c r="R87" s="204"/>
      <c r="S87" s="204"/>
      <c r="T87" s="204"/>
      <c r="U87" s="225"/>
    </row>
    <row r="88" spans="1:21" ht="12.75" customHeight="1">
      <c r="A88" s="281" t="s">
        <v>136</v>
      </c>
      <c r="B88" s="267" t="s">
        <v>190</v>
      </c>
      <c r="C88" s="229" t="s">
        <v>82</v>
      </c>
      <c r="D88" s="22" t="s">
        <v>97</v>
      </c>
      <c r="E88" s="23">
        <f>E90+E91+E92+E93</f>
        <v>18051326.38</v>
      </c>
      <c r="F88" s="23">
        <f aca="true" t="shared" si="14" ref="F88:L88">F90+F91+F92+F93</f>
        <v>0</v>
      </c>
      <c r="G88" s="23">
        <f t="shared" si="14"/>
        <v>2166054.18</v>
      </c>
      <c r="H88" s="23">
        <f t="shared" si="14"/>
        <v>3168103.56</v>
      </c>
      <c r="I88" s="23">
        <f t="shared" si="14"/>
        <v>3422320</v>
      </c>
      <c r="J88" s="23">
        <f t="shared" si="14"/>
        <v>2723994.24</v>
      </c>
      <c r="K88" s="23">
        <f t="shared" si="14"/>
        <v>3285427.2</v>
      </c>
      <c r="L88" s="23">
        <f t="shared" si="14"/>
        <v>3285427.2</v>
      </c>
      <c r="M88" s="205" t="s">
        <v>202</v>
      </c>
      <c r="N88" s="202">
        <v>1</v>
      </c>
      <c r="O88" s="202">
        <v>1</v>
      </c>
      <c r="P88" s="202">
        <v>1</v>
      </c>
      <c r="Q88" s="202">
        <v>1</v>
      </c>
      <c r="R88" s="202">
        <v>1</v>
      </c>
      <c r="S88" s="202">
        <v>1</v>
      </c>
      <c r="T88" s="202">
        <v>1</v>
      </c>
      <c r="U88" s="219" t="s">
        <v>49</v>
      </c>
    </row>
    <row r="89" spans="1:21" ht="12.75">
      <c r="A89" s="282"/>
      <c r="B89" s="268"/>
      <c r="C89" s="230"/>
      <c r="D89" s="216" t="s">
        <v>117</v>
      </c>
      <c r="E89" s="217"/>
      <c r="F89" s="217"/>
      <c r="G89" s="217"/>
      <c r="H89" s="217"/>
      <c r="I89" s="217"/>
      <c r="J89" s="217"/>
      <c r="K89" s="217"/>
      <c r="L89" s="218"/>
      <c r="M89" s="206"/>
      <c r="N89" s="203"/>
      <c r="O89" s="203"/>
      <c r="P89" s="203"/>
      <c r="Q89" s="203"/>
      <c r="R89" s="203"/>
      <c r="S89" s="203"/>
      <c r="T89" s="203"/>
      <c r="U89" s="220"/>
    </row>
    <row r="90" spans="1:21" ht="12.75">
      <c r="A90" s="282"/>
      <c r="B90" s="268"/>
      <c r="C90" s="230"/>
      <c r="D90" s="22" t="s">
        <v>95</v>
      </c>
      <c r="E90" s="23">
        <f>F90+G90+H90+I90+J90+K90+L90</f>
        <v>18051326.38</v>
      </c>
      <c r="F90" s="24">
        <v>0</v>
      </c>
      <c r="G90" s="24">
        <f>2100000-105000.01+171054.19</f>
        <v>2166054.18</v>
      </c>
      <c r="H90" s="24">
        <f>2534249.99+676733.02+9862.15-49672.41-3069.19</f>
        <v>3168103.56</v>
      </c>
      <c r="I90" s="24">
        <f>1732820+1689500</f>
        <v>3422320</v>
      </c>
      <c r="J90" s="24">
        <f>1850652.48+873341.76</f>
        <v>2723994.24</v>
      </c>
      <c r="K90" s="24">
        <f>1663507.2+1621920</f>
        <v>3285427.2</v>
      </c>
      <c r="L90" s="24">
        <v>3285427.2</v>
      </c>
      <c r="M90" s="206"/>
      <c r="N90" s="203"/>
      <c r="O90" s="203"/>
      <c r="P90" s="203"/>
      <c r="Q90" s="203"/>
      <c r="R90" s="203"/>
      <c r="S90" s="203"/>
      <c r="T90" s="203"/>
      <c r="U90" s="220"/>
    </row>
    <row r="91" spans="1:21" ht="12.75">
      <c r="A91" s="282"/>
      <c r="B91" s="268"/>
      <c r="C91" s="230"/>
      <c r="D91" s="22" t="s">
        <v>93</v>
      </c>
      <c r="E91" s="23">
        <f>F91+G91+H91+I91+J91+K91+L91</f>
        <v>0</v>
      </c>
      <c r="F91" s="24"/>
      <c r="G91" s="24"/>
      <c r="H91" s="24"/>
      <c r="I91" s="24"/>
      <c r="J91" s="24"/>
      <c r="K91" s="24"/>
      <c r="L91" s="24"/>
      <c r="M91" s="206"/>
      <c r="N91" s="203"/>
      <c r="O91" s="203"/>
      <c r="P91" s="203"/>
      <c r="Q91" s="203"/>
      <c r="R91" s="203"/>
      <c r="S91" s="203"/>
      <c r="T91" s="203"/>
      <c r="U91" s="220"/>
    </row>
    <row r="92" spans="1:21" ht="12.75">
      <c r="A92" s="282"/>
      <c r="B92" s="268"/>
      <c r="C92" s="230"/>
      <c r="D92" s="22" t="s">
        <v>94</v>
      </c>
      <c r="E92" s="23">
        <f>F92+G92+H92+I92+J92+K92+L92</f>
        <v>0</v>
      </c>
      <c r="F92" s="24"/>
      <c r="G92" s="24"/>
      <c r="H92" s="24"/>
      <c r="I92" s="24"/>
      <c r="J92" s="24"/>
      <c r="K92" s="24"/>
      <c r="L92" s="24"/>
      <c r="M92" s="206"/>
      <c r="N92" s="203"/>
      <c r="O92" s="203"/>
      <c r="P92" s="203"/>
      <c r="Q92" s="203"/>
      <c r="R92" s="203"/>
      <c r="S92" s="203"/>
      <c r="T92" s="203"/>
      <c r="U92" s="220"/>
    </row>
    <row r="93" spans="1:21" ht="12.75">
      <c r="A93" s="283"/>
      <c r="B93" s="269"/>
      <c r="C93" s="231"/>
      <c r="D93" s="22" t="s">
        <v>96</v>
      </c>
      <c r="E93" s="23">
        <f>F93+G93+H93+I93+J93+K93+L93</f>
        <v>0</v>
      </c>
      <c r="F93" s="24"/>
      <c r="G93" s="24"/>
      <c r="H93" s="24"/>
      <c r="I93" s="24"/>
      <c r="J93" s="24"/>
      <c r="K93" s="24"/>
      <c r="L93" s="24"/>
      <c r="M93" s="207"/>
      <c r="N93" s="204"/>
      <c r="O93" s="204"/>
      <c r="P93" s="204"/>
      <c r="Q93" s="204"/>
      <c r="R93" s="204"/>
      <c r="S93" s="204"/>
      <c r="T93" s="204"/>
      <c r="U93" s="225"/>
    </row>
    <row r="94" spans="1:21" ht="12.75" customHeight="1">
      <c r="A94" s="281" t="s">
        <v>157</v>
      </c>
      <c r="B94" s="267" t="s">
        <v>154</v>
      </c>
      <c r="C94" s="229" t="s">
        <v>82</v>
      </c>
      <c r="D94" s="22" t="s">
        <v>97</v>
      </c>
      <c r="E94" s="23">
        <f>E96+E97+E98+E99</f>
        <v>191383546.66</v>
      </c>
      <c r="F94" s="23">
        <f aca="true" t="shared" si="15" ref="F94:L94">F96+F97+F98+F99</f>
        <v>24365995</v>
      </c>
      <c r="G94" s="23">
        <f t="shared" si="15"/>
        <v>21895744.36</v>
      </c>
      <c r="H94" s="23">
        <f t="shared" si="15"/>
        <v>20844961.15</v>
      </c>
      <c r="I94" s="23">
        <f t="shared" si="15"/>
        <v>20844961.15</v>
      </c>
      <c r="J94" s="23">
        <f t="shared" si="15"/>
        <v>34477295</v>
      </c>
      <c r="K94" s="23">
        <f t="shared" si="15"/>
        <v>34477295</v>
      </c>
      <c r="L94" s="23">
        <f t="shared" si="15"/>
        <v>34477295</v>
      </c>
      <c r="M94" s="284" t="s">
        <v>51</v>
      </c>
      <c r="N94" s="202">
        <v>1</v>
      </c>
      <c r="O94" s="202">
        <v>1</v>
      </c>
      <c r="P94" s="202">
        <v>1</v>
      </c>
      <c r="Q94" s="202">
        <v>1</v>
      </c>
      <c r="R94" s="202">
        <v>1</v>
      </c>
      <c r="S94" s="202">
        <v>1</v>
      </c>
      <c r="T94" s="202">
        <v>1</v>
      </c>
      <c r="U94" s="219" t="s">
        <v>49</v>
      </c>
    </row>
    <row r="95" spans="1:21" ht="12.75">
      <c r="A95" s="282"/>
      <c r="B95" s="268"/>
      <c r="C95" s="230"/>
      <c r="D95" s="216" t="s">
        <v>117</v>
      </c>
      <c r="E95" s="217"/>
      <c r="F95" s="217"/>
      <c r="G95" s="217"/>
      <c r="H95" s="217"/>
      <c r="I95" s="217"/>
      <c r="J95" s="217"/>
      <c r="K95" s="217"/>
      <c r="L95" s="218"/>
      <c r="M95" s="285"/>
      <c r="N95" s="203"/>
      <c r="O95" s="203"/>
      <c r="P95" s="203"/>
      <c r="Q95" s="203"/>
      <c r="R95" s="203"/>
      <c r="S95" s="203"/>
      <c r="T95" s="203"/>
      <c r="U95" s="220"/>
    </row>
    <row r="96" spans="1:21" ht="12.75">
      <c r="A96" s="282"/>
      <c r="B96" s="268"/>
      <c r="C96" s="230"/>
      <c r="D96" s="22" t="s">
        <v>95</v>
      </c>
      <c r="E96" s="23">
        <f>F96+G96+H96+I96+J96+K96+L96</f>
        <v>0</v>
      </c>
      <c r="F96" s="24"/>
      <c r="G96" s="24"/>
      <c r="H96" s="24"/>
      <c r="I96" s="24"/>
      <c r="J96" s="24"/>
      <c r="K96" s="24"/>
      <c r="L96" s="24"/>
      <c r="M96" s="285"/>
      <c r="N96" s="203"/>
      <c r="O96" s="203"/>
      <c r="P96" s="203"/>
      <c r="Q96" s="203"/>
      <c r="R96" s="203"/>
      <c r="S96" s="203"/>
      <c r="T96" s="203"/>
      <c r="U96" s="220"/>
    </row>
    <row r="97" spans="1:21" ht="12.75">
      <c r="A97" s="282"/>
      <c r="B97" s="268"/>
      <c r="C97" s="230"/>
      <c r="D97" s="22" t="s">
        <v>93</v>
      </c>
      <c r="E97" s="23">
        <f>F97+G97+H97+I97+J97+K97+L97</f>
        <v>0</v>
      </c>
      <c r="F97" s="24"/>
      <c r="G97" s="24"/>
      <c r="H97" s="24"/>
      <c r="I97" s="24"/>
      <c r="J97" s="24"/>
      <c r="K97" s="24"/>
      <c r="L97" s="24"/>
      <c r="M97" s="285"/>
      <c r="N97" s="203"/>
      <c r="O97" s="203"/>
      <c r="P97" s="203"/>
      <c r="Q97" s="203"/>
      <c r="R97" s="203"/>
      <c r="S97" s="203"/>
      <c r="T97" s="203"/>
      <c r="U97" s="220"/>
    </row>
    <row r="98" spans="1:21" ht="12.75">
      <c r="A98" s="282"/>
      <c r="B98" s="268"/>
      <c r="C98" s="230"/>
      <c r="D98" s="22" t="s">
        <v>94</v>
      </c>
      <c r="E98" s="23">
        <f>F98+G98+H98+I98+J98+K98+L98</f>
        <v>0</v>
      </c>
      <c r="F98" s="24"/>
      <c r="G98" s="24"/>
      <c r="H98" s="24"/>
      <c r="I98" s="24"/>
      <c r="J98" s="24"/>
      <c r="K98" s="24"/>
      <c r="L98" s="24"/>
      <c r="M98" s="285"/>
      <c r="N98" s="203"/>
      <c r="O98" s="203"/>
      <c r="P98" s="203"/>
      <c r="Q98" s="203"/>
      <c r="R98" s="203"/>
      <c r="S98" s="203"/>
      <c r="T98" s="203"/>
      <c r="U98" s="220"/>
    </row>
    <row r="99" spans="1:21" ht="12.75">
      <c r="A99" s="283"/>
      <c r="B99" s="269"/>
      <c r="C99" s="231"/>
      <c r="D99" s="22" t="s">
        <v>96</v>
      </c>
      <c r="E99" s="23">
        <f>F99+G99+H99+I99+J99+K99+L99</f>
        <v>191383546.66</v>
      </c>
      <c r="F99" s="24">
        <v>24365995</v>
      </c>
      <c r="G99" s="24">
        <v>21895744.36</v>
      </c>
      <c r="H99" s="24">
        <v>20844961.15</v>
      </c>
      <c r="I99" s="24">
        <v>20844961.15</v>
      </c>
      <c r="J99" s="24">
        <v>34477295</v>
      </c>
      <c r="K99" s="24">
        <v>34477295</v>
      </c>
      <c r="L99" s="24">
        <v>34477295</v>
      </c>
      <c r="M99" s="286"/>
      <c r="N99" s="204"/>
      <c r="O99" s="204"/>
      <c r="P99" s="204"/>
      <c r="Q99" s="204"/>
      <c r="R99" s="204"/>
      <c r="S99" s="204"/>
      <c r="T99" s="204"/>
      <c r="U99" s="225"/>
    </row>
    <row r="100" spans="1:21" ht="12.75" customHeight="1">
      <c r="A100" s="281" t="s">
        <v>158</v>
      </c>
      <c r="B100" s="267" t="s">
        <v>0</v>
      </c>
      <c r="C100" s="229" t="s">
        <v>82</v>
      </c>
      <c r="D100" s="22" t="s">
        <v>97</v>
      </c>
      <c r="E100" s="23">
        <f>E102+E103+E104+E105</f>
        <v>7451599</v>
      </c>
      <c r="F100" s="23">
        <f aca="true" t="shared" si="16" ref="F100:L100">F102+F103+F104+F105</f>
        <v>7451599</v>
      </c>
      <c r="G100" s="23">
        <f t="shared" si="16"/>
        <v>0</v>
      </c>
      <c r="H100" s="23">
        <f t="shared" si="16"/>
        <v>0</v>
      </c>
      <c r="I100" s="23">
        <f t="shared" si="16"/>
        <v>0</v>
      </c>
      <c r="J100" s="23">
        <f t="shared" si="16"/>
        <v>0</v>
      </c>
      <c r="K100" s="23">
        <f t="shared" si="16"/>
        <v>0</v>
      </c>
      <c r="L100" s="23">
        <f t="shared" si="16"/>
        <v>0</v>
      </c>
      <c r="M100" s="205" t="s">
        <v>48</v>
      </c>
      <c r="N100" s="208">
        <v>100</v>
      </c>
      <c r="O100" s="208">
        <v>100</v>
      </c>
      <c r="P100" s="208">
        <v>100</v>
      </c>
      <c r="Q100" s="208">
        <v>100</v>
      </c>
      <c r="R100" s="208">
        <v>100</v>
      </c>
      <c r="S100" s="208">
        <v>100</v>
      </c>
      <c r="T100" s="208">
        <v>100</v>
      </c>
      <c r="U100" s="258" t="s">
        <v>50</v>
      </c>
    </row>
    <row r="101" spans="1:21" ht="12.75">
      <c r="A101" s="282"/>
      <c r="B101" s="268"/>
      <c r="C101" s="230"/>
      <c r="D101" s="216" t="s">
        <v>117</v>
      </c>
      <c r="E101" s="217"/>
      <c r="F101" s="217"/>
      <c r="G101" s="217"/>
      <c r="H101" s="217"/>
      <c r="I101" s="217"/>
      <c r="J101" s="217"/>
      <c r="K101" s="217"/>
      <c r="L101" s="218"/>
      <c r="M101" s="206"/>
      <c r="N101" s="209"/>
      <c r="O101" s="209"/>
      <c r="P101" s="209"/>
      <c r="Q101" s="209"/>
      <c r="R101" s="209"/>
      <c r="S101" s="209"/>
      <c r="T101" s="209"/>
      <c r="U101" s="259"/>
    </row>
    <row r="102" spans="1:21" ht="12.75">
      <c r="A102" s="282"/>
      <c r="B102" s="268"/>
      <c r="C102" s="230"/>
      <c r="D102" s="22" t="s">
        <v>95</v>
      </c>
      <c r="E102" s="23">
        <f>F102+G102+H102+I102+J102+K102+L102</f>
        <v>7451599</v>
      </c>
      <c r="F102" s="24">
        <v>7451599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06"/>
      <c r="N102" s="209"/>
      <c r="O102" s="209"/>
      <c r="P102" s="209"/>
      <c r="Q102" s="209"/>
      <c r="R102" s="209"/>
      <c r="S102" s="209"/>
      <c r="T102" s="209"/>
      <c r="U102" s="259"/>
    </row>
    <row r="103" spans="1:21" ht="12.75">
      <c r="A103" s="282"/>
      <c r="B103" s="268"/>
      <c r="C103" s="230"/>
      <c r="D103" s="22" t="s">
        <v>93</v>
      </c>
      <c r="E103" s="23">
        <f>F103+G103+H103+I103+J103+K103+L103</f>
        <v>0</v>
      </c>
      <c r="F103" s="24"/>
      <c r="G103" s="24"/>
      <c r="H103" s="24"/>
      <c r="I103" s="24"/>
      <c r="J103" s="24"/>
      <c r="K103" s="24"/>
      <c r="L103" s="24"/>
      <c r="M103" s="206"/>
      <c r="N103" s="209"/>
      <c r="O103" s="209"/>
      <c r="P103" s="209"/>
      <c r="Q103" s="209"/>
      <c r="R103" s="209"/>
      <c r="S103" s="209"/>
      <c r="T103" s="209"/>
      <c r="U103" s="259"/>
    </row>
    <row r="104" spans="1:21" ht="12.75">
      <c r="A104" s="282"/>
      <c r="B104" s="268"/>
      <c r="C104" s="230"/>
      <c r="D104" s="22" t="s">
        <v>94</v>
      </c>
      <c r="E104" s="23">
        <f>F104+G104+H104+I104+J104+K104+L104</f>
        <v>0</v>
      </c>
      <c r="F104" s="24"/>
      <c r="G104" s="24"/>
      <c r="H104" s="24"/>
      <c r="I104" s="24"/>
      <c r="J104" s="24"/>
      <c r="K104" s="24"/>
      <c r="L104" s="24"/>
      <c r="M104" s="206"/>
      <c r="N104" s="209"/>
      <c r="O104" s="209"/>
      <c r="P104" s="209"/>
      <c r="Q104" s="209"/>
      <c r="R104" s="209"/>
      <c r="S104" s="209"/>
      <c r="T104" s="209"/>
      <c r="U104" s="259"/>
    </row>
    <row r="105" spans="1:21" ht="12.75">
      <c r="A105" s="283"/>
      <c r="B105" s="269"/>
      <c r="C105" s="231"/>
      <c r="D105" s="22" t="s">
        <v>96</v>
      </c>
      <c r="E105" s="23">
        <f>F105+G105+H105+I105+J105+K105+L105</f>
        <v>0</v>
      </c>
      <c r="F105" s="24"/>
      <c r="G105" s="24"/>
      <c r="H105" s="24"/>
      <c r="I105" s="24"/>
      <c r="J105" s="24"/>
      <c r="K105" s="24"/>
      <c r="L105" s="24"/>
      <c r="M105" s="207"/>
      <c r="N105" s="210"/>
      <c r="O105" s="210"/>
      <c r="P105" s="210"/>
      <c r="Q105" s="210"/>
      <c r="R105" s="210"/>
      <c r="S105" s="210"/>
      <c r="T105" s="210"/>
      <c r="U105" s="260"/>
    </row>
    <row r="106" spans="1:21" ht="12.75" customHeight="1">
      <c r="A106" s="281" t="s">
        <v>159</v>
      </c>
      <c r="B106" s="267" t="s">
        <v>155</v>
      </c>
      <c r="C106" s="229" t="s">
        <v>82</v>
      </c>
      <c r="D106" s="22" t="s">
        <v>97</v>
      </c>
      <c r="E106" s="23">
        <f>E108+E109+E110+E111</f>
        <v>575647</v>
      </c>
      <c r="F106" s="23">
        <f aca="true" t="shared" si="17" ref="F106:L106">F108+F109+F110+F111</f>
        <v>575647</v>
      </c>
      <c r="G106" s="23">
        <f t="shared" si="17"/>
        <v>0</v>
      </c>
      <c r="H106" s="23">
        <f t="shared" si="17"/>
        <v>0</v>
      </c>
      <c r="I106" s="23">
        <f t="shared" si="17"/>
        <v>0</v>
      </c>
      <c r="J106" s="23">
        <f t="shared" si="17"/>
        <v>0</v>
      </c>
      <c r="K106" s="23">
        <f t="shared" si="17"/>
        <v>0</v>
      </c>
      <c r="L106" s="23">
        <f t="shared" si="17"/>
        <v>0</v>
      </c>
      <c r="M106" s="205" t="s">
        <v>3</v>
      </c>
      <c r="N106" s="202">
        <v>1</v>
      </c>
      <c r="O106" s="202">
        <v>1</v>
      </c>
      <c r="P106" s="202">
        <v>1</v>
      </c>
      <c r="Q106" s="202">
        <v>1</v>
      </c>
      <c r="R106" s="202">
        <v>1</v>
      </c>
      <c r="S106" s="202">
        <v>1</v>
      </c>
      <c r="T106" s="202">
        <v>1</v>
      </c>
      <c r="U106" s="258" t="s">
        <v>50</v>
      </c>
    </row>
    <row r="107" spans="1:21" ht="12.75">
      <c r="A107" s="282"/>
      <c r="B107" s="268"/>
      <c r="C107" s="230"/>
      <c r="D107" s="216" t="s">
        <v>117</v>
      </c>
      <c r="E107" s="217"/>
      <c r="F107" s="217"/>
      <c r="G107" s="217"/>
      <c r="H107" s="217"/>
      <c r="I107" s="217"/>
      <c r="J107" s="217"/>
      <c r="K107" s="217"/>
      <c r="L107" s="218"/>
      <c r="M107" s="206"/>
      <c r="N107" s="203"/>
      <c r="O107" s="203"/>
      <c r="P107" s="203"/>
      <c r="Q107" s="203"/>
      <c r="R107" s="203"/>
      <c r="S107" s="203"/>
      <c r="T107" s="203"/>
      <c r="U107" s="259"/>
    </row>
    <row r="108" spans="1:21" ht="12.75">
      <c r="A108" s="282"/>
      <c r="B108" s="268"/>
      <c r="C108" s="230"/>
      <c r="D108" s="22" t="s">
        <v>95</v>
      </c>
      <c r="E108" s="23">
        <f>F108+G108+H108+I108+J108+K108+L108</f>
        <v>575647</v>
      </c>
      <c r="F108" s="24">
        <v>575647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06"/>
      <c r="N108" s="203"/>
      <c r="O108" s="203"/>
      <c r="P108" s="203"/>
      <c r="Q108" s="203"/>
      <c r="R108" s="203"/>
      <c r="S108" s="203"/>
      <c r="T108" s="203"/>
      <c r="U108" s="259"/>
    </row>
    <row r="109" spans="1:21" ht="12.75">
      <c r="A109" s="282"/>
      <c r="B109" s="268"/>
      <c r="C109" s="230"/>
      <c r="D109" s="22" t="s">
        <v>93</v>
      </c>
      <c r="E109" s="23">
        <f>F109+G109+H109+I109+J109+K109+L109</f>
        <v>0</v>
      </c>
      <c r="F109" s="24"/>
      <c r="G109" s="24"/>
      <c r="H109" s="24"/>
      <c r="I109" s="24"/>
      <c r="J109" s="24"/>
      <c r="K109" s="24"/>
      <c r="L109" s="24"/>
      <c r="M109" s="206"/>
      <c r="N109" s="203"/>
      <c r="O109" s="203"/>
      <c r="P109" s="203"/>
      <c r="Q109" s="203"/>
      <c r="R109" s="203"/>
      <c r="S109" s="203"/>
      <c r="T109" s="203"/>
      <c r="U109" s="259"/>
    </row>
    <row r="110" spans="1:21" ht="12.75">
      <c r="A110" s="282"/>
      <c r="B110" s="268"/>
      <c r="C110" s="230"/>
      <c r="D110" s="22" t="s">
        <v>94</v>
      </c>
      <c r="E110" s="23">
        <f>F110+G110+H110+I110+J110+K110+L110</f>
        <v>0</v>
      </c>
      <c r="F110" s="24"/>
      <c r="G110" s="24"/>
      <c r="H110" s="24"/>
      <c r="I110" s="24"/>
      <c r="J110" s="24"/>
      <c r="K110" s="24"/>
      <c r="L110" s="24"/>
      <c r="M110" s="206"/>
      <c r="N110" s="203"/>
      <c r="O110" s="203"/>
      <c r="P110" s="203"/>
      <c r="Q110" s="203"/>
      <c r="R110" s="203"/>
      <c r="S110" s="203"/>
      <c r="T110" s="203"/>
      <c r="U110" s="259"/>
    </row>
    <row r="111" spans="1:21" ht="12.75">
      <c r="A111" s="283"/>
      <c r="B111" s="269"/>
      <c r="C111" s="231"/>
      <c r="D111" s="22" t="s">
        <v>96</v>
      </c>
      <c r="E111" s="23">
        <f>F111+G111+H111+I111+J111+K111+L111</f>
        <v>0</v>
      </c>
      <c r="F111" s="24"/>
      <c r="G111" s="24"/>
      <c r="H111" s="24"/>
      <c r="I111" s="24"/>
      <c r="J111" s="24"/>
      <c r="K111" s="24"/>
      <c r="L111" s="24"/>
      <c r="M111" s="207"/>
      <c r="N111" s="204"/>
      <c r="O111" s="204"/>
      <c r="P111" s="204"/>
      <c r="Q111" s="204"/>
      <c r="R111" s="204"/>
      <c r="S111" s="204"/>
      <c r="T111" s="204"/>
      <c r="U111" s="260"/>
    </row>
    <row r="112" spans="1:21" ht="12.75" customHeight="1">
      <c r="A112" s="281" t="s">
        <v>1</v>
      </c>
      <c r="B112" s="267" t="s">
        <v>156</v>
      </c>
      <c r="C112" s="229" t="s">
        <v>82</v>
      </c>
      <c r="D112" s="22" t="s">
        <v>97</v>
      </c>
      <c r="E112" s="23">
        <f>E114+E115+E116+E117</f>
        <v>8750000</v>
      </c>
      <c r="F112" s="23">
        <f aca="true" t="shared" si="18" ref="F112:L112">F114+F115+F116+F117</f>
        <v>8750000</v>
      </c>
      <c r="G112" s="23">
        <f t="shared" si="18"/>
        <v>0</v>
      </c>
      <c r="H112" s="23">
        <f t="shared" si="18"/>
        <v>0</v>
      </c>
      <c r="I112" s="23">
        <f t="shared" si="18"/>
        <v>0</v>
      </c>
      <c r="J112" s="23">
        <f t="shared" si="18"/>
        <v>0</v>
      </c>
      <c r="K112" s="23">
        <f t="shared" si="18"/>
        <v>0</v>
      </c>
      <c r="L112" s="23">
        <f t="shared" si="18"/>
        <v>0</v>
      </c>
      <c r="M112" s="284" t="s">
        <v>51</v>
      </c>
      <c r="N112" s="202">
        <v>1</v>
      </c>
      <c r="O112" s="202">
        <v>1</v>
      </c>
      <c r="P112" s="202">
        <v>1</v>
      </c>
      <c r="Q112" s="202">
        <v>1</v>
      </c>
      <c r="R112" s="202">
        <v>1</v>
      </c>
      <c r="S112" s="202">
        <v>1</v>
      </c>
      <c r="T112" s="202">
        <v>1</v>
      </c>
      <c r="U112" s="258" t="s">
        <v>50</v>
      </c>
    </row>
    <row r="113" spans="1:21" ht="12.75">
      <c r="A113" s="282"/>
      <c r="B113" s="268"/>
      <c r="C113" s="230"/>
      <c r="D113" s="216" t="s">
        <v>117</v>
      </c>
      <c r="E113" s="217"/>
      <c r="F113" s="217"/>
      <c r="G113" s="217"/>
      <c r="H113" s="217"/>
      <c r="I113" s="217"/>
      <c r="J113" s="217"/>
      <c r="K113" s="217"/>
      <c r="L113" s="218"/>
      <c r="M113" s="285"/>
      <c r="N113" s="203"/>
      <c r="O113" s="203"/>
      <c r="P113" s="203"/>
      <c r="Q113" s="203"/>
      <c r="R113" s="203"/>
      <c r="S113" s="203"/>
      <c r="T113" s="203"/>
      <c r="U113" s="259"/>
    </row>
    <row r="114" spans="1:21" ht="12.75">
      <c r="A114" s="282"/>
      <c r="B114" s="268"/>
      <c r="C114" s="230"/>
      <c r="D114" s="22" t="s">
        <v>95</v>
      </c>
      <c r="E114" s="23">
        <f>F114+G114+H114+I114+J114+K114+L114</f>
        <v>0</v>
      </c>
      <c r="F114" s="24"/>
      <c r="G114" s="24"/>
      <c r="H114" s="24"/>
      <c r="I114" s="24"/>
      <c r="J114" s="24"/>
      <c r="K114" s="24"/>
      <c r="L114" s="24"/>
      <c r="M114" s="285"/>
      <c r="N114" s="203"/>
      <c r="O114" s="203"/>
      <c r="P114" s="203"/>
      <c r="Q114" s="203"/>
      <c r="R114" s="203"/>
      <c r="S114" s="203"/>
      <c r="T114" s="203"/>
      <c r="U114" s="259"/>
    </row>
    <row r="115" spans="1:21" ht="12.75">
      <c r="A115" s="282"/>
      <c r="B115" s="268"/>
      <c r="C115" s="230"/>
      <c r="D115" s="22" t="s">
        <v>93</v>
      </c>
      <c r="E115" s="23">
        <f>F115+G115+H115+I115+J115+K115+L115</f>
        <v>0</v>
      </c>
      <c r="F115" s="24"/>
      <c r="G115" s="24"/>
      <c r="H115" s="24"/>
      <c r="I115" s="24"/>
      <c r="J115" s="24"/>
      <c r="K115" s="24"/>
      <c r="L115" s="24"/>
      <c r="M115" s="285"/>
      <c r="N115" s="203"/>
      <c r="O115" s="203"/>
      <c r="P115" s="203"/>
      <c r="Q115" s="203"/>
      <c r="R115" s="203"/>
      <c r="S115" s="203"/>
      <c r="T115" s="203"/>
      <c r="U115" s="259"/>
    </row>
    <row r="116" spans="1:21" ht="12.75">
      <c r="A116" s="282"/>
      <c r="B116" s="268"/>
      <c r="C116" s="230"/>
      <c r="D116" s="22" t="s">
        <v>94</v>
      </c>
      <c r="E116" s="23">
        <f>F116+G116+H116+I116+J116+K116+L116</f>
        <v>0</v>
      </c>
      <c r="F116" s="24"/>
      <c r="G116" s="24"/>
      <c r="H116" s="24"/>
      <c r="I116" s="24"/>
      <c r="J116" s="24"/>
      <c r="K116" s="24"/>
      <c r="L116" s="24"/>
      <c r="M116" s="285"/>
      <c r="N116" s="203"/>
      <c r="O116" s="203"/>
      <c r="P116" s="203"/>
      <c r="Q116" s="203"/>
      <c r="R116" s="203"/>
      <c r="S116" s="203"/>
      <c r="T116" s="203"/>
      <c r="U116" s="259"/>
    </row>
    <row r="117" spans="1:21" ht="12.75">
      <c r="A117" s="283"/>
      <c r="B117" s="269"/>
      <c r="C117" s="231"/>
      <c r="D117" s="22" t="s">
        <v>96</v>
      </c>
      <c r="E117" s="23">
        <f>F117+G117+H117+I117+J117+K117+L117</f>
        <v>8750000</v>
      </c>
      <c r="F117" s="24">
        <v>8750000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86"/>
      <c r="N117" s="204"/>
      <c r="O117" s="204"/>
      <c r="P117" s="204"/>
      <c r="Q117" s="204"/>
      <c r="R117" s="204"/>
      <c r="S117" s="204"/>
      <c r="T117" s="204"/>
      <c r="U117" s="260"/>
    </row>
    <row r="118" spans="1:21" ht="13.5" customHeight="1">
      <c r="A118" s="261"/>
      <c r="B118" s="264" t="s">
        <v>160</v>
      </c>
      <c r="C118" s="261"/>
      <c r="D118" s="102" t="s">
        <v>97</v>
      </c>
      <c r="E118" s="103">
        <f aca="true" t="shared" si="19" ref="E118:L118">E120+E121+E122+E123</f>
        <v>1598053236.93</v>
      </c>
      <c r="F118" s="103">
        <f t="shared" si="19"/>
        <v>222458828.14</v>
      </c>
      <c r="G118" s="103">
        <f t="shared" si="19"/>
        <v>212714311.44</v>
      </c>
      <c r="H118" s="103">
        <f t="shared" si="19"/>
        <v>222798082.33</v>
      </c>
      <c r="I118" s="103">
        <f t="shared" si="19"/>
        <v>234121132.59</v>
      </c>
      <c r="J118" s="103">
        <f t="shared" si="19"/>
        <v>237387837.27</v>
      </c>
      <c r="K118" s="103">
        <f t="shared" si="19"/>
        <v>234286522.57999998</v>
      </c>
      <c r="L118" s="103">
        <f t="shared" si="19"/>
        <v>234286522.57999998</v>
      </c>
      <c r="M118" s="236"/>
      <c r="N118" s="244"/>
      <c r="O118" s="244"/>
      <c r="P118" s="244"/>
      <c r="Q118" s="244"/>
      <c r="R118" s="244"/>
      <c r="S118" s="244"/>
      <c r="T118" s="244"/>
      <c r="U118" s="247"/>
    </row>
    <row r="119" spans="1:21" ht="12.75" customHeight="1">
      <c r="A119" s="262"/>
      <c r="B119" s="265"/>
      <c r="C119" s="262"/>
      <c r="D119" s="239" t="s">
        <v>117</v>
      </c>
      <c r="E119" s="240"/>
      <c r="F119" s="240"/>
      <c r="G119" s="240"/>
      <c r="H119" s="240"/>
      <c r="I119" s="240"/>
      <c r="J119" s="240"/>
      <c r="K119" s="240"/>
      <c r="L119" s="241"/>
      <c r="M119" s="237"/>
      <c r="N119" s="245"/>
      <c r="O119" s="245"/>
      <c r="P119" s="245"/>
      <c r="Q119" s="245"/>
      <c r="R119" s="245"/>
      <c r="S119" s="245"/>
      <c r="T119" s="245"/>
      <c r="U119" s="248"/>
    </row>
    <row r="120" spans="1:21" ht="13.5" customHeight="1">
      <c r="A120" s="262"/>
      <c r="B120" s="265"/>
      <c r="C120" s="262"/>
      <c r="D120" s="104" t="s">
        <v>95</v>
      </c>
      <c r="E120" s="103">
        <f>F120+G120+H120+I120+J120+K120+L120</f>
        <v>1378991375.74</v>
      </c>
      <c r="F120" s="105">
        <f aca="true" t="shared" si="20" ref="F120:L123">F78+F84+F96+F102+F108+F114+F90</f>
        <v>186855783.14</v>
      </c>
      <c r="G120" s="105">
        <f t="shared" si="20"/>
        <v>188442557.08</v>
      </c>
      <c r="H120" s="105">
        <f t="shared" si="20"/>
        <v>198994771.18</v>
      </c>
      <c r="I120" s="105">
        <f t="shared" si="20"/>
        <v>207431160</v>
      </c>
      <c r="J120" s="105">
        <f t="shared" si="20"/>
        <v>197648649.18</v>
      </c>
      <c r="K120" s="105">
        <f t="shared" si="20"/>
        <v>199809227.57999998</v>
      </c>
      <c r="L120" s="105">
        <f t="shared" si="20"/>
        <v>199809227.57999998</v>
      </c>
      <c r="M120" s="237"/>
      <c r="N120" s="245"/>
      <c r="O120" s="245"/>
      <c r="P120" s="245"/>
      <c r="Q120" s="245"/>
      <c r="R120" s="245"/>
      <c r="S120" s="245"/>
      <c r="T120" s="245"/>
      <c r="U120" s="248"/>
    </row>
    <row r="121" spans="1:21" ht="13.5" customHeight="1">
      <c r="A121" s="262"/>
      <c r="B121" s="265"/>
      <c r="C121" s="262"/>
      <c r="D121" s="104" t="s">
        <v>93</v>
      </c>
      <c r="E121" s="103">
        <f>F121+G121+H121+I121+J121+K121+L121</f>
        <v>18928314.53</v>
      </c>
      <c r="F121" s="105">
        <f t="shared" si="20"/>
        <v>2487050</v>
      </c>
      <c r="G121" s="105">
        <f t="shared" si="20"/>
        <v>2376010</v>
      </c>
      <c r="H121" s="105">
        <f t="shared" si="20"/>
        <v>2958350</v>
      </c>
      <c r="I121" s="105">
        <f t="shared" si="20"/>
        <v>5845011.4399999995</v>
      </c>
      <c r="J121" s="105">
        <f t="shared" si="20"/>
        <v>5261893.09</v>
      </c>
      <c r="K121" s="105">
        <f t="shared" si="20"/>
        <v>0</v>
      </c>
      <c r="L121" s="105">
        <f t="shared" si="20"/>
        <v>0</v>
      </c>
      <c r="M121" s="237"/>
      <c r="N121" s="245"/>
      <c r="O121" s="245"/>
      <c r="P121" s="245"/>
      <c r="Q121" s="245"/>
      <c r="R121" s="245"/>
      <c r="S121" s="245"/>
      <c r="T121" s="245"/>
      <c r="U121" s="248"/>
    </row>
    <row r="122" spans="1:21" ht="13.5" customHeight="1">
      <c r="A122" s="262"/>
      <c r="B122" s="265"/>
      <c r="C122" s="262"/>
      <c r="D122" s="104" t="s">
        <v>94</v>
      </c>
      <c r="E122" s="103">
        <f>F122+G122+H122+I122+J122+K122+L122</f>
        <v>0</v>
      </c>
      <c r="F122" s="105">
        <f t="shared" si="20"/>
        <v>0</v>
      </c>
      <c r="G122" s="105">
        <f t="shared" si="20"/>
        <v>0</v>
      </c>
      <c r="H122" s="105">
        <f t="shared" si="20"/>
        <v>0</v>
      </c>
      <c r="I122" s="105">
        <f t="shared" si="20"/>
        <v>0</v>
      </c>
      <c r="J122" s="105">
        <f t="shared" si="20"/>
        <v>0</v>
      </c>
      <c r="K122" s="105">
        <f t="shared" si="20"/>
        <v>0</v>
      </c>
      <c r="L122" s="105">
        <f t="shared" si="20"/>
        <v>0</v>
      </c>
      <c r="M122" s="237"/>
      <c r="N122" s="245"/>
      <c r="O122" s="245"/>
      <c r="P122" s="245"/>
      <c r="Q122" s="245"/>
      <c r="R122" s="245"/>
      <c r="S122" s="245"/>
      <c r="T122" s="245"/>
      <c r="U122" s="248"/>
    </row>
    <row r="123" spans="1:21" ht="13.5" customHeight="1">
      <c r="A123" s="263"/>
      <c r="B123" s="266"/>
      <c r="C123" s="263"/>
      <c r="D123" s="104" t="s">
        <v>96</v>
      </c>
      <c r="E123" s="103">
        <f>F123+G123+H123+I123+J123+K123+L123</f>
        <v>200133546.66</v>
      </c>
      <c r="F123" s="105">
        <f t="shared" si="20"/>
        <v>33115995</v>
      </c>
      <c r="G123" s="105">
        <f t="shared" si="20"/>
        <v>21895744.36</v>
      </c>
      <c r="H123" s="105">
        <f t="shared" si="20"/>
        <v>20844961.15</v>
      </c>
      <c r="I123" s="105">
        <f t="shared" si="20"/>
        <v>20844961.15</v>
      </c>
      <c r="J123" s="105">
        <f t="shared" si="20"/>
        <v>34477295</v>
      </c>
      <c r="K123" s="105">
        <f t="shared" si="20"/>
        <v>34477295</v>
      </c>
      <c r="L123" s="105">
        <f t="shared" si="20"/>
        <v>34477295</v>
      </c>
      <c r="M123" s="238"/>
      <c r="N123" s="246"/>
      <c r="O123" s="246"/>
      <c r="P123" s="246"/>
      <c r="Q123" s="246"/>
      <c r="R123" s="246"/>
      <c r="S123" s="246"/>
      <c r="T123" s="246"/>
      <c r="U123" s="249"/>
    </row>
    <row r="124" spans="1:21" s="79" customFormat="1" ht="13.5" customHeight="1">
      <c r="A124" s="261"/>
      <c r="B124" s="264" t="s">
        <v>78</v>
      </c>
      <c r="C124" s="261"/>
      <c r="D124" s="102" t="s">
        <v>97</v>
      </c>
      <c r="E124" s="103">
        <f>E126+E127+E128+E129</f>
        <v>4735648065.79</v>
      </c>
      <c r="F124" s="103">
        <f aca="true" t="shared" si="21" ref="F124:L124">F118+F69</f>
        <v>630157257.97</v>
      </c>
      <c r="G124" s="103">
        <f t="shared" si="21"/>
        <v>629509067.48</v>
      </c>
      <c r="H124" s="103">
        <f t="shared" si="21"/>
        <v>659507806.04</v>
      </c>
      <c r="I124" s="103">
        <f t="shared" si="21"/>
        <v>699024721.33</v>
      </c>
      <c r="J124" s="103">
        <f t="shared" si="21"/>
        <v>706261723.46</v>
      </c>
      <c r="K124" s="103">
        <f t="shared" si="21"/>
        <v>705594450.1700001</v>
      </c>
      <c r="L124" s="103">
        <f t="shared" si="21"/>
        <v>705593039.3399999</v>
      </c>
      <c r="M124" s="236"/>
      <c r="N124" s="244"/>
      <c r="O124" s="244"/>
      <c r="P124" s="244"/>
      <c r="Q124" s="244"/>
      <c r="R124" s="244"/>
      <c r="S124" s="244"/>
      <c r="T124" s="244"/>
      <c r="U124" s="247"/>
    </row>
    <row r="125" spans="1:21" ht="12.75" customHeight="1">
      <c r="A125" s="262"/>
      <c r="B125" s="265"/>
      <c r="C125" s="262"/>
      <c r="D125" s="239" t="s">
        <v>117</v>
      </c>
      <c r="E125" s="240"/>
      <c r="F125" s="240"/>
      <c r="G125" s="240"/>
      <c r="H125" s="240"/>
      <c r="I125" s="240"/>
      <c r="J125" s="240"/>
      <c r="K125" s="240"/>
      <c r="L125" s="241"/>
      <c r="M125" s="237"/>
      <c r="N125" s="245"/>
      <c r="O125" s="245"/>
      <c r="P125" s="245"/>
      <c r="Q125" s="245"/>
      <c r="R125" s="245"/>
      <c r="S125" s="245"/>
      <c r="T125" s="245"/>
      <c r="U125" s="248"/>
    </row>
    <row r="126" spans="1:21" ht="13.5" customHeight="1">
      <c r="A126" s="262"/>
      <c r="B126" s="265"/>
      <c r="C126" s="262"/>
      <c r="D126" s="104" t="s">
        <v>95</v>
      </c>
      <c r="E126" s="103">
        <f>F126+G126+H126+I126+J126+K126+L126</f>
        <v>2116921688.99</v>
      </c>
      <c r="F126" s="105">
        <f aca="true" t="shared" si="22" ref="F126:L129">F71+F120</f>
        <v>288108773.96999997</v>
      </c>
      <c r="G126" s="105">
        <f t="shared" si="22"/>
        <v>288034535.81</v>
      </c>
      <c r="H126" s="105">
        <f t="shared" si="22"/>
        <v>305418423.32</v>
      </c>
      <c r="I126" s="105">
        <f t="shared" si="22"/>
        <v>315876789</v>
      </c>
      <c r="J126" s="105">
        <f t="shared" si="22"/>
        <v>303517595.36</v>
      </c>
      <c r="K126" s="105">
        <f t="shared" si="22"/>
        <v>307983491.18</v>
      </c>
      <c r="L126" s="105">
        <f t="shared" si="22"/>
        <v>307982080.34999996</v>
      </c>
      <c r="M126" s="237"/>
      <c r="N126" s="245"/>
      <c r="O126" s="245"/>
      <c r="P126" s="245"/>
      <c r="Q126" s="245"/>
      <c r="R126" s="245"/>
      <c r="S126" s="245"/>
      <c r="T126" s="245"/>
      <c r="U126" s="248"/>
    </row>
    <row r="127" spans="1:21" ht="13.5" customHeight="1">
      <c r="A127" s="262"/>
      <c r="B127" s="265"/>
      <c r="C127" s="262"/>
      <c r="D127" s="104" t="s">
        <v>93</v>
      </c>
      <c r="E127" s="103">
        <f>F127+G127+H127+I127+J127+K127+L127</f>
        <v>2410582802.07</v>
      </c>
      <c r="F127" s="105">
        <f t="shared" si="22"/>
        <v>308069784</v>
      </c>
      <c r="G127" s="105">
        <f t="shared" si="22"/>
        <v>318165579.24</v>
      </c>
      <c r="H127" s="105">
        <f t="shared" si="22"/>
        <v>331671421.57</v>
      </c>
      <c r="I127" s="105">
        <f t="shared" si="22"/>
        <v>360729971.18</v>
      </c>
      <c r="J127" s="105">
        <f t="shared" si="22"/>
        <v>367404128.1</v>
      </c>
      <c r="K127" s="105">
        <f t="shared" si="22"/>
        <v>362270958.99</v>
      </c>
      <c r="L127" s="105">
        <f t="shared" si="22"/>
        <v>362270958.99</v>
      </c>
      <c r="M127" s="237"/>
      <c r="N127" s="245"/>
      <c r="O127" s="245"/>
      <c r="P127" s="245"/>
      <c r="Q127" s="245"/>
      <c r="R127" s="245"/>
      <c r="S127" s="245"/>
      <c r="T127" s="245"/>
      <c r="U127" s="248"/>
    </row>
    <row r="128" spans="1:21" ht="13.5" customHeight="1">
      <c r="A128" s="262"/>
      <c r="B128" s="265"/>
      <c r="C128" s="262"/>
      <c r="D128" s="104" t="s">
        <v>94</v>
      </c>
      <c r="E128" s="103">
        <f>F128+G128+H128+I128+J128+K128+L128</f>
        <v>0</v>
      </c>
      <c r="F128" s="105">
        <f t="shared" si="22"/>
        <v>0</v>
      </c>
      <c r="G128" s="105">
        <f t="shared" si="22"/>
        <v>0</v>
      </c>
      <c r="H128" s="105">
        <f t="shared" si="22"/>
        <v>0</v>
      </c>
      <c r="I128" s="105">
        <f t="shared" si="22"/>
        <v>0</v>
      </c>
      <c r="J128" s="105">
        <f t="shared" si="22"/>
        <v>0</v>
      </c>
      <c r="K128" s="105">
        <f t="shared" si="22"/>
        <v>0</v>
      </c>
      <c r="L128" s="105">
        <f t="shared" si="22"/>
        <v>0</v>
      </c>
      <c r="M128" s="237"/>
      <c r="N128" s="245"/>
      <c r="O128" s="245"/>
      <c r="P128" s="245"/>
      <c r="Q128" s="245"/>
      <c r="R128" s="245"/>
      <c r="S128" s="245"/>
      <c r="T128" s="245"/>
      <c r="U128" s="248"/>
    </row>
    <row r="129" spans="1:21" ht="13.5" customHeight="1">
      <c r="A129" s="263"/>
      <c r="B129" s="266"/>
      <c r="C129" s="263"/>
      <c r="D129" s="104" t="s">
        <v>96</v>
      </c>
      <c r="E129" s="103">
        <f>F129+G129+H129+I129+J129+K129+L129</f>
        <v>208143574.73</v>
      </c>
      <c r="F129" s="105">
        <f t="shared" si="22"/>
        <v>33978700</v>
      </c>
      <c r="G129" s="105">
        <f t="shared" si="22"/>
        <v>23308952.43</v>
      </c>
      <c r="H129" s="105">
        <f t="shared" si="22"/>
        <v>22417961.15</v>
      </c>
      <c r="I129" s="105">
        <f t="shared" si="22"/>
        <v>22417961.15</v>
      </c>
      <c r="J129" s="105">
        <f t="shared" si="22"/>
        <v>35340000</v>
      </c>
      <c r="K129" s="105">
        <f t="shared" si="22"/>
        <v>35340000</v>
      </c>
      <c r="L129" s="105">
        <f t="shared" si="22"/>
        <v>35340000</v>
      </c>
      <c r="M129" s="238"/>
      <c r="N129" s="246"/>
      <c r="O129" s="246"/>
      <c r="P129" s="246"/>
      <c r="Q129" s="246"/>
      <c r="R129" s="246"/>
      <c r="S129" s="246"/>
      <c r="T129" s="246"/>
      <c r="U129" s="249"/>
    </row>
    <row r="131" spans="5:8" s="32" customFormat="1" ht="12.75">
      <c r="E131" s="33"/>
      <c r="G131" s="78"/>
      <c r="H131" s="78"/>
    </row>
    <row r="132" spans="7:9" ht="12.75">
      <c r="G132" s="78"/>
      <c r="H132" s="78"/>
      <c r="I132" s="32"/>
    </row>
    <row r="133" spans="5:9" ht="12.75">
      <c r="E133" s="26"/>
      <c r="G133" s="34"/>
      <c r="H133" s="78"/>
      <c r="I133" s="89"/>
    </row>
    <row r="134" spans="5:9" ht="12.75">
      <c r="E134" s="26"/>
      <c r="F134" s="35"/>
      <c r="G134" s="36"/>
      <c r="H134" s="90"/>
      <c r="I134" s="90"/>
    </row>
    <row r="135" spans="5:9" ht="12.75">
      <c r="E135" s="26"/>
      <c r="F135" s="35"/>
      <c r="G135" s="34"/>
      <c r="H135" s="89"/>
      <c r="I135" s="89"/>
    </row>
    <row r="136" spans="2:9" ht="12.75">
      <c r="B136" s="26"/>
      <c r="E136" s="26"/>
      <c r="F136" s="37"/>
      <c r="G136" s="38"/>
      <c r="H136" s="26"/>
      <c r="I136" s="26"/>
    </row>
    <row r="137" spans="2:9" ht="12.75">
      <c r="B137" s="26"/>
      <c r="E137" s="26"/>
      <c r="F137" s="39"/>
      <c r="G137" s="38"/>
      <c r="H137" s="26"/>
      <c r="I137" s="26"/>
    </row>
    <row r="138" spans="2:9" ht="12.75">
      <c r="B138" s="26"/>
      <c r="E138" s="26"/>
      <c r="F138" s="37"/>
      <c r="G138" s="38"/>
      <c r="H138" s="26"/>
      <c r="I138" s="26"/>
    </row>
    <row r="139" spans="2:9" ht="12.75">
      <c r="B139" s="26"/>
      <c r="E139" s="36"/>
      <c r="F139" s="37"/>
      <c r="G139" s="40"/>
      <c r="H139" s="26"/>
      <c r="I139" s="26"/>
    </row>
    <row r="140" spans="2:9" ht="12.75">
      <c r="B140" s="26"/>
      <c r="C140" s="35"/>
      <c r="E140" s="26"/>
      <c r="F140" s="37"/>
      <c r="G140" s="40"/>
      <c r="H140" s="26"/>
      <c r="I140" s="26"/>
    </row>
    <row r="141" spans="2:9" ht="12.75">
      <c r="B141" s="26"/>
      <c r="C141" s="35"/>
      <c r="E141" s="26"/>
      <c r="F141" s="37"/>
      <c r="G141" s="41"/>
      <c r="H141" s="26"/>
      <c r="I141" s="26"/>
    </row>
    <row r="142" spans="2:9" ht="12.75">
      <c r="B142" s="26"/>
      <c r="C142" s="42"/>
      <c r="E142" s="26"/>
      <c r="F142" s="37"/>
      <c r="G142" s="43"/>
      <c r="H142" s="41"/>
      <c r="I142" s="26"/>
    </row>
    <row r="143" spans="2:9" ht="12.75">
      <c r="B143" s="26"/>
      <c r="C143" s="35"/>
      <c r="E143" s="38"/>
      <c r="F143" s="37"/>
      <c r="G143" s="41"/>
      <c r="H143" s="26"/>
      <c r="I143" s="26"/>
    </row>
    <row r="144" spans="2:9" ht="12.75">
      <c r="B144" s="26"/>
      <c r="C144" s="35"/>
      <c r="E144" s="38"/>
      <c r="F144" s="37"/>
      <c r="G144" s="40"/>
      <c r="H144" s="44"/>
      <c r="I144" s="44"/>
    </row>
    <row r="145" spans="5:9" ht="12.75">
      <c r="E145" s="36"/>
      <c r="F145" s="37"/>
      <c r="G145" s="40"/>
      <c r="H145" s="44"/>
      <c r="I145" s="44"/>
    </row>
    <row r="146" spans="6:9" ht="12.75">
      <c r="F146" s="37"/>
      <c r="G146" s="40"/>
      <c r="H146" s="44"/>
      <c r="I146" s="44"/>
    </row>
    <row r="147" spans="6:9" ht="12.75">
      <c r="F147" s="37"/>
      <c r="G147" s="40"/>
      <c r="H147" s="45"/>
      <c r="I147" s="45"/>
    </row>
    <row r="148" spans="6:9" ht="12.75">
      <c r="F148" s="37"/>
      <c r="G148" s="40"/>
      <c r="H148" s="44"/>
      <c r="I148" s="44"/>
    </row>
    <row r="149" spans="6:9" ht="12.75">
      <c r="F149" s="37"/>
      <c r="G149" s="40"/>
      <c r="H149" s="44"/>
      <c r="I149" s="44"/>
    </row>
    <row r="150" spans="6:9" ht="12.75">
      <c r="F150" s="37"/>
      <c r="G150" s="40"/>
      <c r="H150" s="44"/>
      <c r="I150" s="44"/>
    </row>
    <row r="151" spans="6:9" ht="12.75">
      <c r="F151" s="37"/>
      <c r="G151" s="40"/>
      <c r="H151" s="45"/>
      <c r="I151" s="45"/>
    </row>
    <row r="152" spans="6:9" ht="12.75">
      <c r="F152" s="37"/>
      <c r="G152" s="46"/>
      <c r="H152" s="44"/>
      <c r="I152" s="44"/>
    </row>
    <row r="153" spans="6:9" ht="12.75">
      <c r="F153" s="37"/>
      <c r="G153" s="40"/>
      <c r="H153" s="45"/>
      <c r="I153" s="45"/>
    </row>
    <row r="154" spans="6:9" ht="12.75">
      <c r="F154" s="37"/>
      <c r="G154" s="41"/>
      <c r="H154" s="44"/>
      <c r="I154" s="26"/>
    </row>
    <row r="155" spans="6:9" ht="12.75">
      <c r="F155" s="37"/>
      <c r="G155" s="38"/>
      <c r="H155" s="44"/>
      <c r="I155" s="26"/>
    </row>
    <row r="156" spans="6:9" ht="12.75">
      <c r="F156" s="35"/>
      <c r="G156" s="26"/>
      <c r="H156" s="38"/>
      <c r="I156" s="26"/>
    </row>
    <row r="157" ht="12.75">
      <c r="F157" s="47"/>
    </row>
    <row r="158" spans="6:7" ht="12.75">
      <c r="F158" s="35"/>
      <c r="G158" s="26"/>
    </row>
    <row r="159" spans="6:8" ht="12.75">
      <c r="F159" s="35"/>
      <c r="G159" s="26"/>
      <c r="H159" s="48"/>
    </row>
    <row r="160" spans="6:7" ht="12.75">
      <c r="F160" s="46"/>
      <c r="G160" s="40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spans="6:7" ht="12.75">
      <c r="F167" s="257"/>
      <c r="G167" s="257"/>
    </row>
    <row r="168" ht="12.75">
      <c r="G168" s="26"/>
    </row>
    <row r="169" ht="12.75">
      <c r="G169" s="26"/>
    </row>
    <row r="171" ht="12.75">
      <c r="G171" s="26"/>
    </row>
    <row r="172" ht="12.75">
      <c r="G172" s="26"/>
    </row>
    <row r="174" ht="12.75">
      <c r="F174" s="35"/>
    </row>
    <row r="175" spans="7:9" ht="12.75">
      <c r="G175" s="26"/>
      <c r="H175" s="26"/>
      <c r="I175" s="26"/>
    </row>
    <row r="176" spans="7:9" ht="12.75">
      <c r="G176" s="26"/>
      <c r="H176" s="26"/>
      <c r="I176" s="26"/>
    </row>
    <row r="177" spans="7:9" ht="12.75">
      <c r="G177" s="26"/>
      <c r="H177" s="26"/>
      <c r="I177" s="26"/>
    </row>
  </sheetData>
  <sheetProtection/>
  <mergeCells count="273">
    <mergeCell ref="M106:M111"/>
    <mergeCell ref="N106:N111"/>
    <mergeCell ref="O106:O111"/>
    <mergeCell ref="S106:S111"/>
    <mergeCell ref="S57:S62"/>
    <mergeCell ref="T106:T111"/>
    <mergeCell ref="R94:R99"/>
    <mergeCell ref="T88:T93"/>
    <mergeCell ref="T94:T99"/>
    <mergeCell ref="O94:O99"/>
    <mergeCell ref="Q63:Q68"/>
    <mergeCell ref="Q69:Q74"/>
    <mergeCell ref="D83:L83"/>
    <mergeCell ref="M82:M87"/>
    <mergeCell ref="Q76:Q81"/>
    <mergeCell ref="U106:U111"/>
    <mergeCell ref="D107:L107"/>
    <mergeCell ref="P106:P111"/>
    <mergeCell ref="Q106:Q111"/>
    <mergeCell ref="R106:R111"/>
    <mergeCell ref="Q100:Q105"/>
    <mergeCell ref="P100:P105"/>
    <mergeCell ref="O76:O81"/>
    <mergeCell ref="O69:O74"/>
    <mergeCell ref="O100:O105"/>
    <mergeCell ref="P88:P93"/>
    <mergeCell ref="P94:P99"/>
    <mergeCell ref="Q94:Q99"/>
    <mergeCell ref="A106:A111"/>
    <mergeCell ref="B106:B111"/>
    <mergeCell ref="C106:C111"/>
    <mergeCell ref="B100:B105"/>
    <mergeCell ref="C100:C105"/>
    <mergeCell ref="U94:U99"/>
    <mergeCell ref="D95:L95"/>
    <mergeCell ref="A94:A99"/>
    <mergeCell ref="B94:B99"/>
    <mergeCell ref="C94:C99"/>
    <mergeCell ref="U88:U93"/>
    <mergeCell ref="D101:L101"/>
    <mergeCell ref="S94:S99"/>
    <mergeCell ref="D89:L89"/>
    <mergeCell ref="R100:R105"/>
    <mergeCell ref="N94:N99"/>
    <mergeCell ref="S88:S93"/>
    <mergeCell ref="M100:M105"/>
    <mergeCell ref="N100:N105"/>
    <mergeCell ref="M94:M99"/>
    <mergeCell ref="A100:A105"/>
    <mergeCell ref="A88:A93"/>
    <mergeCell ref="B88:B93"/>
    <mergeCell ref="C88:C93"/>
    <mergeCell ref="M88:M93"/>
    <mergeCell ref="O88:O93"/>
    <mergeCell ref="N88:N93"/>
    <mergeCell ref="R88:R93"/>
    <mergeCell ref="Q88:Q93"/>
    <mergeCell ref="N82:N87"/>
    <mergeCell ref="P82:P87"/>
    <mergeCell ref="Q82:Q87"/>
    <mergeCell ref="O82:O87"/>
    <mergeCell ref="R82:R87"/>
    <mergeCell ref="A82:A87"/>
    <mergeCell ref="B82:B87"/>
    <mergeCell ref="C82:C87"/>
    <mergeCell ref="C51:C56"/>
    <mergeCell ref="A57:A62"/>
    <mergeCell ref="B57:B62"/>
    <mergeCell ref="C57:C62"/>
    <mergeCell ref="A51:A56"/>
    <mergeCell ref="B51:B56"/>
    <mergeCell ref="A76:A81"/>
    <mergeCell ref="N57:N62"/>
    <mergeCell ref="D58:L58"/>
    <mergeCell ref="A3:U3"/>
    <mergeCell ref="A4:A5"/>
    <mergeCell ref="B4:B5"/>
    <mergeCell ref="C4:C5"/>
    <mergeCell ref="D4:D5"/>
    <mergeCell ref="D52:L52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D16:L16"/>
    <mergeCell ref="P15:P20"/>
    <mergeCell ref="R15:R20"/>
    <mergeCell ref="S15:S20"/>
    <mergeCell ref="N21:N26"/>
    <mergeCell ref="O21:O26"/>
    <mergeCell ref="D22:L22"/>
    <mergeCell ref="P21:P26"/>
    <mergeCell ref="A21:A26"/>
    <mergeCell ref="B21:B26"/>
    <mergeCell ref="C21:C26"/>
    <mergeCell ref="M21:M26"/>
    <mergeCell ref="S21:S26"/>
    <mergeCell ref="T21:T26"/>
    <mergeCell ref="T15:T20"/>
    <mergeCell ref="U15:U20"/>
    <mergeCell ref="P27:P32"/>
    <mergeCell ref="Q27:Q32"/>
    <mergeCell ref="Q21:Q26"/>
    <mergeCell ref="R21:R26"/>
    <mergeCell ref="T27:T32"/>
    <mergeCell ref="U27:U32"/>
    <mergeCell ref="U21:U26"/>
    <mergeCell ref="Q15:Q20"/>
    <mergeCell ref="A27:A32"/>
    <mergeCell ref="B27:B32"/>
    <mergeCell ref="C27:C32"/>
    <mergeCell ref="M27:M32"/>
    <mergeCell ref="N27:N32"/>
    <mergeCell ref="O27:O32"/>
    <mergeCell ref="D28:L28"/>
    <mergeCell ref="R33:R38"/>
    <mergeCell ref="R27:R32"/>
    <mergeCell ref="S27:S32"/>
    <mergeCell ref="U33:U38"/>
    <mergeCell ref="S33:S38"/>
    <mergeCell ref="T33:T38"/>
    <mergeCell ref="U39:U44"/>
    <mergeCell ref="A33:A38"/>
    <mergeCell ref="B33:B38"/>
    <mergeCell ref="C33:C38"/>
    <mergeCell ref="D34:L34"/>
    <mergeCell ref="A39:A44"/>
    <mergeCell ref="B39:B44"/>
    <mergeCell ref="C39:C44"/>
    <mergeCell ref="D40:L40"/>
    <mergeCell ref="Q33:Q38"/>
    <mergeCell ref="O39:O44"/>
    <mergeCell ref="S39:S44"/>
    <mergeCell ref="P39:P44"/>
    <mergeCell ref="Q39:Q44"/>
    <mergeCell ref="R39:R44"/>
    <mergeCell ref="T39:T44"/>
    <mergeCell ref="U45:U50"/>
    <mergeCell ref="A45:A50"/>
    <mergeCell ref="B45:B50"/>
    <mergeCell ref="C45:C50"/>
    <mergeCell ref="M45:M50"/>
    <mergeCell ref="N45:N50"/>
    <mergeCell ref="O45:O50"/>
    <mergeCell ref="D46:L46"/>
    <mergeCell ref="P45:P50"/>
    <mergeCell ref="Q45:Q50"/>
    <mergeCell ref="R45:R50"/>
    <mergeCell ref="S45:S50"/>
    <mergeCell ref="T45:T50"/>
    <mergeCell ref="P51:P56"/>
    <mergeCell ref="Q51:Q56"/>
    <mergeCell ref="R51:R56"/>
    <mergeCell ref="S51:S56"/>
    <mergeCell ref="T51:T56"/>
    <mergeCell ref="A112:A117"/>
    <mergeCell ref="B112:B117"/>
    <mergeCell ref="C112:C117"/>
    <mergeCell ref="M112:M117"/>
    <mergeCell ref="D113:L113"/>
    <mergeCell ref="N112:N117"/>
    <mergeCell ref="O112:O117"/>
    <mergeCell ref="S112:S117"/>
    <mergeCell ref="T112:T117"/>
    <mergeCell ref="P112:P117"/>
    <mergeCell ref="Q112:Q117"/>
    <mergeCell ref="R112:R117"/>
    <mergeCell ref="S100:S105"/>
    <mergeCell ref="T100:T105"/>
    <mergeCell ref="U57:U62"/>
    <mergeCell ref="S76:S81"/>
    <mergeCell ref="T76:T81"/>
    <mergeCell ref="U76:U81"/>
    <mergeCell ref="U63:U68"/>
    <mergeCell ref="S82:S87"/>
    <mergeCell ref="T82:T87"/>
    <mergeCell ref="U100:U105"/>
    <mergeCell ref="U51:U56"/>
    <mergeCell ref="U82:U87"/>
    <mergeCell ref="T57:T62"/>
    <mergeCell ref="O51:O56"/>
    <mergeCell ref="R76:R81"/>
    <mergeCell ref="P76:P81"/>
    <mergeCell ref="P57:P62"/>
    <mergeCell ref="Q57:Q62"/>
    <mergeCell ref="R57:R62"/>
    <mergeCell ref="O57:O62"/>
    <mergeCell ref="C76:C81"/>
    <mergeCell ref="M76:M81"/>
    <mergeCell ref="M33:M38"/>
    <mergeCell ref="N33:N38"/>
    <mergeCell ref="N76:N81"/>
    <mergeCell ref="M39:M44"/>
    <mergeCell ref="N39:N44"/>
    <mergeCell ref="M51:M56"/>
    <mergeCell ref="N51:N56"/>
    <mergeCell ref="M57:M62"/>
    <mergeCell ref="O33:O38"/>
    <mergeCell ref="P33:P38"/>
    <mergeCell ref="A63:A68"/>
    <mergeCell ref="B63:B68"/>
    <mergeCell ref="C63:C68"/>
    <mergeCell ref="M63:M68"/>
    <mergeCell ref="N63:N68"/>
    <mergeCell ref="O63:O68"/>
    <mergeCell ref="D64:L64"/>
    <mergeCell ref="P63:P68"/>
    <mergeCell ref="R63:R68"/>
    <mergeCell ref="S63:S68"/>
    <mergeCell ref="T63:T68"/>
    <mergeCell ref="A69:A74"/>
    <mergeCell ref="B69:B74"/>
    <mergeCell ref="C69:C74"/>
    <mergeCell ref="M69:M74"/>
    <mergeCell ref="N69:N74"/>
    <mergeCell ref="P69:P74"/>
    <mergeCell ref="D70:L70"/>
    <mergeCell ref="R69:R74"/>
    <mergeCell ref="S69:S74"/>
    <mergeCell ref="T69:T74"/>
    <mergeCell ref="U69:U74"/>
    <mergeCell ref="B75:U75"/>
    <mergeCell ref="A118:A123"/>
    <mergeCell ref="B118:B123"/>
    <mergeCell ref="C118:C123"/>
    <mergeCell ref="M118:M123"/>
    <mergeCell ref="N118:N123"/>
    <mergeCell ref="D119:L119"/>
    <mergeCell ref="D77:L77"/>
    <mergeCell ref="U112:U117"/>
    <mergeCell ref="A124:A129"/>
    <mergeCell ref="B124:B129"/>
    <mergeCell ref="C124:C129"/>
    <mergeCell ref="M124:M129"/>
    <mergeCell ref="D125:L125"/>
    <mergeCell ref="P118:P123"/>
    <mergeCell ref="B76:B81"/>
    <mergeCell ref="U124:U129"/>
    <mergeCell ref="S118:S123"/>
    <mergeCell ref="T118:T123"/>
    <mergeCell ref="U118:U123"/>
    <mergeCell ref="T124:T129"/>
    <mergeCell ref="O118:O123"/>
    <mergeCell ref="Q1:U1"/>
    <mergeCell ref="F167:G167"/>
    <mergeCell ref="P124:P129"/>
    <mergeCell ref="Q124:Q129"/>
    <mergeCell ref="R124:R129"/>
    <mergeCell ref="N124:N129"/>
    <mergeCell ref="O124:O129"/>
    <mergeCell ref="Q118:Q123"/>
    <mergeCell ref="R118:R123"/>
    <mergeCell ref="S124:S12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3.00390625" style="127" customWidth="1"/>
    <col min="5" max="9" width="13.7109375" style="127" customWidth="1"/>
    <col min="10" max="16384" width="9.140625" style="127" customWidth="1"/>
  </cols>
  <sheetData>
    <row r="1" spans="6:10" s="92" customFormat="1" ht="79.5" customHeight="1">
      <c r="F1" s="176" t="s">
        <v>276</v>
      </c>
      <c r="G1" s="177"/>
      <c r="H1" s="177"/>
      <c r="I1" s="177"/>
      <c r="J1" s="129"/>
    </row>
    <row r="2" spans="5:10" ht="18.75" customHeight="1">
      <c r="E2" s="124"/>
      <c r="F2" s="146"/>
      <c r="G2" s="132"/>
      <c r="I2" s="143" t="s">
        <v>162</v>
      </c>
      <c r="J2" s="100"/>
    </row>
    <row r="3" ht="15.75">
      <c r="F3" s="132"/>
    </row>
    <row r="4" spans="1:9" ht="36.75" customHeight="1">
      <c r="A4" s="196" t="s">
        <v>79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82" t="s">
        <v>103</v>
      </c>
      <c r="B5" s="184" t="s">
        <v>104</v>
      </c>
      <c r="C5" s="186" t="s">
        <v>105</v>
      </c>
      <c r="D5" s="186"/>
      <c r="E5" s="186"/>
      <c r="F5" s="186"/>
      <c r="G5" s="186"/>
      <c r="H5" s="186"/>
      <c r="I5" s="186"/>
    </row>
    <row r="6" spans="1:9" ht="16.5" customHeight="1">
      <c r="A6" s="183"/>
      <c r="B6" s="185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47" t="s">
        <v>63</v>
      </c>
      <c r="B7" s="147" t="s">
        <v>64</v>
      </c>
      <c r="C7" s="147" t="s">
        <v>65</v>
      </c>
      <c r="D7" s="147" t="s">
        <v>66</v>
      </c>
      <c r="E7" s="147" t="s">
        <v>67</v>
      </c>
      <c r="F7" s="147" t="s">
        <v>68</v>
      </c>
      <c r="G7" s="147" t="s">
        <v>69</v>
      </c>
      <c r="H7" s="147" t="s">
        <v>70</v>
      </c>
      <c r="I7" s="147" t="s">
        <v>71</v>
      </c>
    </row>
    <row r="8" spans="1:9" ht="19.5" customHeight="1">
      <c r="A8" s="144" t="s">
        <v>80</v>
      </c>
      <c r="B8" s="126">
        <f>B10+B11+B12+B13</f>
        <v>378120720.53999996</v>
      </c>
      <c r="C8" s="126">
        <f aca="true" t="shared" si="0" ref="C8:I8">C10+C11+C12+C13</f>
        <v>43291513</v>
      </c>
      <c r="D8" s="126">
        <f t="shared" si="0"/>
        <v>49712022.47</v>
      </c>
      <c r="E8" s="126">
        <f t="shared" si="0"/>
        <v>51860010.43</v>
      </c>
      <c r="F8" s="126">
        <f t="shared" si="0"/>
        <v>58246118.66</v>
      </c>
      <c r="G8" s="126">
        <f t="shared" si="0"/>
        <v>58546418.66</v>
      </c>
      <c r="H8" s="126">
        <f t="shared" si="0"/>
        <v>58232318.66</v>
      </c>
      <c r="I8" s="126">
        <f t="shared" si="0"/>
        <v>58232318.66</v>
      </c>
    </row>
    <row r="9" spans="1:9" ht="16.5" customHeight="1">
      <c r="A9" s="250" t="s">
        <v>106</v>
      </c>
      <c r="B9" s="251"/>
      <c r="C9" s="251"/>
      <c r="D9" s="251"/>
      <c r="E9" s="251"/>
      <c r="F9" s="251"/>
      <c r="G9" s="251"/>
      <c r="H9" s="251"/>
      <c r="I9" s="252"/>
    </row>
    <row r="10" spans="1:9" ht="16.5" customHeight="1">
      <c r="A10" s="87" t="s">
        <v>107</v>
      </c>
      <c r="B10" s="148">
        <f>B17</f>
        <v>108501620.53999999</v>
      </c>
      <c r="C10" s="149">
        <f aca="true" t="shared" si="1" ref="C10:I10">C17</f>
        <v>12523313</v>
      </c>
      <c r="D10" s="149">
        <f t="shared" si="1"/>
        <v>14817822.469999999</v>
      </c>
      <c r="E10" s="149">
        <f t="shared" si="1"/>
        <v>15255210.430000002</v>
      </c>
      <c r="F10" s="149">
        <f t="shared" si="1"/>
        <v>16476318.66</v>
      </c>
      <c r="G10" s="149">
        <f t="shared" si="1"/>
        <v>16476318.66</v>
      </c>
      <c r="H10" s="149">
        <f t="shared" si="1"/>
        <v>16476318.66</v>
      </c>
      <c r="I10" s="149">
        <f t="shared" si="1"/>
        <v>16476318.66</v>
      </c>
    </row>
    <row r="11" spans="1:9" ht="16.5" customHeight="1">
      <c r="A11" s="87" t="s">
        <v>20</v>
      </c>
      <c r="B11" s="148">
        <f aca="true" t="shared" si="2" ref="B11:I13">B18</f>
        <v>269619100</v>
      </c>
      <c r="C11" s="149">
        <f t="shared" si="2"/>
        <v>30768200</v>
      </c>
      <c r="D11" s="149">
        <f t="shared" si="2"/>
        <v>34894200</v>
      </c>
      <c r="E11" s="149">
        <f t="shared" si="2"/>
        <v>36604800</v>
      </c>
      <c r="F11" s="149">
        <f t="shared" si="2"/>
        <v>41769800</v>
      </c>
      <c r="G11" s="149">
        <f t="shared" si="2"/>
        <v>42070100</v>
      </c>
      <c r="H11" s="149">
        <f t="shared" si="2"/>
        <v>41756000</v>
      </c>
      <c r="I11" s="149">
        <f t="shared" si="2"/>
        <v>41756000</v>
      </c>
    </row>
    <row r="12" spans="1:9" ht="16.5" customHeight="1">
      <c r="A12" s="87" t="s">
        <v>21</v>
      </c>
      <c r="B12" s="148">
        <f t="shared" si="2"/>
        <v>0</v>
      </c>
      <c r="C12" s="149">
        <f t="shared" si="2"/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</row>
    <row r="13" spans="1:9" ht="16.5" customHeight="1">
      <c r="A13" s="87" t="s">
        <v>110</v>
      </c>
      <c r="B13" s="148">
        <f t="shared" si="2"/>
        <v>0</v>
      </c>
      <c r="C13" s="149">
        <f t="shared" si="2"/>
        <v>0</v>
      </c>
      <c r="D13" s="149">
        <f t="shared" si="2"/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  <c r="I13" s="149">
        <f t="shared" si="2"/>
        <v>0</v>
      </c>
    </row>
    <row r="14" spans="1:9" ht="16.5" customHeight="1">
      <c r="A14" s="187" t="s">
        <v>111</v>
      </c>
      <c r="B14" s="188"/>
      <c r="C14" s="188"/>
      <c r="D14" s="188"/>
      <c r="E14" s="188"/>
      <c r="F14" s="188"/>
      <c r="G14" s="188"/>
      <c r="H14" s="188"/>
      <c r="I14" s="189"/>
    </row>
    <row r="15" spans="1:9" ht="39.75" customHeight="1">
      <c r="A15" s="145" t="s">
        <v>118</v>
      </c>
      <c r="B15" s="126">
        <f>B17+B18+B19+B20</f>
        <v>378120720.53999996</v>
      </c>
      <c r="C15" s="126">
        <f>C17+C18+C19+C20</f>
        <v>43291513</v>
      </c>
      <c r="D15" s="126">
        <f aca="true" t="shared" si="3" ref="D15:I15">D17+D18+D19+D20</f>
        <v>49712022.47</v>
      </c>
      <c r="E15" s="126">
        <f t="shared" si="3"/>
        <v>51860010.43</v>
      </c>
      <c r="F15" s="126">
        <f t="shared" si="3"/>
        <v>58246118.66</v>
      </c>
      <c r="G15" s="126">
        <f t="shared" si="3"/>
        <v>58546418.66</v>
      </c>
      <c r="H15" s="126">
        <f t="shared" si="3"/>
        <v>58232318.66</v>
      </c>
      <c r="I15" s="126">
        <f t="shared" si="3"/>
        <v>58232318.66</v>
      </c>
    </row>
    <row r="16" spans="1:9" ht="16.5" customHeight="1">
      <c r="A16" s="250" t="s">
        <v>106</v>
      </c>
      <c r="B16" s="251"/>
      <c r="C16" s="251"/>
      <c r="D16" s="251"/>
      <c r="E16" s="251"/>
      <c r="F16" s="251"/>
      <c r="G16" s="251"/>
      <c r="H16" s="251"/>
      <c r="I16" s="252"/>
    </row>
    <row r="17" spans="1:9" ht="16.5" customHeight="1">
      <c r="A17" s="87" t="s">
        <v>107</v>
      </c>
      <c r="B17" s="148">
        <f>SUM(C17:I17)</f>
        <v>108501620.53999999</v>
      </c>
      <c r="C17" s="150">
        <v>12523313</v>
      </c>
      <c r="D17" s="150">
        <f>+'таб 3(3)'!G116</f>
        <v>14817822.469999999</v>
      </c>
      <c r="E17" s="150">
        <f>+'таб 3(3)'!H116</f>
        <v>15255210.430000002</v>
      </c>
      <c r="F17" s="150">
        <f>+'таб 3(3)'!I116</f>
        <v>16476318.66</v>
      </c>
      <c r="G17" s="150">
        <f>+'таб 3(3)'!J116</f>
        <v>16476318.66</v>
      </c>
      <c r="H17" s="150">
        <f>+'таб 3(3)'!K116</f>
        <v>16476318.66</v>
      </c>
      <c r="I17" s="150">
        <f>+'таб 3(3)'!L116</f>
        <v>16476318.66</v>
      </c>
    </row>
    <row r="18" spans="1:9" ht="16.5" customHeight="1">
      <c r="A18" s="87" t="s">
        <v>20</v>
      </c>
      <c r="B18" s="148">
        <f>SUM(C18:I18)</f>
        <v>269619100</v>
      </c>
      <c r="C18" s="151">
        <f>'таб 3(3)'!F117</f>
        <v>30768200</v>
      </c>
      <c r="D18" s="150">
        <f>+'таб 3(3)'!G117</f>
        <v>34894200</v>
      </c>
      <c r="E18" s="150">
        <f>+'таб 3(3)'!H117</f>
        <v>36604800</v>
      </c>
      <c r="F18" s="150">
        <f>+'таб 3(3)'!I117</f>
        <v>41769800</v>
      </c>
      <c r="G18" s="150">
        <f>+'таб 3(3)'!J117</f>
        <v>42070100</v>
      </c>
      <c r="H18" s="150">
        <f>+'таб 3(3)'!K117</f>
        <v>41756000</v>
      </c>
      <c r="I18" s="150">
        <f>+'таб 3(3)'!L117</f>
        <v>41756000</v>
      </c>
    </row>
    <row r="19" spans="1:9" ht="16.5" customHeight="1">
      <c r="A19" s="87" t="s">
        <v>21</v>
      </c>
      <c r="B19" s="148">
        <f>SUM(C19:I19)</f>
        <v>0</v>
      </c>
      <c r="C19" s="149"/>
      <c r="D19" s="149"/>
      <c r="E19" s="149"/>
      <c r="F19" s="149"/>
      <c r="G19" s="149"/>
      <c r="H19" s="149"/>
      <c r="I19" s="149"/>
    </row>
    <row r="20" spans="1:9" ht="16.5" customHeight="1">
      <c r="A20" s="87" t="s">
        <v>110</v>
      </c>
      <c r="B20" s="148">
        <f>SUM(C20:I20)</f>
        <v>0</v>
      </c>
      <c r="C20" s="149"/>
      <c r="D20" s="149"/>
      <c r="E20" s="149"/>
      <c r="F20" s="149"/>
      <c r="G20" s="149"/>
      <c r="H20" s="149"/>
      <c r="I20" s="149"/>
    </row>
    <row r="21" spans="1:9" ht="25.5">
      <c r="A21" s="4" t="s">
        <v>112</v>
      </c>
      <c r="B21" s="148">
        <f>SUM(C21:I21)</f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9"/>
  <sheetViews>
    <sheetView zoomScaleSheetLayoutView="115" zoomScalePageLayoutView="0" workbookViewId="0" topLeftCell="A1">
      <pane xSplit="3" ySplit="8" topLeftCell="P6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5.28125" style="19" bestFit="1" customWidth="1"/>
    <col min="8" max="8" width="12.8515625" style="19" bestFit="1" customWidth="1"/>
    <col min="9" max="9" width="13.57421875" style="171" bestFit="1" customWidth="1"/>
    <col min="10" max="12" width="12.8515625" style="19" bestFit="1" customWidth="1"/>
    <col min="13" max="13" width="25.421875" style="19" customWidth="1"/>
    <col min="14" max="14" width="9.8515625" style="19" customWidth="1"/>
    <col min="15" max="15" width="11.7109375" style="19" customWidth="1"/>
    <col min="16" max="16" width="11.00390625" style="19" customWidth="1"/>
    <col min="17" max="17" width="10.28125" style="19" customWidth="1"/>
    <col min="18" max="18" width="9.8515625" style="19" customWidth="1"/>
    <col min="19" max="19" width="12.57421875" style="19" customWidth="1"/>
    <col min="20" max="20" width="12.421875" style="19" customWidth="1"/>
    <col min="21" max="21" width="15.710937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71"/>
      <c r="J1" s="129"/>
      <c r="Q1" s="176" t="s">
        <v>277</v>
      </c>
      <c r="R1" s="177"/>
      <c r="S1" s="177"/>
      <c r="T1" s="177"/>
      <c r="U1" s="177"/>
    </row>
    <row r="2" spans="20:21" ht="25.5">
      <c r="T2" s="100"/>
      <c r="U2" s="100" t="s">
        <v>163</v>
      </c>
    </row>
    <row r="3" spans="1:21" ht="15.75">
      <c r="A3" s="243" t="s">
        <v>164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ht="29.25" customHeight="1">
      <c r="A4" s="186" t="s">
        <v>101</v>
      </c>
      <c r="B4" s="186" t="s">
        <v>113</v>
      </c>
      <c r="C4" s="186" t="s">
        <v>114</v>
      </c>
      <c r="D4" s="186" t="s">
        <v>103</v>
      </c>
      <c r="E4" s="186" t="s">
        <v>115</v>
      </c>
      <c r="F4" s="186"/>
      <c r="G4" s="186"/>
      <c r="H4" s="186"/>
      <c r="I4" s="186"/>
      <c r="J4" s="186"/>
      <c r="K4" s="186"/>
      <c r="L4" s="186"/>
      <c r="M4" s="186" t="s">
        <v>32</v>
      </c>
      <c r="N4" s="186"/>
      <c r="O4" s="186"/>
      <c r="P4" s="186"/>
      <c r="Q4" s="186"/>
      <c r="R4" s="186"/>
      <c r="S4" s="186"/>
      <c r="T4" s="186"/>
      <c r="U4" s="232" t="s">
        <v>116</v>
      </c>
    </row>
    <row r="5" spans="1:21" ht="38.25" customHeight="1">
      <c r="A5" s="186"/>
      <c r="B5" s="186"/>
      <c r="C5" s="186"/>
      <c r="D5" s="186"/>
      <c r="E5" s="20" t="s">
        <v>97</v>
      </c>
      <c r="F5" s="6" t="s">
        <v>86</v>
      </c>
      <c r="G5" s="6" t="s">
        <v>87</v>
      </c>
      <c r="H5" s="6" t="s">
        <v>88</v>
      </c>
      <c r="I5" s="169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172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3" t="s">
        <v>165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</row>
    <row r="8" spans="1:21" ht="12.75">
      <c r="A8" s="21">
        <v>1</v>
      </c>
      <c r="B8" s="213" t="s">
        <v>35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ht="12.75">
      <c r="A9" s="223" t="s">
        <v>128</v>
      </c>
      <c r="B9" s="287" t="s">
        <v>5</v>
      </c>
      <c r="C9" s="229" t="s">
        <v>82</v>
      </c>
      <c r="D9" s="22" t="s">
        <v>97</v>
      </c>
      <c r="E9" s="23">
        <f>E11+E12+E13+E14</f>
        <v>10939021.719999999</v>
      </c>
      <c r="F9" s="23">
        <f aca="true" t="shared" si="0" ref="F9:L9">F11+F12+F13+F14</f>
        <v>1951875</v>
      </c>
      <c r="G9" s="23">
        <f t="shared" si="0"/>
        <v>2375630.76</v>
      </c>
      <c r="H9" s="23">
        <f t="shared" si="0"/>
        <v>1116398.92</v>
      </c>
      <c r="I9" s="23">
        <f t="shared" si="0"/>
        <v>1373779.26</v>
      </c>
      <c r="J9" s="23">
        <f t="shared" si="0"/>
        <v>1373779.26</v>
      </c>
      <c r="K9" s="23">
        <f t="shared" si="0"/>
        <v>1373779.26</v>
      </c>
      <c r="L9" s="23">
        <f t="shared" si="0"/>
        <v>1373779.26</v>
      </c>
      <c r="M9" s="258" t="s">
        <v>10</v>
      </c>
      <c r="N9" s="202">
        <v>1</v>
      </c>
      <c r="O9" s="202">
        <v>1</v>
      </c>
      <c r="P9" s="202">
        <v>1</v>
      </c>
      <c r="Q9" s="202">
        <v>1</v>
      </c>
      <c r="R9" s="202">
        <v>1</v>
      </c>
      <c r="S9" s="202">
        <v>1</v>
      </c>
      <c r="T9" s="202">
        <v>1</v>
      </c>
      <c r="U9" s="258" t="s">
        <v>81</v>
      </c>
    </row>
    <row r="10" spans="1:21" ht="12.75">
      <c r="A10" s="223"/>
      <c r="B10" s="288"/>
      <c r="C10" s="230"/>
      <c r="D10" s="216" t="s">
        <v>117</v>
      </c>
      <c r="E10" s="217"/>
      <c r="F10" s="217"/>
      <c r="G10" s="217"/>
      <c r="H10" s="217"/>
      <c r="I10" s="217"/>
      <c r="J10" s="217"/>
      <c r="K10" s="217"/>
      <c r="L10" s="218"/>
      <c r="M10" s="259"/>
      <c r="N10" s="203"/>
      <c r="O10" s="203"/>
      <c r="P10" s="203"/>
      <c r="Q10" s="203"/>
      <c r="R10" s="203"/>
      <c r="S10" s="203"/>
      <c r="T10" s="203"/>
      <c r="U10" s="259"/>
    </row>
    <row r="11" spans="1:21" ht="12.75">
      <c r="A11" s="223"/>
      <c r="B11" s="288"/>
      <c r="C11" s="230"/>
      <c r="D11" s="22" t="s">
        <v>95</v>
      </c>
      <c r="E11" s="23">
        <f>F11+G11+H11+I11+J11+K11+L11</f>
        <v>10939021.719999999</v>
      </c>
      <c r="F11" s="23">
        <v>1951875</v>
      </c>
      <c r="G11" s="23">
        <f>2216680-110834+269784.76</f>
        <v>2375630.76</v>
      </c>
      <c r="H11" s="23">
        <f>797662.85+498963.25+150686.9+10663.8-258447.59-83130.29</f>
        <v>1116398.92</v>
      </c>
      <c r="I11" s="23">
        <f>1055130+318649.26</f>
        <v>1373779.26</v>
      </c>
      <c r="J11" s="23">
        <f>1055130+318649.26</f>
        <v>1373779.26</v>
      </c>
      <c r="K11" s="23">
        <f>1055130+318649.26</f>
        <v>1373779.26</v>
      </c>
      <c r="L11" s="23">
        <v>1373779.26</v>
      </c>
      <c r="M11" s="259"/>
      <c r="N11" s="203"/>
      <c r="O11" s="203"/>
      <c r="P11" s="203"/>
      <c r="Q11" s="203"/>
      <c r="R11" s="203"/>
      <c r="S11" s="203"/>
      <c r="T11" s="203"/>
      <c r="U11" s="259"/>
    </row>
    <row r="12" spans="1:21" ht="12.75">
      <c r="A12" s="223"/>
      <c r="B12" s="288"/>
      <c r="C12" s="230"/>
      <c r="D12" s="22" t="s">
        <v>93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59"/>
      <c r="N12" s="203"/>
      <c r="O12" s="203"/>
      <c r="P12" s="203"/>
      <c r="Q12" s="203"/>
      <c r="R12" s="203"/>
      <c r="S12" s="203"/>
      <c r="T12" s="203"/>
      <c r="U12" s="259"/>
    </row>
    <row r="13" spans="1:21" ht="12.75">
      <c r="A13" s="223"/>
      <c r="B13" s="288"/>
      <c r="C13" s="230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59"/>
      <c r="N13" s="203"/>
      <c r="O13" s="203"/>
      <c r="P13" s="203"/>
      <c r="Q13" s="203"/>
      <c r="R13" s="203"/>
      <c r="S13" s="203"/>
      <c r="T13" s="203"/>
      <c r="U13" s="259"/>
    </row>
    <row r="14" spans="1:21" ht="12.75">
      <c r="A14" s="223"/>
      <c r="B14" s="289"/>
      <c r="C14" s="231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60"/>
      <c r="N14" s="204"/>
      <c r="O14" s="204"/>
      <c r="P14" s="204"/>
      <c r="Q14" s="204"/>
      <c r="R14" s="204"/>
      <c r="S14" s="204"/>
      <c r="T14" s="204"/>
      <c r="U14" s="260"/>
    </row>
    <row r="15" spans="1:21" ht="12.75" customHeight="1">
      <c r="A15" s="223" t="s">
        <v>129</v>
      </c>
      <c r="B15" s="287" t="s">
        <v>6</v>
      </c>
      <c r="C15" s="229" t="s">
        <v>82</v>
      </c>
      <c r="D15" s="22" t="s">
        <v>97</v>
      </c>
      <c r="E15" s="23">
        <f>E17+E18+E19+E20</f>
        <v>15400636.600000001</v>
      </c>
      <c r="F15" s="23">
        <f aca="true" t="shared" si="1" ref="F15:L15">F17+F18+F19+F20</f>
        <v>1951875</v>
      </c>
      <c r="G15" s="23">
        <f t="shared" si="1"/>
        <v>2105846</v>
      </c>
      <c r="H15" s="23">
        <f t="shared" si="1"/>
        <v>2741536.32</v>
      </c>
      <c r="I15" s="23">
        <f t="shared" si="1"/>
        <v>2124094.82</v>
      </c>
      <c r="J15" s="23">
        <f t="shared" si="1"/>
        <v>2159094.82</v>
      </c>
      <c r="K15" s="23">
        <f t="shared" si="1"/>
        <v>2159094.82</v>
      </c>
      <c r="L15" s="23">
        <f t="shared" si="1"/>
        <v>2159094.82</v>
      </c>
      <c r="M15" s="258" t="s">
        <v>9</v>
      </c>
      <c r="N15" s="202">
        <v>1</v>
      </c>
      <c r="O15" s="202">
        <v>1</v>
      </c>
      <c r="P15" s="202">
        <v>1</v>
      </c>
      <c r="Q15" s="202">
        <v>1</v>
      </c>
      <c r="R15" s="202">
        <v>1</v>
      </c>
      <c r="S15" s="202">
        <v>1</v>
      </c>
      <c r="T15" s="202">
        <v>1</v>
      </c>
      <c r="U15" s="258" t="s">
        <v>81</v>
      </c>
    </row>
    <row r="16" spans="1:21" ht="12.75">
      <c r="A16" s="223"/>
      <c r="B16" s="288"/>
      <c r="C16" s="230"/>
      <c r="D16" s="216" t="s">
        <v>117</v>
      </c>
      <c r="E16" s="217"/>
      <c r="F16" s="217"/>
      <c r="G16" s="217"/>
      <c r="H16" s="217"/>
      <c r="I16" s="217"/>
      <c r="J16" s="217"/>
      <c r="K16" s="217"/>
      <c r="L16" s="218"/>
      <c r="M16" s="259"/>
      <c r="N16" s="203"/>
      <c r="O16" s="203"/>
      <c r="P16" s="203"/>
      <c r="Q16" s="203"/>
      <c r="R16" s="203"/>
      <c r="S16" s="203"/>
      <c r="T16" s="203"/>
      <c r="U16" s="259"/>
    </row>
    <row r="17" spans="1:21" ht="12.75">
      <c r="A17" s="223"/>
      <c r="B17" s="288"/>
      <c r="C17" s="230"/>
      <c r="D17" s="22" t="s">
        <v>95</v>
      </c>
      <c r="E17" s="23">
        <f>F17+G17+H17+I17+J17+K17+L17</f>
        <v>15400636.600000001</v>
      </c>
      <c r="F17" s="23">
        <v>1951875</v>
      </c>
      <c r="G17" s="23">
        <f>2216680-110834</f>
        <v>2105846</v>
      </c>
      <c r="H17" s="23">
        <f>955551.47+60000+841416+254107.63+527936.67+132524.55-30000</f>
        <v>2741536.32</v>
      </c>
      <c r="I17" s="23">
        <f>1612208+486886.82+25000</f>
        <v>2124094.82</v>
      </c>
      <c r="J17" s="23">
        <f>1612208+486886.82+60000</f>
        <v>2159094.82</v>
      </c>
      <c r="K17" s="23">
        <f>1612208+486886.82+60000</f>
        <v>2159094.82</v>
      </c>
      <c r="L17" s="23">
        <f>K17</f>
        <v>2159094.82</v>
      </c>
      <c r="M17" s="259"/>
      <c r="N17" s="203"/>
      <c r="O17" s="203"/>
      <c r="P17" s="203"/>
      <c r="Q17" s="203"/>
      <c r="R17" s="203"/>
      <c r="S17" s="203"/>
      <c r="T17" s="203"/>
      <c r="U17" s="259"/>
    </row>
    <row r="18" spans="1:21" ht="12.75">
      <c r="A18" s="223"/>
      <c r="B18" s="288"/>
      <c r="C18" s="230"/>
      <c r="D18" s="22" t="s">
        <v>93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59"/>
      <c r="N18" s="203"/>
      <c r="O18" s="203"/>
      <c r="P18" s="203"/>
      <c r="Q18" s="203"/>
      <c r="R18" s="203"/>
      <c r="S18" s="203"/>
      <c r="T18" s="203"/>
      <c r="U18" s="259"/>
    </row>
    <row r="19" spans="1:21" ht="12.75">
      <c r="A19" s="223"/>
      <c r="B19" s="288"/>
      <c r="C19" s="230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59"/>
      <c r="N19" s="203"/>
      <c r="O19" s="203"/>
      <c r="P19" s="203"/>
      <c r="Q19" s="203"/>
      <c r="R19" s="203"/>
      <c r="S19" s="203"/>
      <c r="T19" s="203"/>
      <c r="U19" s="259"/>
    </row>
    <row r="20" spans="1:21" ht="12.75">
      <c r="A20" s="223"/>
      <c r="B20" s="289"/>
      <c r="C20" s="231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0"/>
      <c r="N20" s="204"/>
      <c r="O20" s="204"/>
      <c r="P20" s="204"/>
      <c r="Q20" s="204"/>
      <c r="R20" s="204"/>
      <c r="S20" s="204"/>
      <c r="T20" s="204"/>
      <c r="U20" s="260"/>
    </row>
    <row r="21" spans="1:21" ht="13.5">
      <c r="A21" s="234"/>
      <c r="B21" s="264" t="s">
        <v>161</v>
      </c>
      <c r="C21" s="234"/>
      <c r="D21" s="102" t="s">
        <v>97</v>
      </c>
      <c r="E21" s="103">
        <f aca="true" t="shared" si="2" ref="E21:L21">E23+E24+E25+E26</f>
        <v>26339658.32</v>
      </c>
      <c r="F21" s="103">
        <f t="shared" si="2"/>
        <v>3903750</v>
      </c>
      <c r="G21" s="103">
        <f t="shared" si="2"/>
        <v>4481476.76</v>
      </c>
      <c r="H21" s="103">
        <f t="shared" si="2"/>
        <v>3857935.2399999998</v>
      </c>
      <c r="I21" s="103">
        <f t="shared" si="2"/>
        <v>3497874.08</v>
      </c>
      <c r="J21" s="103">
        <f t="shared" si="2"/>
        <v>3532874.08</v>
      </c>
      <c r="K21" s="103">
        <f t="shared" si="2"/>
        <v>3532874.08</v>
      </c>
      <c r="L21" s="103">
        <f t="shared" si="2"/>
        <v>3532874.08</v>
      </c>
      <c r="M21" s="236"/>
      <c r="N21" s="244"/>
      <c r="O21" s="244"/>
      <c r="P21" s="244"/>
      <c r="Q21" s="244"/>
      <c r="R21" s="244"/>
      <c r="S21" s="244"/>
      <c r="T21" s="244"/>
      <c r="U21" s="247"/>
    </row>
    <row r="22" spans="1:21" ht="12.75">
      <c r="A22" s="234"/>
      <c r="B22" s="265"/>
      <c r="C22" s="234"/>
      <c r="D22" s="239" t="s">
        <v>117</v>
      </c>
      <c r="E22" s="240"/>
      <c r="F22" s="240"/>
      <c r="G22" s="240"/>
      <c r="H22" s="240"/>
      <c r="I22" s="240"/>
      <c r="J22" s="240"/>
      <c r="K22" s="240"/>
      <c r="L22" s="241"/>
      <c r="M22" s="237"/>
      <c r="N22" s="245"/>
      <c r="O22" s="245"/>
      <c r="P22" s="245"/>
      <c r="Q22" s="245"/>
      <c r="R22" s="245"/>
      <c r="S22" s="245"/>
      <c r="T22" s="245"/>
      <c r="U22" s="248"/>
    </row>
    <row r="23" spans="1:21" ht="13.5">
      <c r="A23" s="234"/>
      <c r="B23" s="265"/>
      <c r="C23" s="234"/>
      <c r="D23" s="104" t="s">
        <v>95</v>
      </c>
      <c r="E23" s="103">
        <f>F23+G23+H23+I23+J23+K23+L23</f>
        <v>26339658.32</v>
      </c>
      <c r="F23" s="105">
        <f>F17+F11</f>
        <v>3903750</v>
      </c>
      <c r="G23" s="105">
        <f aca="true" t="shared" si="3" ref="G23:L23">G17+G11</f>
        <v>4481476.76</v>
      </c>
      <c r="H23" s="105">
        <f t="shared" si="3"/>
        <v>3857935.2399999998</v>
      </c>
      <c r="I23" s="105">
        <f t="shared" si="3"/>
        <v>3497874.08</v>
      </c>
      <c r="J23" s="105">
        <f t="shared" si="3"/>
        <v>3532874.08</v>
      </c>
      <c r="K23" s="105">
        <f t="shared" si="3"/>
        <v>3532874.08</v>
      </c>
      <c r="L23" s="105">
        <f t="shared" si="3"/>
        <v>3532874.08</v>
      </c>
      <c r="M23" s="237"/>
      <c r="N23" s="245"/>
      <c r="O23" s="245"/>
      <c r="P23" s="245"/>
      <c r="Q23" s="245"/>
      <c r="R23" s="245"/>
      <c r="S23" s="245"/>
      <c r="T23" s="245"/>
      <c r="U23" s="248"/>
    </row>
    <row r="24" spans="1:21" ht="13.5">
      <c r="A24" s="234"/>
      <c r="B24" s="265"/>
      <c r="C24" s="234"/>
      <c r="D24" s="104" t="s">
        <v>93</v>
      </c>
      <c r="E24" s="103">
        <f>F24+G24+H24+I24+J24+K24+L24</f>
        <v>0</v>
      </c>
      <c r="F24" s="105">
        <f aca="true" t="shared" si="4" ref="F24:L26">F12+F18</f>
        <v>0</v>
      </c>
      <c r="G24" s="105">
        <f t="shared" si="4"/>
        <v>0</v>
      </c>
      <c r="H24" s="105">
        <f t="shared" si="4"/>
        <v>0</v>
      </c>
      <c r="I24" s="105">
        <f t="shared" si="4"/>
        <v>0</v>
      </c>
      <c r="J24" s="105">
        <f t="shared" si="4"/>
        <v>0</v>
      </c>
      <c r="K24" s="105">
        <f t="shared" si="4"/>
        <v>0</v>
      </c>
      <c r="L24" s="105">
        <f t="shared" si="4"/>
        <v>0</v>
      </c>
      <c r="M24" s="237"/>
      <c r="N24" s="245"/>
      <c r="O24" s="245"/>
      <c r="P24" s="245"/>
      <c r="Q24" s="245"/>
      <c r="R24" s="245"/>
      <c r="S24" s="245"/>
      <c r="T24" s="245"/>
      <c r="U24" s="248"/>
    </row>
    <row r="25" spans="1:21" ht="13.5">
      <c r="A25" s="234"/>
      <c r="B25" s="265"/>
      <c r="C25" s="234"/>
      <c r="D25" s="104" t="s">
        <v>94</v>
      </c>
      <c r="E25" s="103">
        <f>F25+G25+H25+I25+J25+K25+L25</f>
        <v>0</v>
      </c>
      <c r="F25" s="105">
        <f aca="true" t="shared" si="5" ref="F25:H26">F13+F19</f>
        <v>0</v>
      </c>
      <c r="G25" s="105">
        <f t="shared" si="5"/>
        <v>0</v>
      </c>
      <c r="H25" s="105">
        <f t="shared" si="5"/>
        <v>0</v>
      </c>
      <c r="I25" s="105">
        <f t="shared" si="4"/>
        <v>0</v>
      </c>
      <c r="J25" s="105">
        <f t="shared" si="4"/>
        <v>0</v>
      </c>
      <c r="K25" s="105">
        <f t="shared" si="4"/>
        <v>0</v>
      </c>
      <c r="L25" s="105">
        <f t="shared" si="4"/>
        <v>0</v>
      </c>
      <c r="M25" s="237"/>
      <c r="N25" s="245"/>
      <c r="O25" s="245"/>
      <c r="P25" s="245"/>
      <c r="Q25" s="245"/>
      <c r="R25" s="245"/>
      <c r="S25" s="245"/>
      <c r="T25" s="245"/>
      <c r="U25" s="248"/>
    </row>
    <row r="26" spans="1:21" ht="13.5">
      <c r="A26" s="234"/>
      <c r="B26" s="266"/>
      <c r="C26" s="234"/>
      <c r="D26" s="104" t="s">
        <v>96</v>
      </c>
      <c r="E26" s="103">
        <f>F26+G26+H26+I26+J26+K26+L26</f>
        <v>0</v>
      </c>
      <c r="F26" s="105">
        <f t="shared" si="5"/>
        <v>0</v>
      </c>
      <c r="G26" s="105">
        <f t="shared" si="5"/>
        <v>0</v>
      </c>
      <c r="H26" s="105">
        <f t="shared" si="5"/>
        <v>0</v>
      </c>
      <c r="I26" s="105">
        <f t="shared" si="4"/>
        <v>0</v>
      </c>
      <c r="J26" s="105">
        <f t="shared" si="4"/>
        <v>0</v>
      </c>
      <c r="K26" s="105">
        <f t="shared" si="4"/>
        <v>0</v>
      </c>
      <c r="L26" s="105">
        <f t="shared" si="4"/>
        <v>0</v>
      </c>
      <c r="M26" s="238"/>
      <c r="N26" s="246"/>
      <c r="O26" s="246"/>
      <c r="P26" s="246"/>
      <c r="Q26" s="246"/>
      <c r="R26" s="246"/>
      <c r="S26" s="246"/>
      <c r="T26" s="246"/>
      <c r="U26" s="249"/>
    </row>
    <row r="27" spans="1:21" ht="12.75">
      <c r="A27" s="21">
        <v>2</v>
      </c>
      <c r="B27" s="213" t="s">
        <v>37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5"/>
    </row>
    <row r="28" spans="1:21" ht="12.75" customHeight="1">
      <c r="A28" s="223" t="s">
        <v>134</v>
      </c>
      <c r="B28" s="287" t="s">
        <v>166</v>
      </c>
      <c r="C28" s="229" t="s">
        <v>82</v>
      </c>
      <c r="D28" s="22" t="s">
        <v>97</v>
      </c>
      <c r="E28" s="23">
        <f>E30+E31+E32+E33</f>
        <v>34219000</v>
      </c>
      <c r="F28" s="23">
        <f aca="true" t="shared" si="6" ref="F28:L28">F30+F31+F32+F33</f>
        <v>4265000</v>
      </c>
      <c r="G28" s="23">
        <f t="shared" si="6"/>
        <v>4405000</v>
      </c>
      <c r="H28" s="23">
        <f t="shared" si="6"/>
        <v>4405000</v>
      </c>
      <c r="I28" s="23">
        <f t="shared" si="6"/>
        <v>5286000</v>
      </c>
      <c r="J28" s="23">
        <f t="shared" si="6"/>
        <v>5286000</v>
      </c>
      <c r="K28" s="23">
        <f t="shared" si="6"/>
        <v>5286000</v>
      </c>
      <c r="L28" s="23">
        <f t="shared" si="6"/>
        <v>5286000</v>
      </c>
      <c r="M28" s="258" t="s">
        <v>15</v>
      </c>
      <c r="N28" s="208">
        <v>100</v>
      </c>
      <c r="O28" s="208">
        <v>100</v>
      </c>
      <c r="P28" s="208">
        <v>100</v>
      </c>
      <c r="Q28" s="208">
        <v>100</v>
      </c>
      <c r="R28" s="208">
        <v>100</v>
      </c>
      <c r="S28" s="208">
        <v>100</v>
      </c>
      <c r="T28" s="208">
        <v>100</v>
      </c>
      <c r="U28" s="258" t="s">
        <v>81</v>
      </c>
    </row>
    <row r="29" spans="1:21" ht="12.75">
      <c r="A29" s="223"/>
      <c r="B29" s="288"/>
      <c r="C29" s="230"/>
      <c r="D29" s="216" t="s">
        <v>117</v>
      </c>
      <c r="E29" s="217"/>
      <c r="F29" s="217"/>
      <c r="G29" s="217"/>
      <c r="H29" s="217"/>
      <c r="I29" s="217"/>
      <c r="J29" s="217"/>
      <c r="K29" s="217"/>
      <c r="L29" s="218"/>
      <c r="M29" s="259"/>
      <c r="N29" s="209"/>
      <c r="O29" s="209"/>
      <c r="P29" s="209"/>
      <c r="Q29" s="209"/>
      <c r="R29" s="209"/>
      <c r="S29" s="209"/>
      <c r="T29" s="209"/>
      <c r="U29" s="259"/>
    </row>
    <row r="30" spans="1:21" ht="12.75">
      <c r="A30" s="223"/>
      <c r="B30" s="288"/>
      <c r="C30" s="230"/>
      <c r="D30" s="22" t="s">
        <v>95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59"/>
      <c r="N30" s="209"/>
      <c r="O30" s="209"/>
      <c r="P30" s="209"/>
      <c r="Q30" s="209"/>
      <c r="R30" s="209"/>
      <c r="S30" s="209"/>
      <c r="T30" s="209"/>
      <c r="U30" s="259"/>
    </row>
    <row r="31" spans="1:21" ht="12.75">
      <c r="A31" s="223"/>
      <c r="B31" s="288"/>
      <c r="C31" s="230"/>
      <c r="D31" s="22" t="s">
        <v>93</v>
      </c>
      <c r="E31" s="23">
        <f>F31+G31+H31+I31+J31+K31+L31</f>
        <v>34219000</v>
      </c>
      <c r="F31" s="23">
        <v>4265000</v>
      </c>
      <c r="G31" s="23">
        <v>4405000</v>
      </c>
      <c r="H31" s="23">
        <f>3554115.42+850884.58</f>
        <v>4405000</v>
      </c>
      <c r="I31" s="23">
        <f>2797068.04+132900+844714.55+646414+864903.41</f>
        <v>5286000</v>
      </c>
      <c r="J31" s="23">
        <f>2797068.04+132900+844714.55+646414+864903.41</f>
        <v>5286000</v>
      </c>
      <c r="K31" s="23">
        <f>2797068.04+132900+844714.55+646414+864903.41</f>
        <v>5286000</v>
      </c>
      <c r="L31" s="23">
        <v>5286000</v>
      </c>
      <c r="M31" s="259"/>
      <c r="N31" s="209"/>
      <c r="O31" s="209"/>
      <c r="P31" s="209"/>
      <c r="Q31" s="209"/>
      <c r="R31" s="209"/>
      <c r="S31" s="209"/>
      <c r="T31" s="209"/>
      <c r="U31" s="259"/>
    </row>
    <row r="32" spans="1:21" ht="12.75">
      <c r="A32" s="223"/>
      <c r="B32" s="288"/>
      <c r="C32" s="230"/>
      <c r="D32" s="22" t="s">
        <v>94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59"/>
      <c r="N32" s="209"/>
      <c r="O32" s="209"/>
      <c r="P32" s="209"/>
      <c r="Q32" s="209"/>
      <c r="R32" s="209"/>
      <c r="S32" s="209"/>
      <c r="T32" s="209"/>
      <c r="U32" s="259"/>
    </row>
    <row r="33" spans="1:21" ht="12.75">
      <c r="A33" s="223"/>
      <c r="B33" s="289"/>
      <c r="C33" s="231"/>
      <c r="D33" s="22" t="s">
        <v>96</v>
      </c>
      <c r="E33" s="23">
        <f>F33+G33+H33+I33+J33+K33+L33</f>
        <v>0</v>
      </c>
      <c r="F33" s="23"/>
      <c r="G33" s="23"/>
      <c r="H33" s="23"/>
      <c r="I33" s="23"/>
      <c r="J33" s="23"/>
      <c r="K33" s="23"/>
      <c r="L33" s="23"/>
      <c r="M33" s="260"/>
      <c r="N33" s="210"/>
      <c r="O33" s="210"/>
      <c r="P33" s="210"/>
      <c r="Q33" s="210"/>
      <c r="R33" s="210"/>
      <c r="S33" s="210"/>
      <c r="T33" s="210"/>
      <c r="U33" s="260"/>
    </row>
    <row r="34" spans="1:21" ht="12.75" customHeight="1">
      <c r="A34" s="223" t="s">
        <v>135</v>
      </c>
      <c r="B34" s="267" t="s">
        <v>167</v>
      </c>
      <c r="C34" s="229" t="s">
        <v>82</v>
      </c>
      <c r="D34" s="22" t="s">
        <v>97</v>
      </c>
      <c r="E34" s="23">
        <f>E36+E37+E38+E39</f>
        <v>867200</v>
      </c>
      <c r="F34" s="23">
        <f aca="true" t="shared" si="7" ref="F34:L34">F36+F37+F38+F39</f>
        <v>131600</v>
      </c>
      <c r="G34" s="23">
        <f t="shared" si="7"/>
        <v>0</v>
      </c>
      <c r="H34" s="23">
        <f t="shared" si="7"/>
        <v>147200</v>
      </c>
      <c r="I34" s="23">
        <f t="shared" si="7"/>
        <v>147100</v>
      </c>
      <c r="J34" s="23">
        <f t="shared" si="7"/>
        <v>147100</v>
      </c>
      <c r="K34" s="23">
        <f t="shared" si="7"/>
        <v>147100</v>
      </c>
      <c r="L34" s="23">
        <f t="shared" si="7"/>
        <v>147100</v>
      </c>
      <c r="M34" s="258" t="s">
        <v>14</v>
      </c>
      <c r="N34" s="208">
        <v>100</v>
      </c>
      <c r="O34" s="208">
        <v>100</v>
      </c>
      <c r="P34" s="208">
        <v>100</v>
      </c>
      <c r="Q34" s="208">
        <v>100</v>
      </c>
      <c r="R34" s="208">
        <v>100</v>
      </c>
      <c r="S34" s="208">
        <v>100</v>
      </c>
      <c r="T34" s="208">
        <v>100</v>
      </c>
      <c r="U34" s="258" t="s">
        <v>81</v>
      </c>
    </row>
    <row r="35" spans="1:21" ht="12.75">
      <c r="A35" s="223"/>
      <c r="B35" s="268"/>
      <c r="C35" s="230"/>
      <c r="D35" s="216" t="s">
        <v>117</v>
      </c>
      <c r="E35" s="217"/>
      <c r="F35" s="217"/>
      <c r="G35" s="217"/>
      <c r="H35" s="217"/>
      <c r="I35" s="217"/>
      <c r="J35" s="217"/>
      <c r="K35" s="217"/>
      <c r="L35" s="218"/>
      <c r="M35" s="259"/>
      <c r="N35" s="209"/>
      <c r="O35" s="209"/>
      <c r="P35" s="209"/>
      <c r="Q35" s="209"/>
      <c r="R35" s="209"/>
      <c r="S35" s="209"/>
      <c r="T35" s="209"/>
      <c r="U35" s="259"/>
    </row>
    <row r="36" spans="1:21" ht="12.75">
      <c r="A36" s="223"/>
      <c r="B36" s="268"/>
      <c r="C36" s="230"/>
      <c r="D36" s="22" t="s">
        <v>95</v>
      </c>
      <c r="E36" s="23">
        <f>F36+G36+H36+I36+J36+K36+L36</f>
        <v>0</v>
      </c>
      <c r="F36" s="24"/>
      <c r="G36" s="23"/>
      <c r="H36" s="23"/>
      <c r="I36" s="23"/>
      <c r="J36" s="23"/>
      <c r="K36" s="23"/>
      <c r="L36" s="23"/>
      <c r="M36" s="259"/>
      <c r="N36" s="209"/>
      <c r="O36" s="209"/>
      <c r="P36" s="209"/>
      <c r="Q36" s="209"/>
      <c r="R36" s="209"/>
      <c r="S36" s="209"/>
      <c r="T36" s="209"/>
      <c r="U36" s="259"/>
    </row>
    <row r="37" spans="1:21" ht="12.75">
      <c r="A37" s="223"/>
      <c r="B37" s="268"/>
      <c r="C37" s="230"/>
      <c r="D37" s="22" t="s">
        <v>93</v>
      </c>
      <c r="E37" s="23">
        <f>F37+G37+H37+I37+J37+K37+L37</f>
        <v>867200</v>
      </c>
      <c r="F37" s="23">
        <v>131600</v>
      </c>
      <c r="G37" s="23">
        <v>0</v>
      </c>
      <c r="H37" s="23">
        <f>73600+73600</f>
        <v>147200</v>
      </c>
      <c r="I37" s="23">
        <v>147100</v>
      </c>
      <c r="J37" s="23">
        <v>147100</v>
      </c>
      <c r="K37" s="23">
        <v>147100</v>
      </c>
      <c r="L37" s="23">
        <v>147100</v>
      </c>
      <c r="M37" s="259"/>
      <c r="N37" s="209"/>
      <c r="O37" s="209"/>
      <c r="P37" s="209"/>
      <c r="Q37" s="209"/>
      <c r="R37" s="209"/>
      <c r="S37" s="209"/>
      <c r="T37" s="209"/>
      <c r="U37" s="259"/>
    </row>
    <row r="38" spans="1:21" ht="12.75">
      <c r="A38" s="223"/>
      <c r="B38" s="268"/>
      <c r="C38" s="230"/>
      <c r="D38" s="22" t="s">
        <v>94</v>
      </c>
      <c r="E38" s="23">
        <f>F38+G38+H38+I38+J38+K38+L38</f>
        <v>0</v>
      </c>
      <c r="F38" s="24"/>
      <c r="G38" s="23"/>
      <c r="H38" s="23"/>
      <c r="I38" s="23"/>
      <c r="J38" s="23"/>
      <c r="K38" s="23"/>
      <c r="L38" s="23"/>
      <c r="M38" s="259"/>
      <c r="N38" s="209"/>
      <c r="O38" s="209"/>
      <c r="P38" s="209"/>
      <c r="Q38" s="209"/>
      <c r="R38" s="209"/>
      <c r="S38" s="209"/>
      <c r="T38" s="209"/>
      <c r="U38" s="259"/>
    </row>
    <row r="39" spans="1:21" ht="12.75">
      <c r="A39" s="223"/>
      <c r="B39" s="269"/>
      <c r="C39" s="231"/>
      <c r="D39" s="22" t="s">
        <v>96</v>
      </c>
      <c r="E39" s="23">
        <f>F39+G39+H39+I39+J39+K39+L39</f>
        <v>0</v>
      </c>
      <c r="F39" s="24"/>
      <c r="G39" s="23"/>
      <c r="H39" s="23"/>
      <c r="I39" s="23"/>
      <c r="J39" s="23"/>
      <c r="K39" s="23"/>
      <c r="L39" s="23"/>
      <c r="M39" s="260"/>
      <c r="N39" s="210"/>
      <c r="O39" s="210"/>
      <c r="P39" s="210"/>
      <c r="Q39" s="210"/>
      <c r="R39" s="210"/>
      <c r="S39" s="210"/>
      <c r="T39" s="210"/>
      <c r="U39" s="260"/>
    </row>
    <row r="40" spans="1:21" ht="12.75" customHeight="1">
      <c r="A40" s="223" t="s">
        <v>136</v>
      </c>
      <c r="B40" s="267" t="s">
        <v>168</v>
      </c>
      <c r="C40" s="229" t="s">
        <v>82</v>
      </c>
      <c r="D40" s="22" t="s">
        <v>97</v>
      </c>
      <c r="E40" s="23">
        <f>E42+E43+E44+E45</f>
        <v>12574800</v>
      </c>
      <c r="F40" s="23">
        <f aca="true" t="shared" si="8" ref="F40:L40">F42+F43+F44+F45</f>
        <v>1876300</v>
      </c>
      <c r="G40" s="23">
        <f t="shared" si="8"/>
        <v>1698600</v>
      </c>
      <c r="H40" s="23">
        <f t="shared" si="8"/>
        <v>1563700</v>
      </c>
      <c r="I40" s="23">
        <f t="shared" si="8"/>
        <v>1869400</v>
      </c>
      <c r="J40" s="23">
        <f t="shared" si="8"/>
        <v>1855600</v>
      </c>
      <c r="K40" s="23">
        <f t="shared" si="8"/>
        <v>1855600</v>
      </c>
      <c r="L40" s="23">
        <f t="shared" si="8"/>
        <v>1855600</v>
      </c>
      <c r="M40" s="258" t="s">
        <v>12</v>
      </c>
      <c r="N40" s="208">
        <v>100</v>
      </c>
      <c r="O40" s="208">
        <v>100</v>
      </c>
      <c r="P40" s="208">
        <v>100</v>
      </c>
      <c r="Q40" s="208">
        <v>100</v>
      </c>
      <c r="R40" s="208">
        <v>100</v>
      </c>
      <c r="S40" s="208">
        <v>100</v>
      </c>
      <c r="T40" s="208">
        <v>100</v>
      </c>
      <c r="U40" s="258" t="s">
        <v>81</v>
      </c>
    </row>
    <row r="41" spans="1:21" ht="12.75">
      <c r="A41" s="223"/>
      <c r="B41" s="268"/>
      <c r="C41" s="230"/>
      <c r="D41" s="216" t="s">
        <v>117</v>
      </c>
      <c r="E41" s="217"/>
      <c r="F41" s="217"/>
      <c r="G41" s="217"/>
      <c r="H41" s="217"/>
      <c r="I41" s="217"/>
      <c r="J41" s="217"/>
      <c r="K41" s="217"/>
      <c r="L41" s="218"/>
      <c r="M41" s="259"/>
      <c r="N41" s="209"/>
      <c r="O41" s="209"/>
      <c r="P41" s="209"/>
      <c r="Q41" s="209"/>
      <c r="R41" s="209"/>
      <c r="S41" s="209"/>
      <c r="T41" s="209"/>
      <c r="U41" s="259"/>
    </row>
    <row r="42" spans="1:21" ht="12.75">
      <c r="A42" s="223"/>
      <c r="B42" s="268"/>
      <c r="C42" s="230"/>
      <c r="D42" s="22" t="s">
        <v>95</v>
      </c>
      <c r="E42" s="23">
        <f>F42+G42+H42+I42+J42+K42+L42</f>
        <v>0</v>
      </c>
      <c r="F42" s="24"/>
      <c r="G42" s="24"/>
      <c r="H42" s="24"/>
      <c r="I42" s="23"/>
      <c r="J42" s="24"/>
      <c r="K42" s="24"/>
      <c r="L42" s="24"/>
      <c r="M42" s="259"/>
      <c r="N42" s="209"/>
      <c r="O42" s="209"/>
      <c r="P42" s="209"/>
      <c r="Q42" s="209"/>
      <c r="R42" s="209"/>
      <c r="S42" s="209"/>
      <c r="T42" s="209"/>
      <c r="U42" s="259"/>
    </row>
    <row r="43" spans="1:21" ht="12.75">
      <c r="A43" s="223"/>
      <c r="B43" s="268"/>
      <c r="C43" s="230"/>
      <c r="D43" s="22" t="s">
        <v>93</v>
      </c>
      <c r="E43" s="23">
        <f>F43+G43+H43+I43+J43+K43+L43</f>
        <v>12574800</v>
      </c>
      <c r="F43" s="24">
        <v>1876300</v>
      </c>
      <c r="G43" s="24">
        <f>1675100+18049.15+5450.85</f>
        <v>1698600</v>
      </c>
      <c r="H43" s="24">
        <f>1594000+22400-52000-4301.09-1298.91+4900</f>
        <v>1563700</v>
      </c>
      <c r="I43" s="23">
        <f>1847600+16743.47+5056.53</f>
        <v>1869400</v>
      </c>
      <c r="J43" s="24">
        <f>1833800+16743.47+5056.53</f>
        <v>1855600</v>
      </c>
      <c r="K43" s="24">
        <f>1833800+16743.47+5056.53</f>
        <v>1855600</v>
      </c>
      <c r="L43" s="24">
        <v>1855600</v>
      </c>
      <c r="M43" s="259"/>
      <c r="N43" s="209"/>
      <c r="O43" s="209"/>
      <c r="P43" s="209"/>
      <c r="Q43" s="209"/>
      <c r="R43" s="209"/>
      <c r="S43" s="209"/>
      <c r="T43" s="209"/>
      <c r="U43" s="259"/>
    </row>
    <row r="44" spans="1:21" ht="12.75">
      <c r="A44" s="223"/>
      <c r="B44" s="268"/>
      <c r="C44" s="230"/>
      <c r="D44" s="22" t="s">
        <v>94</v>
      </c>
      <c r="E44" s="23">
        <f>F44+G44+H44+I44+J44+K44+L44</f>
        <v>0</v>
      </c>
      <c r="F44" s="24">
        <v>0</v>
      </c>
      <c r="G44" s="24">
        <v>0</v>
      </c>
      <c r="H44" s="24">
        <v>0</v>
      </c>
      <c r="I44" s="23">
        <v>0</v>
      </c>
      <c r="J44" s="24">
        <v>0</v>
      </c>
      <c r="K44" s="24">
        <v>0</v>
      </c>
      <c r="L44" s="24">
        <v>0</v>
      </c>
      <c r="M44" s="259"/>
      <c r="N44" s="209"/>
      <c r="O44" s="209"/>
      <c r="P44" s="209"/>
      <c r="Q44" s="209"/>
      <c r="R44" s="209"/>
      <c r="S44" s="209"/>
      <c r="T44" s="209"/>
      <c r="U44" s="259"/>
    </row>
    <row r="45" spans="1:21" ht="12.75">
      <c r="A45" s="223"/>
      <c r="B45" s="269"/>
      <c r="C45" s="231"/>
      <c r="D45" s="22" t="s">
        <v>96</v>
      </c>
      <c r="E45" s="23">
        <f>F45+G45+H45+I45+J45+K45+L45</f>
        <v>0</v>
      </c>
      <c r="F45" s="24">
        <v>0</v>
      </c>
      <c r="G45" s="24">
        <v>0</v>
      </c>
      <c r="H45" s="24">
        <v>0</v>
      </c>
      <c r="I45" s="23">
        <v>0</v>
      </c>
      <c r="J45" s="24">
        <v>0</v>
      </c>
      <c r="K45" s="24">
        <v>0</v>
      </c>
      <c r="L45" s="24">
        <v>0</v>
      </c>
      <c r="M45" s="260"/>
      <c r="N45" s="210"/>
      <c r="O45" s="210"/>
      <c r="P45" s="210"/>
      <c r="Q45" s="210"/>
      <c r="R45" s="210"/>
      <c r="S45" s="210"/>
      <c r="T45" s="210"/>
      <c r="U45" s="260"/>
    </row>
    <row r="46" spans="1:21" ht="12.75" customHeight="1">
      <c r="A46" s="223" t="s">
        <v>157</v>
      </c>
      <c r="B46" s="267" t="s">
        <v>169</v>
      </c>
      <c r="C46" s="229" t="s">
        <v>82</v>
      </c>
      <c r="D46" s="22" t="s">
        <v>97</v>
      </c>
      <c r="E46" s="23">
        <f>E48+E49+E50+E51</f>
        <v>2398200</v>
      </c>
      <c r="F46" s="23">
        <f aca="true" t="shared" si="9" ref="F46:L46">F48+F49+F50+F51</f>
        <v>418700</v>
      </c>
      <c r="G46" s="23">
        <f t="shared" si="9"/>
        <v>209400</v>
      </c>
      <c r="H46" s="23">
        <f t="shared" si="9"/>
        <v>200000</v>
      </c>
      <c r="I46" s="23">
        <f t="shared" si="9"/>
        <v>314000</v>
      </c>
      <c r="J46" s="23">
        <f t="shared" si="9"/>
        <v>628100</v>
      </c>
      <c r="K46" s="23">
        <f t="shared" si="9"/>
        <v>314000</v>
      </c>
      <c r="L46" s="23">
        <f t="shared" si="9"/>
        <v>314000</v>
      </c>
      <c r="M46" s="258" t="s">
        <v>40</v>
      </c>
      <c r="N46" s="208">
        <v>100</v>
      </c>
      <c r="O46" s="208">
        <v>100</v>
      </c>
      <c r="P46" s="208">
        <v>100</v>
      </c>
      <c r="Q46" s="208">
        <v>100</v>
      </c>
      <c r="R46" s="208">
        <v>100</v>
      </c>
      <c r="S46" s="208">
        <v>100</v>
      </c>
      <c r="T46" s="208">
        <v>100</v>
      </c>
      <c r="U46" s="258" t="s">
        <v>81</v>
      </c>
    </row>
    <row r="47" spans="1:21" ht="12.75">
      <c r="A47" s="223"/>
      <c r="B47" s="268"/>
      <c r="C47" s="230"/>
      <c r="D47" s="216" t="s">
        <v>117</v>
      </c>
      <c r="E47" s="217"/>
      <c r="F47" s="217"/>
      <c r="G47" s="217"/>
      <c r="H47" s="217"/>
      <c r="I47" s="217"/>
      <c r="J47" s="217"/>
      <c r="K47" s="217"/>
      <c r="L47" s="218"/>
      <c r="M47" s="259"/>
      <c r="N47" s="209"/>
      <c r="O47" s="209"/>
      <c r="P47" s="209"/>
      <c r="Q47" s="209"/>
      <c r="R47" s="209"/>
      <c r="S47" s="209"/>
      <c r="T47" s="209"/>
      <c r="U47" s="259"/>
    </row>
    <row r="48" spans="1:21" ht="12.75">
      <c r="A48" s="223"/>
      <c r="B48" s="268"/>
      <c r="C48" s="230"/>
      <c r="D48" s="22" t="s">
        <v>95</v>
      </c>
      <c r="E48" s="23">
        <f>F48+G48+H48+I48+J48+K48+L48</f>
        <v>0</v>
      </c>
      <c r="F48" s="24"/>
      <c r="G48" s="24"/>
      <c r="H48" s="24"/>
      <c r="I48" s="23"/>
      <c r="J48" s="24"/>
      <c r="K48" s="24"/>
      <c r="L48" s="24"/>
      <c r="M48" s="259"/>
      <c r="N48" s="209"/>
      <c r="O48" s="209"/>
      <c r="P48" s="209"/>
      <c r="Q48" s="209"/>
      <c r="R48" s="209"/>
      <c r="S48" s="209"/>
      <c r="T48" s="209"/>
      <c r="U48" s="259"/>
    </row>
    <row r="49" spans="1:21" ht="12.75">
      <c r="A49" s="223"/>
      <c r="B49" s="268"/>
      <c r="C49" s="230"/>
      <c r="D49" s="22" t="s">
        <v>93</v>
      </c>
      <c r="E49" s="23">
        <f>F49+G49+H49+I49+J49+K49+L49</f>
        <v>2398200</v>
      </c>
      <c r="F49" s="24">
        <v>418700</v>
      </c>
      <c r="G49" s="24">
        <v>209400</v>
      </c>
      <c r="H49" s="24">
        <f>209400-9400</f>
        <v>200000</v>
      </c>
      <c r="I49" s="23">
        <v>314000</v>
      </c>
      <c r="J49" s="24">
        <v>628100</v>
      </c>
      <c r="K49" s="24">
        <v>314000</v>
      </c>
      <c r="L49" s="24">
        <v>314000</v>
      </c>
      <c r="M49" s="259"/>
      <c r="N49" s="209"/>
      <c r="O49" s="209"/>
      <c r="P49" s="209"/>
      <c r="Q49" s="209"/>
      <c r="R49" s="209"/>
      <c r="S49" s="209"/>
      <c r="T49" s="209"/>
      <c r="U49" s="259"/>
    </row>
    <row r="50" spans="1:21" ht="12.75">
      <c r="A50" s="223"/>
      <c r="B50" s="268"/>
      <c r="C50" s="230"/>
      <c r="D50" s="22" t="s">
        <v>94</v>
      </c>
      <c r="E50" s="23">
        <f>F50+G50+H50+I50+J50+K50+L50</f>
        <v>0</v>
      </c>
      <c r="F50" s="24"/>
      <c r="G50" s="24"/>
      <c r="H50" s="24"/>
      <c r="I50" s="23"/>
      <c r="J50" s="24"/>
      <c r="K50" s="24"/>
      <c r="L50" s="24"/>
      <c r="M50" s="259"/>
      <c r="N50" s="209"/>
      <c r="O50" s="209"/>
      <c r="P50" s="209"/>
      <c r="Q50" s="209"/>
      <c r="R50" s="209"/>
      <c r="S50" s="209"/>
      <c r="T50" s="209"/>
      <c r="U50" s="259"/>
    </row>
    <row r="51" spans="1:21" ht="12.75">
      <c r="A51" s="223"/>
      <c r="B51" s="269"/>
      <c r="C51" s="231"/>
      <c r="D51" s="22" t="s">
        <v>96</v>
      </c>
      <c r="E51" s="23">
        <f>F51+G51+H51+I51+J51+K51+L51</f>
        <v>0</v>
      </c>
      <c r="F51" s="24"/>
      <c r="G51" s="24"/>
      <c r="H51" s="24"/>
      <c r="I51" s="23"/>
      <c r="J51" s="24"/>
      <c r="K51" s="24"/>
      <c r="L51" s="24"/>
      <c r="M51" s="260"/>
      <c r="N51" s="210"/>
      <c r="O51" s="210"/>
      <c r="P51" s="210"/>
      <c r="Q51" s="210"/>
      <c r="R51" s="210"/>
      <c r="S51" s="210"/>
      <c r="T51" s="210"/>
      <c r="U51" s="260"/>
    </row>
    <row r="52" spans="1:21" ht="12.75" customHeight="1">
      <c r="A52" s="223" t="s">
        <v>158</v>
      </c>
      <c r="B52" s="267" t="s">
        <v>170</v>
      </c>
      <c r="C52" s="229" t="s">
        <v>82</v>
      </c>
      <c r="D52" s="22" t="s">
        <v>97</v>
      </c>
      <c r="E52" s="23">
        <f>E54+E55+E56+E57</f>
        <v>4390700</v>
      </c>
      <c r="F52" s="23">
        <f aca="true" t="shared" si="10" ref="F52:L52">F54+F55+F56+F57</f>
        <v>409000</v>
      </c>
      <c r="G52" s="23">
        <f>G54+G55+G56+G57</f>
        <v>338000</v>
      </c>
      <c r="H52" s="23">
        <f t="shared" si="10"/>
        <v>619300</v>
      </c>
      <c r="I52" s="23">
        <f t="shared" si="10"/>
        <v>756100</v>
      </c>
      <c r="J52" s="23">
        <f t="shared" si="10"/>
        <v>756100</v>
      </c>
      <c r="K52" s="23">
        <f t="shared" si="10"/>
        <v>756100</v>
      </c>
      <c r="L52" s="23">
        <f t="shared" si="10"/>
        <v>756100</v>
      </c>
      <c r="M52" s="258" t="s">
        <v>13</v>
      </c>
      <c r="N52" s="208">
        <v>100</v>
      </c>
      <c r="O52" s="208">
        <v>100</v>
      </c>
      <c r="P52" s="208">
        <v>100</v>
      </c>
      <c r="Q52" s="208">
        <v>100</v>
      </c>
      <c r="R52" s="208">
        <v>100</v>
      </c>
      <c r="S52" s="208">
        <v>100</v>
      </c>
      <c r="T52" s="208">
        <v>100</v>
      </c>
      <c r="U52" s="258" t="s">
        <v>81</v>
      </c>
    </row>
    <row r="53" spans="1:21" ht="12.75">
      <c r="A53" s="223"/>
      <c r="B53" s="268"/>
      <c r="C53" s="230"/>
      <c r="D53" s="216" t="s">
        <v>117</v>
      </c>
      <c r="E53" s="217"/>
      <c r="F53" s="217"/>
      <c r="G53" s="217"/>
      <c r="H53" s="217"/>
      <c r="I53" s="217"/>
      <c r="J53" s="217"/>
      <c r="K53" s="217"/>
      <c r="L53" s="218"/>
      <c r="M53" s="259"/>
      <c r="N53" s="209"/>
      <c r="O53" s="209"/>
      <c r="P53" s="209"/>
      <c r="Q53" s="209"/>
      <c r="R53" s="209"/>
      <c r="S53" s="209"/>
      <c r="T53" s="209"/>
      <c r="U53" s="259"/>
    </row>
    <row r="54" spans="1:21" ht="12.75">
      <c r="A54" s="223"/>
      <c r="B54" s="268"/>
      <c r="C54" s="230"/>
      <c r="D54" s="22" t="s">
        <v>95</v>
      </c>
      <c r="E54" s="23">
        <f>F54+G54+H54+I54+J54+K54+L54</f>
        <v>0</v>
      </c>
      <c r="F54" s="24"/>
      <c r="G54" s="24"/>
      <c r="H54" s="24"/>
      <c r="I54" s="23"/>
      <c r="J54" s="24"/>
      <c r="K54" s="24"/>
      <c r="L54" s="24"/>
      <c r="M54" s="259"/>
      <c r="N54" s="209"/>
      <c r="O54" s="209"/>
      <c r="P54" s="209"/>
      <c r="Q54" s="209"/>
      <c r="R54" s="209"/>
      <c r="S54" s="209"/>
      <c r="T54" s="209"/>
      <c r="U54" s="259"/>
    </row>
    <row r="55" spans="1:21" ht="12.75">
      <c r="A55" s="223"/>
      <c r="B55" s="268"/>
      <c r="C55" s="230"/>
      <c r="D55" s="22" t="s">
        <v>93</v>
      </c>
      <c r="E55" s="23">
        <f>F55+G55+H55+I55+J55+K55+L55</f>
        <v>4390700</v>
      </c>
      <c r="F55" s="24">
        <v>409000</v>
      </c>
      <c r="G55" s="24">
        <v>338000</v>
      </c>
      <c r="H55" s="24">
        <f>491500+127800</f>
        <v>619300</v>
      </c>
      <c r="I55" s="23">
        <v>756100</v>
      </c>
      <c r="J55" s="24">
        <v>756100</v>
      </c>
      <c r="K55" s="24">
        <v>756100</v>
      </c>
      <c r="L55" s="24">
        <v>756100</v>
      </c>
      <c r="M55" s="259"/>
      <c r="N55" s="209"/>
      <c r="O55" s="209"/>
      <c r="P55" s="209"/>
      <c r="Q55" s="209"/>
      <c r="R55" s="209"/>
      <c r="S55" s="209"/>
      <c r="T55" s="209"/>
      <c r="U55" s="259"/>
    </row>
    <row r="56" spans="1:21" ht="12.75">
      <c r="A56" s="223"/>
      <c r="B56" s="268"/>
      <c r="C56" s="230"/>
      <c r="D56" s="22" t="s">
        <v>94</v>
      </c>
      <c r="E56" s="23">
        <f>F56+G56+H56+I56+J56+K56+L56</f>
        <v>0</v>
      </c>
      <c r="F56" s="24"/>
      <c r="G56" s="24"/>
      <c r="H56" s="24"/>
      <c r="I56" s="23"/>
      <c r="J56" s="24"/>
      <c r="K56" s="24"/>
      <c r="L56" s="24"/>
      <c r="M56" s="259"/>
      <c r="N56" s="209"/>
      <c r="O56" s="209"/>
      <c r="P56" s="209"/>
      <c r="Q56" s="209"/>
      <c r="R56" s="209"/>
      <c r="S56" s="209"/>
      <c r="T56" s="209"/>
      <c r="U56" s="259"/>
    </row>
    <row r="57" spans="1:21" ht="12.75">
      <c r="A57" s="223"/>
      <c r="B57" s="269"/>
      <c r="C57" s="231"/>
      <c r="D57" s="22" t="s">
        <v>96</v>
      </c>
      <c r="E57" s="23">
        <f>F57+G57+H57+I57+J57+K57+L57</f>
        <v>0</v>
      </c>
      <c r="F57" s="24"/>
      <c r="G57" s="24"/>
      <c r="H57" s="24"/>
      <c r="I57" s="23"/>
      <c r="J57" s="24"/>
      <c r="K57" s="24"/>
      <c r="L57" s="24"/>
      <c r="M57" s="260"/>
      <c r="N57" s="210"/>
      <c r="O57" s="210"/>
      <c r="P57" s="210"/>
      <c r="Q57" s="210"/>
      <c r="R57" s="210"/>
      <c r="S57" s="210"/>
      <c r="T57" s="210"/>
      <c r="U57" s="260"/>
    </row>
    <row r="58" spans="1:21" ht="12.75" customHeight="1">
      <c r="A58" s="223" t="s">
        <v>159</v>
      </c>
      <c r="B58" s="267" t="s">
        <v>171</v>
      </c>
      <c r="C58" s="229" t="s">
        <v>82</v>
      </c>
      <c r="D58" s="22" t="s">
        <v>97</v>
      </c>
      <c r="E58" s="23">
        <f>E60+E61+E62+E63</f>
        <v>215169200</v>
      </c>
      <c r="F58" s="23">
        <f aca="true" t="shared" si="11" ref="F58:L58">F60+F61+F62+F63</f>
        <v>23667600</v>
      </c>
      <c r="G58" s="23">
        <f t="shared" si="11"/>
        <v>28243200</v>
      </c>
      <c r="H58" s="23">
        <f t="shared" si="11"/>
        <v>29669600</v>
      </c>
      <c r="I58" s="23">
        <f t="shared" si="11"/>
        <v>33397200</v>
      </c>
      <c r="J58" s="23">
        <f t="shared" si="11"/>
        <v>33397200</v>
      </c>
      <c r="K58" s="23">
        <f t="shared" si="11"/>
        <v>33397200</v>
      </c>
      <c r="L58" s="23">
        <f t="shared" si="11"/>
        <v>33397200</v>
      </c>
      <c r="M58" s="258" t="s">
        <v>11</v>
      </c>
      <c r="N58" s="208">
        <v>100</v>
      </c>
      <c r="O58" s="208">
        <v>100</v>
      </c>
      <c r="P58" s="208">
        <v>100</v>
      </c>
      <c r="Q58" s="208">
        <v>100</v>
      </c>
      <c r="R58" s="208">
        <v>100</v>
      </c>
      <c r="S58" s="208">
        <v>100</v>
      </c>
      <c r="T58" s="208">
        <v>100</v>
      </c>
      <c r="U58" s="258" t="s">
        <v>81</v>
      </c>
    </row>
    <row r="59" spans="1:21" ht="12.75">
      <c r="A59" s="223"/>
      <c r="B59" s="268"/>
      <c r="C59" s="230"/>
      <c r="D59" s="216" t="s">
        <v>117</v>
      </c>
      <c r="E59" s="217"/>
      <c r="F59" s="217"/>
      <c r="G59" s="217"/>
      <c r="H59" s="217"/>
      <c r="I59" s="217"/>
      <c r="J59" s="217"/>
      <c r="K59" s="217"/>
      <c r="L59" s="218"/>
      <c r="M59" s="259"/>
      <c r="N59" s="209"/>
      <c r="O59" s="209"/>
      <c r="P59" s="209"/>
      <c r="Q59" s="209"/>
      <c r="R59" s="209"/>
      <c r="S59" s="209"/>
      <c r="T59" s="209"/>
      <c r="U59" s="259"/>
    </row>
    <row r="60" spans="1:21" ht="12.75">
      <c r="A60" s="223"/>
      <c r="B60" s="268"/>
      <c r="C60" s="230"/>
      <c r="D60" s="22" t="s">
        <v>95</v>
      </c>
      <c r="E60" s="23">
        <f>F60+G60+H60+I60+J60+K60+L60</f>
        <v>0</v>
      </c>
      <c r="F60" s="24"/>
      <c r="G60" s="24"/>
      <c r="H60" s="24"/>
      <c r="I60" s="23"/>
      <c r="J60" s="24"/>
      <c r="K60" s="24"/>
      <c r="L60" s="24"/>
      <c r="M60" s="259"/>
      <c r="N60" s="209"/>
      <c r="O60" s="209"/>
      <c r="P60" s="209"/>
      <c r="Q60" s="209"/>
      <c r="R60" s="209"/>
      <c r="S60" s="209"/>
      <c r="T60" s="209"/>
      <c r="U60" s="259"/>
    </row>
    <row r="61" spans="1:21" ht="12.75">
      <c r="A61" s="223"/>
      <c r="B61" s="268"/>
      <c r="C61" s="230"/>
      <c r="D61" s="22" t="s">
        <v>93</v>
      </c>
      <c r="E61" s="23">
        <f>F61+G61+H61+I61+J61+K61+L61</f>
        <v>215169200</v>
      </c>
      <c r="F61" s="24">
        <v>23667600</v>
      </c>
      <c r="G61" s="24">
        <f>13070900+15172300</f>
        <v>28243200</v>
      </c>
      <c r="H61" s="24">
        <f>12275000+21905300-5160700+650000</f>
        <v>29669600</v>
      </c>
      <c r="I61" s="23">
        <f>17297200+500000+15600000</f>
        <v>33397200</v>
      </c>
      <c r="J61" s="24">
        <f>17297200+500000+15600000</f>
        <v>33397200</v>
      </c>
      <c r="K61" s="24">
        <f>17297200+500000+15600000</f>
        <v>33397200</v>
      </c>
      <c r="L61" s="24">
        <v>33397200</v>
      </c>
      <c r="M61" s="259"/>
      <c r="N61" s="209"/>
      <c r="O61" s="209"/>
      <c r="P61" s="209"/>
      <c r="Q61" s="209"/>
      <c r="R61" s="209"/>
      <c r="S61" s="209"/>
      <c r="T61" s="209"/>
      <c r="U61" s="259"/>
    </row>
    <row r="62" spans="1:21" ht="12.75">
      <c r="A62" s="223"/>
      <c r="B62" s="268"/>
      <c r="C62" s="230"/>
      <c r="D62" s="22" t="s">
        <v>94</v>
      </c>
      <c r="E62" s="23">
        <f>F62+G62+H62+I62+J62+K62+L62</f>
        <v>0</v>
      </c>
      <c r="F62" s="24"/>
      <c r="G62" s="24"/>
      <c r="H62" s="24"/>
      <c r="I62" s="23"/>
      <c r="J62" s="24"/>
      <c r="K62" s="24"/>
      <c r="L62" s="24"/>
      <c r="M62" s="259"/>
      <c r="N62" s="209"/>
      <c r="O62" s="209"/>
      <c r="P62" s="209"/>
      <c r="Q62" s="209"/>
      <c r="R62" s="209"/>
      <c r="S62" s="209"/>
      <c r="T62" s="209"/>
      <c r="U62" s="259"/>
    </row>
    <row r="63" spans="1:21" ht="12.75">
      <c r="A63" s="223"/>
      <c r="B63" s="269"/>
      <c r="C63" s="231"/>
      <c r="D63" s="22" t="s">
        <v>96</v>
      </c>
      <c r="E63" s="23">
        <f>F63+G63+H63+I63+J63+K63+L63</f>
        <v>0</v>
      </c>
      <c r="F63" s="24"/>
      <c r="G63" s="24"/>
      <c r="H63" s="24"/>
      <c r="I63" s="23"/>
      <c r="J63" s="24"/>
      <c r="K63" s="24"/>
      <c r="L63" s="24"/>
      <c r="M63" s="260"/>
      <c r="N63" s="210"/>
      <c r="O63" s="210"/>
      <c r="P63" s="210"/>
      <c r="Q63" s="210"/>
      <c r="R63" s="210"/>
      <c r="S63" s="210"/>
      <c r="T63" s="210"/>
      <c r="U63" s="260"/>
    </row>
    <row r="64" spans="1:21" ht="13.5">
      <c r="A64" s="234"/>
      <c r="B64" s="264" t="s">
        <v>160</v>
      </c>
      <c r="C64" s="234"/>
      <c r="D64" s="102" t="s">
        <v>97</v>
      </c>
      <c r="E64" s="103">
        <f aca="true" t="shared" si="12" ref="E64:L64">E66+E67+E68+E69</f>
        <v>269619100</v>
      </c>
      <c r="F64" s="103">
        <f t="shared" si="12"/>
        <v>30768200</v>
      </c>
      <c r="G64" s="103">
        <f t="shared" si="12"/>
        <v>34894200</v>
      </c>
      <c r="H64" s="103">
        <f t="shared" si="12"/>
        <v>36604800</v>
      </c>
      <c r="I64" s="103">
        <f t="shared" si="12"/>
        <v>41769800</v>
      </c>
      <c r="J64" s="103">
        <f t="shared" si="12"/>
        <v>42070100</v>
      </c>
      <c r="K64" s="103">
        <f t="shared" si="12"/>
        <v>41756000</v>
      </c>
      <c r="L64" s="103">
        <f t="shared" si="12"/>
        <v>41756000</v>
      </c>
      <c r="M64" s="236"/>
      <c r="N64" s="244"/>
      <c r="O64" s="244"/>
      <c r="P64" s="244"/>
      <c r="Q64" s="244"/>
      <c r="R64" s="244"/>
      <c r="S64" s="244"/>
      <c r="T64" s="244"/>
      <c r="U64" s="247"/>
    </row>
    <row r="65" spans="1:21" ht="12.75">
      <c r="A65" s="234"/>
      <c r="B65" s="265"/>
      <c r="C65" s="234"/>
      <c r="D65" s="239" t="s">
        <v>117</v>
      </c>
      <c r="E65" s="240"/>
      <c r="F65" s="240"/>
      <c r="G65" s="240"/>
      <c r="H65" s="240"/>
      <c r="I65" s="240"/>
      <c r="J65" s="240"/>
      <c r="K65" s="240"/>
      <c r="L65" s="241"/>
      <c r="M65" s="237"/>
      <c r="N65" s="245"/>
      <c r="O65" s="245"/>
      <c r="P65" s="245"/>
      <c r="Q65" s="245"/>
      <c r="R65" s="245"/>
      <c r="S65" s="245"/>
      <c r="T65" s="245"/>
      <c r="U65" s="248"/>
    </row>
    <row r="66" spans="1:21" ht="13.5">
      <c r="A66" s="234"/>
      <c r="B66" s="265"/>
      <c r="C66" s="234"/>
      <c r="D66" s="104" t="s">
        <v>95</v>
      </c>
      <c r="E66" s="103">
        <f>F66+G66+H66+I66+J66+K66+L66</f>
        <v>0</v>
      </c>
      <c r="F66" s="105">
        <f>F30+F36+F42+F48+F54+F60</f>
        <v>0</v>
      </c>
      <c r="G66" s="105">
        <f aca="true" t="shared" si="13" ref="G66:L69">G30+G36+G42+G48+G54+G60</f>
        <v>0</v>
      </c>
      <c r="H66" s="105">
        <f t="shared" si="13"/>
        <v>0</v>
      </c>
      <c r="I66" s="105">
        <f t="shared" si="13"/>
        <v>0</v>
      </c>
      <c r="J66" s="105">
        <f t="shared" si="13"/>
        <v>0</v>
      </c>
      <c r="K66" s="105">
        <f t="shared" si="13"/>
        <v>0</v>
      </c>
      <c r="L66" s="105">
        <f t="shared" si="13"/>
        <v>0</v>
      </c>
      <c r="M66" s="237"/>
      <c r="N66" s="245"/>
      <c r="O66" s="245"/>
      <c r="P66" s="245"/>
      <c r="Q66" s="245"/>
      <c r="R66" s="245"/>
      <c r="S66" s="245"/>
      <c r="T66" s="245"/>
      <c r="U66" s="248"/>
    </row>
    <row r="67" spans="1:21" ht="13.5">
      <c r="A67" s="234"/>
      <c r="B67" s="265"/>
      <c r="C67" s="234"/>
      <c r="D67" s="104" t="s">
        <v>93</v>
      </c>
      <c r="E67" s="103">
        <f>F67+G67+H67+I67+J67+K67+L67</f>
        <v>269619100</v>
      </c>
      <c r="F67" s="105">
        <f>F31+F37+F43+F49+F55+F61</f>
        <v>30768200</v>
      </c>
      <c r="G67" s="105">
        <f aca="true" t="shared" si="14" ref="G67:H69">G31+G37+G43+G49+G55+G61</f>
        <v>34894200</v>
      </c>
      <c r="H67" s="105">
        <f t="shared" si="14"/>
        <v>36604800</v>
      </c>
      <c r="I67" s="105">
        <f t="shared" si="13"/>
        <v>41769800</v>
      </c>
      <c r="J67" s="105">
        <f t="shared" si="13"/>
        <v>42070100</v>
      </c>
      <c r="K67" s="105">
        <f t="shared" si="13"/>
        <v>41756000</v>
      </c>
      <c r="L67" s="105">
        <f t="shared" si="13"/>
        <v>41756000</v>
      </c>
      <c r="M67" s="237"/>
      <c r="N67" s="245"/>
      <c r="O67" s="245"/>
      <c r="P67" s="245"/>
      <c r="Q67" s="245"/>
      <c r="R67" s="245"/>
      <c r="S67" s="245"/>
      <c r="T67" s="245"/>
      <c r="U67" s="248"/>
    </row>
    <row r="68" spans="1:21" ht="13.5">
      <c r="A68" s="234"/>
      <c r="B68" s="265"/>
      <c r="C68" s="234"/>
      <c r="D68" s="104" t="s">
        <v>94</v>
      </c>
      <c r="E68" s="103">
        <f>F68+G68+H68+I68+J68+K68+L68</f>
        <v>0</v>
      </c>
      <c r="F68" s="105">
        <f>F32+F38+F44+F50+F56+F62</f>
        <v>0</v>
      </c>
      <c r="G68" s="105">
        <f t="shared" si="14"/>
        <v>0</v>
      </c>
      <c r="H68" s="105">
        <f t="shared" si="14"/>
        <v>0</v>
      </c>
      <c r="I68" s="105">
        <f t="shared" si="13"/>
        <v>0</v>
      </c>
      <c r="J68" s="105">
        <f t="shared" si="13"/>
        <v>0</v>
      </c>
      <c r="K68" s="105">
        <f t="shared" si="13"/>
        <v>0</v>
      </c>
      <c r="L68" s="105">
        <f t="shared" si="13"/>
        <v>0</v>
      </c>
      <c r="M68" s="237"/>
      <c r="N68" s="245"/>
      <c r="O68" s="245"/>
      <c r="P68" s="245"/>
      <c r="Q68" s="245"/>
      <c r="R68" s="245"/>
      <c r="S68" s="245"/>
      <c r="T68" s="245"/>
      <c r="U68" s="248"/>
    </row>
    <row r="69" spans="1:21" ht="13.5">
      <c r="A69" s="234"/>
      <c r="B69" s="266"/>
      <c r="C69" s="234"/>
      <c r="D69" s="104" t="s">
        <v>96</v>
      </c>
      <c r="E69" s="103">
        <f>F69+G69+H69+I69+J69+K69+L69</f>
        <v>0</v>
      </c>
      <c r="F69" s="105">
        <f>F33+F39+F45+F51+F57+F63</f>
        <v>0</v>
      </c>
      <c r="G69" s="105">
        <f t="shared" si="14"/>
        <v>0</v>
      </c>
      <c r="H69" s="105">
        <f t="shared" si="14"/>
        <v>0</v>
      </c>
      <c r="I69" s="105">
        <f t="shared" si="13"/>
        <v>0</v>
      </c>
      <c r="J69" s="105">
        <f t="shared" si="13"/>
        <v>0</v>
      </c>
      <c r="K69" s="105">
        <f t="shared" si="13"/>
        <v>0</v>
      </c>
      <c r="L69" s="105">
        <f t="shared" si="13"/>
        <v>0</v>
      </c>
      <c r="M69" s="238"/>
      <c r="N69" s="246"/>
      <c r="O69" s="246"/>
      <c r="P69" s="246"/>
      <c r="Q69" s="246"/>
      <c r="R69" s="246"/>
      <c r="S69" s="246"/>
      <c r="T69" s="246"/>
      <c r="U69" s="249"/>
    </row>
    <row r="70" spans="1:21" ht="12.75">
      <c r="A70" s="21">
        <v>3</v>
      </c>
      <c r="B70" s="213" t="s">
        <v>38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5"/>
    </row>
    <row r="71" spans="1:21" ht="12.75" customHeight="1">
      <c r="A71" s="290" t="s">
        <v>191</v>
      </c>
      <c r="B71" s="267" t="s">
        <v>172</v>
      </c>
      <c r="C71" s="229" t="s">
        <v>82</v>
      </c>
      <c r="D71" s="22" t="s">
        <v>97</v>
      </c>
      <c r="E71" s="23">
        <f>E73+E74+E75+E76</f>
        <v>1954132.8399999999</v>
      </c>
      <c r="F71" s="23">
        <f aca="true" t="shared" si="15" ref="F71:L71">F73+F74+F75+F76</f>
        <v>952526</v>
      </c>
      <c r="G71" s="23">
        <f t="shared" si="15"/>
        <v>1001606.84</v>
      </c>
      <c r="H71" s="23">
        <f t="shared" si="15"/>
        <v>0</v>
      </c>
      <c r="I71" s="23">
        <f t="shared" si="15"/>
        <v>0</v>
      </c>
      <c r="J71" s="23">
        <f t="shared" si="15"/>
        <v>0</v>
      </c>
      <c r="K71" s="23">
        <f t="shared" si="15"/>
        <v>0</v>
      </c>
      <c r="L71" s="23">
        <f t="shared" si="15"/>
        <v>0</v>
      </c>
      <c r="M71" s="258" t="s">
        <v>16</v>
      </c>
      <c r="N71" s="202">
        <v>1</v>
      </c>
      <c r="O71" s="202">
        <v>1</v>
      </c>
      <c r="P71" s="202">
        <v>1</v>
      </c>
      <c r="Q71" s="202">
        <v>1</v>
      </c>
      <c r="R71" s="202">
        <v>1</v>
      </c>
      <c r="S71" s="202">
        <v>1</v>
      </c>
      <c r="T71" s="202">
        <v>1</v>
      </c>
      <c r="U71" s="205" t="s">
        <v>59</v>
      </c>
    </row>
    <row r="72" spans="1:21" ht="12.75">
      <c r="A72" s="290"/>
      <c r="B72" s="268"/>
      <c r="C72" s="230"/>
      <c r="D72" s="216" t="s">
        <v>117</v>
      </c>
      <c r="E72" s="217"/>
      <c r="F72" s="217"/>
      <c r="G72" s="217"/>
      <c r="H72" s="217"/>
      <c r="I72" s="217"/>
      <c r="J72" s="217"/>
      <c r="K72" s="217"/>
      <c r="L72" s="218"/>
      <c r="M72" s="259"/>
      <c r="N72" s="203"/>
      <c r="O72" s="203"/>
      <c r="P72" s="203"/>
      <c r="Q72" s="203"/>
      <c r="R72" s="203"/>
      <c r="S72" s="203"/>
      <c r="T72" s="203"/>
      <c r="U72" s="206"/>
    </row>
    <row r="73" spans="1:21" ht="12.75">
      <c r="A73" s="290"/>
      <c r="B73" s="268"/>
      <c r="C73" s="230"/>
      <c r="D73" s="22" t="s">
        <v>95</v>
      </c>
      <c r="E73" s="23">
        <f>F73+G73+H73+I73+J73+K73+L73</f>
        <v>1954132.8399999999</v>
      </c>
      <c r="F73" s="24">
        <v>952526</v>
      </c>
      <c r="G73" s="24">
        <f>1054322.98-52716.14</f>
        <v>1001606.84</v>
      </c>
      <c r="H73" s="24">
        <v>0</v>
      </c>
      <c r="I73" s="23">
        <v>0</v>
      </c>
      <c r="J73" s="24"/>
      <c r="K73" s="24"/>
      <c r="L73" s="24"/>
      <c r="M73" s="259"/>
      <c r="N73" s="203"/>
      <c r="O73" s="203"/>
      <c r="P73" s="203"/>
      <c r="Q73" s="203"/>
      <c r="R73" s="203"/>
      <c r="S73" s="203"/>
      <c r="T73" s="203"/>
      <c r="U73" s="206"/>
    </row>
    <row r="74" spans="1:21" ht="12.75">
      <c r="A74" s="290"/>
      <c r="B74" s="268"/>
      <c r="C74" s="230"/>
      <c r="D74" s="22" t="s">
        <v>93</v>
      </c>
      <c r="E74" s="23">
        <f>F74+G74+H74+I74+J74+K74+L74</f>
        <v>0</v>
      </c>
      <c r="F74" s="24"/>
      <c r="G74" s="24"/>
      <c r="H74" s="24"/>
      <c r="I74" s="23"/>
      <c r="J74" s="24"/>
      <c r="K74" s="24"/>
      <c r="L74" s="24"/>
      <c r="M74" s="259"/>
      <c r="N74" s="203"/>
      <c r="O74" s="203"/>
      <c r="P74" s="203"/>
      <c r="Q74" s="203"/>
      <c r="R74" s="203"/>
      <c r="S74" s="203"/>
      <c r="T74" s="203"/>
      <c r="U74" s="206"/>
    </row>
    <row r="75" spans="1:21" ht="12.75">
      <c r="A75" s="290"/>
      <c r="B75" s="268"/>
      <c r="C75" s="230"/>
      <c r="D75" s="22" t="s">
        <v>94</v>
      </c>
      <c r="E75" s="23">
        <f>F75+G75+H75+I75+J75+K75+L75</f>
        <v>0</v>
      </c>
      <c r="F75" s="24"/>
      <c r="G75" s="24"/>
      <c r="H75" s="24"/>
      <c r="I75" s="23"/>
      <c r="J75" s="24"/>
      <c r="K75" s="24"/>
      <c r="L75" s="24"/>
      <c r="M75" s="259"/>
      <c r="N75" s="203"/>
      <c r="O75" s="203"/>
      <c r="P75" s="203"/>
      <c r="Q75" s="203"/>
      <c r="R75" s="203"/>
      <c r="S75" s="203"/>
      <c r="T75" s="203"/>
      <c r="U75" s="206"/>
    </row>
    <row r="76" spans="1:21" ht="12.75">
      <c r="A76" s="290"/>
      <c r="B76" s="269"/>
      <c r="C76" s="231"/>
      <c r="D76" s="22" t="s">
        <v>96</v>
      </c>
      <c r="E76" s="23">
        <f>F76+G76+H76+I76+J76+K76+L76</f>
        <v>0</v>
      </c>
      <c r="F76" s="24"/>
      <c r="G76" s="24"/>
      <c r="H76" s="24"/>
      <c r="I76" s="23"/>
      <c r="J76" s="24"/>
      <c r="K76" s="24"/>
      <c r="L76" s="24"/>
      <c r="M76" s="260"/>
      <c r="N76" s="204"/>
      <c r="O76" s="204"/>
      <c r="P76" s="204"/>
      <c r="Q76" s="204"/>
      <c r="R76" s="204"/>
      <c r="S76" s="204"/>
      <c r="T76" s="204"/>
      <c r="U76" s="207"/>
    </row>
    <row r="77" spans="1:21" ht="13.5">
      <c r="A77" s="234"/>
      <c r="B77" s="264" t="s">
        <v>175</v>
      </c>
      <c r="C77" s="234"/>
      <c r="D77" s="102" t="s">
        <v>97</v>
      </c>
      <c r="E77" s="103">
        <f aca="true" t="shared" si="16" ref="E77:L77">E79+E80+E81+E82</f>
        <v>1954132.8399999999</v>
      </c>
      <c r="F77" s="103">
        <f t="shared" si="16"/>
        <v>952526</v>
      </c>
      <c r="G77" s="103">
        <f t="shared" si="16"/>
        <v>1001606.84</v>
      </c>
      <c r="H77" s="103">
        <f t="shared" si="16"/>
        <v>0</v>
      </c>
      <c r="I77" s="103">
        <f t="shared" si="16"/>
        <v>0</v>
      </c>
      <c r="J77" s="103">
        <f t="shared" si="16"/>
        <v>0</v>
      </c>
      <c r="K77" s="103">
        <f t="shared" si="16"/>
        <v>0</v>
      </c>
      <c r="L77" s="103">
        <f t="shared" si="16"/>
        <v>0</v>
      </c>
      <c r="M77" s="236"/>
      <c r="N77" s="244"/>
      <c r="O77" s="244"/>
      <c r="P77" s="244"/>
      <c r="Q77" s="244"/>
      <c r="R77" s="244"/>
      <c r="S77" s="244"/>
      <c r="T77" s="244"/>
      <c r="U77" s="247"/>
    </row>
    <row r="78" spans="1:21" ht="12.75">
      <c r="A78" s="234"/>
      <c r="B78" s="265"/>
      <c r="C78" s="234"/>
      <c r="D78" s="239" t="s">
        <v>117</v>
      </c>
      <c r="E78" s="240"/>
      <c r="F78" s="240"/>
      <c r="G78" s="240"/>
      <c r="H78" s="240"/>
      <c r="I78" s="240"/>
      <c r="J78" s="240"/>
      <c r="K78" s="240"/>
      <c r="L78" s="241"/>
      <c r="M78" s="237"/>
      <c r="N78" s="245"/>
      <c r="O78" s="245"/>
      <c r="P78" s="245"/>
      <c r="Q78" s="245"/>
      <c r="R78" s="245"/>
      <c r="S78" s="245"/>
      <c r="T78" s="245"/>
      <c r="U78" s="248"/>
    </row>
    <row r="79" spans="1:21" ht="13.5">
      <c r="A79" s="234"/>
      <c r="B79" s="265"/>
      <c r="C79" s="234"/>
      <c r="D79" s="104" t="s">
        <v>95</v>
      </c>
      <c r="E79" s="103">
        <f>F79+G79+H79+I79+J79+K79+L79</f>
        <v>1954132.8399999999</v>
      </c>
      <c r="F79" s="105">
        <f>F73</f>
        <v>952526</v>
      </c>
      <c r="G79" s="105">
        <f aca="true" t="shared" si="17" ref="G79:L82">G73</f>
        <v>1001606.84</v>
      </c>
      <c r="H79" s="105">
        <f t="shared" si="17"/>
        <v>0</v>
      </c>
      <c r="I79" s="105">
        <f t="shared" si="17"/>
        <v>0</v>
      </c>
      <c r="J79" s="105">
        <f t="shared" si="17"/>
        <v>0</v>
      </c>
      <c r="K79" s="105">
        <f t="shared" si="17"/>
        <v>0</v>
      </c>
      <c r="L79" s="105">
        <f t="shared" si="17"/>
        <v>0</v>
      </c>
      <c r="M79" s="237"/>
      <c r="N79" s="245"/>
      <c r="O79" s="245"/>
      <c r="P79" s="245"/>
      <c r="Q79" s="245"/>
      <c r="R79" s="245"/>
      <c r="S79" s="245"/>
      <c r="T79" s="245"/>
      <c r="U79" s="248"/>
    </row>
    <row r="80" spans="1:21" ht="13.5">
      <c r="A80" s="234"/>
      <c r="B80" s="265"/>
      <c r="C80" s="234"/>
      <c r="D80" s="104" t="s">
        <v>93</v>
      </c>
      <c r="E80" s="103">
        <f>F80+G80+H80+I80+J80+K80+L80</f>
        <v>0</v>
      </c>
      <c r="F80" s="105">
        <f>F74</f>
        <v>0</v>
      </c>
      <c r="G80" s="105">
        <f aca="true" t="shared" si="18" ref="G80:H82">G74</f>
        <v>0</v>
      </c>
      <c r="H80" s="105">
        <f t="shared" si="18"/>
        <v>0</v>
      </c>
      <c r="I80" s="105">
        <f t="shared" si="17"/>
        <v>0</v>
      </c>
      <c r="J80" s="105">
        <f t="shared" si="17"/>
        <v>0</v>
      </c>
      <c r="K80" s="105">
        <f t="shared" si="17"/>
        <v>0</v>
      </c>
      <c r="L80" s="105">
        <f t="shared" si="17"/>
        <v>0</v>
      </c>
      <c r="M80" s="237"/>
      <c r="N80" s="245"/>
      <c r="O80" s="245"/>
      <c r="P80" s="245"/>
      <c r="Q80" s="245"/>
      <c r="R80" s="245"/>
      <c r="S80" s="245"/>
      <c r="T80" s="245"/>
      <c r="U80" s="248"/>
    </row>
    <row r="81" spans="1:21" ht="13.5">
      <c r="A81" s="234"/>
      <c r="B81" s="265"/>
      <c r="C81" s="234"/>
      <c r="D81" s="104" t="s">
        <v>94</v>
      </c>
      <c r="E81" s="103">
        <f>F81+G81+H81+I81+J81+K81+L81</f>
        <v>0</v>
      </c>
      <c r="F81" s="105">
        <f>F75</f>
        <v>0</v>
      </c>
      <c r="G81" s="105">
        <f t="shared" si="18"/>
        <v>0</v>
      </c>
      <c r="H81" s="105">
        <f t="shared" si="18"/>
        <v>0</v>
      </c>
      <c r="I81" s="105">
        <f t="shared" si="17"/>
        <v>0</v>
      </c>
      <c r="J81" s="105">
        <f t="shared" si="17"/>
        <v>0</v>
      </c>
      <c r="K81" s="105">
        <f t="shared" si="17"/>
        <v>0</v>
      </c>
      <c r="L81" s="105">
        <f t="shared" si="17"/>
        <v>0</v>
      </c>
      <c r="M81" s="237"/>
      <c r="N81" s="245"/>
      <c r="O81" s="245"/>
      <c r="P81" s="245"/>
      <c r="Q81" s="245"/>
      <c r="R81" s="245"/>
      <c r="S81" s="245"/>
      <c r="T81" s="245"/>
      <c r="U81" s="248"/>
    </row>
    <row r="82" spans="1:21" ht="13.5">
      <c r="A82" s="234"/>
      <c r="B82" s="266"/>
      <c r="C82" s="234"/>
      <c r="D82" s="104" t="s">
        <v>96</v>
      </c>
      <c r="E82" s="103">
        <f>F82+G82+H82+I82+J82+K82+L82</f>
        <v>0</v>
      </c>
      <c r="F82" s="105">
        <f>F76</f>
        <v>0</v>
      </c>
      <c r="G82" s="105">
        <f t="shared" si="18"/>
        <v>0</v>
      </c>
      <c r="H82" s="105">
        <f t="shared" si="18"/>
        <v>0</v>
      </c>
      <c r="I82" s="105">
        <f t="shared" si="17"/>
        <v>0</v>
      </c>
      <c r="J82" s="105">
        <f t="shared" si="17"/>
        <v>0</v>
      </c>
      <c r="K82" s="105">
        <f t="shared" si="17"/>
        <v>0</v>
      </c>
      <c r="L82" s="105">
        <f t="shared" si="17"/>
        <v>0</v>
      </c>
      <c r="M82" s="238"/>
      <c r="N82" s="246"/>
      <c r="O82" s="246"/>
      <c r="P82" s="246"/>
      <c r="Q82" s="246"/>
      <c r="R82" s="246"/>
      <c r="S82" s="246"/>
      <c r="T82" s="246"/>
      <c r="U82" s="249"/>
    </row>
    <row r="83" spans="1:21" ht="12.75">
      <c r="A83" s="21">
        <v>4</v>
      </c>
      <c r="B83" s="213" t="s">
        <v>36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5"/>
    </row>
    <row r="84" spans="1:21" ht="12.75" customHeight="1">
      <c r="A84" s="290" t="s">
        <v>192</v>
      </c>
      <c r="B84" s="267" t="s">
        <v>173</v>
      </c>
      <c r="C84" s="229" t="s">
        <v>82</v>
      </c>
      <c r="D84" s="22" t="s">
        <v>97</v>
      </c>
      <c r="E84" s="23">
        <f>E86+E87+E88+E89</f>
        <v>3908260</v>
      </c>
      <c r="F84" s="23">
        <f aca="true" t="shared" si="19" ref="F84:L84">F86+F87+F88+F89</f>
        <v>1905052</v>
      </c>
      <c r="G84" s="23">
        <f t="shared" si="19"/>
        <v>2003208</v>
      </c>
      <c r="H84" s="23">
        <f t="shared" si="19"/>
        <v>0</v>
      </c>
      <c r="I84" s="23">
        <f t="shared" si="19"/>
        <v>0</v>
      </c>
      <c r="J84" s="23">
        <f t="shared" si="19"/>
        <v>0</v>
      </c>
      <c r="K84" s="23">
        <f t="shared" si="19"/>
        <v>0</v>
      </c>
      <c r="L84" s="23">
        <f t="shared" si="19"/>
        <v>0</v>
      </c>
      <c r="M84" s="258" t="s">
        <v>83</v>
      </c>
      <c r="N84" s="202">
        <v>1</v>
      </c>
      <c r="O84" s="202">
        <v>1</v>
      </c>
      <c r="P84" s="202">
        <v>1</v>
      </c>
      <c r="Q84" s="202">
        <v>1</v>
      </c>
      <c r="R84" s="202">
        <v>1</v>
      </c>
      <c r="S84" s="202">
        <v>1</v>
      </c>
      <c r="T84" s="202">
        <v>1</v>
      </c>
      <c r="U84" s="205" t="s">
        <v>59</v>
      </c>
    </row>
    <row r="85" spans="1:21" ht="12.75">
      <c r="A85" s="290"/>
      <c r="B85" s="268"/>
      <c r="C85" s="230"/>
      <c r="D85" s="216" t="s">
        <v>117</v>
      </c>
      <c r="E85" s="217"/>
      <c r="F85" s="217"/>
      <c r="G85" s="217"/>
      <c r="H85" s="217"/>
      <c r="I85" s="217"/>
      <c r="J85" s="217"/>
      <c r="K85" s="217"/>
      <c r="L85" s="218"/>
      <c r="M85" s="259"/>
      <c r="N85" s="203"/>
      <c r="O85" s="203"/>
      <c r="P85" s="203"/>
      <c r="Q85" s="203"/>
      <c r="R85" s="203"/>
      <c r="S85" s="203"/>
      <c r="T85" s="203"/>
      <c r="U85" s="206"/>
    </row>
    <row r="86" spans="1:21" ht="12.75">
      <c r="A86" s="290"/>
      <c r="B86" s="268"/>
      <c r="C86" s="230"/>
      <c r="D86" s="22" t="s">
        <v>95</v>
      </c>
      <c r="E86" s="23">
        <f>F86+G86+H86+I86+J86+K86+L86</f>
        <v>3908260</v>
      </c>
      <c r="F86" s="24">
        <v>1905052</v>
      </c>
      <c r="G86" s="24">
        <f>2108640-105432</f>
        <v>2003208</v>
      </c>
      <c r="H86" s="24">
        <v>0</v>
      </c>
      <c r="I86" s="23">
        <v>0</v>
      </c>
      <c r="J86" s="24"/>
      <c r="K86" s="24"/>
      <c r="L86" s="24"/>
      <c r="M86" s="259"/>
      <c r="N86" s="203"/>
      <c r="O86" s="203"/>
      <c r="P86" s="203"/>
      <c r="Q86" s="203"/>
      <c r="R86" s="203"/>
      <c r="S86" s="203"/>
      <c r="T86" s="203"/>
      <c r="U86" s="206"/>
    </row>
    <row r="87" spans="1:21" ht="12.75">
      <c r="A87" s="290"/>
      <c r="B87" s="268"/>
      <c r="C87" s="230"/>
      <c r="D87" s="22" t="s">
        <v>93</v>
      </c>
      <c r="E87" s="23">
        <f>F87+G87+H87+I87+J87+K87+L87</f>
        <v>0</v>
      </c>
      <c r="F87" s="24"/>
      <c r="G87" s="24"/>
      <c r="H87" s="24"/>
      <c r="I87" s="23"/>
      <c r="J87" s="24"/>
      <c r="K87" s="24"/>
      <c r="L87" s="24"/>
      <c r="M87" s="259"/>
      <c r="N87" s="203"/>
      <c r="O87" s="203"/>
      <c r="P87" s="203"/>
      <c r="Q87" s="203"/>
      <c r="R87" s="203"/>
      <c r="S87" s="203"/>
      <c r="T87" s="203"/>
      <c r="U87" s="206"/>
    </row>
    <row r="88" spans="1:21" ht="12.75">
      <c r="A88" s="290"/>
      <c r="B88" s="268"/>
      <c r="C88" s="230"/>
      <c r="D88" s="22" t="s">
        <v>94</v>
      </c>
      <c r="E88" s="23">
        <f>F88+G88+H88+I88+J88+K88+L88</f>
        <v>0</v>
      </c>
      <c r="F88" s="24"/>
      <c r="G88" s="24"/>
      <c r="H88" s="24"/>
      <c r="I88" s="23"/>
      <c r="J88" s="24"/>
      <c r="K88" s="24"/>
      <c r="L88" s="24"/>
      <c r="M88" s="259"/>
      <c r="N88" s="203"/>
      <c r="O88" s="203"/>
      <c r="P88" s="203"/>
      <c r="Q88" s="203"/>
      <c r="R88" s="203"/>
      <c r="S88" s="203"/>
      <c r="T88" s="203"/>
      <c r="U88" s="206"/>
    </row>
    <row r="89" spans="1:21" ht="12.75">
      <c r="A89" s="290"/>
      <c r="B89" s="269"/>
      <c r="C89" s="231"/>
      <c r="D89" s="22" t="s">
        <v>96</v>
      </c>
      <c r="E89" s="23">
        <f>F89+G89+H89+I89+J89+K89+L89</f>
        <v>0</v>
      </c>
      <c r="F89" s="24"/>
      <c r="G89" s="24"/>
      <c r="H89" s="24"/>
      <c r="I89" s="23"/>
      <c r="J89" s="24"/>
      <c r="K89" s="24"/>
      <c r="L89" s="24"/>
      <c r="M89" s="260"/>
      <c r="N89" s="204"/>
      <c r="O89" s="204"/>
      <c r="P89" s="204"/>
      <c r="Q89" s="204"/>
      <c r="R89" s="204"/>
      <c r="S89" s="204"/>
      <c r="T89" s="204"/>
      <c r="U89" s="207"/>
    </row>
    <row r="90" spans="1:21" ht="12.75" customHeight="1">
      <c r="A90" s="290" t="s">
        <v>193</v>
      </c>
      <c r="B90" s="267" t="s">
        <v>7</v>
      </c>
      <c r="C90" s="229" t="s">
        <v>82</v>
      </c>
      <c r="D90" s="22" t="s">
        <v>97</v>
      </c>
      <c r="E90" s="23">
        <f>E92+E93+E94+E95</f>
        <v>3908260</v>
      </c>
      <c r="F90" s="23">
        <f aca="true" t="shared" si="20" ref="F90:L90">F92+F93+F94+F95</f>
        <v>1905052</v>
      </c>
      <c r="G90" s="23">
        <f t="shared" si="20"/>
        <v>2003208</v>
      </c>
      <c r="H90" s="23">
        <f t="shared" si="20"/>
        <v>0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</v>
      </c>
      <c r="M90" s="258" t="s">
        <v>41</v>
      </c>
      <c r="N90" s="202">
        <v>1</v>
      </c>
      <c r="O90" s="202">
        <v>1</v>
      </c>
      <c r="P90" s="202">
        <v>1</v>
      </c>
      <c r="Q90" s="202">
        <v>1</v>
      </c>
      <c r="R90" s="202">
        <v>1</v>
      </c>
      <c r="S90" s="202">
        <v>1</v>
      </c>
      <c r="T90" s="202">
        <v>1</v>
      </c>
      <c r="U90" s="205" t="s">
        <v>59</v>
      </c>
    </row>
    <row r="91" spans="1:21" ht="12.75">
      <c r="A91" s="290"/>
      <c r="B91" s="268"/>
      <c r="C91" s="230"/>
      <c r="D91" s="216" t="s">
        <v>117</v>
      </c>
      <c r="E91" s="217"/>
      <c r="F91" s="217"/>
      <c r="G91" s="217"/>
      <c r="H91" s="217"/>
      <c r="I91" s="217"/>
      <c r="J91" s="217"/>
      <c r="K91" s="217"/>
      <c r="L91" s="218"/>
      <c r="M91" s="259"/>
      <c r="N91" s="203"/>
      <c r="O91" s="203"/>
      <c r="P91" s="203"/>
      <c r="Q91" s="203"/>
      <c r="R91" s="203"/>
      <c r="S91" s="203"/>
      <c r="T91" s="203"/>
      <c r="U91" s="206"/>
    </row>
    <row r="92" spans="1:21" ht="12.75">
      <c r="A92" s="290"/>
      <c r="B92" s="268"/>
      <c r="C92" s="230"/>
      <c r="D92" s="22" t="s">
        <v>95</v>
      </c>
      <c r="E92" s="23">
        <f>F92+G92+H92+I92+J92+K92+L92</f>
        <v>3908260</v>
      </c>
      <c r="F92" s="24">
        <v>1905052</v>
      </c>
      <c r="G92" s="24">
        <f>2108640-105432</f>
        <v>2003208</v>
      </c>
      <c r="H92" s="24">
        <v>0</v>
      </c>
      <c r="I92" s="23">
        <v>0</v>
      </c>
      <c r="J92" s="24"/>
      <c r="K92" s="24"/>
      <c r="L92" s="24"/>
      <c r="M92" s="259"/>
      <c r="N92" s="203"/>
      <c r="O92" s="203"/>
      <c r="P92" s="203"/>
      <c r="Q92" s="203"/>
      <c r="R92" s="203"/>
      <c r="S92" s="203"/>
      <c r="T92" s="203"/>
      <c r="U92" s="206"/>
    </row>
    <row r="93" spans="1:21" ht="12.75">
      <c r="A93" s="290"/>
      <c r="B93" s="268"/>
      <c r="C93" s="230"/>
      <c r="D93" s="22" t="s">
        <v>93</v>
      </c>
      <c r="E93" s="23">
        <f>F93+G93+H93+I93+J93+K93+L93</f>
        <v>0</v>
      </c>
      <c r="F93" s="24"/>
      <c r="G93" s="24"/>
      <c r="H93" s="24"/>
      <c r="I93" s="23"/>
      <c r="J93" s="24"/>
      <c r="K93" s="24"/>
      <c r="L93" s="24"/>
      <c r="M93" s="259"/>
      <c r="N93" s="203"/>
      <c r="O93" s="203"/>
      <c r="P93" s="203"/>
      <c r="Q93" s="203"/>
      <c r="R93" s="203"/>
      <c r="S93" s="203"/>
      <c r="T93" s="203"/>
      <c r="U93" s="206"/>
    </row>
    <row r="94" spans="1:21" ht="12.75">
      <c r="A94" s="290"/>
      <c r="B94" s="268"/>
      <c r="C94" s="230"/>
      <c r="D94" s="22" t="s">
        <v>94</v>
      </c>
      <c r="E94" s="23">
        <f>F94+G94+H94+I94+J94+K94+L94</f>
        <v>0</v>
      </c>
      <c r="F94" s="24"/>
      <c r="G94" s="24"/>
      <c r="H94" s="24"/>
      <c r="I94" s="23"/>
      <c r="J94" s="24"/>
      <c r="K94" s="24"/>
      <c r="L94" s="24"/>
      <c r="M94" s="259"/>
      <c r="N94" s="203"/>
      <c r="O94" s="203"/>
      <c r="P94" s="203"/>
      <c r="Q94" s="203"/>
      <c r="R94" s="203"/>
      <c r="S94" s="203"/>
      <c r="T94" s="203"/>
      <c r="U94" s="206"/>
    </row>
    <row r="95" spans="1:21" ht="12.75">
      <c r="A95" s="290"/>
      <c r="B95" s="269"/>
      <c r="C95" s="231"/>
      <c r="D95" s="22" t="s">
        <v>96</v>
      </c>
      <c r="E95" s="23">
        <f>F95+G95+H95+I95+J95+K95+L95</f>
        <v>0</v>
      </c>
      <c r="F95" s="24"/>
      <c r="G95" s="24"/>
      <c r="H95" s="24"/>
      <c r="I95" s="23"/>
      <c r="J95" s="24"/>
      <c r="K95" s="24"/>
      <c r="L95" s="24"/>
      <c r="M95" s="260"/>
      <c r="N95" s="204"/>
      <c r="O95" s="204"/>
      <c r="P95" s="204"/>
      <c r="Q95" s="204"/>
      <c r="R95" s="204"/>
      <c r="S95" s="204"/>
      <c r="T95" s="204"/>
      <c r="U95" s="207"/>
    </row>
    <row r="96" spans="1:21" ht="12.75" customHeight="1">
      <c r="A96" s="290" t="s">
        <v>194</v>
      </c>
      <c r="B96" s="267" t="s">
        <v>174</v>
      </c>
      <c r="C96" s="229" t="s">
        <v>82</v>
      </c>
      <c r="D96" s="22" t="s">
        <v>97</v>
      </c>
      <c r="E96" s="23">
        <f>E98+E99+E100+E101</f>
        <v>32567500.25</v>
      </c>
      <c r="F96" s="23">
        <f aca="true" t="shared" si="21" ref="F96:L96">F98+F99+F100+F101</f>
        <v>1905052</v>
      </c>
      <c r="G96" s="23">
        <f t="shared" si="21"/>
        <v>2366532.1</v>
      </c>
      <c r="H96" s="23">
        <f t="shared" si="21"/>
        <v>4606452.909999999</v>
      </c>
      <c r="I96" s="23">
        <f t="shared" si="21"/>
        <v>5902579.3100000005</v>
      </c>
      <c r="J96" s="23">
        <f t="shared" si="21"/>
        <v>5928961.3100000005</v>
      </c>
      <c r="K96" s="23">
        <f t="shared" si="21"/>
        <v>5928961.3100000005</v>
      </c>
      <c r="L96" s="23">
        <f t="shared" si="21"/>
        <v>5928961.3100000005</v>
      </c>
      <c r="M96" s="258" t="s">
        <v>42</v>
      </c>
      <c r="N96" s="202">
        <v>1</v>
      </c>
      <c r="O96" s="202">
        <v>1</v>
      </c>
      <c r="P96" s="202">
        <v>1</v>
      </c>
      <c r="Q96" s="202">
        <v>1</v>
      </c>
      <c r="R96" s="202">
        <v>1</v>
      </c>
      <c r="S96" s="202">
        <v>1</v>
      </c>
      <c r="T96" s="202">
        <v>1</v>
      </c>
      <c r="U96" s="205" t="s">
        <v>59</v>
      </c>
    </row>
    <row r="97" spans="1:21" ht="12.75">
      <c r="A97" s="290"/>
      <c r="B97" s="268"/>
      <c r="C97" s="230"/>
      <c r="D97" s="216" t="s">
        <v>117</v>
      </c>
      <c r="E97" s="217"/>
      <c r="F97" s="217"/>
      <c r="G97" s="217"/>
      <c r="H97" s="217"/>
      <c r="I97" s="217"/>
      <c r="J97" s="217"/>
      <c r="K97" s="217"/>
      <c r="L97" s="218"/>
      <c r="M97" s="259"/>
      <c r="N97" s="203"/>
      <c r="O97" s="203"/>
      <c r="P97" s="203"/>
      <c r="Q97" s="203"/>
      <c r="R97" s="203"/>
      <c r="S97" s="203"/>
      <c r="T97" s="203"/>
      <c r="U97" s="206"/>
    </row>
    <row r="98" spans="1:21" ht="12.75">
      <c r="A98" s="290"/>
      <c r="B98" s="268"/>
      <c r="C98" s="230"/>
      <c r="D98" s="22" t="s">
        <v>95</v>
      </c>
      <c r="E98" s="23">
        <f>F98+G98+H98+I98+J98+K98+L98</f>
        <v>32567500.25</v>
      </c>
      <c r="F98" s="24">
        <v>1905052</v>
      </c>
      <c r="G98" s="24">
        <f>2108640-105432+363324.1</f>
        <v>2366532.1</v>
      </c>
      <c r="H98" s="24">
        <f>3901605.13+87764+553547.23+73076.55+122.5-9662.5</f>
        <v>4606452.909999999</v>
      </c>
      <c r="I98" s="23">
        <f>4486326.66+1354870.65+61382</f>
        <v>5902579.3100000005</v>
      </c>
      <c r="J98" s="24">
        <f>4486326.66+1354870.65+87764</f>
        <v>5928961.3100000005</v>
      </c>
      <c r="K98" s="24">
        <f>4486326.66+1354870.65+87764</f>
        <v>5928961.3100000005</v>
      </c>
      <c r="L98" s="24">
        <f>K98</f>
        <v>5928961.3100000005</v>
      </c>
      <c r="M98" s="259"/>
      <c r="N98" s="203"/>
      <c r="O98" s="203"/>
      <c r="P98" s="203"/>
      <c r="Q98" s="203"/>
      <c r="R98" s="203"/>
      <c r="S98" s="203"/>
      <c r="T98" s="203"/>
      <c r="U98" s="206"/>
    </row>
    <row r="99" spans="1:21" ht="12.75">
      <c r="A99" s="290"/>
      <c r="B99" s="268"/>
      <c r="C99" s="230"/>
      <c r="D99" s="22" t="s">
        <v>93</v>
      </c>
      <c r="E99" s="23">
        <f>F99+G99+H99+I99+J99+K99+L99</f>
        <v>0</v>
      </c>
      <c r="F99" s="24"/>
      <c r="G99" s="24"/>
      <c r="H99" s="24"/>
      <c r="I99" s="23"/>
      <c r="J99" s="24"/>
      <c r="K99" s="24"/>
      <c r="L99" s="24"/>
      <c r="M99" s="259"/>
      <c r="N99" s="203"/>
      <c r="O99" s="203"/>
      <c r="P99" s="203"/>
      <c r="Q99" s="203"/>
      <c r="R99" s="203"/>
      <c r="S99" s="203"/>
      <c r="T99" s="203"/>
      <c r="U99" s="206"/>
    </row>
    <row r="100" spans="1:21" ht="12.75">
      <c r="A100" s="290"/>
      <c r="B100" s="268"/>
      <c r="C100" s="230"/>
      <c r="D100" s="22" t="s">
        <v>94</v>
      </c>
      <c r="E100" s="23">
        <f>F100+G100+H100+I100+J100+K100+L100</f>
        <v>0</v>
      </c>
      <c r="F100" s="24"/>
      <c r="G100" s="24"/>
      <c r="H100" s="24"/>
      <c r="I100" s="23"/>
      <c r="J100" s="24"/>
      <c r="K100" s="24"/>
      <c r="L100" s="24"/>
      <c r="M100" s="259"/>
      <c r="N100" s="203"/>
      <c r="O100" s="203"/>
      <c r="P100" s="203"/>
      <c r="Q100" s="203"/>
      <c r="R100" s="203"/>
      <c r="S100" s="203"/>
      <c r="T100" s="203"/>
      <c r="U100" s="206"/>
    </row>
    <row r="101" spans="1:21" ht="12.75">
      <c r="A101" s="290"/>
      <c r="B101" s="269"/>
      <c r="C101" s="231"/>
      <c r="D101" s="22" t="s">
        <v>96</v>
      </c>
      <c r="E101" s="23">
        <f>F101+G101+H101+I101+J101+K101+L101</f>
        <v>0</v>
      </c>
      <c r="F101" s="24"/>
      <c r="G101" s="24"/>
      <c r="H101" s="24"/>
      <c r="I101" s="23"/>
      <c r="J101" s="24"/>
      <c r="K101" s="24"/>
      <c r="L101" s="24"/>
      <c r="M101" s="260"/>
      <c r="N101" s="204"/>
      <c r="O101" s="204"/>
      <c r="P101" s="204"/>
      <c r="Q101" s="204"/>
      <c r="R101" s="204"/>
      <c r="S101" s="204"/>
      <c r="T101" s="204"/>
      <c r="U101" s="207"/>
    </row>
    <row r="102" spans="1:21" ht="12.75" customHeight="1">
      <c r="A102" s="290" t="s">
        <v>195</v>
      </c>
      <c r="B102" s="267" t="s">
        <v>8</v>
      </c>
      <c r="C102" s="229" t="s">
        <v>82</v>
      </c>
      <c r="D102" s="22" t="s">
        <v>97</v>
      </c>
      <c r="E102" s="23">
        <f>E104+E105+E106+E107</f>
        <v>39823809.129999995</v>
      </c>
      <c r="F102" s="23">
        <f aca="true" t="shared" si="22" ref="F102:L102">F104+F105+F106+F107</f>
        <v>1951881</v>
      </c>
      <c r="G102" s="23">
        <f t="shared" si="22"/>
        <v>2961790.7699999996</v>
      </c>
      <c r="H102" s="23">
        <f t="shared" si="22"/>
        <v>6790822.280000002</v>
      </c>
      <c r="I102" s="23">
        <f t="shared" si="22"/>
        <v>7075865.27</v>
      </c>
      <c r="J102" s="23">
        <f t="shared" si="22"/>
        <v>7014483.27</v>
      </c>
      <c r="K102" s="23">
        <f t="shared" si="22"/>
        <v>7014483.27</v>
      </c>
      <c r="L102" s="23">
        <f t="shared" si="22"/>
        <v>7014483.27</v>
      </c>
      <c r="M102" s="258" t="s">
        <v>84</v>
      </c>
      <c r="N102" s="202">
        <v>1</v>
      </c>
      <c r="O102" s="202">
        <v>1</v>
      </c>
      <c r="P102" s="202">
        <v>1</v>
      </c>
      <c r="Q102" s="202">
        <v>1</v>
      </c>
      <c r="R102" s="202">
        <v>1</v>
      </c>
      <c r="S102" s="202">
        <v>1</v>
      </c>
      <c r="T102" s="202">
        <v>1</v>
      </c>
      <c r="U102" s="205" t="s">
        <v>59</v>
      </c>
    </row>
    <row r="103" spans="1:21" ht="12.75">
      <c r="A103" s="290"/>
      <c r="B103" s="268"/>
      <c r="C103" s="230"/>
      <c r="D103" s="216" t="s">
        <v>117</v>
      </c>
      <c r="E103" s="217"/>
      <c r="F103" s="217"/>
      <c r="G103" s="217"/>
      <c r="H103" s="217"/>
      <c r="I103" s="217"/>
      <c r="J103" s="217"/>
      <c r="K103" s="217"/>
      <c r="L103" s="218"/>
      <c r="M103" s="259"/>
      <c r="N103" s="203"/>
      <c r="O103" s="203"/>
      <c r="P103" s="203"/>
      <c r="Q103" s="203"/>
      <c r="R103" s="203"/>
      <c r="S103" s="203"/>
      <c r="T103" s="203"/>
      <c r="U103" s="206"/>
    </row>
    <row r="104" spans="1:21" ht="12.75">
      <c r="A104" s="290"/>
      <c r="B104" s="268"/>
      <c r="C104" s="230"/>
      <c r="D104" s="22" t="s">
        <v>95</v>
      </c>
      <c r="E104" s="23">
        <f>F104+G104+H104+I104+J104+K104+L104</f>
        <v>39823809.129999995</v>
      </c>
      <c r="F104" s="24">
        <v>1951881</v>
      </c>
      <c r="G104" s="24">
        <f>2048080-102404+821842.97+194271.8</f>
        <v>2961790.7699999996</v>
      </c>
      <c r="H104" s="24">
        <f>9947626.98+1800+103200-1850787.39-494386.39-10663.8-792668.31-113298.81</f>
        <v>6790822.280000002</v>
      </c>
      <c r="I104" s="23">
        <f>5385739.84+1626493.43+2250+61382</f>
        <v>7075865.27</v>
      </c>
      <c r="J104" s="24">
        <f>5385739.84+1626493.43+2250</f>
        <v>7014483.27</v>
      </c>
      <c r="K104" s="24">
        <f>5385739.84+1626493.43+2250</f>
        <v>7014483.27</v>
      </c>
      <c r="L104" s="24">
        <f>K104</f>
        <v>7014483.27</v>
      </c>
      <c r="M104" s="259"/>
      <c r="N104" s="203"/>
      <c r="O104" s="203"/>
      <c r="P104" s="203"/>
      <c r="Q104" s="203"/>
      <c r="R104" s="203"/>
      <c r="S104" s="203"/>
      <c r="T104" s="203"/>
      <c r="U104" s="206"/>
    </row>
    <row r="105" spans="1:21" ht="12.75">
      <c r="A105" s="290"/>
      <c r="B105" s="268"/>
      <c r="C105" s="230"/>
      <c r="D105" s="22" t="s">
        <v>93</v>
      </c>
      <c r="E105" s="23">
        <f>F105+G105+H105+I105+J105+K105+L105</f>
        <v>0</v>
      </c>
      <c r="F105" s="24"/>
      <c r="G105" s="24"/>
      <c r="H105" s="24"/>
      <c r="I105" s="23"/>
      <c r="J105" s="24"/>
      <c r="K105" s="24"/>
      <c r="L105" s="24"/>
      <c r="M105" s="259"/>
      <c r="N105" s="203"/>
      <c r="O105" s="203"/>
      <c r="P105" s="203"/>
      <c r="Q105" s="203"/>
      <c r="R105" s="203"/>
      <c r="S105" s="203"/>
      <c r="T105" s="203"/>
      <c r="U105" s="206"/>
    </row>
    <row r="106" spans="1:21" ht="12.75">
      <c r="A106" s="290"/>
      <c r="B106" s="268"/>
      <c r="C106" s="230"/>
      <c r="D106" s="22" t="s">
        <v>94</v>
      </c>
      <c r="E106" s="23">
        <f>F106+G106+H106+I106+J106+K106+L106</f>
        <v>0</v>
      </c>
      <c r="F106" s="24"/>
      <c r="G106" s="24"/>
      <c r="H106" s="24"/>
      <c r="I106" s="23"/>
      <c r="J106" s="24"/>
      <c r="K106" s="24"/>
      <c r="L106" s="24"/>
      <c r="M106" s="259"/>
      <c r="N106" s="203"/>
      <c r="O106" s="203"/>
      <c r="P106" s="203"/>
      <c r="Q106" s="203"/>
      <c r="R106" s="203"/>
      <c r="S106" s="203"/>
      <c r="T106" s="203"/>
      <c r="U106" s="206"/>
    </row>
    <row r="107" spans="1:21" ht="12.75">
      <c r="A107" s="290"/>
      <c r="B107" s="269"/>
      <c r="C107" s="231"/>
      <c r="D107" s="22" t="s">
        <v>96</v>
      </c>
      <c r="E107" s="23">
        <f>F107+G107+H107+I107+J107+K107+L107</f>
        <v>0</v>
      </c>
      <c r="F107" s="24"/>
      <c r="G107" s="24"/>
      <c r="H107" s="24"/>
      <c r="I107" s="23"/>
      <c r="J107" s="24"/>
      <c r="K107" s="24"/>
      <c r="L107" s="24"/>
      <c r="M107" s="260"/>
      <c r="N107" s="204"/>
      <c r="O107" s="204"/>
      <c r="P107" s="204"/>
      <c r="Q107" s="204"/>
      <c r="R107" s="204"/>
      <c r="S107" s="204"/>
      <c r="T107" s="204"/>
      <c r="U107" s="207"/>
    </row>
    <row r="108" spans="1:21" ht="13.5">
      <c r="A108" s="234"/>
      <c r="B108" s="264" t="s">
        <v>176</v>
      </c>
      <c r="C108" s="234"/>
      <c r="D108" s="102" t="s">
        <v>97</v>
      </c>
      <c r="E108" s="103">
        <f>E110+E111+E112+E113</f>
        <v>80207829.38</v>
      </c>
      <c r="F108" s="103">
        <f>F110+F111+F112+F113</f>
        <v>7667037</v>
      </c>
      <c r="G108" s="103">
        <f aca="true" t="shared" si="23" ref="G108:L108">G110+G111+G112+G113</f>
        <v>9334738.87</v>
      </c>
      <c r="H108" s="103">
        <f t="shared" si="23"/>
        <v>11397275.190000001</v>
      </c>
      <c r="I108" s="103">
        <f t="shared" si="23"/>
        <v>12978444.58</v>
      </c>
      <c r="J108" s="103">
        <f t="shared" si="23"/>
        <v>12943444.58</v>
      </c>
      <c r="K108" s="103">
        <f t="shared" si="23"/>
        <v>12943444.58</v>
      </c>
      <c r="L108" s="103">
        <f t="shared" si="23"/>
        <v>12943444.58</v>
      </c>
      <c r="M108" s="236"/>
      <c r="N108" s="244"/>
      <c r="O108" s="244"/>
      <c r="P108" s="244"/>
      <c r="Q108" s="244"/>
      <c r="R108" s="244"/>
      <c r="S108" s="244"/>
      <c r="T108" s="244"/>
      <c r="U108" s="247"/>
    </row>
    <row r="109" spans="1:21" ht="12.75">
      <c r="A109" s="234"/>
      <c r="B109" s="265"/>
      <c r="C109" s="234"/>
      <c r="D109" s="239" t="s">
        <v>117</v>
      </c>
      <c r="E109" s="240"/>
      <c r="F109" s="240"/>
      <c r="G109" s="240"/>
      <c r="H109" s="240"/>
      <c r="I109" s="240"/>
      <c r="J109" s="240"/>
      <c r="K109" s="240"/>
      <c r="L109" s="241"/>
      <c r="M109" s="237"/>
      <c r="N109" s="245"/>
      <c r="O109" s="245"/>
      <c r="P109" s="245"/>
      <c r="Q109" s="245"/>
      <c r="R109" s="245"/>
      <c r="S109" s="245"/>
      <c r="T109" s="245"/>
      <c r="U109" s="248"/>
    </row>
    <row r="110" spans="1:21" ht="13.5">
      <c r="A110" s="234"/>
      <c r="B110" s="265"/>
      <c r="C110" s="234"/>
      <c r="D110" s="104" t="s">
        <v>95</v>
      </c>
      <c r="E110" s="103">
        <f>SUM(F110:L110)</f>
        <v>80207829.38</v>
      </c>
      <c r="F110" s="105">
        <f>F86+F92+F98+F104</f>
        <v>7667037</v>
      </c>
      <c r="G110" s="105">
        <f aca="true" t="shared" si="24" ref="G110:L113">G86+G92+G98+G104</f>
        <v>9334738.87</v>
      </c>
      <c r="H110" s="105">
        <f t="shared" si="24"/>
        <v>11397275.190000001</v>
      </c>
      <c r="I110" s="105">
        <f t="shared" si="24"/>
        <v>12978444.58</v>
      </c>
      <c r="J110" s="105">
        <f t="shared" si="24"/>
        <v>12943444.58</v>
      </c>
      <c r="K110" s="105">
        <f t="shared" si="24"/>
        <v>12943444.58</v>
      </c>
      <c r="L110" s="105">
        <f t="shared" si="24"/>
        <v>12943444.58</v>
      </c>
      <c r="M110" s="237"/>
      <c r="N110" s="245"/>
      <c r="O110" s="245"/>
      <c r="P110" s="245"/>
      <c r="Q110" s="245"/>
      <c r="R110" s="245"/>
      <c r="S110" s="245"/>
      <c r="T110" s="245"/>
      <c r="U110" s="248"/>
    </row>
    <row r="111" spans="1:21" ht="13.5">
      <c r="A111" s="234"/>
      <c r="B111" s="265"/>
      <c r="C111" s="234"/>
      <c r="D111" s="104" t="s">
        <v>93</v>
      </c>
      <c r="E111" s="103">
        <f>SUM(F111:L111)</f>
        <v>0</v>
      </c>
      <c r="F111" s="105">
        <f>F87+F93+F99+F105</f>
        <v>0</v>
      </c>
      <c r="G111" s="105">
        <f aca="true" t="shared" si="25" ref="G111:H113">G87+G93+G99+G105</f>
        <v>0</v>
      </c>
      <c r="H111" s="105">
        <f t="shared" si="25"/>
        <v>0</v>
      </c>
      <c r="I111" s="105">
        <f t="shared" si="24"/>
        <v>0</v>
      </c>
      <c r="J111" s="105">
        <f t="shared" si="24"/>
        <v>0</v>
      </c>
      <c r="K111" s="105">
        <f t="shared" si="24"/>
        <v>0</v>
      </c>
      <c r="L111" s="105">
        <f t="shared" si="24"/>
        <v>0</v>
      </c>
      <c r="M111" s="237"/>
      <c r="N111" s="245"/>
      <c r="O111" s="245"/>
      <c r="P111" s="245"/>
      <c r="Q111" s="245"/>
      <c r="R111" s="245"/>
      <c r="S111" s="245"/>
      <c r="T111" s="245"/>
      <c r="U111" s="248"/>
    </row>
    <row r="112" spans="1:21" ht="13.5">
      <c r="A112" s="234"/>
      <c r="B112" s="265"/>
      <c r="C112" s="234"/>
      <c r="D112" s="104" t="s">
        <v>94</v>
      </c>
      <c r="E112" s="103">
        <f>SUM(F112:L112)</f>
        <v>0</v>
      </c>
      <c r="F112" s="105">
        <f>F88+F94+F100+F106</f>
        <v>0</v>
      </c>
      <c r="G112" s="105">
        <f t="shared" si="25"/>
        <v>0</v>
      </c>
      <c r="H112" s="105">
        <f t="shared" si="25"/>
        <v>0</v>
      </c>
      <c r="I112" s="105">
        <f t="shared" si="24"/>
        <v>0</v>
      </c>
      <c r="J112" s="105">
        <f t="shared" si="24"/>
        <v>0</v>
      </c>
      <c r="K112" s="105">
        <f t="shared" si="24"/>
        <v>0</v>
      </c>
      <c r="L112" s="105">
        <f t="shared" si="24"/>
        <v>0</v>
      </c>
      <c r="M112" s="237"/>
      <c r="N112" s="245"/>
      <c r="O112" s="245"/>
      <c r="P112" s="245"/>
      <c r="Q112" s="245"/>
      <c r="R112" s="245"/>
      <c r="S112" s="245"/>
      <c r="T112" s="245"/>
      <c r="U112" s="248"/>
    </row>
    <row r="113" spans="1:21" ht="13.5">
      <c r="A113" s="234"/>
      <c r="B113" s="266"/>
      <c r="C113" s="234"/>
      <c r="D113" s="104" t="s">
        <v>96</v>
      </c>
      <c r="E113" s="103">
        <f>SUM(F113:L113)</f>
        <v>0</v>
      </c>
      <c r="F113" s="105">
        <f>F89+F95+F101+F107</f>
        <v>0</v>
      </c>
      <c r="G113" s="105">
        <f t="shared" si="25"/>
        <v>0</v>
      </c>
      <c r="H113" s="105">
        <f t="shared" si="25"/>
        <v>0</v>
      </c>
      <c r="I113" s="105">
        <f t="shared" si="24"/>
        <v>0</v>
      </c>
      <c r="J113" s="105">
        <f t="shared" si="24"/>
        <v>0</v>
      </c>
      <c r="K113" s="105">
        <f t="shared" si="24"/>
        <v>0</v>
      </c>
      <c r="L113" s="105">
        <f t="shared" si="24"/>
        <v>0</v>
      </c>
      <c r="M113" s="238"/>
      <c r="N113" s="246"/>
      <c r="O113" s="246"/>
      <c r="P113" s="246"/>
      <c r="Q113" s="246"/>
      <c r="R113" s="246"/>
      <c r="S113" s="246"/>
      <c r="T113" s="246"/>
      <c r="U113" s="249"/>
    </row>
    <row r="114" spans="1:21" ht="13.5">
      <c r="A114" s="234"/>
      <c r="B114" s="264" t="s">
        <v>85</v>
      </c>
      <c r="C114" s="234"/>
      <c r="D114" s="102" t="s">
        <v>97</v>
      </c>
      <c r="E114" s="103">
        <f aca="true" t="shared" si="26" ref="E114:L114">E116+E117+E118+E119</f>
        <v>378120720.53999996</v>
      </c>
      <c r="F114" s="103">
        <f t="shared" si="26"/>
        <v>43291513</v>
      </c>
      <c r="G114" s="103">
        <f t="shared" si="26"/>
        <v>49712022.47</v>
      </c>
      <c r="H114" s="103">
        <f t="shared" si="26"/>
        <v>51860010.43</v>
      </c>
      <c r="I114" s="103">
        <f t="shared" si="26"/>
        <v>58246118.66</v>
      </c>
      <c r="J114" s="103">
        <f t="shared" si="26"/>
        <v>58546418.66</v>
      </c>
      <c r="K114" s="103">
        <f t="shared" si="26"/>
        <v>58232318.66</v>
      </c>
      <c r="L114" s="103">
        <f t="shared" si="26"/>
        <v>58232318.66</v>
      </c>
      <c r="M114" s="236"/>
      <c r="N114" s="244"/>
      <c r="O114" s="244"/>
      <c r="P114" s="244"/>
      <c r="Q114" s="244"/>
      <c r="R114" s="244"/>
      <c r="S114" s="244"/>
      <c r="T114" s="244"/>
      <c r="U114" s="247"/>
    </row>
    <row r="115" spans="1:21" ht="12.75">
      <c r="A115" s="234"/>
      <c r="B115" s="265"/>
      <c r="C115" s="234"/>
      <c r="D115" s="239" t="s">
        <v>117</v>
      </c>
      <c r="E115" s="240"/>
      <c r="F115" s="240"/>
      <c r="G115" s="240"/>
      <c r="H115" s="240"/>
      <c r="I115" s="240"/>
      <c r="J115" s="240"/>
      <c r="K115" s="240"/>
      <c r="L115" s="241"/>
      <c r="M115" s="237"/>
      <c r="N115" s="245"/>
      <c r="O115" s="245"/>
      <c r="P115" s="245"/>
      <c r="Q115" s="245"/>
      <c r="R115" s="245"/>
      <c r="S115" s="245"/>
      <c r="T115" s="245"/>
      <c r="U115" s="248"/>
    </row>
    <row r="116" spans="1:21" ht="13.5">
      <c r="A116" s="234"/>
      <c r="B116" s="265"/>
      <c r="C116" s="234"/>
      <c r="D116" s="104" t="s">
        <v>95</v>
      </c>
      <c r="E116" s="103">
        <f>SUM(F116:L116)</f>
        <v>108501620.53999999</v>
      </c>
      <c r="F116" s="105">
        <f aca="true" t="shared" si="27" ref="F116:L119">F23+F66+F79+F110</f>
        <v>12523313</v>
      </c>
      <c r="G116" s="105">
        <f t="shared" si="27"/>
        <v>14817822.469999999</v>
      </c>
      <c r="H116" s="105">
        <f t="shared" si="27"/>
        <v>15255210.430000002</v>
      </c>
      <c r="I116" s="105">
        <f t="shared" si="27"/>
        <v>16476318.66</v>
      </c>
      <c r="J116" s="105">
        <f t="shared" si="27"/>
        <v>16476318.66</v>
      </c>
      <c r="K116" s="105">
        <f t="shared" si="27"/>
        <v>16476318.66</v>
      </c>
      <c r="L116" s="105">
        <f t="shared" si="27"/>
        <v>16476318.66</v>
      </c>
      <c r="M116" s="237"/>
      <c r="N116" s="245"/>
      <c r="O116" s="245"/>
      <c r="P116" s="245"/>
      <c r="Q116" s="245"/>
      <c r="R116" s="245"/>
      <c r="S116" s="245"/>
      <c r="T116" s="245"/>
      <c r="U116" s="248"/>
    </row>
    <row r="117" spans="1:21" ht="13.5">
      <c r="A117" s="234"/>
      <c r="B117" s="265"/>
      <c r="C117" s="234"/>
      <c r="D117" s="104" t="s">
        <v>93</v>
      </c>
      <c r="E117" s="103">
        <f>SUM(F117:L117)</f>
        <v>269619100</v>
      </c>
      <c r="F117" s="105">
        <f t="shared" si="27"/>
        <v>30768200</v>
      </c>
      <c r="G117" s="105">
        <f t="shared" si="27"/>
        <v>34894200</v>
      </c>
      <c r="H117" s="105">
        <f t="shared" si="27"/>
        <v>36604800</v>
      </c>
      <c r="I117" s="105">
        <f t="shared" si="27"/>
        <v>41769800</v>
      </c>
      <c r="J117" s="105">
        <f t="shared" si="27"/>
        <v>42070100</v>
      </c>
      <c r="K117" s="105">
        <f t="shared" si="27"/>
        <v>41756000</v>
      </c>
      <c r="L117" s="105">
        <f t="shared" si="27"/>
        <v>41756000</v>
      </c>
      <c r="M117" s="237"/>
      <c r="N117" s="245"/>
      <c r="O117" s="245"/>
      <c r="P117" s="245"/>
      <c r="Q117" s="245"/>
      <c r="R117" s="245"/>
      <c r="S117" s="245"/>
      <c r="T117" s="245"/>
      <c r="U117" s="248"/>
    </row>
    <row r="118" spans="1:21" ht="13.5">
      <c r="A118" s="234"/>
      <c r="B118" s="265"/>
      <c r="C118" s="234"/>
      <c r="D118" s="104" t="s">
        <v>94</v>
      </c>
      <c r="E118" s="103">
        <f>SUM(F118:L118)</f>
        <v>0</v>
      </c>
      <c r="F118" s="105">
        <f t="shared" si="27"/>
        <v>0</v>
      </c>
      <c r="G118" s="105">
        <f t="shared" si="27"/>
        <v>0</v>
      </c>
      <c r="H118" s="105">
        <f t="shared" si="27"/>
        <v>0</v>
      </c>
      <c r="I118" s="105">
        <f t="shared" si="27"/>
        <v>0</v>
      </c>
      <c r="J118" s="105">
        <f t="shared" si="27"/>
        <v>0</v>
      </c>
      <c r="K118" s="105">
        <f t="shared" si="27"/>
        <v>0</v>
      </c>
      <c r="L118" s="105">
        <f t="shared" si="27"/>
        <v>0</v>
      </c>
      <c r="M118" s="237"/>
      <c r="N118" s="245"/>
      <c r="O118" s="245"/>
      <c r="P118" s="245"/>
      <c r="Q118" s="245"/>
      <c r="R118" s="245"/>
      <c r="S118" s="245"/>
      <c r="T118" s="245"/>
      <c r="U118" s="248"/>
    </row>
    <row r="119" spans="1:21" ht="13.5">
      <c r="A119" s="234"/>
      <c r="B119" s="266"/>
      <c r="C119" s="234"/>
      <c r="D119" s="104" t="s">
        <v>96</v>
      </c>
      <c r="E119" s="103">
        <f>SUM(F119:L119)</f>
        <v>0</v>
      </c>
      <c r="F119" s="105">
        <f t="shared" si="27"/>
        <v>0</v>
      </c>
      <c r="G119" s="105">
        <f t="shared" si="27"/>
        <v>0</v>
      </c>
      <c r="H119" s="105">
        <f t="shared" si="27"/>
        <v>0</v>
      </c>
      <c r="I119" s="105">
        <f t="shared" si="27"/>
        <v>0</v>
      </c>
      <c r="J119" s="105">
        <f t="shared" si="27"/>
        <v>0</v>
      </c>
      <c r="K119" s="105">
        <f t="shared" si="27"/>
        <v>0</v>
      </c>
      <c r="L119" s="105">
        <f t="shared" si="27"/>
        <v>0</v>
      </c>
      <c r="M119" s="238"/>
      <c r="N119" s="246"/>
      <c r="O119" s="246"/>
      <c r="P119" s="246"/>
      <c r="Q119" s="246"/>
      <c r="R119" s="246"/>
      <c r="S119" s="246"/>
      <c r="T119" s="246"/>
      <c r="U119" s="249"/>
    </row>
    <row r="121" spans="6:9" ht="12.75">
      <c r="F121" s="25"/>
      <c r="G121" s="25"/>
      <c r="H121" s="26"/>
      <c r="I121" s="173"/>
    </row>
    <row r="122" spans="5:9" ht="12.75">
      <c r="E122" s="49"/>
      <c r="F122" s="25"/>
      <c r="G122" s="50"/>
      <c r="H122" s="26"/>
      <c r="I122" s="173"/>
    </row>
    <row r="123" spans="5:9" ht="12.75">
      <c r="E123" s="27"/>
      <c r="F123" s="25"/>
      <c r="G123" s="25"/>
      <c r="H123" s="26"/>
      <c r="I123" s="173"/>
    </row>
    <row r="124" spans="5:9" ht="12.75">
      <c r="E124" s="27"/>
      <c r="F124" s="25"/>
      <c r="G124" s="25"/>
      <c r="H124" s="26"/>
      <c r="I124" s="173"/>
    </row>
    <row r="125" spans="6:8" ht="12.75">
      <c r="F125" s="25"/>
      <c r="G125" s="25"/>
      <c r="H125" s="26"/>
    </row>
    <row r="126" spans="6:7" ht="12.75">
      <c r="F126" s="25"/>
      <c r="G126" s="25">
        <f>+G122-G124</f>
        <v>0</v>
      </c>
    </row>
    <row r="127" spans="6:7" ht="12.75">
      <c r="F127" s="25"/>
      <c r="G127" s="25"/>
    </row>
    <row r="128" spans="6:7" ht="12.75">
      <c r="F128" s="25"/>
      <c r="G128" s="25"/>
    </row>
    <row r="129" spans="6:7" ht="12.75">
      <c r="F129" s="25"/>
      <c r="G129" s="25"/>
    </row>
  </sheetData>
  <sheetProtection/>
  <mergeCells count="248">
    <mergeCell ref="R21:R26"/>
    <mergeCell ref="S21:S26"/>
    <mergeCell ref="T21:T26"/>
    <mergeCell ref="R77:R82"/>
    <mergeCell ref="S77:S82"/>
    <mergeCell ref="T77:T82"/>
    <mergeCell ref="S71:S76"/>
    <mergeCell ref="T71:T76"/>
    <mergeCell ref="B70:U70"/>
    <mergeCell ref="P71:P76"/>
    <mergeCell ref="U77:U82"/>
    <mergeCell ref="D78:L78"/>
    <mergeCell ref="U58:U63"/>
    <mergeCell ref="M58:M63"/>
    <mergeCell ref="N58:N63"/>
    <mergeCell ref="O58:O63"/>
    <mergeCell ref="T58:T63"/>
    <mergeCell ref="D59:L59"/>
    <mergeCell ref="O77:O82"/>
    <mergeCell ref="P77:P82"/>
    <mergeCell ref="C58:C63"/>
    <mergeCell ref="R64:R69"/>
    <mergeCell ref="S64:S69"/>
    <mergeCell ref="Q58:Q63"/>
    <mergeCell ref="R58:R63"/>
    <mergeCell ref="S58:S63"/>
    <mergeCell ref="P64:P69"/>
    <mergeCell ref="Q64:Q69"/>
    <mergeCell ref="Q77:Q82"/>
    <mergeCell ref="A21:A26"/>
    <mergeCell ref="B21:B26"/>
    <mergeCell ref="C21:C26"/>
    <mergeCell ref="M21:M26"/>
    <mergeCell ref="N21:N26"/>
    <mergeCell ref="P21:P26"/>
    <mergeCell ref="P58:P63"/>
    <mergeCell ref="A58:A63"/>
    <mergeCell ref="B58:B63"/>
    <mergeCell ref="U102:U107"/>
    <mergeCell ref="D103:L103"/>
    <mergeCell ref="A77:A82"/>
    <mergeCell ref="B77:B82"/>
    <mergeCell ref="C77:C82"/>
    <mergeCell ref="M77:M82"/>
    <mergeCell ref="N77:N82"/>
    <mergeCell ref="B83:U83"/>
    <mergeCell ref="A102:A107"/>
    <mergeCell ref="B102:B107"/>
    <mergeCell ref="S96:S101"/>
    <mergeCell ref="T96:T101"/>
    <mergeCell ref="Q96:Q101"/>
    <mergeCell ref="P102:P107"/>
    <mergeCell ref="Q102:Q107"/>
    <mergeCell ref="R102:R107"/>
    <mergeCell ref="S102:S107"/>
    <mergeCell ref="T102:T107"/>
    <mergeCell ref="Q108:Q113"/>
    <mergeCell ref="R108:R113"/>
    <mergeCell ref="M102:M107"/>
    <mergeCell ref="N102:N107"/>
    <mergeCell ref="O102:O107"/>
    <mergeCell ref="R96:R101"/>
    <mergeCell ref="A114:A119"/>
    <mergeCell ref="B114:B119"/>
    <mergeCell ref="C114:C119"/>
    <mergeCell ref="M114:M119"/>
    <mergeCell ref="R114:R119"/>
    <mergeCell ref="S114:S119"/>
    <mergeCell ref="N114:N119"/>
    <mergeCell ref="O114:O119"/>
    <mergeCell ref="P114:P119"/>
    <mergeCell ref="U108:U113"/>
    <mergeCell ref="D109:L109"/>
    <mergeCell ref="S108:S113"/>
    <mergeCell ref="U114:U119"/>
    <mergeCell ref="D115:L115"/>
    <mergeCell ref="Q114:Q119"/>
    <mergeCell ref="T108:T113"/>
    <mergeCell ref="O108:O113"/>
    <mergeCell ref="P108:P113"/>
    <mergeCell ref="T114:T119"/>
    <mergeCell ref="D97:L97"/>
    <mergeCell ref="A108:A113"/>
    <mergeCell ref="B108:B113"/>
    <mergeCell ref="C108:C113"/>
    <mergeCell ref="M108:M113"/>
    <mergeCell ref="N108:N113"/>
    <mergeCell ref="C102:C107"/>
    <mergeCell ref="U90:U95"/>
    <mergeCell ref="D91:L91"/>
    <mergeCell ref="A96:A101"/>
    <mergeCell ref="B96:B101"/>
    <mergeCell ref="C96:C101"/>
    <mergeCell ref="M96:M101"/>
    <mergeCell ref="N96:N101"/>
    <mergeCell ref="O96:O101"/>
    <mergeCell ref="P96:P101"/>
    <mergeCell ref="U96:U101"/>
    <mergeCell ref="S84:S89"/>
    <mergeCell ref="T84:T89"/>
    <mergeCell ref="O90:O95"/>
    <mergeCell ref="P90:P95"/>
    <mergeCell ref="Q90:Q95"/>
    <mergeCell ref="R90:R95"/>
    <mergeCell ref="U84:U89"/>
    <mergeCell ref="D85:L85"/>
    <mergeCell ref="A90:A95"/>
    <mergeCell ref="B90:B95"/>
    <mergeCell ref="C90:C95"/>
    <mergeCell ref="M90:M95"/>
    <mergeCell ref="N90:N95"/>
    <mergeCell ref="S90:S95"/>
    <mergeCell ref="T90:T95"/>
    <mergeCell ref="R84:R89"/>
    <mergeCell ref="U71:U76"/>
    <mergeCell ref="D72:L72"/>
    <mergeCell ref="A84:A89"/>
    <mergeCell ref="B84:B89"/>
    <mergeCell ref="C84:C89"/>
    <mergeCell ref="M84:M89"/>
    <mergeCell ref="N84:N89"/>
    <mergeCell ref="O84:O89"/>
    <mergeCell ref="P84:P89"/>
    <mergeCell ref="Q84:Q89"/>
    <mergeCell ref="A71:A76"/>
    <mergeCell ref="B71:B76"/>
    <mergeCell ref="C71:C76"/>
    <mergeCell ref="M71:M76"/>
    <mergeCell ref="N71:N76"/>
    <mergeCell ref="O71:O76"/>
    <mergeCell ref="U64:U69"/>
    <mergeCell ref="A64:A69"/>
    <mergeCell ref="B64:B69"/>
    <mergeCell ref="C64:C69"/>
    <mergeCell ref="M64:M69"/>
    <mergeCell ref="N64:N69"/>
    <mergeCell ref="O64:O69"/>
    <mergeCell ref="D65:L65"/>
    <mergeCell ref="T64:T69"/>
    <mergeCell ref="N52:N57"/>
    <mergeCell ref="O52:O57"/>
    <mergeCell ref="D53:L53"/>
    <mergeCell ref="P52:P57"/>
    <mergeCell ref="A52:A57"/>
    <mergeCell ref="B52:B57"/>
    <mergeCell ref="C52:C57"/>
    <mergeCell ref="M52:M57"/>
    <mergeCell ref="U52:U57"/>
    <mergeCell ref="Q52:Q57"/>
    <mergeCell ref="R52:R57"/>
    <mergeCell ref="S52:S57"/>
    <mergeCell ref="T46:T51"/>
    <mergeCell ref="U46:U51"/>
    <mergeCell ref="T52:T57"/>
    <mergeCell ref="A46:A51"/>
    <mergeCell ref="B46:B51"/>
    <mergeCell ref="C46:C51"/>
    <mergeCell ref="M46:M51"/>
    <mergeCell ref="N46:N51"/>
    <mergeCell ref="O46:O51"/>
    <mergeCell ref="D47:L47"/>
    <mergeCell ref="U40:U45"/>
    <mergeCell ref="A40:A45"/>
    <mergeCell ref="B40:B45"/>
    <mergeCell ref="C40:C45"/>
    <mergeCell ref="M40:M45"/>
    <mergeCell ref="N40:N45"/>
    <mergeCell ref="O40:O45"/>
    <mergeCell ref="D41:L41"/>
    <mergeCell ref="P40:P45"/>
    <mergeCell ref="T40:T45"/>
    <mergeCell ref="R40:R45"/>
    <mergeCell ref="S40:S45"/>
    <mergeCell ref="T34:T39"/>
    <mergeCell ref="P46:P51"/>
    <mergeCell ref="Q46:Q51"/>
    <mergeCell ref="R46:R51"/>
    <mergeCell ref="S46:S51"/>
    <mergeCell ref="R34:R39"/>
    <mergeCell ref="Q40:Q45"/>
    <mergeCell ref="N28:N33"/>
    <mergeCell ref="U34:U39"/>
    <mergeCell ref="A34:A39"/>
    <mergeCell ref="B34:B39"/>
    <mergeCell ref="C34:C39"/>
    <mergeCell ref="M34:M39"/>
    <mergeCell ref="N34:N39"/>
    <mergeCell ref="O34:O39"/>
    <mergeCell ref="D35:L35"/>
    <mergeCell ref="S34:S39"/>
    <mergeCell ref="D10:L10"/>
    <mergeCell ref="A28:A33"/>
    <mergeCell ref="B28:B33"/>
    <mergeCell ref="C28:C33"/>
    <mergeCell ref="U28:U33"/>
    <mergeCell ref="D29:L29"/>
    <mergeCell ref="U21:U26"/>
    <mergeCell ref="D22:L22"/>
    <mergeCell ref="O21:O26"/>
    <mergeCell ref="M28:M33"/>
    <mergeCell ref="A15:A20"/>
    <mergeCell ref="B15:B20"/>
    <mergeCell ref="C15:C20"/>
    <mergeCell ref="M15:M20"/>
    <mergeCell ref="N15:N20"/>
    <mergeCell ref="S15:S20"/>
    <mergeCell ref="D16:L16"/>
    <mergeCell ref="O15:O20"/>
    <mergeCell ref="P15:P20"/>
    <mergeCell ref="Q15:Q20"/>
    <mergeCell ref="B8:U8"/>
    <mergeCell ref="A9:A14"/>
    <mergeCell ref="B9:B14"/>
    <mergeCell ref="C9:C14"/>
    <mergeCell ref="M9:M14"/>
    <mergeCell ref="N9:N14"/>
    <mergeCell ref="O9:O14"/>
    <mergeCell ref="S9:S14"/>
    <mergeCell ref="T9:T14"/>
    <mergeCell ref="U9:U14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27:U27"/>
    <mergeCell ref="Q71:Q76"/>
    <mergeCell ref="R71:R76"/>
    <mergeCell ref="P9:P14"/>
    <mergeCell ref="Q9:Q14"/>
    <mergeCell ref="T15:T20"/>
    <mergeCell ref="R9:R14"/>
    <mergeCell ref="P34:P39"/>
    <mergeCell ref="Q34:Q39"/>
    <mergeCell ref="Q1:U1"/>
    <mergeCell ref="U15:U20"/>
    <mergeCell ref="R15:R20"/>
    <mergeCell ref="O28:O33"/>
    <mergeCell ref="P28:P33"/>
    <mergeCell ref="Q28:Q33"/>
    <mergeCell ref="R28:R33"/>
    <mergeCell ref="S28:S33"/>
    <mergeCell ref="T28:T33"/>
    <mergeCell ref="Q21:Q2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5.8515625" style="127" customWidth="1"/>
    <col min="5" max="5" width="12.7109375" style="127" customWidth="1"/>
    <col min="6" max="9" width="12.28125" style="127" bestFit="1" customWidth="1"/>
    <col min="10" max="16384" width="9.140625" style="127" customWidth="1"/>
  </cols>
  <sheetData>
    <row r="1" spans="6:10" ht="70.5" customHeight="1">
      <c r="F1" s="291" t="s">
        <v>278</v>
      </c>
      <c r="G1" s="291"/>
      <c r="H1" s="291"/>
      <c r="I1" s="291"/>
      <c r="J1" s="168"/>
    </row>
    <row r="2" spans="5:10" ht="18.75" customHeight="1">
      <c r="E2" s="124"/>
      <c r="G2" s="100"/>
      <c r="H2" s="100"/>
      <c r="I2" s="143" t="s">
        <v>222</v>
      </c>
      <c r="J2" s="100"/>
    </row>
    <row r="4" spans="1:9" ht="36.75" customHeight="1">
      <c r="A4" s="196" t="s">
        <v>223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82" t="s">
        <v>103</v>
      </c>
      <c r="B5" s="184" t="s">
        <v>104</v>
      </c>
      <c r="C5" s="186" t="s">
        <v>105</v>
      </c>
      <c r="D5" s="186"/>
      <c r="E5" s="186"/>
      <c r="F5" s="186"/>
      <c r="G5" s="186"/>
      <c r="H5" s="186"/>
      <c r="I5" s="186"/>
    </row>
    <row r="6" spans="1:9" ht="16.5" customHeight="1">
      <c r="A6" s="183"/>
      <c r="B6" s="185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44" t="s">
        <v>224</v>
      </c>
      <c r="B8" s="126">
        <f>B10+B11+B12+B13</f>
        <v>129554960.88</v>
      </c>
      <c r="C8" s="126">
        <f aca="true" t="shared" si="0" ref="C8:I8">C10+C11+C12+C13</f>
        <v>23456977</v>
      </c>
      <c r="D8" s="126">
        <f t="shared" si="0"/>
        <v>23253823.41</v>
      </c>
      <c r="E8" s="126">
        <f t="shared" si="0"/>
        <v>20404100.630000003</v>
      </c>
      <c r="F8" s="126">
        <f t="shared" si="0"/>
        <v>21261253.48</v>
      </c>
      <c r="G8" s="126">
        <f t="shared" si="0"/>
        <v>20530722.699999996</v>
      </c>
      <c r="H8" s="126">
        <f t="shared" si="0"/>
        <v>20585083.659999996</v>
      </c>
      <c r="I8" s="126">
        <f t="shared" si="0"/>
        <v>63000</v>
      </c>
    </row>
    <row r="9" spans="1:9" ht="16.5" customHeight="1">
      <c r="A9" s="250" t="s">
        <v>106</v>
      </c>
      <c r="B9" s="251"/>
      <c r="C9" s="251"/>
      <c r="D9" s="251"/>
      <c r="E9" s="251"/>
      <c r="F9" s="251"/>
      <c r="G9" s="251"/>
      <c r="H9" s="251"/>
      <c r="I9" s="252"/>
    </row>
    <row r="10" spans="1:9" ht="16.5" customHeight="1">
      <c r="A10" s="87" t="s">
        <v>107</v>
      </c>
      <c r="B10" s="126">
        <f>C10+D10+E10+F10+G10+H10+I10</f>
        <v>129308960.88</v>
      </c>
      <c r="C10" s="84">
        <f>C17</f>
        <v>23399977</v>
      </c>
      <c r="D10" s="84">
        <f aca="true" t="shared" si="1" ref="D10:I10">D17</f>
        <v>23253823.41</v>
      </c>
      <c r="E10" s="84">
        <f t="shared" si="1"/>
        <v>20404100.630000003</v>
      </c>
      <c r="F10" s="84">
        <f t="shared" si="1"/>
        <v>21261253.48</v>
      </c>
      <c r="G10" s="84">
        <f t="shared" si="1"/>
        <v>20467722.699999996</v>
      </c>
      <c r="H10" s="84">
        <f t="shared" si="1"/>
        <v>20522083.659999996</v>
      </c>
      <c r="I10" s="84">
        <f t="shared" si="1"/>
        <v>0</v>
      </c>
    </row>
    <row r="11" spans="1:9" ht="16.5" customHeight="1">
      <c r="A11" s="87" t="s">
        <v>20</v>
      </c>
      <c r="B11" s="126">
        <f>C11+D11+E11+F11+G11+H11+I11</f>
        <v>0</v>
      </c>
      <c r="C11" s="84">
        <f aca="true" t="shared" si="2" ref="C11:I13">C18</f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87" t="s">
        <v>21</v>
      </c>
      <c r="B12" s="126">
        <f>C12+D12+E12+F12+G12+H12+I12</f>
        <v>0</v>
      </c>
      <c r="C12" s="84">
        <f t="shared" si="2"/>
        <v>0</v>
      </c>
      <c r="D12" s="84">
        <f t="shared" si="2"/>
        <v>0</v>
      </c>
      <c r="E12" s="84">
        <f t="shared" si="2"/>
        <v>0</v>
      </c>
      <c r="F12" s="84">
        <f t="shared" si="2"/>
        <v>0</v>
      </c>
      <c r="G12" s="84">
        <f t="shared" si="2"/>
        <v>0</v>
      </c>
      <c r="H12" s="84">
        <f t="shared" si="2"/>
        <v>0</v>
      </c>
      <c r="I12" s="84">
        <f t="shared" si="2"/>
        <v>0</v>
      </c>
    </row>
    <row r="13" spans="1:9" ht="16.5" customHeight="1">
      <c r="A13" s="87" t="s">
        <v>110</v>
      </c>
      <c r="B13" s="126">
        <f>C13+D13+E13+F13+G13+H13+I13</f>
        <v>246000</v>
      </c>
      <c r="C13" s="84">
        <f t="shared" si="2"/>
        <v>57000</v>
      </c>
      <c r="D13" s="84">
        <f t="shared" si="2"/>
        <v>0</v>
      </c>
      <c r="E13" s="84">
        <f t="shared" si="2"/>
        <v>0</v>
      </c>
      <c r="F13" s="84">
        <f t="shared" si="2"/>
        <v>0</v>
      </c>
      <c r="G13" s="84">
        <f t="shared" si="2"/>
        <v>63000</v>
      </c>
      <c r="H13" s="84">
        <f t="shared" si="2"/>
        <v>63000</v>
      </c>
      <c r="I13" s="84">
        <f t="shared" si="2"/>
        <v>63000</v>
      </c>
    </row>
    <row r="14" spans="1:9" ht="16.5" customHeight="1">
      <c r="A14" s="187" t="s">
        <v>111</v>
      </c>
      <c r="B14" s="188"/>
      <c r="C14" s="188"/>
      <c r="D14" s="188"/>
      <c r="E14" s="188"/>
      <c r="F14" s="188"/>
      <c r="G14" s="188"/>
      <c r="H14" s="188"/>
      <c r="I14" s="189"/>
    </row>
    <row r="15" spans="1:9" ht="39.75" customHeight="1">
      <c r="A15" s="145" t="s">
        <v>118</v>
      </c>
      <c r="B15" s="126">
        <f>B17+B18+B19+B20</f>
        <v>129554960.88</v>
      </c>
      <c r="C15" s="126">
        <f>C17+C18+C19+C20</f>
        <v>23456977</v>
      </c>
      <c r="D15" s="126">
        <f aca="true" t="shared" si="3" ref="D15:I15">D17+D18+D19+D20</f>
        <v>23253823.41</v>
      </c>
      <c r="E15" s="126">
        <f t="shared" si="3"/>
        <v>20404100.630000003</v>
      </c>
      <c r="F15" s="126">
        <f t="shared" si="3"/>
        <v>21261253.48</v>
      </c>
      <c r="G15" s="126">
        <f t="shared" si="3"/>
        <v>20530722.699999996</v>
      </c>
      <c r="H15" s="126">
        <f t="shared" si="3"/>
        <v>20585083.659999996</v>
      </c>
      <c r="I15" s="126">
        <f t="shared" si="3"/>
        <v>63000</v>
      </c>
    </row>
    <row r="16" spans="1:9" ht="16.5" customHeight="1">
      <c r="A16" s="250" t="s">
        <v>106</v>
      </c>
      <c r="B16" s="251"/>
      <c r="C16" s="251"/>
      <c r="D16" s="251"/>
      <c r="E16" s="251"/>
      <c r="F16" s="251"/>
      <c r="G16" s="251"/>
      <c r="H16" s="251"/>
      <c r="I16" s="252"/>
    </row>
    <row r="17" spans="1:9" ht="16.5" customHeight="1">
      <c r="A17" s="87" t="s">
        <v>107</v>
      </c>
      <c r="B17" s="126">
        <f>C17+D17+E17+F17+G17+H17+I17</f>
        <v>129308960.88</v>
      </c>
      <c r="C17" s="84">
        <f>'[2]таб 3(4)'!F34</f>
        <v>23399977</v>
      </c>
      <c r="D17" s="84">
        <f>+'[2]таб 3(4)'!G40</f>
        <v>23253823.41</v>
      </c>
      <c r="E17" s="84">
        <f>'таб 3(4)'!H41</f>
        <v>20404100.630000003</v>
      </c>
      <c r="F17" s="84">
        <f>'таб 3(4)'!I41</f>
        <v>21261253.48</v>
      </c>
      <c r="G17" s="84">
        <f>'таб 3(4)'!J41</f>
        <v>20467722.699999996</v>
      </c>
      <c r="H17" s="84">
        <f>'таб 3(4)'!K41</f>
        <v>20522083.659999996</v>
      </c>
      <c r="I17" s="84">
        <f>'таб 3(4)'!L41</f>
        <v>0</v>
      </c>
    </row>
    <row r="18" spans="1:9" ht="16.5" customHeight="1">
      <c r="A18" s="87" t="s">
        <v>20</v>
      </c>
      <c r="B18" s="126">
        <f>C18+D18+E18+F18+G18+H18+I18</f>
        <v>0</v>
      </c>
      <c r="C18" s="84">
        <f aca="true" t="shared" si="4" ref="C18:I19">C25</f>
        <v>0</v>
      </c>
      <c r="D18" s="84">
        <f t="shared" si="4"/>
        <v>0</v>
      </c>
      <c r="E18" s="84">
        <f>E25</f>
        <v>0</v>
      </c>
      <c r="F18" s="84">
        <f t="shared" si="4"/>
        <v>0</v>
      </c>
      <c r="G18" s="84">
        <f t="shared" si="4"/>
        <v>0</v>
      </c>
      <c r="H18" s="84">
        <f t="shared" si="4"/>
        <v>0</v>
      </c>
      <c r="I18" s="84">
        <f t="shared" si="4"/>
        <v>0</v>
      </c>
    </row>
    <row r="19" spans="1:9" ht="16.5" customHeight="1">
      <c r="A19" s="87" t="s">
        <v>21</v>
      </c>
      <c r="B19" s="126">
        <f>C19+D19+E19+F19+G19+H19+I19</f>
        <v>0</v>
      </c>
      <c r="C19" s="84">
        <f t="shared" si="4"/>
        <v>0</v>
      </c>
      <c r="D19" s="84">
        <f t="shared" si="4"/>
        <v>0</v>
      </c>
      <c r="E19" s="84">
        <f t="shared" si="4"/>
        <v>0</v>
      </c>
      <c r="F19" s="84">
        <f t="shared" si="4"/>
        <v>0</v>
      </c>
      <c r="G19" s="84">
        <f t="shared" si="4"/>
        <v>0</v>
      </c>
      <c r="H19" s="84">
        <f t="shared" si="4"/>
        <v>0</v>
      </c>
      <c r="I19" s="84">
        <f t="shared" si="4"/>
        <v>0</v>
      </c>
    </row>
    <row r="20" spans="1:9" ht="16.5" customHeight="1">
      <c r="A20" s="87" t="s">
        <v>110</v>
      </c>
      <c r="B20" s="126">
        <f>C20+D20+E20+F20+G20+H20+I20</f>
        <v>246000</v>
      </c>
      <c r="C20" s="84">
        <v>57000</v>
      </c>
      <c r="D20" s="84">
        <f>+'[2]таб 3(4)'!G43</f>
        <v>0</v>
      </c>
      <c r="E20" s="84">
        <f>+'[2]таб 3(4)'!H43</f>
        <v>0</v>
      </c>
      <c r="F20" s="84">
        <f>+'[2]таб 3(4)'!I43</f>
        <v>0</v>
      </c>
      <c r="G20" s="84">
        <v>63000</v>
      </c>
      <c r="H20" s="84">
        <v>63000</v>
      </c>
      <c r="I20" s="84">
        <v>63000</v>
      </c>
    </row>
    <row r="21" spans="1:9" ht="25.5">
      <c r="A21" s="4" t="s">
        <v>112</v>
      </c>
      <c r="B21" s="126">
        <f>C21+D21+E21+F21+G21+H21+I21</f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8"/>
  <sheetViews>
    <sheetView zoomScalePageLayoutView="0" workbookViewId="0" topLeftCell="A1">
      <pane xSplit="3" ySplit="8" topLeftCell="M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12" width="12.8515625" style="19" bestFit="1" customWidth="1"/>
    <col min="13" max="13" width="25.421875" style="19" customWidth="1"/>
    <col min="14" max="20" width="4.421875" style="19" bestFit="1" customWidth="1"/>
    <col min="21" max="21" width="16.00390625" style="19" customWidth="1"/>
    <col min="22" max="16384" width="9.140625" style="19" customWidth="1"/>
  </cols>
  <sheetData>
    <row r="1" spans="15:21" ht="65.25" customHeight="1">
      <c r="O1" s="291" t="s">
        <v>279</v>
      </c>
      <c r="P1" s="291"/>
      <c r="Q1" s="291"/>
      <c r="R1" s="291"/>
      <c r="S1" s="291"/>
      <c r="T1" s="291"/>
      <c r="U1" s="291"/>
    </row>
    <row r="2" spans="20:21" ht="12.75">
      <c r="T2" s="100"/>
      <c r="U2" s="100" t="s">
        <v>225</v>
      </c>
    </row>
    <row r="3" spans="1:21" ht="47.25" customHeight="1">
      <c r="A3" s="243" t="s">
        <v>226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ht="31.5" customHeight="1">
      <c r="A4" s="186" t="s">
        <v>101</v>
      </c>
      <c r="B4" s="186" t="s">
        <v>113</v>
      </c>
      <c r="C4" s="186" t="s">
        <v>114</v>
      </c>
      <c r="D4" s="186" t="s">
        <v>103</v>
      </c>
      <c r="E4" s="186" t="s">
        <v>115</v>
      </c>
      <c r="F4" s="186"/>
      <c r="G4" s="186"/>
      <c r="H4" s="186"/>
      <c r="I4" s="186"/>
      <c r="J4" s="186"/>
      <c r="K4" s="186"/>
      <c r="L4" s="186"/>
      <c r="M4" s="186" t="s">
        <v>32</v>
      </c>
      <c r="N4" s="186"/>
      <c r="O4" s="186"/>
      <c r="P4" s="186"/>
      <c r="Q4" s="186"/>
      <c r="R4" s="186"/>
      <c r="S4" s="186"/>
      <c r="T4" s="186"/>
      <c r="U4" s="232" t="s">
        <v>116</v>
      </c>
    </row>
    <row r="5" spans="1:21" ht="33" customHeight="1">
      <c r="A5" s="186"/>
      <c r="B5" s="186"/>
      <c r="C5" s="186"/>
      <c r="D5" s="186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3" t="s">
        <v>227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</row>
    <row r="8" spans="1:21" ht="12.75">
      <c r="A8" s="21">
        <v>1</v>
      </c>
      <c r="B8" s="213" t="s">
        <v>228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ht="16.5" customHeight="1">
      <c r="A9" s="223" t="s">
        <v>128</v>
      </c>
      <c r="B9" s="287" t="s">
        <v>229</v>
      </c>
      <c r="C9" s="229" t="s">
        <v>82</v>
      </c>
      <c r="D9" s="22" t="s">
        <v>97</v>
      </c>
      <c r="E9" s="23">
        <f>E11+E12+E13+E14</f>
        <v>127026798.42999999</v>
      </c>
      <c r="F9" s="23">
        <f aca="true" t="shared" si="0" ref="F9:L9">F11+F12+F13+F14</f>
        <v>22989063</v>
      </c>
      <c r="G9" s="23">
        <f t="shared" si="0"/>
        <v>22480517.52</v>
      </c>
      <c r="H9" s="23">
        <f t="shared" si="0"/>
        <v>20167769.71</v>
      </c>
      <c r="I9" s="23">
        <f t="shared" si="0"/>
        <v>20966181</v>
      </c>
      <c r="J9" s="23">
        <f t="shared" si="0"/>
        <v>20184453.119999997</v>
      </c>
      <c r="K9" s="23">
        <f t="shared" si="0"/>
        <v>20238814.08</v>
      </c>
      <c r="L9" s="23">
        <f t="shared" si="0"/>
        <v>0</v>
      </c>
      <c r="M9" s="258" t="s">
        <v>230</v>
      </c>
      <c r="N9" s="294">
        <v>35</v>
      </c>
      <c r="O9" s="294">
        <v>35</v>
      </c>
      <c r="P9" s="294">
        <v>35</v>
      </c>
      <c r="Q9" s="294">
        <v>35</v>
      </c>
      <c r="R9" s="294">
        <v>35</v>
      </c>
      <c r="S9" s="294">
        <v>35</v>
      </c>
      <c r="T9" s="294">
        <v>35</v>
      </c>
      <c r="U9" s="258" t="s">
        <v>231</v>
      </c>
    </row>
    <row r="10" spans="1:21" ht="16.5" customHeight="1">
      <c r="A10" s="223"/>
      <c r="B10" s="288"/>
      <c r="C10" s="230"/>
      <c r="D10" s="216" t="s">
        <v>117</v>
      </c>
      <c r="E10" s="217"/>
      <c r="F10" s="217"/>
      <c r="G10" s="217"/>
      <c r="H10" s="217"/>
      <c r="I10" s="217"/>
      <c r="J10" s="217"/>
      <c r="K10" s="217"/>
      <c r="L10" s="218"/>
      <c r="M10" s="292"/>
      <c r="N10" s="295"/>
      <c r="O10" s="295"/>
      <c r="P10" s="295"/>
      <c r="Q10" s="295"/>
      <c r="R10" s="295"/>
      <c r="S10" s="295"/>
      <c r="T10" s="295"/>
      <c r="U10" s="259"/>
    </row>
    <row r="11" spans="1:21" ht="12.75">
      <c r="A11" s="223"/>
      <c r="B11" s="288"/>
      <c r="C11" s="230"/>
      <c r="D11" s="22" t="s">
        <v>95</v>
      </c>
      <c r="E11" s="23">
        <f>F11+G11+H11+I11+J11+K11+L11</f>
        <v>127026798.42999999</v>
      </c>
      <c r="F11" s="23">
        <f>23429063-440000</f>
        <v>22989063</v>
      </c>
      <c r="G11" s="23">
        <v>22480517.52</v>
      </c>
      <c r="H11" s="23">
        <f>20043880+54889.71+69000</f>
        <v>20167769.71</v>
      </c>
      <c r="I11" s="23">
        <v>20966181</v>
      </c>
      <c r="J11" s="23">
        <f>10189901.04+9994552.08</f>
        <v>20184453.119999997</v>
      </c>
      <c r="K11" s="23">
        <v>20238814.08</v>
      </c>
      <c r="L11" s="23">
        <v>0</v>
      </c>
      <c r="M11" s="292"/>
      <c r="N11" s="295"/>
      <c r="O11" s="295"/>
      <c r="P11" s="295"/>
      <c r="Q11" s="295"/>
      <c r="R11" s="295"/>
      <c r="S11" s="295"/>
      <c r="T11" s="295"/>
      <c r="U11" s="259"/>
    </row>
    <row r="12" spans="1:21" ht="12.75">
      <c r="A12" s="223"/>
      <c r="B12" s="288"/>
      <c r="C12" s="230"/>
      <c r="D12" s="22" t="s">
        <v>93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92"/>
      <c r="N12" s="295"/>
      <c r="O12" s="295"/>
      <c r="P12" s="295"/>
      <c r="Q12" s="295"/>
      <c r="R12" s="295"/>
      <c r="S12" s="295"/>
      <c r="T12" s="295"/>
      <c r="U12" s="259"/>
    </row>
    <row r="13" spans="1:21" ht="12.75" customHeight="1">
      <c r="A13" s="223"/>
      <c r="B13" s="288"/>
      <c r="C13" s="230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92"/>
      <c r="N13" s="295"/>
      <c r="O13" s="295"/>
      <c r="P13" s="295"/>
      <c r="Q13" s="295"/>
      <c r="R13" s="295"/>
      <c r="S13" s="295"/>
      <c r="T13" s="295"/>
      <c r="U13" s="259"/>
    </row>
    <row r="14" spans="1:21" ht="25.5" customHeight="1">
      <c r="A14" s="223"/>
      <c r="B14" s="289"/>
      <c r="C14" s="231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93"/>
      <c r="N14" s="296"/>
      <c r="O14" s="296"/>
      <c r="P14" s="296"/>
      <c r="Q14" s="296"/>
      <c r="R14" s="296"/>
      <c r="S14" s="296"/>
      <c r="T14" s="296"/>
      <c r="U14" s="260"/>
    </row>
    <row r="15" spans="1:21" ht="24" customHeight="1">
      <c r="A15" s="223" t="s">
        <v>129</v>
      </c>
      <c r="B15" s="287" t="s">
        <v>232</v>
      </c>
      <c r="C15" s="229" t="s">
        <v>82</v>
      </c>
      <c r="D15" s="22" t="s">
        <v>97</v>
      </c>
      <c r="E15" s="23">
        <f>E17+E18+E19+E20</f>
        <v>851493.52</v>
      </c>
      <c r="F15" s="23">
        <f aca="true" t="shared" si="1" ref="F15:L15">F17+F18+F19+F20</f>
        <v>410914</v>
      </c>
      <c r="G15" s="23">
        <f t="shared" si="1"/>
        <v>440579.52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58" t="s">
        <v>3</v>
      </c>
      <c r="N15" s="202">
        <v>1</v>
      </c>
      <c r="O15" s="202">
        <v>1</v>
      </c>
      <c r="P15" s="202">
        <v>1</v>
      </c>
      <c r="Q15" s="202">
        <v>1</v>
      </c>
      <c r="R15" s="202">
        <v>1</v>
      </c>
      <c r="S15" s="202">
        <v>1</v>
      </c>
      <c r="T15" s="202">
        <v>1</v>
      </c>
      <c r="U15" s="258" t="s">
        <v>231</v>
      </c>
    </row>
    <row r="16" spans="1:21" ht="16.5" customHeight="1">
      <c r="A16" s="223"/>
      <c r="B16" s="288"/>
      <c r="C16" s="230"/>
      <c r="D16" s="216" t="s">
        <v>117</v>
      </c>
      <c r="E16" s="217"/>
      <c r="F16" s="217"/>
      <c r="G16" s="217"/>
      <c r="H16" s="217"/>
      <c r="I16" s="217"/>
      <c r="J16" s="217"/>
      <c r="K16" s="217"/>
      <c r="L16" s="218"/>
      <c r="M16" s="259"/>
      <c r="N16" s="203"/>
      <c r="O16" s="203"/>
      <c r="P16" s="203"/>
      <c r="Q16" s="203"/>
      <c r="R16" s="203"/>
      <c r="S16" s="203"/>
      <c r="T16" s="203"/>
      <c r="U16" s="259"/>
    </row>
    <row r="17" spans="1:21" ht="18" customHeight="1">
      <c r="A17" s="223"/>
      <c r="B17" s="288"/>
      <c r="C17" s="230"/>
      <c r="D17" s="22" t="s">
        <v>95</v>
      </c>
      <c r="E17" s="23">
        <f>F17+G17+H17+I17+J17+K17+L17</f>
        <v>851493.52</v>
      </c>
      <c r="F17" s="23">
        <v>410914</v>
      </c>
      <c r="G17" s="23">
        <f>465321-24741.1-0.38</f>
        <v>440579.52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59"/>
      <c r="N17" s="203"/>
      <c r="O17" s="203"/>
      <c r="P17" s="203"/>
      <c r="Q17" s="203"/>
      <c r="R17" s="203"/>
      <c r="S17" s="203"/>
      <c r="T17" s="203"/>
      <c r="U17" s="259"/>
    </row>
    <row r="18" spans="1:21" ht="12.75" customHeight="1">
      <c r="A18" s="223"/>
      <c r="B18" s="288"/>
      <c r="C18" s="230"/>
      <c r="D18" s="22" t="s">
        <v>93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59"/>
      <c r="N18" s="203"/>
      <c r="O18" s="203"/>
      <c r="P18" s="203"/>
      <c r="Q18" s="203"/>
      <c r="R18" s="203"/>
      <c r="S18" s="203"/>
      <c r="T18" s="203"/>
      <c r="U18" s="259"/>
    </row>
    <row r="19" spans="1:21" ht="12.75" customHeight="1">
      <c r="A19" s="223"/>
      <c r="B19" s="288"/>
      <c r="C19" s="230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59"/>
      <c r="N19" s="203"/>
      <c r="O19" s="203"/>
      <c r="P19" s="203"/>
      <c r="Q19" s="203"/>
      <c r="R19" s="203"/>
      <c r="S19" s="203"/>
      <c r="T19" s="203"/>
      <c r="U19" s="259"/>
    </row>
    <row r="20" spans="1:21" ht="24" customHeight="1">
      <c r="A20" s="223"/>
      <c r="B20" s="289"/>
      <c r="C20" s="231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0"/>
      <c r="N20" s="204"/>
      <c r="O20" s="204"/>
      <c r="P20" s="204"/>
      <c r="Q20" s="204"/>
      <c r="R20" s="204"/>
      <c r="S20" s="204"/>
      <c r="T20" s="204"/>
      <c r="U20" s="260"/>
    </row>
    <row r="21" spans="1:21" ht="19.5" customHeight="1">
      <c r="A21" s="234" t="s">
        <v>100</v>
      </c>
      <c r="B21" s="224" t="s">
        <v>190</v>
      </c>
      <c r="C21" s="229" t="s">
        <v>82</v>
      </c>
      <c r="D21" s="22" t="s">
        <v>97</v>
      </c>
      <c r="E21" s="23">
        <f>E23+E24+E25+E26</f>
        <v>1430668.9300000002</v>
      </c>
      <c r="F21" s="23">
        <f aca="true" t="shared" si="2" ref="F21:L21">F23+F24+F25+F26</f>
        <v>0</v>
      </c>
      <c r="G21" s="23">
        <f t="shared" si="2"/>
        <v>332726.37</v>
      </c>
      <c r="H21" s="23">
        <f t="shared" si="2"/>
        <v>236330.91999999998</v>
      </c>
      <c r="I21" s="23">
        <f t="shared" si="2"/>
        <v>295072.48</v>
      </c>
      <c r="J21" s="23">
        <f t="shared" si="2"/>
        <v>283269.58</v>
      </c>
      <c r="K21" s="23">
        <f t="shared" si="2"/>
        <v>283269.58</v>
      </c>
      <c r="L21" s="23">
        <f t="shared" si="2"/>
        <v>0</v>
      </c>
      <c r="M21" s="258" t="s">
        <v>202</v>
      </c>
      <c r="N21" s="202">
        <v>1</v>
      </c>
      <c r="O21" s="202">
        <v>1</v>
      </c>
      <c r="P21" s="202">
        <v>1</v>
      </c>
      <c r="Q21" s="202">
        <v>1</v>
      </c>
      <c r="R21" s="202">
        <v>1</v>
      </c>
      <c r="S21" s="202">
        <v>1</v>
      </c>
      <c r="T21" s="202">
        <v>1</v>
      </c>
      <c r="U21" s="258" t="s">
        <v>231</v>
      </c>
    </row>
    <row r="22" spans="1:21" ht="16.5" customHeight="1">
      <c r="A22" s="234"/>
      <c r="B22" s="224"/>
      <c r="C22" s="230"/>
      <c r="D22" s="216" t="s">
        <v>117</v>
      </c>
      <c r="E22" s="217"/>
      <c r="F22" s="217"/>
      <c r="G22" s="217"/>
      <c r="H22" s="217"/>
      <c r="I22" s="217"/>
      <c r="J22" s="217"/>
      <c r="K22" s="217"/>
      <c r="L22" s="218"/>
      <c r="M22" s="259"/>
      <c r="N22" s="203"/>
      <c r="O22" s="203"/>
      <c r="P22" s="203"/>
      <c r="Q22" s="203"/>
      <c r="R22" s="203"/>
      <c r="S22" s="203"/>
      <c r="T22" s="203"/>
      <c r="U22" s="259"/>
    </row>
    <row r="23" spans="1:21" ht="23.25" customHeight="1">
      <c r="A23" s="234"/>
      <c r="B23" s="224"/>
      <c r="C23" s="230"/>
      <c r="D23" s="22" t="s">
        <v>95</v>
      </c>
      <c r="E23" s="23">
        <f>F23+G23+H23+I23+J23+K23+L23</f>
        <v>1430668.9300000002</v>
      </c>
      <c r="F23" s="23"/>
      <c r="G23" s="23">
        <v>332726.37</v>
      </c>
      <c r="H23" s="23">
        <f>295072.75-88472.01+29730.18</f>
        <v>236330.91999999998</v>
      </c>
      <c r="I23" s="23">
        <v>295072.48</v>
      </c>
      <c r="J23" s="23">
        <f>141634.79+141634.79</f>
        <v>283269.58</v>
      </c>
      <c r="K23" s="23">
        <v>283269.58</v>
      </c>
      <c r="L23" s="23">
        <v>0</v>
      </c>
      <c r="M23" s="259"/>
      <c r="N23" s="203"/>
      <c r="O23" s="203"/>
      <c r="P23" s="203"/>
      <c r="Q23" s="203"/>
      <c r="R23" s="203"/>
      <c r="S23" s="203"/>
      <c r="T23" s="203"/>
      <c r="U23" s="259"/>
    </row>
    <row r="24" spans="1:21" ht="12.75">
      <c r="A24" s="234"/>
      <c r="B24" s="224"/>
      <c r="C24" s="230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59"/>
      <c r="N24" s="203"/>
      <c r="O24" s="203"/>
      <c r="P24" s="203"/>
      <c r="Q24" s="203"/>
      <c r="R24" s="203"/>
      <c r="S24" s="203"/>
      <c r="T24" s="203"/>
      <c r="U24" s="259"/>
    </row>
    <row r="25" spans="1:21" ht="12.75">
      <c r="A25" s="234"/>
      <c r="B25" s="224"/>
      <c r="C25" s="230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59"/>
      <c r="N25" s="203"/>
      <c r="O25" s="203"/>
      <c r="P25" s="203"/>
      <c r="Q25" s="203"/>
      <c r="R25" s="203"/>
      <c r="S25" s="203"/>
      <c r="T25" s="203"/>
      <c r="U25" s="259"/>
    </row>
    <row r="26" spans="1:21" ht="12.75">
      <c r="A26" s="234"/>
      <c r="B26" s="224"/>
      <c r="C26" s="231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60"/>
      <c r="N26" s="204"/>
      <c r="O26" s="204"/>
      <c r="P26" s="204"/>
      <c r="Q26" s="204"/>
      <c r="R26" s="204"/>
      <c r="S26" s="204"/>
      <c r="T26" s="204"/>
      <c r="U26" s="260"/>
    </row>
    <row r="27" spans="1:21" ht="15" customHeight="1">
      <c r="A27" s="223" t="s">
        <v>131</v>
      </c>
      <c r="B27" s="287" t="s">
        <v>126</v>
      </c>
      <c r="C27" s="229" t="s">
        <v>82</v>
      </c>
      <c r="D27" s="22" t="s">
        <v>97</v>
      </c>
      <c r="E27" s="23">
        <f>E29+E30+E31+E32</f>
        <v>246000</v>
      </c>
      <c r="F27" s="23">
        <f aca="true" t="shared" si="3" ref="F27:L27">F29+F30+F31+F32</f>
        <v>57000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63000</v>
      </c>
      <c r="K27" s="23">
        <f t="shared" si="3"/>
        <v>63000</v>
      </c>
      <c r="L27" s="23">
        <f t="shared" si="3"/>
        <v>63000</v>
      </c>
      <c r="M27" s="258" t="s">
        <v>233</v>
      </c>
      <c r="N27" s="202">
        <v>1</v>
      </c>
      <c r="O27" s="202">
        <v>1</v>
      </c>
      <c r="P27" s="202">
        <v>1</v>
      </c>
      <c r="Q27" s="202">
        <v>1</v>
      </c>
      <c r="R27" s="202">
        <v>1</v>
      </c>
      <c r="S27" s="202">
        <v>1</v>
      </c>
      <c r="T27" s="202">
        <v>1</v>
      </c>
      <c r="U27" s="258" t="s">
        <v>231</v>
      </c>
    </row>
    <row r="28" spans="1:21" ht="16.5" customHeight="1">
      <c r="A28" s="223"/>
      <c r="B28" s="288"/>
      <c r="C28" s="230"/>
      <c r="D28" s="216" t="s">
        <v>117</v>
      </c>
      <c r="E28" s="217"/>
      <c r="F28" s="217"/>
      <c r="G28" s="217"/>
      <c r="H28" s="217"/>
      <c r="I28" s="217"/>
      <c r="J28" s="217"/>
      <c r="K28" s="217"/>
      <c r="L28" s="218"/>
      <c r="M28" s="259"/>
      <c r="N28" s="203"/>
      <c r="O28" s="203"/>
      <c r="P28" s="203"/>
      <c r="Q28" s="203"/>
      <c r="R28" s="203"/>
      <c r="S28" s="203"/>
      <c r="T28" s="203"/>
      <c r="U28" s="259"/>
    </row>
    <row r="29" spans="1:21" ht="12.75" customHeight="1">
      <c r="A29" s="223"/>
      <c r="B29" s="288"/>
      <c r="C29" s="230"/>
      <c r="D29" s="22" t="s">
        <v>95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59"/>
      <c r="N29" s="203"/>
      <c r="O29" s="203"/>
      <c r="P29" s="203"/>
      <c r="Q29" s="203"/>
      <c r="R29" s="203"/>
      <c r="S29" s="203"/>
      <c r="T29" s="203"/>
      <c r="U29" s="259"/>
    </row>
    <row r="30" spans="1:21" ht="12.75" customHeight="1">
      <c r="A30" s="223"/>
      <c r="B30" s="288"/>
      <c r="C30" s="230"/>
      <c r="D30" s="22" t="s">
        <v>93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59"/>
      <c r="N30" s="203"/>
      <c r="O30" s="203"/>
      <c r="P30" s="203"/>
      <c r="Q30" s="203"/>
      <c r="R30" s="203"/>
      <c r="S30" s="203"/>
      <c r="T30" s="203"/>
      <c r="U30" s="259"/>
    </row>
    <row r="31" spans="1:21" ht="12.75" customHeight="1">
      <c r="A31" s="223"/>
      <c r="B31" s="288"/>
      <c r="C31" s="230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59"/>
      <c r="N31" s="203"/>
      <c r="O31" s="203"/>
      <c r="P31" s="203"/>
      <c r="Q31" s="203"/>
      <c r="R31" s="203"/>
      <c r="S31" s="203"/>
      <c r="T31" s="203"/>
      <c r="U31" s="259"/>
    </row>
    <row r="32" spans="1:21" ht="12.75" customHeight="1">
      <c r="A32" s="223"/>
      <c r="B32" s="289"/>
      <c r="C32" s="231"/>
      <c r="D32" s="22" t="s">
        <v>96</v>
      </c>
      <c r="E32" s="23">
        <f>F32+G32+H32+I32+J32+K32+L32</f>
        <v>246000</v>
      </c>
      <c r="F32" s="23">
        <v>57000</v>
      </c>
      <c r="G32" s="23">
        <v>0</v>
      </c>
      <c r="H32" s="84">
        <v>0</v>
      </c>
      <c r="I32" s="84">
        <v>0</v>
      </c>
      <c r="J32" s="84">
        <v>63000</v>
      </c>
      <c r="K32" s="84">
        <v>63000</v>
      </c>
      <c r="L32" s="84">
        <v>63000</v>
      </c>
      <c r="M32" s="260"/>
      <c r="N32" s="204"/>
      <c r="O32" s="204"/>
      <c r="P32" s="204"/>
      <c r="Q32" s="204"/>
      <c r="R32" s="204"/>
      <c r="S32" s="204"/>
      <c r="T32" s="204"/>
      <c r="U32" s="260"/>
    </row>
    <row r="33" spans="1:21" ht="13.5" customHeight="1">
      <c r="A33" s="234"/>
      <c r="B33" s="264" t="s">
        <v>161</v>
      </c>
      <c r="C33" s="234"/>
      <c r="D33" s="102" t="s">
        <v>97</v>
      </c>
      <c r="E33" s="103">
        <f aca="true" t="shared" si="4" ref="E33:L33">E35+E36+E37+E38</f>
        <v>129554960.88</v>
      </c>
      <c r="F33" s="103">
        <f t="shared" si="4"/>
        <v>23456977</v>
      </c>
      <c r="G33" s="103">
        <f t="shared" si="4"/>
        <v>23253823.41</v>
      </c>
      <c r="H33" s="103">
        <f t="shared" si="4"/>
        <v>20404100.630000003</v>
      </c>
      <c r="I33" s="103">
        <f t="shared" si="4"/>
        <v>21261253.48</v>
      </c>
      <c r="J33" s="103">
        <f t="shared" si="4"/>
        <v>20530722.699999996</v>
      </c>
      <c r="K33" s="103">
        <f t="shared" si="4"/>
        <v>20585083.659999996</v>
      </c>
      <c r="L33" s="103">
        <f t="shared" si="4"/>
        <v>63000</v>
      </c>
      <c r="M33" s="236"/>
      <c r="N33" s="244"/>
      <c r="O33" s="244"/>
      <c r="P33" s="244"/>
      <c r="Q33" s="244"/>
      <c r="R33" s="244"/>
      <c r="S33" s="244"/>
      <c r="T33" s="244"/>
      <c r="U33" s="247"/>
    </row>
    <row r="34" spans="1:21" ht="12.75" customHeight="1">
      <c r="A34" s="234"/>
      <c r="B34" s="265"/>
      <c r="C34" s="234"/>
      <c r="D34" s="239" t="s">
        <v>117</v>
      </c>
      <c r="E34" s="240"/>
      <c r="F34" s="240"/>
      <c r="G34" s="240"/>
      <c r="H34" s="240"/>
      <c r="I34" s="240"/>
      <c r="J34" s="240"/>
      <c r="K34" s="240"/>
      <c r="L34" s="241"/>
      <c r="M34" s="237"/>
      <c r="N34" s="245"/>
      <c r="O34" s="245"/>
      <c r="P34" s="245"/>
      <c r="Q34" s="245"/>
      <c r="R34" s="245"/>
      <c r="S34" s="245"/>
      <c r="T34" s="245"/>
      <c r="U34" s="248"/>
    </row>
    <row r="35" spans="1:21" ht="13.5" customHeight="1">
      <c r="A35" s="234"/>
      <c r="B35" s="265"/>
      <c r="C35" s="234"/>
      <c r="D35" s="104" t="s">
        <v>95</v>
      </c>
      <c r="E35" s="103">
        <f>F35+G35+H35+I35+J35+K35+L35</f>
        <v>129308960.88</v>
      </c>
      <c r="F35" s="105">
        <f>F11+F17+F29</f>
        <v>23399977</v>
      </c>
      <c r="G35" s="105">
        <f aca="true" t="shared" si="5" ref="G35:L35">G11+G17+G29+G23</f>
        <v>23253823.41</v>
      </c>
      <c r="H35" s="105">
        <f t="shared" si="5"/>
        <v>20404100.630000003</v>
      </c>
      <c r="I35" s="105">
        <f t="shared" si="5"/>
        <v>21261253.48</v>
      </c>
      <c r="J35" s="105">
        <f>J11+J17+J29+J23</f>
        <v>20467722.699999996</v>
      </c>
      <c r="K35" s="105">
        <f t="shared" si="5"/>
        <v>20522083.659999996</v>
      </c>
      <c r="L35" s="105">
        <f t="shared" si="5"/>
        <v>0</v>
      </c>
      <c r="M35" s="237"/>
      <c r="N35" s="245"/>
      <c r="O35" s="245"/>
      <c r="P35" s="245"/>
      <c r="Q35" s="245"/>
      <c r="R35" s="245"/>
      <c r="S35" s="245"/>
      <c r="T35" s="245"/>
      <c r="U35" s="248"/>
    </row>
    <row r="36" spans="1:21" ht="13.5" customHeight="1">
      <c r="A36" s="234"/>
      <c r="B36" s="265"/>
      <c r="C36" s="234"/>
      <c r="D36" s="104" t="s">
        <v>93</v>
      </c>
      <c r="E36" s="103">
        <f>F36+G36+H36+I36+J36+K36+L36</f>
        <v>0</v>
      </c>
      <c r="F36" s="105">
        <f>F12+F18+F30</f>
        <v>0</v>
      </c>
      <c r="G36" s="105">
        <f aca="true" t="shared" si="6" ref="G36:L38">G12+G18+G30</f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37"/>
      <c r="N36" s="245"/>
      <c r="O36" s="245"/>
      <c r="P36" s="245"/>
      <c r="Q36" s="245"/>
      <c r="R36" s="245"/>
      <c r="S36" s="245"/>
      <c r="T36" s="245"/>
      <c r="U36" s="248"/>
    </row>
    <row r="37" spans="1:21" ht="13.5" customHeight="1">
      <c r="A37" s="234"/>
      <c r="B37" s="265"/>
      <c r="C37" s="234"/>
      <c r="D37" s="104" t="s">
        <v>94</v>
      </c>
      <c r="E37" s="103">
        <f>F37+G37+H37+I37+J37+K37+L37</f>
        <v>0</v>
      </c>
      <c r="F37" s="105">
        <f>F13+F19+F31</f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37"/>
      <c r="N37" s="245"/>
      <c r="O37" s="245"/>
      <c r="P37" s="245"/>
      <c r="Q37" s="245"/>
      <c r="R37" s="245"/>
      <c r="S37" s="245"/>
      <c r="T37" s="245"/>
      <c r="U37" s="248"/>
    </row>
    <row r="38" spans="1:21" ht="13.5" customHeight="1">
      <c r="A38" s="234"/>
      <c r="B38" s="266"/>
      <c r="C38" s="234"/>
      <c r="D38" s="104" t="s">
        <v>96</v>
      </c>
      <c r="E38" s="103">
        <f>F38+G38+H38+I38+J38+K38+L38</f>
        <v>246000</v>
      </c>
      <c r="F38" s="105">
        <f>F14+F20+F32</f>
        <v>57000</v>
      </c>
      <c r="G38" s="105">
        <f t="shared" si="6"/>
        <v>0</v>
      </c>
      <c r="H38" s="105">
        <f t="shared" si="6"/>
        <v>0</v>
      </c>
      <c r="I38" s="105">
        <f t="shared" si="6"/>
        <v>0</v>
      </c>
      <c r="J38" s="105">
        <f t="shared" si="6"/>
        <v>63000</v>
      </c>
      <c r="K38" s="105">
        <f t="shared" si="6"/>
        <v>63000</v>
      </c>
      <c r="L38" s="105">
        <f t="shared" si="6"/>
        <v>63000</v>
      </c>
      <c r="M38" s="238"/>
      <c r="N38" s="246"/>
      <c r="O38" s="246"/>
      <c r="P38" s="246"/>
      <c r="Q38" s="246"/>
      <c r="R38" s="246"/>
      <c r="S38" s="246"/>
      <c r="T38" s="246"/>
      <c r="U38" s="249"/>
    </row>
    <row r="39" spans="1:21" ht="13.5" customHeight="1">
      <c r="A39" s="234"/>
      <c r="B39" s="264" t="s">
        <v>234</v>
      </c>
      <c r="C39" s="234"/>
      <c r="D39" s="102" t="s">
        <v>97</v>
      </c>
      <c r="E39" s="103">
        <f aca="true" t="shared" si="7" ref="E39:L39">E41+E42+E43+E44</f>
        <v>129554960.88</v>
      </c>
      <c r="F39" s="103">
        <f t="shared" si="7"/>
        <v>23456977</v>
      </c>
      <c r="G39" s="103">
        <f t="shared" si="7"/>
        <v>23253823.41</v>
      </c>
      <c r="H39" s="103">
        <f t="shared" si="7"/>
        <v>20404100.630000003</v>
      </c>
      <c r="I39" s="103">
        <f t="shared" si="7"/>
        <v>21261253.48</v>
      </c>
      <c r="J39" s="103">
        <f t="shared" si="7"/>
        <v>20530722.699999996</v>
      </c>
      <c r="K39" s="103">
        <f t="shared" si="7"/>
        <v>20585083.659999996</v>
      </c>
      <c r="L39" s="103">
        <f t="shared" si="7"/>
        <v>63000</v>
      </c>
      <c r="M39" s="236"/>
      <c r="N39" s="244"/>
      <c r="O39" s="244"/>
      <c r="P39" s="244"/>
      <c r="Q39" s="244"/>
      <c r="R39" s="244"/>
      <c r="S39" s="244"/>
      <c r="T39" s="244"/>
      <c r="U39" s="247"/>
    </row>
    <row r="40" spans="1:21" ht="12.75" customHeight="1">
      <c r="A40" s="234"/>
      <c r="B40" s="265"/>
      <c r="C40" s="234"/>
      <c r="D40" s="239" t="s">
        <v>117</v>
      </c>
      <c r="E40" s="240"/>
      <c r="F40" s="240"/>
      <c r="G40" s="240"/>
      <c r="H40" s="240"/>
      <c r="I40" s="240"/>
      <c r="J40" s="240"/>
      <c r="K40" s="240"/>
      <c r="L40" s="241"/>
      <c r="M40" s="237"/>
      <c r="N40" s="245"/>
      <c r="O40" s="245"/>
      <c r="P40" s="245"/>
      <c r="Q40" s="245"/>
      <c r="R40" s="245"/>
      <c r="S40" s="245"/>
      <c r="T40" s="245"/>
      <c r="U40" s="248"/>
    </row>
    <row r="41" spans="1:21" ht="13.5" customHeight="1">
      <c r="A41" s="234"/>
      <c r="B41" s="265"/>
      <c r="C41" s="234"/>
      <c r="D41" s="104" t="s">
        <v>95</v>
      </c>
      <c r="E41" s="103">
        <f>F41+G41+H41+I41+J41+K41+L41</f>
        <v>129308960.88</v>
      </c>
      <c r="F41" s="105">
        <f>F35</f>
        <v>23399977</v>
      </c>
      <c r="G41" s="105">
        <f aca="true" t="shared" si="8" ref="G41:L44">G35</f>
        <v>23253823.41</v>
      </c>
      <c r="H41" s="105">
        <f t="shared" si="8"/>
        <v>20404100.630000003</v>
      </c>
      <c r="I41" s="105">
        <f t="shared" si="8"/>
        <v>21261253.48</v>
      </c>
      <c r="J41" s="105">
        <f t="shared" si="8"/>
        <v>20467722.699999996</v>
      </c>
      <c r="K41" s="105">
        <f t="shared" si="8"/>
        <v>20522083.659999996</v>
      </c>
      <c r="L41" s="105">
        <f t="shared" si="8"/>
        <v>0</v>
      </c>
      <c r="M41" s="237"/>
      <c r="N41" s="245"/>
      <c r="O41" s="245"/>
      <c r="P41" s="245"/>
      <c r="Q41" s="245"/>
      <c r="R41" s="245"/>
      <c r="S41" s="245"/>
      <c r="T41" s="245"/>
      <c r="U41" s="248"/>
    </row>
    <row r="42" spans="1:21" ht="13.5" customHeight="1">
      <c r="A42" s="234"/>
      <c r="B42" s="265"/>
      <c r="C42" s="234"/>
      <c r="D42" s="104" t="s">
        <v>93</v>
      </c>
      <c r="E42" s="103">
        <f>F42+G42+H42+I42+J42+K42+L42</f>
        <v>0</v>
      </c>
      <c r="F42" s="105">
        <f>F36</f>
        <v>0</v>
      </c>
      <c r="G42" s="105">
        <f aca="true" t="shared" si="9" ref="G42:H44">G36</f>
        <v>0</v>
      </c>
      <c r="H42" s="105">
        <f t="shared" si="9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237"/>
      <c r="N42" s="245"/>
      <c r="O42" s="245"/>
      <c r="P42" s="245"/>
      <c r="Q42" s="245"/>
      <c r="R42" s="245"/>
      <c r="S42" s="245"/>
      <c r="T42" s="245"/>
      <c r="U42" s="248"/>
    </row>
    <row r="43" spans="1:21" ht="13.5" customHeight="1">
      <c r="A43" s="234"/>
      <c r="B43" s="265"/>
      <c r="C43" s="234"/>
      <c r="D43" s="104" t="s">
        <v>94</v>
      </c>
      <c r="E43" s="103">
        <f>F43+G43+H43+I43+J43+K43+L43</f>
        <v>0</v>
      </c>
      <c r="F43" s="105">
        <f>F37</f>
        <v>0</v>
      </c>
      <c r="G43" s="105">
        <f t="shared" si="9"/>
        <v>0</v>
      </c>
      <c r="H43" s="105">
        <f t="shared" si="9"/>
        <v>0</v>
      </c>
      <c r="I43" s="105">
        <f t="shared" si="8"/>
        <v>0</v>
      </c>
      <c r="J43" s="105">
        <f t="shared" si="8"/>
        <v>0</v>
      </c>
      <c r="K43" s="105">
        <f t="shared" si="8"/>
        <v>0</v>
      </c>
      <c r="L43" s="105">
        <f t="shared" si="8"/>
        <v>0</v>
      </c>
      <c r="M43" s="237"/>
      <c r="N43" s="245"/>
      <c r="O43" s="245"/>
      <c r="P43" s="245"/>
      <c r="Q43" s="245"/>
      <c r="R43" s="245"/>
      <c r="S43" s="245"/>
      <c r="T43" s="245"/>
      <c r="U43" s="248"/>
    </row>
    <row r="44" spans="1:21" ht="13.5" customHeight="1">
      <c r="A44" s="234"/>
      <c r="B44" s="266"/>
      <c r="C44" s="234"/>
      <c r="D44" s="104" t="s">
        <v>96</v>
      </c>
      <c r="E44" s="103">
        <f>F44+G44+H44+I44+J44+K44+L44</f>
        <v>246000</v>
      </c>
      <c r="F44" s="105">
        <f>F38</f>
        <v>57000</v>
      </c>
      <c r="G44" s="105">
        <f t="shared" si="9"/>
        <v>0</v>
      </c>
      <c r="H44" s="105">
        <f t="shared" si="9"/>
        <v>0</v>
      </c>
      <c r="I44" s="105">
        <f t="shared" si="8"/>
        <v>0</v>
      </c>
      <c r="J44" s="105">
        <f t="shared" si="8"/>
        <v>63000</v>
      </c>
      <c r="K44" s="105">
        <f t="shared" si="8"/>
        <v>63000</v>
      </c>
      <c r="L44" s="105">
        <f t="shared" si="8"/>
        <v>63000</v>
      </c>
      <c r="M44" s="238"/>
      <c r="N44" s="246"/>
      <c r="O44" s="246"/>
      <c r="P44" s="246"/>
      <c r="Q44" s="246"/>
      <c r="R44" s="246"/>
      <c r="S44" s="246"/>
      <c r="T44" s="246"/>
      <c r="U44" s="249"/>
    </row>
    <row r="48" ht="12.75">
      <c r="G48" s="26"/>
    </row>
  </sheetData>
  <sheetProtection/>
  <mergeCells count="89">
    <mergeCell ref="O1:U1"/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2017-06-19T09:40:13Z</cp:lastPrinted>
  <dcterms:created xsi:type="dcterms:W3CDTF">2013-06-06T11:09:14Z</dcterms:created>
  <dcterms:modified xsi:type="dcterms:W3CDTF">2017-07-06T14:17:54Z</dcterms:modified>
  <cp:category/>
  <cp:version/>
  <cp:contentType/>
  <cp:contentStatus/>
</cp:coreProperties>
</file>