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55" tabRatio="905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  <sheet name="Лист1" sheetId="18" r:id="rId18"/>
  </sheets>
  <externalReferences>
    <externalReference r:id="rId21"/>
    <externalReference r:id="rId22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  <author>Чинарёва Светлана Игоревна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  <comment ref="J11" authorId="1">
      <text>
        <r>
          <rPr>
            <b/>
            <sz val="9"/>
            <rFont val="Tahoma"/>
            <family val="2"/>
          </rPr>
          <t>Чинарёва Светлана Игоревна:</t>
        </r>
        <r>
          <rPr>
            <sz val="9"/>
            <rFont val="Tahoma"/>
            <family val="2"/>
          </rPr>
          <t xml:space="preserve">
софинансирование ФОТ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<sst xmlns="http://schemas.openxmlformats.org/spreadsheetml/2006/main" count="1317" uniqueCount="292">
  <si>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</si>
  <si>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</si>
  <si>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</si>
  <si>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</si>
  <si>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</si>
  <si>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</si>
  <si>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</si>
  <si>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</si>
  <si>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</si>
  <si>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</si>
  <si>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</si>
  <si>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</si>
  <si>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</si>
  <si>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</si>
  <si>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</si>
  <si>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</si>
  <si>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</si>
  <si>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</si>
  <si>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</si>
  <si>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</si>
  <si>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</si>
  <si>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</si>
  <si>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</si>
  <si>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</si>
  <si>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</si>
  <si>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</si>
  <si>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</si>
  <si>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</si>
  <si>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</si>
  <si>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</si>
  <si>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</si>
  <si>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</si>
  <si>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</si>
  <si>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</si>
  <si>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</si>
  <si>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</si>
  <si>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</si>
  <si>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</si>
  <si>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</si>
  <si>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</si>
  <si>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</si>
  <si>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</si>
  <si>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</si>
  <si>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</si>
  <si>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</si>
  <si>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</si>
  <si>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</si>
  <si>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</si>
  <si>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</si>
  <si>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</si>
  <si>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</si>
  <si>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</si>
  <si>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</si>
  <si>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</si>
  <si>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</si>
  <si>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</si>
  <si>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</si>
  <si>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</si>
  <si>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</si>
  <si>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</si>
  <si>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</si>
  <si>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</si>
  <si>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</si>
  <si>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</si>
  <si>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</si>
  <si>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</si>
  <si>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</si>
  <si>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</si>
  <si>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</si>
  <si>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</si>
  <si>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</si>
  <si>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</si>
  <si>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</si>
  <si>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</si>
  <si>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</si>
  <si>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</si>
  <si>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</si>
  <si>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</si>
  <si>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</si>
  <si>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</si>
  <si>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</si>
  <si>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</si>
  <si>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</si>
  <si>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</si>
  <si>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</si>
  <si>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</si>
  <si>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</si>
  <si>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</si>
  <si>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</si>
  <si>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</si>
  <si>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</si>
  <si>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</si>
  <si>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</si>
  <si>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</si>
  <si>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</si>
  <si>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</si>
  <si>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</si>
  <si>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</si>
  <si>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</si>
  <si>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</si>
  <si>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</si>
  <si>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</si>
  <si>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</si>
  <si>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</si>
  <si>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</si>
  <si>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</si>
  <si>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</si>
  <si>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</si>
  <si>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</si>
  <si>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</si>
  <si>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</si>
  <si>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</si>
  <si>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</si>
  <si>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</si>
  <si>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</si>
  <si>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</si>
  <si>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</si>
  <si>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</si>
  <si>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</si>
  <si>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</si>
  <si>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</si>
  <si>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</si>
  <si>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</si>
  <si>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</si>
  <si>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</si>
  <si>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</si>
  <si>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</si>
  <si>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</si>
  <si>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</si>
  <si>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</si>
  <si>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</si>
  <si>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</si>
  <si>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</si>
  <si>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</si>
  <si>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</si>
  <si>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</si>
  <si>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</si>
  <si>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</si>
  <si>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</si>
  <si>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</si>
  <si>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</si>
  <si>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</si>
  <si>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</si>
  <si>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</si>
  <si>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</si>
  <si>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</si>
  <si>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</si>
  <si>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</si>
  <si>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</si>
  <si>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</si>
  <si>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</si>
  <si>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</si>
  <si>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</si>
  <si>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</si>
  <si>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</si>
  <si>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</si>
  <si>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</si>
  <si>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</si>
  <si>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</si>
  <si>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</si>
  <si>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</si>
  <si>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</si>
  <si>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</si>
  <si>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</si>
  <si>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</si>
  <si>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</si>
  <si>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</si>
  <si>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</si>
  <si>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</si>
  <si>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</si>
  <si>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</si>
  <si>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</si>
  <si>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</si>
  <si>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</si>
  <si>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</si>
  <si>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</si>
  <si>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</si>
  <si>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</si>
  <si>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</si>
  <si>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</si>
  <si>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</si>
  <si>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</si>
  <si>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</si>
  <si>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</si>
  <si>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</si>
  <si>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</si>
  <si>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</si>
  <si>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</si>
  <si>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</si>
  <si>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</si>
  <si>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</si>
  <si>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</si>
  <si>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</si>
  <si>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</si>
  <si>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</si>
  <si>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</si>
  <si>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</si>
  <si>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</si>
  <si>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</si>
  <si>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</si>
  <si>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</si>
  <si>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</si>
  <si>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</si>
  <si>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</si>
  <si>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</si>
  <si>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</si>
  <si>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</si>
  <si>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</si>
  <si>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</si>
  <si>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</si>
  <si>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</si>
  <si>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</si>
  <si>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</si>
  <si>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</si>
  <si>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</si>
  <si>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</si>
  <si>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</si>
  <si>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</si>
  <si>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</si>
  <si>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</si>
  <si>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</si>
  <si>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</si>
  <si>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</si>
  <si>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</si>
  <si>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</si>
  <si>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</si>
  <si>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</si>
  <si>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</si>
  <si>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</si>
  <si>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</si>
  <si>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</si>
  <si>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</si>
  <si>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</si>
  <si>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</si>
  <si>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</si>
  <si>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</si>
  <si>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</si>
  <si>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</si>
  <si>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</si>
  <si>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</si>
  <si>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</si>
  <si>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</si>
  <si>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</si>
  <si>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</si>
  <si>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</si>
  <si>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</si>
  <si>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</si>
  <si>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</si>
  <si>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</si>
  <si>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</si>
  <si>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</si>
  <si>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</si>
  <si>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</si>
  <si>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</si>
  <si>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</si>
  <si>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</si>
  <si>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</si>
  <si>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</si>
  <si>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</si>
  <si>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</si>
  <si>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</si>
  <si>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</si>
  <si>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</si>
  <si>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</si>
  <si>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Доля физических лиц, получивших  социальные гарантии, от общего количества физических лиц, имеющих право на социальные гарантии в соответствующем финансовом году,(%)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</si>
  <si>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</si>
  <si>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</si>
  <si>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</si>
  <si>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</si>
  <si>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благоустройства территории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</si>
  <si>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</si>
  <si>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1.6.</t>
  </si>
  <si>
    <t>Детский сад в г. Полярный ЗАТО Александровск</t>
  </si>
  <si>
    <t>Количество объектов</t>
  </si>
  <si>
    <t>Администрация ЗАТО Александровск</t>
  </si>
  <si>
    <t>Приложение № 1
к постановлению администрации
ЗАТО Александровск
от "15" ноября 2018  № 2129</t>
  </si>
  <si>
    <t xml:space="preserve">Приложение № 2
к постановлению администрации
ЗАТО Александровск
от "15" ноября 2018  № 2129                      </t>
  </si>
  <si>
    <t xml:space="preserve">Приложение № 3
к постановлению администрации
ЗАТО Александровск
от "15" ноября 2018  № 2129  </t>
  </si>
  <si>
    <t>Приложение № 4
к постановлению администрации
ЗАТО Александровск
от "15" ноября 2018  № 2129</t>
  </si>
  <si>
    <t>Приложение № 5
к постановлению администрации
ЗАТО Александровск
от "15" ноября 2018  № 2129                     Таблица №3 (2)</t>
  </si>
  <si>
    <t xml:space="preserve">Приложение № 6
к постановлению администрации
ЗАТО Александровск
от "15" ноября 2018  № 2129  </t>
  </si>
  <si>
    <t>Приложение № 7
к постановлению администрации
ЗАТО Александровск
от "15" ноября 2018  № 2129                                                              Таблица №3 (3)</t>
  </si>
  <si>
    <t xml:space="preserve">Приложение № 8
к постановлению администрации
ЗАТО Александровск
от "15" ноября 2018  № 2129  </t>
  </si>
  <si>
    <t xml:space="preserve">Приложение № 9
к постановлению администрации
ЗАТО Александровск
от "15" ноября 2018  № 2129  </t>
  </si>
  <si>
    <t xml:space="preserve">Приложение № 10
к постановлению администрации
ЗАТО Александровск
от "15" ноября 2018  № 2129  </t>
  </si>
  <si>
    <t xml:space="preserve">Приложение № 11
к постановлению администрации
ЗАТО Александровск
от "15" ноября 2018  № 2129  </t>
  </si>
  <si>
    <t xml:space="preserve">Приложение № 12
к постановлению администрации
ЗАТО Александровск
от "15" ноября 2018  № 2129  </t>
  </si>
  <si>
    <t xml:space="preserve">Приложение № 13
к постановлению администрации
ЗАТО Александровск
от "15" ноября 2018  № 2129  </t>
  </si>
  <si>
    <t xml:space="preserve">Приложение № 14
к постановлению администрации
ЗАТО Александровск
от "15" ноября 2018  № 2129  </t>
  </si>
  <si>
    <t xml:space="preserve">Приложение № 15
к постановлению администрации
ЗАТО Александровск
от "15" ноября 2018  № 2129  </t>
  </si>
  <si>
    <t xml:space="preserve">Приложение № 16
к постановлению администрации
ЗАТО Александровск
от "15" ноября 2018  № 2129  </t>
  </si>
  <si>
    <t xml:space="preserve">Приложение № 17
к постановлению администрации
ЗАТО Александровск
от "15" ноября 2018  № 2129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</si>
</sst>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4" fontId="58" fillId="18" borderId="1">
      <alignment horizontal="right" vertical="top" shrinkToFit="1"/>
      <protection/>
    </xf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9" fillId="24" borderId="2" applyNumberFormat="0" applyAlignment="0" applyProtection="0"/>
    <xf numFmtId="0" fontId="60" fillId="25" borderId="3" applyNumberFormat="0" applyAlignment="0" applyProtection="0"/>
    <xf numFmtId="0" fontId="61" fillId="25" borderId="2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4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6" borderId="8" applyNumberFormat="0" applyAlignment="0" applyProtection="0"/>
    <xf numFmtId="0" fontId="6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9" borderId="9" applyNumberFormat="0" applyFont="0" applyAlignment="0" applyProtection="0"/>
    <xf numFmtId="9" fontId="1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0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71" fontId="2" fillId="0" borderId="0" xfId="65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5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1" fontId="8" fillId="0" borderId="11" xfId="67" applyFont="1" applyFill="1" applyBorder="1" applyAlignment="1" applyProtection="1">
      <alignment horizontal="left" vertical="center"/>
      <protection/>
    </xf>
    <xf numFmtId="171" fontId="2" fillId="0" borderId="11" xfId="65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" fontId="27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5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7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1" fontId="10" fillId="0" borderId="0" xfId="67" applyFont="1" applyAlignment="1">
      <alignment vertical="center"/>
    </xf>
    <xf numFmtId="171" fontId="2" fillId="0" borderId="0" xfId="67" applyFont="1" applyFill="1" applyAlignment="1">
      <alignment vertical="center"/>
    </xf>
    <xf numFmtId="4" fontId="63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5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71" fontId="2" fillId="0" borderId="11" xfId="65" applyFont="1" applyFill="1" applyBorder="1" applyAlignment="1">
      <alignment horizontal="center" vertical="center" wrapText="1"/>
    </xf>
    <xf numFmtId="49" fontId="72" fillId="0" borderId="0" xfId="0" applyNumberFormat="1" applyFont="1" applyFill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171" fontId="10" fillId="0" borderId="11" xfId="65" applyFont="1" applyFill="1" applyBorder="1" applyAlignment="1">
      <alignment vertical="center" wrapText="1"/>
    </xf>
    <xf numFmtId="178" fontId="10" fillId="0" borderId="11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1" xfId="67" applyFont="1" applyFill="1" applyBorder="1" applyAlignment="1">
      <alignment vertical="center"/>
    </xf>
    <xf numFmtId="171" fontId="0" fillId="0" borderId="0" xfId="65" applyFont="1" applyFill="1" applyAlignment="1">
      <alignment/>
    </xf>
    <xf numFmtId="171" fontId="0" fillId="0" borderId="0" xfId="65" applyFont="1" applyFill="1" applyAlignment="1">
      <alignment/>
    </xf>
    <xf numFmtId="4" fontId="8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1" fontId="0" fillId="0" borderId="0" xfId="65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1" fontId="8" fillId="0" borderId="0" xfId="67" applyFont="1" applyFill="1" applyAlignment="1">
      <alignment vertical="center"/>
    </xf>
    <xf numFmtId="171" fontId="0" fillId="0" borderId="0" xfId="65" applyFont="1" applyFill="1" applyAlignment="1">
      <alignment/>
    </xf>
    <xf numFmtId="4" fontId="8" fillId="0" borderId="19" xfId="0" applyNumberFormat="1" applyFont="1" applyFill="1" applyBorder="1" applyAlignment="1">
      <alignment horizontal="right" vertical="top" wrapText="1"/>
    </xf>
    <xf numFmtId="4" fontId="8" fillId="0" borderId="2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Alignment="1">
      <alignment vertical="center"/>
    </xf>
    <xf numFmtId="171" fontId="10" fillId="0" borderId="0" xfId="65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71" fontId="0" fillId="0" borderId="0" xfId="65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4" fontId="74" fillId="0" borderId="0" xfId="0" applyNumberFormat="1" applyFont="1" applyFill="1" applyAlignment="1">
      <alignment vertical="center"/>
    </xf>
    <xf numFmtId="171" fontId="0" fillId="0" borderId="0" xfId="65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35" fillId="0" borderId="0" xfId="0" applyFont="1" applyFill="1" applyAlignment="1">
      <alignment/>
    </xf>
    <xf numFmtId="171" fontId="35" fillId="0" borderId="0" xfId="65" applyFont="1" applyFill="1" applyAlignment="1">
      <alignment/>
    </xf>
    <xf numFmtId="171" fontId="35" fillId="0" borderId="0" xfId="65" applyFont="1" applyFill="1" applyAlignment="1">
      <alignment/>
    </xf>
    <xf numFmtId="171" fontId="35" fillId="0" borderId="0" xfId="0" applyNumberFormat="1" applyFont="1" applyFill="1" applyAlignment="1">
      <alignment/>
    </xf>
    <xf numFmtId="4" fontId="8" fillId="31" borderId="11" xfId="0" applyNumberFormat="1" applyFont="1" applyFill="1" applyBorder="1" applyAlignment="1">
      <alignment vertical="center"/>
    </xf>
    <xf numFmtId="171" fontId="2" fillId="31" borderId="11" xfId="65" applyFont="1" applyFill="1" applyBorder="1" applyAlignment="1">
      <alignment vertical="center"/>
    </xf>
    <xf numFmtId="0" fontId="2" fillId="31" borderId="11" xfId="0" applyFont="1" applyFill="1" applyBorder="1" applyAlignment="1">
      <alignment vertical="center"/>
    </xf>
    <xf numFmtId="0" fontId="0" fillId="31" borderId="0" xfId="0" applyFill="1" applyAlignment="1">
      <alignment/>
    </xf>
    <xf numFmtId="0" fontId="2" fillId="31" borderId="0" xfId="0" applyFont="1" applyFill="1" applyAlignment="1">
      <alignment vertical="center"/>
    </xf>
    <xf numFmtId="49" fontId="2" fillId="31" borderId="11" xfId="0" applyNumberFormat="1" applyFont="1" applyFill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 wrapText="1"/>
    </xf>
    <xf numFmtId="4" fontId="12" fillId="31" borderId="11" xfId="0" applyNumberFormat="1" applyFont="1" applyFill="1" applyBorder="1" applyAlignment="1">
      <alignment vertical="center"/>
    </xf>
    <xf numFmtId="4" fontId="13" fillId="31" borderId="11" xfId="0" applyNumberFormat="1" applyFont="1" applyFill="1" applyBorder="1" applyAlignment="1">
      <alignment vertical="center"/>
    </xf>
    <xf numFmtId="4" fontId="2" fillId="31" borderId="11" xfId="0" applyNumberFormat="1" applyFont="1" applyFill="1" applyBorder="1" applyAlignment="1">
      <alignment vertical="center"/>
    </xf>
    <xf numFmtId="0" fontId="2" fillId="31" borderId="0" xfId="0" applyFont="1" applyFill="1" applyAlignment="1">
      <alignment horizontal="center" vertical="center"/>
    </xf>
    <xf numFmtId="4" fontId="35" fillId="0" borderId="0" xfId="0" applyNumberFormat="1" applyFont="1" applyFill="1" applyAlignment="1">
      <alignment/>
    </xf>
    <xf numFmtId="4" fontId="36" fillId="0" borderId="1" xfId="33" applyNumberFormat="1" applyFont="1" applyFill="1" applyProtection="1">
      <alignment horizontal="right" vertical="top" shrinkToFit="1"/>
      <protection/>
    </xf>
    <xf numFmtId="4" fontId="37" fillId="0" borderId="11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75" fillId="0" borderId="0" xfId="0" applyNumberFormat="1" applyFont="1" applyFill="1" applyAlignment="1">
      <alignment horizontal="right" vertical="center" wrapText="1"/>
    </xf>
    <xf numFmtId="0" fontId="7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2" fontId="13" fillId="0" borderId="21" xfId="0" applyNumberFormat="1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 vertical="center" wrapText="1"/>
    </xf>
    <xf numFmtId="2" fontId="13" fillId="0" borderId="23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2" fontId="21" fillId="0" borderId="21" xfId="0" applyNumberFormat="1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left" vertical="center" wrapText="1"/>
    </xf>
    <xf numFmtId="2" fontId="21" fillId="0" borderId="23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3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vertical="center" wrapText="1"/>
    </xf>
    <xf numFmtId="2" fontId="21" fillId="0" borderId="2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49" fontId="75" fillId="0" borderId="0" xfId="0" applyNumberFormat="1" applyFont="1" applyAlignment="1">
      <alignment horizontal="right" vertical="center" wrapText="1"/>
    </xf>
    <xf numFmtId="0" fontId="73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2" fontId="8" fillId="31" borderId="11" xfId="0" applyNumberFormat="1" applyFont="1" applyFill="1" applyBorder="1" applyAlignment="1">
      <alignment horizontal="center" vertical="center" wrapText="1"/>
    </xf>
    <xf numFmtId="0" fontId="0" fillId="31" borderId="21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23" xfId="0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16" xfId="0" applyNumberFormat="1" applyFont="1" applyFill="1" applyBorder="1" applyAlignment="1">
      <alignment horizontal="center" vertical="center"/>
    </xf>
    <xf numFmtId="2" fontId="8" fillId="31" borderId="2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1"/>
  <sheetViews>
    <sheetView zoomScaleSheetLayoutView="115" workbookViewId="0" topLeftCell="A1">
      <selection activeCell="G1" sqref="G1:I1"/>
    </sheetView>
  </sheetViews>
  <sheetFormatPr defaultColWidth="9.140625" defaultRowHeight="15"/>
  <cols>
    <col min="1" max="1" width="35.421875" style="91" customWidth="1"/>
    <col min="2" max="2" width="19.421875" style="91" customWidth="1"/>
    <col min="3" max="3" width="17.8515625" style="91" customWidth="1"/>
    <col min="4" max="4" width="18.00390625" style="91" customWidth="1"/>
    <col min="5" max="5" width="19.28125" style="91" customWidth="1"/>
    <col min="6" max="6" width="18.140625" style="91" customWidth="1"/>
    <col min="7" max="7" width="19.140625" style="91" customWidth="1"/>
    <col min="8" max="8" width="18.28125" style="91" bestFit="1" customWidth="1"/>
    <col min="9" max="9" width="18.140625" style="91" customWidth="1"/>
    <col min="10" max="10" width="19.00390625" style="91" customWidth="1"/>
    <col min="11" max="11" width="22.00390625" style="91" customWidth="1"/>
    <col min="12" max="12" width="21.28125" style="91" customWidth="1"/>
    <col min="13" max="13" width="10.00390625" style="91" bestFit="1" customWidth="1"/>
    <col min="14" max="16384" width="9.140625" style="91" customWidth="1"/>
  </cols>
  <sheetData>
    <row r="1" spans="7:10" ht="79.5" customHeight="1">
      <c r="G1" s="204" t="s">
        <v>275</v>
      </c>
      <c r="H1" s="205"/>
      <c r="I1" s="205"/>
      <c r="J1" s="127"/>
    </row>
    <row r="2" spans="2:9" ht="18.75">
      <c r="B2" s="168"/>
      <c r="E2" s="98"/>
      <c r="F2" s="168"/>
      <c r="G2" s="150"/>
      <c r="H2" s="130" t="s">
        <v>258</v>
      </c>
      <c r="I2" s="112"/>
    </row>
    <row r="3" spans="1:9" ht="30" customHeight="1">
      <c r="A3" s="206" t="s">
        <v>56</v>
      </c>
      <c r="B3" s="206"/>
      <c r="C3" s="206"/>
      <c r="D3" s="206"/>
      <c r="E3" s="206"/>
      <c r="F3" s="206"/>
      <c r="G3" s="206"/>
      <c r="H3" s="206"/>
      <c r="I3" s="206"/>
    </row>
    <row r="4" spans="1:9" ht="16.5" customHeight="1">
      <c r="A4" s="207" t="s">
        <v>99</v>
      </c>
      <c r="B4" s="209" t="s">
        <v>100</v>
      </c>
      <c r="C4" s="211" t="s">
        <v>101</v>
      </c>
      <c r="D4" s="211"/>
      <c r="E4" s="211"/>
      <c r="F4" s="211"/>
      <c r="G4" s="211"/>
      <c r="H4" s="211"/>
      <c r="I4" s="211"/>
    </row>
    <row r="5" spans="1:10" ht="16.5" customHeight="1">
      <c r="A5" s="208"/>
      <c r="B5" s="210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3">
        <v>2020</v>
      </c>
      <c r="J5" s="159"/>
    </row>
    <row r="6" spans="1:10" ht="19.5" customHeight="1">
      <c r="A6" s="3">
        <v>1</v>
      </c>
      <c r="B6" s="92">
        <v>2</v>
      </c>
      <c r="C6" s="93">
        <v>3</v>
      </c>
      <c r="D6" s="93">
        <v>4</v>
      </c>
      <c r="E6" s="93">
        <v>5</v>
      </c>
      <c r="F6" s="93"/>
      <c r="G6" s="93"/>
      <c r="H6" s="93"/>
      <c r="I6" s="3"/>
      <c r="J6" s="117"/>
    </row>
    <row r="7" spans="1:10" ht="16.5" customHeight="1">
      <c r="A7" s="84" t="s">
        <v>72</v>
      </c>
      <c r="B7" s="116">
        <f>B9+B10+B11+B12</f>
        <v>11309612204.97</v>
      </c>
      <c r="C7" s="116">
        <f>C14+C21+C28</f>
        <v>1694513067.23</v>
      </c>
      <c r="D7" s="116">
        <f aca="true" t="shared" si="0" ref="D7:I7">D14+D21+D28</f>
        <v>1602512422.8600001</v>
      </c>
      <c r="E7" s="116">
        <f t="shared" si="0"/>
        <v>1481484584.7900002</v>
      </c>
      <c r="F7" s="116">
        <f t="shared" si="0"/>
        <v>1522712704.1599998</v>
      </c>
      <c r="G7" s="116">
        <f>G14+G21+G28</f>
        <v>1698781051.1500003</v>
      </c>
      <c r="H7" s="116">
        <f t="shared" si="0"/>
        <v>1658437974.7700002</v>
      </c>
      <c r="I7" s="116">
        <f t="shared" si="0"/>
        <v>1651170400.01</v>
      </c>
      <c r="J7" s="164"/>
    </row>
    <row r="8" spans="1:11" ht="16.5" customHeight="1">
      <c r="A8" s="198" t="s">
        <v>102</v>
      </c>
      <c r="B8" s="199"/>
      <c r="C8" s="199"/>
      <c r="D8" s="199"/>
      <c r="E8" s="199"/>
      <c r="F8" s="199"/>
      <c r="G8" s="199"/>
      <c r="H8" s="199"/>
      <c r="I8" s="200"/>
      <c r="J8" s="118"/>
      <c r="K8" s="119"/>
    </row>
    <row r="9" spans="1:13" ht="16.5" customHeight="1">
      <c r="A9" s="86" t="s">
        <v>103</v>
      </c>
      <c r="B9" s="120">
        <f>B16+B23+B30</f>
        <v>4639395333.75</v>
      </c>
      <c r="C9" s="120">
        <f aca="true" t="shared" si="1" ref="C9:I9">C16+C23</f>
        <v>781992303.05</v>
      </c>
      <c r="D9" s="120">
        <f t="shared" si="1"/>
        <v>731212811.05</v>
      </c>
      <c r="E9" s="120">
        <f t="shared" si="1"/>
        <v>643396561.6400001</v>
      </c>
      <c r="F9" s="120">
        <f t="shared" si="1"/>
        <v>627843705.6199999</v>
      </c>
      <c r="G9" s="120">
        <f>G16+G23+G30</f>
        <v>665389836.1800002</v>
      </c>
      <c r="H9" s="120">
        <f aca="true" t="shared" si="2" ref="G9:H11">H16+H23+H30</f>
        <v>593337788.0200001</v>
      </c>
      <c r="I9" s="120">
        <f t="shared" si="1"/>
        <v>596222328.1899999</v>
      </c>
      <c r="J9" s="96"/>
      <c r="K9" s="96"/>
      <c r="L9" s="96"/>
      <c r="M9" s="96"/>
    </row>
    <row r="10" spans="1:12" ht="16.5" customHeight="1">
      <c r="A10" s="86" t="s">
        <v>104</v>
      </c>
      <c r="B10" s="120">
        <f>B17+B24+B31</f>
        <v>5563186666.769999</v>
      </c>
      <c r="C10" s="120">
        <f>C17+C24</f>
        <v>654944860</v>
      </c>
      <c r="D10" s="120">
        <f>D17+D24</f>
        <v>694040208</v>
      </c>
      <c r="E10" s="120">
        <f>E17+E24</f>
        <v>724568456</v>
      </c>
      <c r="F10" s="120">
        <f>F17+F24</f>
        <v>770408830.5</v>
      </c>
      <c r="G10" s="120">
        <f t="shared" si="2"/>
        <v>880773427.8800001</v>
      </c>
      <c r="H10" s="120">
        <f t="shared" si="2"/>
        <v>912464199.6600001</v>
      </c>
      <c r="I10" s="120">
        <f>I17+I24+I31</f>
        <v>925986684.73</v>
      </c>
      <c r="J10" s="96"/>
      <c r="K10" s="96"/>
      <c r="L10" s="96"/>
    </row>
    <row r="11" spans="1:12" ht="16.5" customHeight="1">
      <c r="A11" s="86" t="s">
        <v>105</v>
      </c>
      <c r="B11" s="120">
        <f>B18+B25+B32</f>
        <v>269901884.18</v>
      </c>
      <c r="C11" s="120">
        <f aca="true" t="shared" si="3" ref="C11:I11">C18+C25</f>
        <v>153856484.18</v>
      </c>
      <c r="D11" s="120">
        <f t="shared" si="3"/>
        <v>68714400</v>
      </c>
      <c r="E11" s="120">
        <f t="shared" si="3"/>
        <v>0</v>
      </c>
      <c r="F11" s="120">
        <f t="shared" si="3"/>
        <v>0</v>
      </c>
      <c r="G11" s="120">
        <f t="shared" si="2"/>
        <v>23656400</v>
      </c>
      <c r="H11" s="120">
        <f t="shared" si="2"/>
        <v>23674600</v>
      </c>
      <c r="I11" s="120">
        <f t="shared" si="3"/>
        <v>0</v>
      </c>
      <c r="J11" s="96"/>
      <c r="K11" s="96"/>
      <c r="L11" s="96"/>
    </row>
    <row r="12" spans="1:9" ht="16.5" customHeight="1">
      <c r="A12" s="86" t="s">
        <v>106</v>
      </c>
      <c r="B12" s="120">
        <f>B19+B26</f>
        <v>837128320.27</v>
      </c>
      <c r="C12" s="120">
        <f aca="true" t="shared" si="4" ref="C12:I12">C19+C26</f>
        <v>103719420</v>
      </c>
      <c r="D12" s="120">
        <f t="shared" si="4"/>
        <v>108545003.81000002</v>
      </c>
      <c r="E12" s="120">
        <f t="shared" si="4"/>
        <v>113519567.15</v>
      </c>
      <c r="F12" s="120">
        <f t="shared" si="4"/>
        <v>124460168.04</v>
      </c>
      <c r="G12" s="120">
        <f>G19</f>
        <v>128961387.09</v>
      </c>
      <c r="H12" s="120">
        <f t="shared" si="4"/>
        <v>128961387.09</v>
      </c>
      <c r="I12" s="120">
        <f t="shared" si="4"/>
        <v>128961387.09</v>
      </c>
    </row>
    <row r="13" spans="1:9" ht="39.75" customHeight="1">
      <c r="A13" s="201" t="s">
        <v>107</v>
      </c>
      <c r="B13" s="202"/>
      <c r="C13" s="202"/>
      <c r="D13" s="202"/>
      <c r="E13" s="202"/>
      <c r="F13" s="202"/>
      <c r="G13" s="202"/>
      <c r="H13" s="202"/>
      <c r="I13" s="203"/>
    </row>
    <row r="14" spans="1:12" ht="26.25">
      <c r="A14" s="94" t="s">
        <v>114</v>
      </c>
      <c r="B14" s="85">
        <f>B16+B17+B18+B19</f>
        <v>10570768502.55</v>
      </c>
      <c r="C14" s="85">
        <f aca="true" t="shared" si="5" ref="C14:I14">SUM(C16:C19)</f>
        <v>1353705564.48</v>
      </c>
      <c r="D14" s="85">
        <f t="shared" si="5"/>
        <v>1366118576.67</v>
      </c>
      <c r="E14" s="85">
        <f t="shared" si="5"/>
        <v>1413596645.0400002</v>
      </c>
      <c r="F14" s="85">
        <f t="shared" si="5"/>
        <v>1521675290.4299998</v>
      </c>
      <c r="G14" s="85">
        <f t="shared" si="5"/>
        <v>1665373951.1500003</v>
      </c>
      <c r="H14" s="85">
        <f t="shared" si="5"/>
        <v>1599128074.7700002</v>
      </c>
      <c r="I14" s="85">
        <f t="shared" si="5"/>
        <v>1651170400.01</v>
      </c>
      <c r="J14" s="96"/>
      <c r="K14" s="164"/>
      <c r="L14" s="96"/>
    </row>
    <row r="15" spans="1:12" ht="16.5" customHeight="1">
      <c r="A15" s="198" t="s">
        <v>102</v>
      </c>
      <c r="B15" s="199"/>
      <c r="C15" s="199"/>
      <c r="D15" s="199"/>
      <c r="E15" s="199"/>
      <c r="F15" s="199"/>
      <c r="G15" s="199"/>
      <c r="H15" s="199"/>
      <c r="I15" s="200"/>
      <c r="J15" s="96"/>
      <c r="K15" s="164"/>
      <c r="L15" s="96"/>
    </row>
    <row r="16" spans="1:12" ht="16.5" customHeight="1">
      <c r="A16" s="86" t="s">
        <v>103</v>
      </c>
      <c r="B16" s="23">
        <f>'таб 2(1)'!B17+'таб 2(2)'!B16+'таб 2(3)'!B17+'таб 2(4)'!B17+'таб 2(5)'!B17+'таб 2(6)'!B17+'таб 2(7)'!B17+'таб 2(8)'!B17</f>
        <v>4233214029.2400002</v>
      </c>
      <c r="C16" s="23">
        <f>'таб 2(1)'!C17+'таб 2(2)'!C16+'таб 2(3)'!C17+'таб 2(4)'!C17+'таб 2(5)'!C17+'таб 2(6)'!C17+'таб 2(7)'!C17+'таб 2(8)'!C17</f>
        <v>595041284.48</v>
      </c>
      <c r="D16" s="23">
        <f>'таб 2(1)'!D17+'таб 2(2)'!D16+'таб 2(3)'!D17+'таб 2(4)'!D17+'таб 2(5)'!D17+'таб 2(6)'!D17+'таб 2(7)'!D17+'таб 2(8)'!D17</f>
        <v>578533364.86</v>
      </c>
      <c r="E16" s="23">
        <f>'таб 2(1)'!E17+'таб 2(2)'!E16+'таб 2(3)'!E17+'таб 2(4)'!E17+'таб 2(5)'!E17+'таб 2(6)'!E17+'таб 2(7)'!E17+'таб 2(8)'!E17</f>
        <v>590508621.8900001</v>
      </c>
      <c r="F16" s="23">
        <f>'таб 2(1)'!F17+'таб 2(2)'!F16+'таб 2(3)'!F17+'таб 2(4)'!F17+'таб 2(5)'!F17+'таб 2(6)'!F17+'таб 2(7)'!F17+'таб 2(8)'!F17</f>
        <v>627580805.6199999</v>
      </c>
      <c r="G16" s="193">
        <f>'таб 2(1)'!G17+'таб 2(2)'!G16+'таб 2(3)'!G17+'таб 2(4)'!G17+'таб 2(5)'!G17+'таб 2(6)'!G17+'таб 2(7)'!G17+'таб 2(8)'!G17</f>
        <v>662489836.1800002</v>
      </c>
      <c r="H16" s="23">
        <f>'таб 2(1)'!H17+'таб 2(2)'!H16+'таб 2(3)'!H17+'таб 2(4)'!H17+'таб 2(5)'!H17+'таб 2(6)'!H17+'таб 2(7)'!H17+'таб 2(8)'!H17</f>
        <v>582837788.0200001</v>
      </c>
      <c r="I16" s="23">
        <f>'таб 2(1)'!I17+'таб 2(2)'!I16+'таб 2(3)'!I17+'таб 2(4)'!I17+'таб 2(5)'!I17+'таб 2(6)'!I17+'таб 2(7)'!I17+'таб 2(8)'!I17</f>
        <v>596222328.1899999</v>
      </c>
      <c r="J16" s="159"/>
      <c r="K16" s="164"/>
      <c r="L16" s="96"/>
    </row>
    <row r="17" spans="1:12" ht="16.5" customHeight="1">
      <c r="A17" s="86" t="s">
        <v>104</v>
      </c>
      <c r="B17" s="23">
        <f>'таб 2(1)'!B18+'таб 2(2)'!B17+'таб 2(3)'!B18+'таб 2(4)'!B18+'таб 2(5)'!B18+'таб 2(6)'!B18+'таб 2(7)'!B18+'таб 2(8)'!B18</f>
        <v>5500426153.039999</v>
      </c>
      <c r="C17" s="23">
        <f>'таб 2(1)'!C18+'таб 2(2)'!C17+'таб 2(3)'!C18+'таб 2(4)'!C18+'таб 2(5)'!C18+'таб 2(6)'!C18+'таб 2(7)'!C18+'таб 2(8)'!C18</f>
        <v>654944860</v>
      </c>
      <c r="D17" s="23">
        <f>'таб 2(1)'!D18+'таб 2(2)'!D17+'таб 2(3)'!D18+'таб 2(4)'!D18+'таб 2(5)'!D18+'таб 2(6)'!D18+'таб 2(7)'!D18+'таб 2(8)'!D18</f>
        <v>679040208</v>
      </c>
      <c r="E17" s="23">
        <f>'таб 2(1)'!E18+'таб 2(2)'!E17+'таб 2(3)'!E18+'таб 2(4)'!E18+'таб 2(5)'!E18+'таб 2(6)'!E18+'таб 2(7)'!E18+'таб 2(8)'!E18</f>
        <v>709568456</v>
      </c>
      <c r="F17" s="23">
        <f>'таб 2(1)'!F18+'таб 2(2)'!F17+'таб 2(3)'!F18+'таб 2(4)'!F18+'таб 2(5)'!F18+'таб 2(6)'!F18+'таб 2(7)'!F18+'таб 2(8)'!F18</f>
        <v>769634316.77</v>
      </c>
      <c r="G17" s="23">
        <f>'таб 2(1)'!G18+'таб 2(2)'!G17+'таб 2(3)'!G18+'таб 2(4)'!G18+'таб 2(5)'!G18+'таб 2(6)'!G18+'таб 2(7)'!G18+'таб 2(8)'!G18</f>
        <v>873922727.8800001</v>
      </c>
      <c r="H17" s="23">
        <f>'таб 2(1)'!H18+'таб 2(2)'!H17+'таб 2(3)'!H18+'таб 2(4)'!H18+'таб 2(5)'!H18+'таб 2(6)'!H18+'таб 2(7)'!H18+'таб 2(8)'!H18</f>
        <v>887328899.6600001</v>
      </c>
      <c r="I17" s="23">
        <f>'таб 2(1)'!I18+'таб 2(2)'!I17+'таб 2(3)'!I18+'таб 2(4)'!I18+'таб 2(5)'!I18+'таб 2(6)'!I18+'таб 2(7)'!I18+'таб 2(8)'!I18</f>
        <v>925986684.73</v>
      </c>
      <c r="J17" s="168"/>
      <c r="K17" s="164"/>
      <c r="L17" s="96"/>
    </row>
    <row r="18" spans="1:12" ht="16.5" customHeight="1">
      <c r="A18" s="86" t="s">
        <v>105</v>
      </c>
      <c r="B18" s="23">
        <f>'таб 2(1)'!B19+'таб 2(2)'!B18+'таб 2(3)'!B19+'таб 2(4)'!B19+'таб 2(5)'!B19+'таб 2(6)'!B19+'таб 2(7)'!B19+'таб 2(8)'!B19</f>
        <v>0</v>
      </c>
      <c r="C18" s="23">
        <f>'таб 2(1)'!C19+'таб 2(2)'!C18+'таб 2(3)'!C19+'таб 2(4)'!C19+'таб 2(5)'!C19+'таб 2(6)'!C19+'таб 2(7)'!C19+'таб 2(8)'!C19</f>
        <v>0</v>
      </c>
      <c r="D18" s="23">
        <f>'таб 2(1)'!D19+'таб 2(2)'!D18+'таб 2(3)'!D19+'таб 2(4)'!D19+'таб 2(5)'!D19+'таб 2(6)'!D19+'таб 2(7)'!D19+'таб 2(8)'!D19</f>
        <v>0</v>
      </c>
      <c r="E18" s="23">
        <f>'таб 2(1)'!E19+'таб 2(2)'!E18+'таб 2(3)'!E19+'таб 2(4)'!E19+'таб 2(5)'!E19+'таб 2(6)'!E19+'таб 2(7)'!E19+'таб 2(8)'!E19</f>
        <v>0</v>
      </c>
      <c r="F18" s="23">
        <f>'таб 2(1)'!F19+'таб 2(2)'!F18+'таб 2(3)'!F19+'таб 2(4)'!F19+'таб 2(5)'!F19+'таб 2(6)'!F19+'таб 2(7)'!F19+'таб 2(8)'!F19</f>
        <v>0</v>
      </c>
      <c r="G18" s="23">
        <f>'таб 2(1)'!G19+'таб 2(2)'!G18+'таб 2(3)'!G19+'таб 2(4)'!G19+'таб 2(5)'!G19+'таб 2(6)'!G19+'таб 2(7)'!G19+'таб 2(8)'!G19</f>
        <v>0</v>
      </c>
      <c r="H18" s="23">
        <f>'таб 2(1)'!H19+'таб 2(2)'!H18+'таб 2(3)'!H19+'таб 2(4)'!H19+'таб 2(5)'!H19+'таб 2(6)'!H19+'таб 2(7)'!H19+'таб 2(8)'!H19</f>
        <v>0</v>
      </c>
      <c r="I18" s="23">
        <f>'таб 2(1)'!I19+'таб 2(2)'!I18+'таб 2(3)'!I19+'таб 2(4)'!I19+'таб 2(5)'!I19+'таб 2(6)'!I19+'таб 2(7)'!I19+'таб 2(8)'!I19</f>
        <v>0</v>
      </c>
      <c r="K18" s="164"/>
      <c r="L18" s="96"/>
    </row>
    <row r="19" spans="1:12" ht="15">
      <c r="A19" s="86" t="s">
        <v>106</v>
      </c>
      <c r="B19" s="23">
        <f>'таб 2(1)'!B20+'таб 2(2)'!B19+'таб 2(3)'!B20+'таб 2(4)'!B20+'таб 2(5)'!B20+'таб 2(6)'!B20+'таб 2(7)'!B20+'таб 2(8)'!B20</f>
        <v>837128320.27</v>
      </c>
      <c r="C19" s="23">
        <f>'таб 2(1)'!C20+'таб 2(2)'!C19+'таб 2(3)'!C20+'таб 2(4)'!C20+'таб 2(5)'!C20+'таб 2(6)'!C20+'таб 2(7)'!C20+'таб 2(8)'!C20</f>
        <v>103719420</v>
      </c>
      <c r="D19" s="23">
        <f>'таб 2(1)'!D20+'таб 2(2)'!D19+'таб 2(3)'!D20+'таб 2(4)'!D20+'таб 2(5)'!D20+'таб 2(6)'!D20+'таб 2(7)'!D20+'таб 2(8)'!D20</f>
        <v>108545003.81000002</v>
      </c>
      <c r="E19" s="23">
        <f>'таб 2(1)'!E20+'таб 2(2)'!E19+'таб 2(3)'!E20+'таб 2(4)'!E20+'таб 2(5)'!E20+'таб 2(6)'!E20+'таб 2(7)'!E20+'таб 2(8)'!E20</f>
        <v>113519567.15</v>
      </c>
      <c r="F19" s="23">
        <f>'таб 2(1)'!F20+'таб 2(2)'!F19+'таб 2(3)'!F20+'таб 2(4)'!F20+'таб 2(5)'!F20+'таб 2(6)'!F20+'таб 2(7)'!F20+'таб 2(8)'!F20</f>
        <v>124460168.04</v>
      </c>
      <c r="G19" s="23">
        <f>'таб 2(1)'!G20+'таб 2(2)'!G19+'таб 2(3)'!G20+'таб 2(4)'!G20+'таб 2(5)'!G20+'таб 2(6)'!G20+'таб 2(7)'!G20+'таб 2(8)'!G20</f>
        <v>128961387.09</v>
      </c>
      <c r="H19" s="23">
        <f>'таб 2(1)'!H20+'таб 2(2)'!H19+'таб 2(3)'!H20+'таб 2(4)'!H20+'таб 2(5)'!H20+'таб 2(6)'!H20+'таб 2(7)'!H20+'таб 2(8)'!H20</f>
        <v>128961387.09</v>
      </c>
      <c r="I19" s="23">
        <f>'таб 2(1)'!I20+'таб 2(2)'!I19+'таб 2(3)'!I20+'таб 2(4)'!I20+'таб 2(5)'!I20+'таб 2(6)'!I20+'таб 2(7)'!I20+'таб 2(8)'!I20</f>
        <v>128961387.09</v>
      </c>
      <c r="J19" s="164"/>
      <c r="K19" s="164"/>
      <c r="L19" s="96"/>
    </row>
    <row r="20" spans="1:9" ht="39.75" customHeight="1">
      <c r="A20" s="4" t="s">
        <v>108</v>
      </c>
      <c r="B20" s="23">
        <f>'таб 2(1)'!B21+'таб 2(2)'!B20+'таб 2(3)'!B21+'таб 2(4)'!B21+'таб 2(5)'!B21+'таб 2(6)'!B21+'таб 2(7)'!B21+'таб 2(8)'!B21</f>
        <v>20333549.72</v>
      </c>
      <c r="C20" s="23">
        <f>'таб 2(1)'!C21+'таб 2(2)'!C20+'таб 2(3)'!C21+'таб 2(4)'!C21+'таб 2(5)'!C21+'таб 2(6)'!C21+'таб 2(7)'!C21+'таб 2(8)'!C21</f>
        <v>20333549.72</v>
      </c>
      <c r="D20" s="23">
        <f>'таб 2(1)'!D21+'таб 2(2)'!D20+'таб 2(3)'!D21+'таб 2(4)'!D21+'таб 2(5)'!D21+'таб 2(6)'!D21+'таб 2(7)'!D21+'таб 2(8)'!D21</f>
        <v>0</v>
      </c>
      <c r="E20" s="23">
        <f>'таб 2(1)'!E21+'таб 2(2)'!E20+'таб 2(3)'!E21+'таб 2(4)'!E21+'таб 2(5)'!E21+'таб 2(6)'!E21+'таб 2(7)'!E21+'таб 2(8)'!E21</f>
        <v>0</v>
      </c>
      <c r="F20" s="23">
        <f>'таб 2(1)'!F21+'таб 2(2)'!F20+'таб 2(3)'!F21+'таб 2(4)'!F21+'таб 2(5)'!F21+'таб 2(6)'!F21+'таб 2(7)'!F21+'таб 2(8)'!F21</f>
        <v>0</v>
      </c>
      <c r="G20" s="23">
        <f>'таб 2(1)'!G21+'таб 2(2)'!G20+'таб 2(3)'!G21+'таб 2(4)'!G21+'таб 2(5)'!G21+'таб 2(6)'!G21+'таб 2(7)'!G21+'таб 2(8)'!G21</f>
        <v>0</v>
      </c>
      <c r="H20" s="23">
        <f>'таб 2(1)'!H21+'таб 2(2)'!H20+'таб 2(3)'!H21+'таб 2(4)'!H21+'таб 2(5)'!H21+'таб 2(6)'!H21+'таб 2(7)'!H21+'таб 2(8)'!H21</f>
        <v>0</v>
      </c>
      <c r="I20" s="23">
        <f>'таб 2(1)'!I21+'таб 2(2)'!I20+'таб 2(3)'!I21+'таб 2(4)'!I21+'таб 2(5)'!I21+'таб 2(6)'!I21+'таб 2(7)'!I21+'таб 2(8)'!I21</f>
        <v>0</v>
      </c>
    </row>
    <row r="21" spans="1:9" ht="39">
      <c r="A21" s="94" t="s">
        <v>178</v>
      </c>
      <c r="B21" s="85">
        <f>SUM(B23:B26)</f>
        <v>646126702.4200001</v>
      </c>
      <c r="C21" s="85">
        <f aca="true" t="shared" si="6" ref="C21:I21">SUM(C23:C26)</f>
        <v>340807502.75</v>
      </c>
      <c r="D21" s="85">
        <f t="shared" si="6"/>
        <v>236393846.19</v>
      </c>
      <c r="E21" s="85">
        <f t="shared" si="6"/>
        <v>67887939.75</v>
      </c>
      <c r="F21" s="85">
        <f t="shared" si="6"/>
        <v>1037413.73</v>
      </c>
      <c r="G21" s="85">
        <f t="shared" si="6"/>
        <v>0</v>
      </c>
      <c r="H21" s="85">
        <f t="shared" si="6"/>
        <v>0</v>
      </c>
      <c r="I21" s="85">
        <f t="shared" si="6"/>
        <v>0</v>
      </c>
    </row>
    <row r="22" spans="1:9" ht="16.5" customHeight="1">
      <c r="A22" s="198" t="s">
        <v>102</v>
      </c>
      <c r="B22" s="199"/>
      <c r="C22" s="199"/>
      <c r="D22" s="199"/>
      <c r="E22" s="199"/>
      <c r="F22" s="199"/>
      <c r="G22" s="199"/>
      <c r="H22" s="199"/>
      <c r="I22" s="200"/>
    </row>
    <row r="23" spans="1:9" ht="16.5" customHeight="1">
      <c r="A23" s="86" t="s">
        <v>103</v>
      </c>
      <c r="B23" s="23">
        <f>'таб 2(8)'!B24</f>
        <v>392781304.51</v>
      </c>
      <c r="C23" s="23">
        <f>'таб 2(8)'!C24</f>
        <v>186951018.57</v>
      </c>
      <c r="D23" s="23">
        <f>'таб 2(8)'!D24</f>
        <v>152679446.19</v>
      </c>
      <c r="E23" s="23">
        <f>'таб 2(8)'!E24</f>
        <v>52887939.75</v>
      </c>
      <c r="F23" s="23">
        <f>'таб 2(8)'!F24</f>
        <v>262900</v>
      </c>
      <c r="G23" s="23">
        <f>'таб 2(8)'!G24</f>
        <v>0</v>
      </c>
      <c r="H23" s="23">
        <f>'таб 2(8)'!H24</f>
        <v>0</v>
      </c>
      <c r="I23" s="23">
        <f>'таб 2(8)'!I24</f>
        <v>0</v>
      </c>
    </row>
    <row r="24" spans="1:9" ht="16.5" customHeight="1">
      <c r="A24" s="86" t="s">
        <v>104</v>
      </c>
      <c r="B24" s="23">
        <f>'таб 2(8)'!B25</f>
        <v>30774513.73</v>
      </c>
      <c r="C24" s="23">
        <f>'таб 2(8)'!C25</f>
        <v>0</v>
      </c>
      <c r="D24" s="23">
        <f>'таб 2(8)'!D25</f>
        <v>15000000</v>
      </c>
      <c r="E24" s="23">
        <f>'таб 2(8)'!E25</f>
        <v>15000000</v>
      </c>
      <c r="F24" s="23">
        <f>'таб 2(8)'!F25</f>
        <v>774513.73</v>
      </c>
      <c r="G24" s="23">
        <f>'таб 2(8)'!G25</f>
        <v>0</v>
      </c>
      <c r="H24" s="23">
        <f>'таб 2(8)'!H25</f>
        <v>0</v>
      </c>
      <c r="I24" s="23">
        <f>'таб 2(8)'!I25</f>
        <v>0</v>
      </c>
    </row>
    <row r="25" spans="1:9" ht="16.5" customHeight="1">
      <c r="A25" s="86" t="s">
        <v>105</v>
      </c>
      <c r="B25" s="23">
        <f>'таб 2(8)'!B26</f>
        <v>222570884.18</v>
      </c>
      <c r="C25" s="23">
        <f>'таб 2(8)'!C26</f>
        <v>153856484.18</v>
      </c>
      <c r="D25" s="23">
        <f>'таб 2(8)'!D26</f>
        <v>68714400</v>
      </c>
      <c r="E25" s="23">
        <f>'таб 2(8)'!E26</f>
        <v>0</v>
      </c>
      <c r="F25" s="23">
        <f>'таб 2(8)'!F26</f>
        <v>0</v>
      </c>
      <c r="G25" s="23">
        <f>'таб 2(8)'!G26</f>
        <v>0</v>
      </c>
      <c r="H25" s="23">
        <f>'таб 2(8)'!H26</f>
        <v>0</v>
      </c>
      <c r="I25" s="23">
        <f>'таб 2(8)'!I26</f>
        <v>0</v>
      </c>
    </row>
    <row r="26" spans="1:9" ht="15">
      <c r="A26" s="86" t="s">
        <v>106</v>
      </c>
      <c r="B26" s="23">
        <f>'таб 2(8)'!B27</f>
        <v>0</v>
      </c>
      <c r="C26" s="23">
        <f>'таб 2(8)'!C27</f>
        <v>0</v>
      </c>
      <c r="D26" s="23">
        <f>'таб 2(8)'!D27</f>
        <v>0</v>
      </c>
      <c r="E26" s="23">
        <f>'таб 2(8)'!E27</f>
        <v>0</v>
      </c>
      <c r="F26" s="23">
        <f>'таб 2(8)'!F27</f>
        <v>0</v>
      </c>
      <c r="G26" s="23">
        <f>'таб 2(8)'!G27</f>
        <v>0</v>
      </c>
      <c r="H26" s="23">
        <f>'таб 2(8)'!H27</f>
        <v>0</v>
      </c>
      <c r="I26" s="23">
        <f>'таб 2(8)'!I27</f>
        <v>0</v>
      </c>
    </row>
    <row r="27" spans="1:9" ht="25.5">
      <c r="A27" s="4" t="s">
        <v>108</v>
      </c>
      <c r="B27" s="23">
        <f>'таб 2(8)'!B28</f>
        <v>646126702.4200001</v>
      </c>
      <c r="C27" s="23">
        <f>'таб 2(8)'!C28</f>
        <v>340807502.75</v>
      </c>
      <c r="D27" s="23">
        <f>'таб 2(8)'!D28</f>
        <v>236393846.19</v>
      </c>
      <c r="E27" s="23">
        <f>'таб 2(8)'!E28</f>
        <v>67887939.75</v>
      </c>
      <c r="F27" s="23">
        <f>'таб 2(8)'!F28</f>
        <v>1037413.73</v>
      </c>
      <c r="G27" s="23">
        <f>'таб 2(8)'!G28</f>
        <v>0</v>
      </c>
      <c r="H27" s="23">
        <f>'таб 2(8)'!H28</f>
        <v>0</v>
      </c>
      <c r="I27" s="23">
        <f>'таб 2(8)'!I28</f>
        <v>0</v>
      </c>
    </row>
    <row r="28" spans="1:9" ht="15">
      <c r="A28" s="94" t="s">
        <v>274</v>
      </c>
      <c r="B28" s="85">
        <f>B34</f>
        <v>92717000</v>
      </c>
      <c r="C28" s="85">
        <f aca="true" t="shared" si="7" ref="C28:I28">SUM(C30:C33)</f>
        <v>0</v>
      </c>
      <c r="D28" s="85">
        <f t="shared" si="7"/>
        <v>0</v>
      </c>
      <c r="E28" s="85">
        <f t="shared" si="7"/>
        <v>0</v>
      </c>
      <c r="F28" s="85">
        <f t="shared" si="7"/>
        <v>0</v>
      </c>
      <c r="G28" s="85">
        <f>G30+G31+G32</f>
        <v>33407100</v>
      </c>
      <c r="H28" s="85">
        <f t="shared" si="7"/>
        <v>59309900</v>
      </c>
      <c r="I28" s="85">
        <f t="shared" si="7"/>
        <v>0</v>
      </c>
    </row>
    <row r="29" spans="1:9" ht="16.5" customHeight="1">
      <c r="A29" s="198" t="s">
        <v>102</v>
      </c>
      <c r="B29" s="199"/>
      <c r="C29" s="199"/>
      <c r="D29" s="199"/>
      <c r="E29" s="199"/>
      <c r="F29" s="199"/>
      <c r="G29" s="199"/>
      <c r="H29" s="199"/>
      <c r="I29" s="200"/>
    </row>
    <row r="30" spans="1:9" ht="16.5" customHeight="1">
      <c r="A30" s="86" t="s">
        <v>103</v>
      </c>
      <c r="B30" s="23">
        <f>'таб 2(8)'!B31</f>
        <v>13400000</v>
      </c>
      <c r="C30" s="23">
        <f>'таб 2(8)'!C31</f>
        <v>0</v>
      </c>
      <c r="D30" s="23">
        <f>'таб 2(8)'!D31</f>
        <v>0</v>
      </c>
      <c r="E30" s="23">
        <f>'таб 2(8)'!E31</f>
        <v>0</v>
      </c>
      <c r="F30" s="23">
        <f>'таб 2(8)'!F31</f>
        <v>0</v>
      </c>
      <c r="G30" s="23">
        <f>'таб 2(8)'!G31</f>
        <v>2900000</v>
      </c>
      <c r="H30" s="23">
        <f>'таб 2(8)'!H31</f>
        <v>10500000</v>
      </c>
      <c r="I30" s="23">
        <f>'таб 2(8)'!I31</f>
        <v>0</v>
      </c>
    </row>
    <row r="31" spans="1:9" ht="16.5" customHeight="1">
      <c r="A31" s="86" t="s">
        <v>104</v>
      </c>
      <c r="B31" s="23">
        <f>'таб 2(8)'!B32</f>
        <v>31986000</v>
      </c>
      <c r="C31" s="23">
        <f>'таб 2(8)'!C32</f>
        <v>0</v>
      </c>
      <c r="D31" s="23">
        <f>'таб 2(8)'!D32</f>
        <v>0</v>
      </c>
      <c r="E31" s="23">
        <f>'таб 2(8)'!E32</f>
        <v>0</v>
      </c>
      <c r="F31" s="23">
        <f>'таб 2(8)'!F32</f>
        <v>0</v>
      </c>
      <c r="G31" s="23">
        <f>'таб 2(8)'!G32</f>
        <v>6850700</v>
      </c>
      <c r="H31" s="23">
        <f>'таб 2(8)'!H32</f>
        <v>25135300</v>
      </c>
      <c r="I31" s="23">
        <f>'таб 2(8)'!I32</f>
        <v>0</v>
      </c>
    </row>
    <row r="32" spans="1:9" ht="16.5" customHeight="1">
      <c r="A32" s="86" t="s">
        <v>105</v>
      </c>
      <c r="B32" s="23">
        <f>'таб 2(8)'!B33</f>
        <v>47331000</v>
      </c>
      <c r="C32" s="23">
        <f>'таб 2(8)'!C33</f>
        <v>0</v>
      </c>
      <c r="D32" s="23">
        <f>'таб 2(8)'!D33</f>
        <v>0</v>
      </c>
      <c r="E32" s="23">
        <f>'таб 2(8)'!E33</f>
        <v>0</v>
      </c>
      <c r="F32" s="23">
        <f>'таб 2(8)'!F33</f>
        <v>0</v>
      </c>
      <c r="G32" s="23">
        <f>'таб 2(8)'!G33</f>
        <v>23656400</v>
      </c>
      <c r="H32" s="23">
        <f>'таб 2(8)'!H33</f>
        <v>23674600</v>
      </c>
      <c r="I32" s="23">
        <f>'таб 2(8)'!I33</f>
        <v>0</v>
      </c>
    </row>
    <row r="33" spans="1:9" ht="15">
      <c r="A33" s="86" t="s">
        <v>106</v>
      </c>
      <c r="B33" s="23">
        <f>'таб 2(8)'!B34</f>
        <v>0</v>
      </c>
      <c r="C33" s="23">
        <f>'таб 2(8)'!C34</f>
        <v>0</v>
      </c>
      <c r="D33" s="23">
        <f>'таб 2(8)'!D34</f>
        <v>0</v>
      </c>
      <c r="E33" s="23">
        <f>'таб 2(8)'!E34</f>
        <v>0</v>
      </c>
      <c r="F33" s="23">
        <f>'таб 2(8)'!F34</f>
        <v>0</v>
      </c>
      <c r="G33" s="23">
        <f>'таб 2(8)'!G34</f>
        <v>0</v>
      </c>
      <c r="H33" s="23">
        <f>'таб 2(8)'!H34</f>
        <v>0</v>
      </c>
      <c r="I33" s="23">
        <f>'таб 2(8)'!I34</f>
        <v>0</v>
      </c>
    </row>
    <row r="34" spans="1:9" ht="25.5">
      <c r="A34" s="4" t="s">
        <v>108</v>
      </c>
      <c r="B34" s="23">
        <f>'таб 2(8)'!B35</f>
        <v>92717000</v>
      </c>
      <c r="C34" s="23">
        <f>'таб 2(8)'!C35</f>
        <v>0</v>
      </c>
      <c r="D34" s="23">
        <f>'таб 2(8)'!D35</f>
        <v>0</v>
      </c>
      <c r="E34" s="23">
        <f>'таб 2(8)'!E35</f>
        <v>0</v>
      </c>
      <c r="F34" s="23">
        <f>'таб 2(8)'!F35</f>
        <v>0</v>
      </c>
      <c r="G34" s="23">
        <f>'таб 2(8)'!G35</f>
        <v>33318900</v>
      </c>
      <c r="H34" s="23">
        <f>'таб 2(8)'!H35</f>
        <v>59126400</v>
      </c>
      <c r="I34" s="23">
        <f>'таб 2(8)'!I35</f>
        <v>0</v>
      </c>
    </row>
    <row r="35" spans="2:12" s="179" customFormat="1" ht="15">
      <c r="B35" s="181"/>
      <c r="C35" s="181"/>
      <c r="D35" s="180"/>
      <c r="E35" s="180"/>
      <c r="F35" s="180"/>
      <c r="G35" s="180"/>
      <c r="H35" s="180"/>
      <c r="I35" s="180"/>
      <c r="J35" s="181"/>
      <c r="K35" s="182"/>
      <c r="L35" s="182"/>
    </row>
    <row r="36" spans="2:12" s="179" customFormat="1" ht="15">
      <c r="B36" s="180"/>
      <c r="C36" s="181"/>
      <c r="D36" s="180"/>
      <c r="E36" s="180"/>
      <c r="F36" s="180"/>
      <c r="G36" s="180"/>
      <c r="H36" s="180"/>
      <c r="I36" s="180"/>
      <c r="J36" s="180"/>
      <c r="K36" s="182"/>
      <c r="L36" s="182"/>
    </row>
    <row r="37" spans="2:12" s="179" customFormat="1" ht="15">
      <c r="B37" s="181"/>
      <c r="C37" s="181"/>
      <c r="D37" s="180"/>
      <c r="E37" s="180"/>
      <c r="F37" s="180"/>
      <c r="G37" s="180"/>
      <c r="H37" s="180"/>
      <c r="I37" s="180"/>
      <c r="J37" s="181"/>
      <c r="K37" s="182"/>
      <c r="L37" s="182"/>
    </row>
    <row r="38" spans="2:12" s="179" customFormat="1" ht="15">
      <c r="B38" s="195"/>
      <c r="C38" s="181"/>
      <c r="D38" s="180"/>
      <c r="E38" s="180"/>
      <c r="F38" s="180"/>
      <c r="G38" s="180"/>
      <c r="H38" s="180"/>
      <c r="I38" s="180"/>
      <c r="J38" s="181"/>
      <c r="K38" s="182"/>
      <c r="L38" s="182"/>
    </row>
    <row r="39" spans="2:12" s="179" customFormat="1" ht="15">
      <c r="B39" s="195"/>
      <c r="C39" s="181"/>
      <c r="D39" s="180"/>
      <c r="E39" s="180"/>
      <c r="F39" s="180"/>
      <c r="G39" s="180"/>
      <c r="H39" s="180"/>
      <c r="I39" s="180"/>
      <c r="J39" s="181"/>
      <c r="K39" s="182"/>
      <c r="L39" s="182"/>
    </row>
    <row r="40" spans="2:12" s="179" customFormat="1" ht="15">
      <c r="B40" s="195"/>
      <c r="C40" s="181"/>
      <c r="D40" s="180"/>
      <c r="E40" s="180"/>
      <c r="F40" s="180"/>
      <c r="G40" s="180"/>
      <c r="H40" s="180"/>
      <c r="I40" s="180"/>
      <c r="J40" s="181"/>
      <c r="K40" s="182"/>
      <c r="L40" s="182"/>
    </row>
    <row r="41" spans="2:12" s="179" customFormat="1" ht="15">
      <c r="B41" s="195"/>
      <c r="C41" s="181"/>
      <c r="D41" s="180"/>
      <c r="E41" s="180"/>
      <c r="F41" s="180"/>
      <c r="G41" s="180"/>
      <c r="H41" s="180"/>
      <c r="I41" s="180"/>
      <c r="J41" s="181"/>
      <c r="K41" s="182"/>
      <c r="L41" s="182"/>
    </row>
    <row r="42" spans="2:12" s="179" customFormat="1" ht="15">
      <c r="B42" s="195"/>
      <c r="C42" s="182"/>
      <c r="D42" s="182"/>
      <c r="E42" s="182"/>
      <c r="G42" s="182"/>
      <c r="H42" s="182"/>
      <c r="I42" s="182"/>
      <c r="J42" s="182"/>
      <c r="K42" s="182"/>
      <c r="L42" s="182"/>
    </row>
    <row r="43" spans="4:10" ht="15">
      <c r="D43" s="97"/>
      <c r="E43" s="97"/>
      <c r="F43" s="97"/>
      <c r="G43" s="97"/>
      <c r="H43" s="97"/>
      <c r="I43" s="97"/>
      <c r="J43" s="160"/>
    </row>
    <row r="44" spans="2:10" ht="15">
      <c r="B44" s="96"/>
      <c r="D44" s="97"/>
      <c r="E44" s="97"/>
      <c r="F44" s="97"/>
      <c r="G44" s="97"/>
      <c r="H44" s="97"/>
      <c r="I44" s="97"/>
      <c r="J44" s="160"/>
    </row>
    <row r="45" spans="4:9" ht="15">
      <c r="D45" s="97"/>
      <c r="E45" s="97"/>
      <c r="F45" s="97"/>
      <c r="G45" s="97"/>
      <c r="H45" s="97"/>
      <c r="I45" s="97"/>
    </row>
    <row r="46" spans="5:9" ht="15">
      <c r="E46" s="97"/>
      <c r="F46" s="97"/>
      <c r="G46" s="97"/>
      <c r="H46" s="97"/>
      <c r="I46" s="97"/>
    </row>
    <row r="47" spans="5:9" ht="15">
      <c r="E47" s="97"/>
      <c r="F47" s="97"/>
      <c r="G47" s="97"/>
      <c r="H47" s="97"/>
      <c r="I47" s="97"/>
    </row>
    <row r="48" spans="4:9" ht="15">
      <c r="D48" s="98"/>
      <c r="E48" s="98"/>
      <c r="F48" s="98"/>
      <c r="G48" s="97"/>
      <c r="H48" s="97"/>
      <c r="I48" s="97"/>
    </row>
    <row r="49" spans="5:7" ht="15">
      <c r="E49" s="98"/>
      <c r="G49" s="160"/>
    </row>
    <row r="50" spans="5:7" ht="15">
      <c r="E50" s="98"/>
      <c r="G50" s="160"/>
    </row>
    <row r="51" spans="5:7" ht="15">
      <c r="E51" s="98"/>
      <c r="G51" s="98"/>
    </row>
  </sheetData>
  <sheetProtection/>
  <mergeCells count="10">
    <mergeCell ref="A8:I8"/>
    <mergeCell ref="A13:I13"/>
    <mergeCell ref="A29:I29"/>
    <mergeCell ref="G1:I1"/>
    <mergeCell ref="A15:I15"/>
    <mergeCell ref="A22:I22"/>
    <mergeCell ref="A3:I3"/>
    <mergeCell ref="A4:A5"/>
    <mergeCell ref="B4:B5"/>
    <mergeCell ref="C4:I4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28" customWidth="1"/>
    <col min="2" max="2" width="18.28125" style="128" customWidth="1"/>
    <col min="3" max="9" width="13.8515625" style="128" customWidth="1"/>
    <col min="10" max="16384" width="9.140625" style="128" customWidth="1"/>
  </cols>
  <sheetData>
    <row r="1" spans="6:9" ht="67.5" customHeight="1">
      <c r="F1" s="313" t="s">
        <v>284</v>
      </c>
      <c r="G1" s="313"/>
      <c r="H1" s="313"/>
      <c r="I1" s="313"/>
    </row>
    <row r="2" spans="5:10" ht="18.75" customHeight="1">
      <c r="E2" s="129"/>
      <c r="G2" s="105"/>
      <c r="H2" s="130" t="s">
        <v>223</v>
      </c>
      <c r="J2" s="105"/>
    </row>
    <row r="4" spans="1:9" ht="36.75" customHeight="1">
      <c r="A4" s="218" t="s">
        <v>224</v>
      </c>
      <c r="B4" s="218"/>
      <c r="C4" s="218"/>
      <c r="D4" s="218"/>
      <c r="E4" s="218"/>
      <c r="F4" s="218"/>
      <c r="G4" s="218"/>
      <c r="H4" s="218"/>
      <c r="I4" s="218"/>
    </row>
    <row r="5" spans="1:9" ht="30" customHeight="1">
      <c r="A5" s="219" t="s">
        <v>99</v>
      </c>
      <c r="B5" s="221" t="s">
        <v>100</v>
      </c>
      <c r="C5" s="223" t="s">
        <v>101</v>
      </c>
      <c r="D5" s="223"/>
      <c r="E5" s="223"/>
      <c r="F5" s="223"/>
      <c r="G5" s="223"/>
      <c r="H5" s="223"/>
      <c r="I5" s="223"/>
    </row>
    <row r="6" spans="1:9" ht="16.5" customHeight="1">
      <c r="A6" s="220"/>
      <c r="B6" s="222"/>
      <c r="C6" s="131">
        <v>2014</v>
      </c>
      <c r="D6" s="131">
        <v>2015</v>
      </c>
      <c r="E6" s="131">
        <v>2016</v>
      </c>
      <c r="F6" s="131">
        <v>2017</v>
      </c>
      <c r="G6" s="131">
        <v>2018</v>
      </c>
      <c r="H6" s="131">
        <v>2019</v>
      </c>
      <c r="I6" s="52">
        <v>2020</v>
      </c>
    </row>
    <row r="7" spans="1:9" ht="16.5" customHeight="1">
      <c r="A7" s="113">
        <v>1</v>
      </c>
      <c r="B7" s="140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13">
        <v>9</v>
      </c>
    </row>
    <row r="8" spans="1:9" ht="19.5" customHeight="1">
      <c r="A8" s="134" t="s">
        <v>225</v>
      </c>
      <c r="B8" s="135">
        <f>B10+B11+B12+B13</f>
        <v>201556766.01</v>
      </c>
      <c r="C8" s="135">
        <f aca="true" t="shared" si="0" ref="C8:I8">C10+C11+C12+C13</f>
        <v>29400869</v>
      </c>
      <c r="D8" s="135">
        <f t="shared" si="0"/>
        <v>28396543.509999998</v>
      </c>
      <c r="E8" s="135">
        <f t="shared" si="0"/>
        <v>27563144.619999997</v>
      </c>
      <c r="F8" s="135">
        <f t="shared" si="0"/>
        <v>29185946.28</v>
      </c>
      <c r="G8" s="135">
        <f t="shared" si="0"/>
        <v>30404232.329999994</v>
      </c>
      <c r="H8" s="135">
        <f t="shared" si="0"/>
        <v>27879894.83</v>
      </c>
      <c r="I8" s="135">
        <f t="shared" si="0"/>
        <v>28726135.44</v>
      </c>
    </row>
    <row r="9" spans="1:9" ht="16.5" customHeight="1">
      <c r="A9" s="212" t="s">
        <v>102</v>
      </c>
      <c r="B9" s="213"/>
      <c r="C9" s="213"/>
      <c r="D9" s="213"/>
      <c r="E9" s="213"/>
      <c r="F9" s="213"/>
      <c r="G9" s="213"/>
      <c r="H9" s="213"/>
      <c r="I9" s="214"/>
    </row>
    <row r="10" spans="1:9" ht="16.5" customHeight="1">
      <c r="A10" s="136" t="s">
        <v>103</v>
      </c>
      <c r="B10" s="135">
        <f>C10+D10+E10+F10+G10+H10+I10</f>
        <v>193997624.69</v>
      </c>
      <c r="C10" s="137">
        <f>C17</f>
        <v>28400869</v>
      </c>
      <c r="D10" s="137">
        <f aca="true" t="shared" si="1" ref="D10:I10">D17</f>
        <v>26885454.86</v>
      </c>
      <c r="E10" s="137">
        <f t="shared" si="1"/>
        <v>26909030.619999997</v>
      </c>
      <c r="F10" s="137">
        <f t="shared" si="1"/>
        <v>28135196.18</v>
      </c>
      <c r="G10" s="137">
        <f t="shared" si="1"/>
        <v>29246603.759999994</v>
      </c>
      <c r="H10" s="137">
        <f t="shared" si="1"/>
        <v>26787114.83</v>
      </c>
      <c r="I10" s="137">
        <f t="shared" si="1"/>
        <v>27633355.44</v>
      </c>
    </row>
    <row r="11" spans="1:9" ht="16.5" customHeight="1">
      <c r="A11" s="136" t="s">
        <v>20</v>
      </c>
      <c r="B11" s="135">
        <f>C11+D11+E11+F11+G11+H11+I11</f>
        <v>64848.57</v>
      </c>
      <c r="C11" s="137">
        <f aca="true" t="shared" si="2" ref="C11:I13">C18</f>
        <v>0</v>
      </c>
      <c r="D11" s="137">
        <f t="shared" si="2"/>
        <v>0</v>
      </c>
      <c r="E11" s="137">
        <f t="shared" si="2"/>
        <v>0</v>
      </c>
      <c r="F11" s="137">
        <f t="shared" si="2"/>
        <v>0</v>
      </c>
      <c r="G11" s="137">
        <f t="shared" si="2"/>
        <v>64848.57</v>
      </c>
      <c r="H11" s="137">
        <f t="shared" si="2"/>
        <v>0</v>
      </c>
      <c r="I11" s="137">
        <f t="shared" si="2"/>
        <v>0</v>
      </c>
    </row>
    <row r="12" spans="1:9" ht="16.5" customHeight="1">
      <c r="A12" s="136" t="s">
        <v>21</v>
      </c>
      <c r="B12" s="135">
        <f>C12+D12+E12+F12+G12+H12+I12</f>
        <v>0</v>
      </c>
      <c r="C12" s="137">
        <f t="shared" si="2"/>
        <v>0</v>
      </c>
      <c r="D12" s="137">
        <f t="shared" si="2"/>
        <v>0</v>
      </c>
      <c r="E12" s="137">
        <f t="shared" si="2"/>
        <v>0</v>
      </c>
      <c r="F12" s="137">
        <f t="shared" si="2"/>
        <v>0</v>
      </c>
      <c r="G12" s="137">
        <f t="shared" si="2"/>
        <v>0</v>
      </c>
      <c r="H12" s="137">
        <f t="shared" si="2"/>
        <v>0</v>
      </c>
      <c r="I12" s="137">
        <f t="shared" si="2"/>
        <v>0</v>
      </c>
    </row>
    <row r="13" spans="1:9" ht="16.5" customHeight="1">
      <c r="A13" s="136" t="s">
        <v>106</v>
      </c>
      <c r="B13" s="135">
        <f>C13+D13+E13+F13+G13+H13+I13</f>
        <v>7494292.75</v>
      </c>
      <c r="C13" s="137">
        <f t="shared" si="2"/>
        <v>1000000</v>
      </c>
      <c r="D13" s="137">
        <f t="shared" si="2"/>
        <v>1511088.65</v>
      </c>
      <c r="E13" s="137">
        <f t="shared" si="2"/>
        <v>654114</v>
      </c>
      <c r="F13" s="137">
        <f t="shared" si="2"/>
        <v>1050750.1</v>
      </c>
      <c r="G13" s="137">
        <f t="shared" si="2"/>
        <v>1092780</v>
      </c>
      <c r="H13" s="137">
        <f t="shared" si="2"/>
        <v>1092780</v>
      </c>
      <c r="I13" s="137">
        <f t="shared" si="2"/>
        <v>1092780</v>
      </c>
    </row>
    <row r="14" spans="1:9" ht="16.5" customHeight="1">
      <c r="A14" s="215" t="s">
        <v>107</v>
      </c>
      <c r="B14" s="216"/>
      <c r="C14" s="216"/>
      <c r="D14" s="216"/>
      <c r="E14" s="216"/>
      <c r="F14" s="216"/>
      <c r="G14" s="216"/>
      <c r="H14" s="216"/>
      <c r="I14" s="217"/>
    </row>
    <row r="15" spans="1:9" ht="51" customHeight="1">
      <c r="A15" s="138" t="s">
        <v>114</v>
      </c>
      <c r="B15" s="135">
        <f>B17+B18+B19+B20</f>
        <v>201556766.01</v>
      </c>
      <c r="C15" s="135">
        <f>C17+C18+C19+C20</f>
        <v>29400869</v>
      </c>
      <c r="D15" s="135">
        <f aca="true" t="shared" si="3" ref="D15:I15">D17+D18+D19+D20</f>
        <v>28396543.509999998</v>
      </c>
      <c r="E15" s="135">
        <f t="shared" si="3"/>
        <v>27563144.619999997</v>
      </c>
      <c r="F15" s="135">
        <f t="shared" si="3"/>
        <v>29185946.28</v>
      </c>
      <c r="G15" s="135">
        <f t="shared" si="3"/>
        <v>30404232.329999994</v>
      </c>
      <c r="H15" s="135">
        <f t="shared" si="3"/>
        <v>27879894.83</v>
      </c>
      <c r="I15" s="135">
        <f t="shared" si="3"/>
        <v>28726135.44</v>
      </c>
    </row>
    <row r="16" spans="1:9" ht="16.5" customHeight="1">
      <c r="A16" s="212" t="s">
        <v>102</v>
      </c>
      <c r="B16" s="213"/>
      <c r="C16" s="213"/>
      <c r="D16" s="213"/>
      <c r="E16" s="213"/>
      <c r="F16" s="213"/>
      <c r="G16" s="213"/>
      <c r="H16" s="213"/>
      <c r="I16" s="214"/>
    </row>
    <row r="17" spans="1:9" ht="16.5" customHeight="1">
      <c r="A17" s="136" t="s">
        <v>103</v>
      </c>
      <c r="B17" s="135">
        <f>C17+D17+E17+F17+G17+H17+I17</f>
        <v>193997624.69</v>
      </c>
      <c r="C17" s="137">
        <f>'таб 3(5)'!F41</f>
        <v>28400869</v>
      </c>
      <c r="D17" s="137">
        <f>'таб 3(5)'!G41</f>
        <v>26885454.86</v>
      </c>
      <c r="E17" s="137">
        <f>'таб 3(5)'!H41</f>
        <v>26909030.619999997</v>
      </c>
      <c r="F17" s="137">
        <f>'таб 3(5)'!I41</f>
        <v>28135196.18</v>
      </c>
      <c r="G17" s="137">
        <f>'таб 3(5)'!J41</f>
        <v>29246603.759999994</v>
      </c>
      <c r="H17" s="137">
        <f>'таб 3(5)'!K41</f>
        <v>26787114.83</v>
      </c>
      <c r="I17" s="137">
        <f>'таб 3(5)'!L41</f>
        <v>27633355.44</v>
      </c>
    </row>
    <row r="18" spans="1:9" ht="16.5" customHeight="1">
      <c r="A18" s="136" t="s">
        <v>20</v>
      </c>
      <c r="B18" s="135">
        <f>C18+D18+E18+F18+G18+H18+I18</f>
        <v>64848.57</v>
      </c>
      <c r="C18" s="137">
        <f>'таб 3(5)'!F42</f>
        <v>0</v>
      </c>
      <c r="D18" s="137">
        <f>'таб 3(5)'!G42</f>
        <v>0</v>
      </c>
      <c r="E18" s="137">
        <f>'таб 3(5)'!H42</f>
        <v>0</v>
      </c>
      <c r="F18" s="137">
        <f>'таб 3(5)'!I42</f>
        <v>0</v>
      </c>
      <c r="G18" s="137">
        <f>'таб 3(5)'!J42</f>
        <v>64848.57</v>
      </c>
      <c r="H18" s="137">
        <f>'таб 3(5)'!K42</f>
        <v>0</v>
      </c>
      <c r="I18" s="137">
        <f>'таб 3(5)'!L42</f>
        <v>0</v>
      </c>
    </row>
    <row r="19" spans="1:9" ht="16.5" customHeight="1">
      <c r="A19" s="136" t="s">
        <v>21</v>
      </c>
      <c r="B19" s="135">
        <f>C19+D19+E19+F19+G19+H19+I19</f>
        <v>0</v>
      </c>
      <c r="C19" s="137">
        <f>'таб 3(5)'!F43</f>
        <v>0</v>
      </c>
      <c r="D19" s="137">
        <f>'таб 3(5)'!G43</f>
        <v>0</v>
      </c>
      <c r="E19" s="137">
        <f>'таб 3(5)'!H43</f>
        <v>0</v>
      </c>
      <c r="F19" s="137">
        <f>'таб 3(5)'!I43</f>
        <v>0</v>
      </c>
      <c r="G19" s="137">
        <f>'таб 3(5)'!J43</f>
        <v>0</v>
      </c>
      <c r="H19" s="137">
        <f>'таб 3(5)'!K43</f>
        <v>0</v>
      </c>
      <c r="I19" s="137">
        <f>'таб 3(5)'!L43</f>
        <v>0</v>
      </c>
    </row>
    <row r="20" spans="1:9" ht="16.5" customHeight="1">
      <c r="A20" s="136" t="s">
        <v>106</v>
      </c>
      <c r="B20" s="135">
        <f>C20+D20+E20+F20+G20+H20+I20</f>
        <v>7494292.75</v>
      </c>
      <c r="C20" s="137">
        <f>'таб 3(5)'!F44</f>
        <v>1000000</v>
      </c>
      <c r="D20" s="137">
        <f>'таб 3(5)'!G44</f>
        <v>1511088.65</v>
      </c>
      <c r="E20" s="137">
        <f>'таб 3(5)'!H44</f>
        <v>654114</v>
      </c>
      <c r="F20" s="137">
        <f>'таб 3(5)'!I44</f>
        <v>1050750.1</v>
      </c>
      <c r="G20" s="137">
        <f>'таб 3(5)'!J44</f>
        <v>1092780</v>
      </c>
      <c r="H20" s="137">
        <f>'таб 3(5)'!K44</f>
        <v>1092780</v>
      </c>
      <c r="I20" s="137">
        <f>'таб 3(5)'!L44</f>
        <v>1092780</v>
      </c>
    </row>
    <row r="21" spans="1:9" ht="31.5">
      <c r="A21" s="16" t="s">
        <v>108</v>
      </c>
      <c r="B21" s="135">
        <f>C21+D21+E21+F21+G21+H21+I21</f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5.57421875" style="18" customWidth="1"/>
    <col min="6" max="6" width="14.7109375" style="18" customWidth="1"/>
    <col min="7" max="7" width="15.421875" style="18" customWidth="1"/>
    <col min="8" max="11" width="16.28125" style="18" customWidth="1"/>
    <col min="12" max="12" width="13.8515625" style="18" customWidth="1"/>
    <col min="13" max="13" width="27.421875" style="18" customWidth="1"/>
    <col min="14" max="20" width="4.421875" style="18" bestFit="1" customWidth="1"/>
    <col min="21" max="21" width="17.7109375" style="18" customWidth="1"/>
    <col min="22" max="16384" width="9.140625" style="18" customWidth="1"/>
  </cols>
  <sheetData>
    <row r="1" spans="15:21" ht="65.25" customHeight="1">
      <c r="O1" s="313" t="s">
        <v>285</v>
      </c>
      <c r="P1" s="313"/>
      <c r="Q1" s="313"/>
      <c r="R1" s="313"/>
      <c r="S1" s="313"/>
      <c r="T1" s="313"/>
      <c r="U1" s="313"/>
    </row>
    <row r="2" spans="20:21" ht="27" customHeight="1">
      <c r="T2" s="99"/>
      <c r="U2" s="121" t="s">
        <v>226</v>
      </c>
    </row>
    <row r="3" spans="1:21" ht="15.75">
      <c r="A3" s="247" t="s">
        <v>227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31.5" customHeight="1">
      <c r="A4" s="211" t="s">
        <v>97</v>
      </c>
      <c r="B4" s="211" t="s">
        <v>109</v>
      </c>
      <c r="C4" s="211" t="s">
        <v>110</v>
      </c>
      <c r="D4" s="211" t="s">
        <v>99</v>
      </c>
      <c r="E4" s="211" t="s">
        <v>111</v>
      </c>
      <c r="F4" s="211"/>
      <c r="G4" s="211"/>
      <c r="H4" s="211"/>
      <c r="I4" s="211"/>
      <c r="J4" s="211"/>
      <c r="K4" s="211"/>
      <c r="L4" s="211"/>
      <c r="M4" s="211" t="s">
        <v>32</v>
      </c>
      <c r="N4" s="211"/>
      <c r="O4" s="211"/>
      <c r="P4" s="211"/>
      <c r="Q4" s="211"/>
      <c r="R4" s="211"/>
      <c r="S4" s="211"/>
      <c r="T4" s="211"/>
      <c r="U4" s="265" t="s">
        <v>112</v>
      </c>
    </row>
    <row r="5" spans="1:21" ht="21" customHeight="1">
      <c r="A5" s="211"/>
      <c r="B5" s="211"/>
      <c r="C5" s="211"/>
      <c r="D5" s="211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6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23.25" customHeight="1">
      <c r="A7" s="20"/>
      <c r="B7" s="267" t="s">
        <v>228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22.5" customHeight="1">
      <c r="A8" s="20">
        <v>1</v>
      </c>
      <c r="B8" s="267" t="s">
        <v>229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2.75">
      <c r="A9" s="245" t="s">
        <v>121</v>
      </c>
      <c r="B9" s="294" t="s">
        <v>230</v>
      </c>
      <c r="C9" s="230" t="s">
        <v>78</v>
      </c>
      <c r="D9" s="21" t="s">
        <v>93</v>
      </c>
      <c r="E9" s="22">
        <f>E11+E12+E13+E14</f>
        <v>191413716.93</v>
      </c>
      <c r="F9" s="22">
        <f aca="true" t="shared" si="0" ref="F9:L9">F11+F12+F13+F14</f>
        <v>28284131</v>
      </c>
      <c r="G9" s="22">
        <f t="shared" si="0"/>
        <v>26512752.77</v>
      </c>
      <c r="H9" s="22">
        <f t="shared" si="0"/>
        <v>26580375.56</v>
      </c>
      <c r="I9" s="22">
        <f t="shared" si="0"/>
        <v>27779900</v>
      </c>
      <c r="J9" s="22">
        <f t="shared" si="0"/>
        <v>28721306.329999994</v>
      </c>
      <c r="K9" s="22">
        <f t="shared" si="0"/>
        <v>26492041.83</v>
      </c>
      <c r="L9" s="22">
        <f t="shared" si="0"/>
        <v>27043209.44</v>
      </c>
      <c r="M9" s="279" t="s">
        <v>266</v>
      </c>
      <c r="N9" s="314">
        <v>35</v>
      </c>
      <c r="O9" s="314">
        <v>35</v>
      </c>
      <c r="P9" s="314">
        <v>35</v>
      </c>
      <c r="Q9" s="314">
        <v>100</v>
      </c>
      <c r="R9" s="314">
        <v>100</v>
      </c>
      <c r="S9" s="314">
        <v>100</v>
      </c>
      <c r="T9" s="314">
        <v>100</v>
      </c>
      <c r="U9" s="279" t="s">
        <v>231</v>
      </c>
    </row>
    <row r="10" spans="1:21" ht="12.75">
      <c r="A10" s="245"/>
      <c r="B10" s="295"/>
      <c r="C10" s="231"/>
      <c r="D10" s="248" t="s">
        <v>113</v>
      </c>
      <c r="E10" s="249"/>
      <c r="F10" s="249"/>
      <c r="G10" s="249"/>
      <c r="H10" s="249"/>
      <c r="I10" s="249"/>
      <c r="J10" s="249"/>
      <c r="K10" s="249"/>
      <c r="L10" s="250"/>
      <c r="M10" s="280"/>
      <c r="N10" s="315"/>
      <c r="O10" s="315"/>
      <c r="P10" s="315"/>
      <c r="Q10" s="315"/>
      <c r="R10" s="315"/>
      <c r="S10" s="315"/>
      <c r="T10" s="315"/>
      <c r="U10" s="280"/>
    </row>
    <row r="11" spans="1:21" ht="12.75">
      <c r="A11" s="245"/>
      <c r="B11" s="295"/>
      <c r="C11" s="231"/>
      <c r="D11" s="21" t="s">
        <v>91</v>
      </c>
      <c r="E11" s="22">
        <f>F11+G11+H11+I11+J11+K11+L11</f>
        <v>191348868.36</v>
      </c>
      <c r="F11" s="22">
        <v>28284131</v>
      </c>
      <c r="G11" s="22">
        <v>26512752.77</v>
      </c>
      <c r="H11" s="22">
        <v>26580375.56</v>
      </c>
      <c r="I11" s="22">
        <v>27779900</v>
      </c>
      <c r="J11" s="22">
        <f>3177562.7+19049827.38+5753047.87+676019.81-20442.6-6173.67+26616.27</f>
        <v>28656457.759999994</v>
      </c>
      <c r="K11" s="22">
        <f>2340889.79+18009286.81+5438804.62+703060.61</f>
        <v>26492041.83</v>
      </c>
      <c r="L11" s="22">
        <f>2677093.1+18189395.41+5493197.41+683523.52</f>
        <v>27043209.44</v>
      </c>
      <c r="M11" s="280"/>
      <c r="N11" s="315"/>
      <c r="O11" s="315"/>
      <c r="P11" s="315"/>
      <c r="Q11" s="315"/>
      <c r="R11" s="315"/>
      <c r="S11" s="315"/>
      <c r="T11" s="315"/>
      <c r="U11" s="280"/>
    </row>
    <row r="12" spans="1:21" ht="12.75">
      <c r="A12" s="245"/>
      <c r="B12" s="295"/>
      <c r="C12" s="231"/>
      <c r="D12" s="21" t="s">
        <v>89</v>
      </c>
      <c r="E12" s="22">
        <f>F12+G12+H12+I12+J12+K12+L12</f>
        <v>64848.57</v>
      </c>
      <c r="F12" s="22"/>
      <c r="G12" s="22"/>
      <c r="H12" s="22"/>
      <c r="I12" s="22"/>
      <c r="J12" s="22">
        <v>64848.57</v>
      </c>
      <c r="K12" s="22"/>
      <c r="L12" s="22"/>
      <c r="M12" s="280"/>
      <c r="N12" s="315"/>
      <c r="O12" s="315"/>
      <c r="P12" s="315"/>
      <c r="Q12" s="315"/>
      <c r="R12" s="315"/>
      <c r="S12" s="315"/>
      <c r="T12" s="315"/>
      <c r="U12" s="280"/>
    </row>
    <row r="13" spans="1:21" ht="12.75">
      <c r="A13" s="245"/>
      <c r="B13" s="295"/>
      <c r="C13" s="231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80"/>
      <c r="N13" s="315"/>
      <c r="O13" s="315"/>
      <c r="P13" s="315"/>
      <c r="Q13" s="315"/>
      <c r="R13" s="315"/>
      <c r="S13" s="315"/>
      <c r="T13" s="315"/>
      <c r="U13" s="280"/>
    </row>
    <row r="14" spans="1:21" ht="70.5" customHeight="1">
      <c r="A14" s="245"/>
      <c r="B14" s="296"/>
      <c r="C14" s="232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81"/>
      <c r="N14" s="316"/>
      <c r="O14" s="316"/>
      <c r="P14" s="316"/>
      <c r="Q14" s="316"/>
      <c r="R14" s="316"/>
      <c r="S14" s="316"/>
      <c r="T14" s="316"/>
      <c r="U14" s="281"/>
    </row>
    <row r="15" spans="1:21" ht="12.75">
      <c r="A15" s="245" t="s">
        <v>122</v>
      </c>
      <c r="B15" s="294" t="s">
        <v>232</v>
      </c>
      <c r="C15" s="230" t="s">
        <v>78</v>
      </c>
      <c r="D15" s="21" t="s">
        <v>93</v>
      </c>
      <c r="E15" s="22">
        <f>E17+E18+E19+E20</f>
        <v>188348.08</v>
      </c>
      <c r="F15" s="22">
        <f aca="true" t="shared" si="1" ref="F15:L15">F17+F18+F19+F20</f>
        <v>116738</v>
      </c>
      <c r="G15" s="22">
        <f t="shared" si="1"/>
        <v>71610.07999999999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79" t="s">
        <v>3</v>
      </c>
      <c r="N15" s="227">
        <v>1</v>
      </c>
      <c r="O15" s="227">
        <v>1</v>
      </c>
      <c r="P15" s="227">
        <v>1</v>
      </c>
      <c r="Q15" s="227">
        <v>1</v>
      </c>
      <c r="R15" s="227">
        <v>1</v>
      </c>
      <c r="S15" s="227">
        <v>1</v>
      </c>
      <c r="T15" s="227">
        <v>1</v>
      </c>
      <c r="U15" s="279" t="s">
        <v>231</v>
      </c>
    </row>
    <row r="16" spans="1:21" ht="12.75">
      <c r="A16" s="245"/>
      <c r="B16" s="295"/>
      <c r="C16" s="231"/>
      <c r="D16" s="248" t="s">
        <v>113</v>
      </c>
      <c r="E16" s="249"/>
      <c r="F16" s="249"/>
      <c r="G16" s="249"/>
      <c r="H16" s="249"/>
      <c r="I16" s="249"/>
      <c r="J16" s="249"/>
      <c r="K16" s="249"/>
      <c r="L16" s="250"/>
      <c r="M16" s="280"/>
      <c r="N16" s="228"/>
      <c r="O16" s="228"/>
      <c r="P16" s="228"/>
      <c r="Q16" s="228"/>
      <c r="R16" s="228"/>
      <c r="S16" s="228"/>
      <c r="T16" s="228"/>
      <c r="U16" s="280"/>
    </row>
    <row r="17" spans="1:21" ht="12.75">
      <c r="A17" s="245"/>
      <c r="B17" s="295"/>
      <c r="C17" s="231"/>
      <c r="D17" s="21" t="s">
        <v>91</v>
      </c>
      <c r="E17" s="22">
        <f>F17+G17+H17+I17+J17+K17+L17</f>
        <v>188348.08</v>
      </c>
      <c r="F17" s="22">
        <v>116738</v>
      </c>
      <c r="G17" s="22">
        <f>75631.4-4021.32</f>
        <v>71610.07999999999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80"/>
      <c r="N17" s="228"/>
      <c r="O17" s="228"/>
      <c r="P17" s="228"/>
      <c r="Q17" s="228"/>
      <c r="R17" s="228"/>
      <c r="S17" s="228"/>
      <c r="T17" s="228"/>
      <c r="U17" s="280"/>
    </row>
    <row r="18" spans="1:21" ht="12.75">
      <c r="A18" s="245"/>
      <c r="B18" s="295"/>
      <c r="C18" s="231"/>
      <c r="D18" s="21" t="s">
        <v>89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0"/>
      <c r="N18" s="228"/>
      <c r="O18" s="228"/>
      <c r="P18" s="228"/>
      <c r="Q18" s="228"/>
      <c r="R18" s="228"/>
      <c r="S18" s="228"/>
      <c r="T18" s="228"/>
      <c r="U18" s="280"/>
    </row>
    <row r="19" spans="1:21" ht="12.75">
      <c r="A19" s="245"/>
      <c r="B19" s="295"/>
      <c r="C19" s="231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0"/>
      <c r="N19" s="228"/>
      <c r="O19" s="228"/>
      <c r="P19" s="228"/>
      <c r="Q19" s="228"/>
      <c r="R19" s="228"/>
      <c r="S19" s="228"/>
      <c r="T19" s="228"/>
      <c r="U19" s="280"/>
    </row>
    <row r="20" spans="1:21" ht="12.75">
      <c r="A20" s="245"/>
      <c r="B20" s="296"/>
      <c r="C20" s="232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1"/>
      <c r="N20" s="229"/>
      <c r="O20" s="229"/>
      <c r="P20" s="229"/>
      <c r="Q20" s="229"/>
      <c r="R20" s="229"/>
      <c r="S20" s="229"/>
      <c r="T20" s="229"/>
      <c r="U20" s="281"/>
    </row>
    <row r="21" spans="1:21" ht="12.75">
      <c r="A21" s="245" t="s">
        <v>123</v>
      </c>
      <c r="B21" s="259" t="s">
        <v>180</v>
      </c>
      <c r="C21" s="230" t="s">
        <v>78</v>
      </c>
      <c r="D21" s="21" t="s">
        <v>93</v>
      </c>
      <c r="E21" s="22">
        <f>E23+E24+E25+E26</f>
        <v>2460408.25</v>
      </c>
      <c r="F21" s="22">
        <f aca="true" t="shared" si="2" ref="F21:L21">F23+F24+F25+F26</f>
        <v>0</v>
      </c>
      <c r="G21" s="22">
        <f t="shared" si="2"/>
        <v>301092.01</v>
      </c>
      <c r="H21" s="22">
        <f t="shared" si="2"/>
        <v>328655.06</v>
      </c>
      <c r="I21" s="22">
        <f t="shared" si="2"/>
        <v>355296.18</v>
      </c>
      <c r="J21" s="22">
        <f t="shared" si="2"/>
        <v>590146</v>
      </c>
      <c r="K21" s="22">
        <f t="shared" si="2"/>
        <v>295073</v>
      </c>
      <c r="L21" s="22">
        <f t="shared" si="2"/>
        <v>590146</v>
      </c>
      <c r="M21" s="279" t="s">
        <v>264</v>
      </c>
      <c r="N21" s="227">
        <v>1</v>
      </c>
      <c r="O21" s="227">
        <v>1</v>
      </c>
      <c r="P21" s="227">
        <v>1</v>
      </c>
      <c r="Q21" s="227">
        <v>100</v>
      </c>
      <c r="R21" s="227">
        <v>100</v>
      </c>
      <c r="S21" s="227">
        <v>100</v>
      </c>
      <c r="T21" s="227">
        <v>100</v>
      </c>
      <c r="U21" s="279" t="s">
        <v>231</v>
      </c>
    </row>
    <row r="22" spans="1:21" ht="12.75">
      <c r="A22" s="245"/>
      <c r="B22" s="259"/>
      <c r="C22" s="231"/>
      <c r="D22" s="248" t="s">
        <v>113</v>
      </c>
      <c r="E22" s="249"/>
      <c r="F22" s="249"/>
      <c r="G22" s="249"/>
      <c r="H22" s="249"/>
      <c r="I22" s="249"/>
      <c r="J22" s="249"/>
      <c r="K22" s="249"/>
      <c r="L22" s="250"/>
      <c r="M22" s="280"/>
      <c r="N22" s="228"/>
      <c r="O22" s="228"/>
      <c r="P22" s="228"/>
      <c r="Q22" s="228"/>
      <c r="R22" s="228"/>
      <c r="S22" s="228"/>
      <c r="T22" s="228"/>
      <c r="U22" s="280"/>
    </row>
    <row r="23" spans="1:21" ht="12.75">
      <c r="A23" s="245"/>
      <c r="B23" s="259"/>
      <c r="C23" s="231"/>
      <c r="D23" s="21" t="s">
        <v>91</v>
      </c>
      <c r="E23" s="22">
        <f>F23+G23+H23+I23+J23+K23+L23</f>
        <v>2460408.25</v>
      </c>
      <c r="F23" s="22"/>
      <c r="G23" s="22">
        <v>301092.01</v>
      </c>
      <c r="H23" s="22">
        <f>295072.76+33582.3</f>
        <v>328655.06</v>
      </c>
      <c r="I23" s="22">
        <f>295072.76+60223.42</f>
        <v>355296.18</v>
      </c>
      <c r="J23" s="22">
        <v>590146</v>
      </c>
      <c r="K23" s="22">
        <v>295073</v>
      </c>
      <c r="L23" s="22">
        <v>590146</v>
      </c>
      <c r="M23" s="280"/>
      <c r="N23" s="228"/>
      <c r="O23" s="228"/>
      <c r="P23" s="228"/>
      <c r="Q23" s="228"/>
      <c r="R23" s="228"/>
      <c r="S23" s="228"/>
      <c r="T23" s="228"/>
      <c r="U23" s="280"/>
    </row>
    <row r="24" spans="1:21" ht="12.75">
      <c r="A24" s="245"/>
      <c r="B24" s="259"/>
      <c r="C24" s="231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80"/>
      <c r="N24" s="228"/>
      <c r="O24" s="228"/>
      <c r="P24" s="228"/>
      <c r="Q24" s="228"/>
      <c r="R24" s="228"/>
      <c r="S24" s="228"/>
      <c r="T24" s="228"/>
      <c r="U24" s="280"/>
    </row>
    <row r="25" spans="1:21" ht="12.75">
      <c r="A25" s="245"/>
      <c r="B25" s="259"/>
      <c r="C25" s="231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80"/>
      <c r="N25" s="228"/>
      <c r="O25" s="228"/>
      <c r="P25" s="228"/>
      <c r="Q25" s="228"/>
      <c r="R25" s="228"/>
      <c r="S25" s="228"/>
      <c r="T25" s="228"/>
      <c r="U25" s="280"/>
    </row>
    <row r="26" spans="1:21" ht="12.75">
      <c r="A26" s="245"/>
      <c r="B26" s="259"/>
      <c r="C26" s="232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81"/>
      <c r="N26" s="229"/>
      <c r="O26" s="229"/>
      <c r="P26" s="229"/>
      <c r="Q26" s="229"/>
      <c r="R26" s="229"/>
      <c r="S26" s="229"/>
      <c r="T26" s="229"/>
      <c r="U26" s="281"/>
    </row>
    <row r="27" spans="1:21" ht="12.75">
      <c r="A27" s="245" t="s">
        <v>124</v>
      </c>
      <c r="B27" s="294" t="s">
        <v>119</v>
      </c>
      <c r="C27" s="230" t="s">
        <v>78</v>
      </c>
      <c r="D27" s="21" t="s">
        <v>93</v>
      </c>
      <c r="E27" s="22">
        <f>E29+E30+E31+E32</f>
        <v>7494292.75</v>
      </c>
      <c r="F27" s="22">
        <f aca="true" t="shared" si="3" ref="F27:L27">F29+F30+F31+F32</f>
        <v>1000000</v>
      </c>
      <c r="G27" s="22">
        <f t="shared" si="3"/>
        <v>1511088.65</v>
      </c>
      <c r="H27" s="22">
        <f t="shared" si="3"/>
        <v>654114</v>
      </c>
      <c r="I27" s="22">
        <f t="shared" si="3"/>
        <v>1050750.1</v>
      </c>
      <c r="J27" s="22">
        <f t="shared" si="3"/>
        <v>1092780</v>
      </c>
      <c r="K27" s="22">
        <f t="shared" si="3"/>
        <v>1092780</v>
      </c>
      <c r="L27" s="22">
        <f t="shared" si="3"/>
        <v>1092780</v>
      </c>
      <c r="M27" s="279" t="s">
        <v>233</v>
      </c>
      <c r="N27" s="227">
        <v>1</v>
      </c>
      <c r="O27" s="227">
        <v>1</v>
      </c>
      <c r="P27" s="227">
        <v>1</v>
      </c>
      <c r="Q27" s="227">
        <v>1</v>
      </c>
      <c r="R27" s="227">
        <v>1</v>
      </c>
      <c r="S27" s="227">
        <v>1</v>
      </c>
      <c r="T27" s="227">
        <v>1</v>
      </c>
      <c r="U27" s="279" t="s">
        <v>231</v>
      </c>
    </row>
    <row r="28" spans="1:21" ht="12.75">
      <c r="A28" s="245"/>
      <c r="B28" s="295"/>
      <c r="C28" s="23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280"/>
      <c r="N28" s="228"/>
      <c r="O28" s="228"/>
      <c r="P28" s="228"/>
      <c r="Q28" s="228"/>
      <c r="R28" s="228"/>
      <c r="S28" s="228"/>
      <c r="T28" s="228"/>
      <c r="U28" s="280"/>
    </row>
    <row r="29" spans="1:21" ht="12.75">
      <c r="A29" s="245"/>
      <c r="B29" s="295"/>
      <c r="C29" s="231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0"/>
      <c r="N29" s="228"/>
      <c r="O29" s="228"/>
      <c r="P29" s="228"/>
      <c r="Q29" s="228"/>
      <c r="R29" s="228"/>
      <c r="S29" s="228"/>
      <c r="T29" s="228"/>
      <c r="U29" s="280"/>
    </row>
    <row r="30" spans="1:21" ht="12.75">
      <c r="A30" s="245"/>
      <c r="B30" s="295"/>
      <c r="C30" s="231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80"/>
      <c r="N30" s="228"/>
      <c r="O30" s="228"/>
      <c r="P30" s="228"/>
      <c r="Q30" s="228"/>
      <c r="R30" s="228"/>
      <c r="S30" s="228"/>
      <c r="T30" s="228"/>
      <c r="U30" s="280"/>
    </row>
    <row r="31" spans="1:21" ht="12.75">
      <c r="A31" s="245"/>
      <c r="B31" s="295"/>
      <c r="C31" s="231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0"/>
      <c r="N31" s="228"/>
      <c r="O31" s="228"/>
      <c r="P31" s="228"/>
      <c r="Q31" s="228"/>
      <c r="R31" s="228"/>
      <c r="S31" s="228"/>
      <c r="T31" s="228"/>
      <c r="U31" s="280"/>
    </row>
    <row r="32" spans="1:21" ht="12.75">
      <c r="A32" s="245"/>
      <c r="B32" s="296"/>
      <c r="C32" s="232"/>
      <c r="D32" s="21" t="s">
        <v>92</v>
      </c>
      <c r="E32" s="22">
        <f>F32+G32+H32+I32+J32+K32+L32</f>
        <v>7494292.75</v>
      </c>
      <c r="F32" s="22">
        <f>1700000-700000</f>
        <v>1000000</v>
      </c>
      <c r="G32" s="22">
        <v>1511088.65</v>
      </c>
      <c r="H32" s="22">
        <v>654114</v>
      </c>
      <c r="I32" s="22">
        <v>1050750.1</v>
      </c>
      <c r="J32" s="22">
        <v>1092780</v>
      </c>
      <c r="K32" s="22">
        <v>1092780</v>
      </c>
      <c r="L32" s="22">
        <v>1092780</v>
      </c>
      <c r="M32" s="281"/>
      <c r="N32" s="229"/>
      <c r="O32" s="229"/>
      <c r="P32" s="229"/>
      <c r="Q32" s="229"/>
      <c r="R32" s="229"/>
      <c r="S32" s="229"/>
      <c r="T32" s="229"/>
      <c r="U32" s="281"/>
    </row>
    <row r="33" spans="1:21" ht="13.5">
      <c r="A33" s="251"/>
      <c r="B33" s="305" t="s">
        <v>152</v>
      </c>
      <c r="C33" s="251"/>
      <c r="D33" s="101" t="s">
        <v>93</v>
      </c>
      <c r="E33" s="102">
        <f aca="true" t="shared" si="4" ref="E33:L33">E35+E36+E37+E38</f>
        <v>201556766.01</v>
      </c>
      <c r="F33" s="102">
        <f t="shared" si="4"/>
        <v>29400869</v>
      </c>
      <c r="G33" s="102">
        <f t="shared" si="4"/>
        <v>28396543.509999998</v>
      </c>
      <c r="H33" s="102">
        <f t="shared" si="4"/>
        <v>27563144.619999997</v>
      </c>
      <c r="I33" s="102">
        <f t="shared" si="4"/>
        <v>29185946.28</v>
      </c>
      <c r="J33" s="102">
        <f t="shared" si="4"/>
        <v>30404232.329999994</v>
      </c>
      <c r="K33" s="102">
        <f t="shared" si="4"/>
        <v>27879894.83</v>
      </c>
      <c r="L33" s="102">
        <f t="shared" si="4"/>
        <v>28726135.44</v>
      </c>
      <c r="M33" s="253"/>
      <c r="N33" s="239"/>
      <c r="O33" s="239"/>
      <c r="P33" s="239"/>
      <c r="Q33" s="239"/>
      <c r="R33" s="239"/>
      <c r="S33" s="239"/>
      <c r="T33" s="239"/>
      <c r="U33" s="242"/>
    </row>
    <row r="34" spans="1:21" ht="12.75" customHeight="1">
      <c r="A34" s="251"/>
      <c r="B34" s="306"/>
      <c r="C34" s="251"/>
      <c r="D34" s="256" t="s">
        <v>113</v>
      </c>
      <c r="E34" s="257"/>
      <c r="F34" s="257"/>
      <c r="G34" s="257"/>
      <c r="H34" s="257"/>
      <c r="I34" s="257"/>
      <c r="J34" s="257"/>
      <c r="K34" s="257"/>
      <c r="L34" s="258"/>
      <c r="M34" s="254"/>
      <c r="N34" s="240"/>
      <c r="O34" s="240"/>
      <c r="P34" s="240"/>
      <c r="Q34" s="240"/>
      <c r="R34" s="240"/>
      <c r="S34" s="240"/>
      <c r="T34" s="240"/>
      <c r="U34" s="243"/>
    </row>
    <row r="35" spans="1:21" ht="13.5" customHeight="1">
      <c r="A35" s="251"/>
      <c r="B35" s="306"/>
      <c r="C35" s="251"/>
      <c r="D35" s="103" t="s">
        <v>91</v>
      </c>
      <c r="E35" s="102">
        <f>F35+G35+H35+I35+J35+K35+L35</f>
        <v>193997624.69</v>
      </c>
      <c r="F35" s="104">
        <f>F11+F17+F23+F29</f>
        <v>28400869</v>
      </c>
      <c r="G35" s="104">
        <f aca="true" t="shared" si="5" ref="G35:L35">G11+G17+G29+G23</f>
        <v>26885454.86</v>
      </c>
      <c r="H35" s="104">
        <f t="shared" si="5"/>
        <v>26909030.619999997</v>
      </c>
      <c r="I35" s="104">
        <f t="shared" si="5"/>
        <v>28135196.18</v>
      </c>
      <c r="J35" s="104">
        <f t="shared" si="5"/>
        <v>29246603.759999994</v>
      </c>
      <c r="K35" s="104">
        <f t="shared" si="5"/>
        <v>26787114.83</v>
      </c>
      <c r="L35" s="104">
        <f t="shared" si="5"/>
        <v>27633355.44</v>
      </c>
      <c r="M35" s="254"/>
      <c r="N35" s="240"/>
      <c r="O35" s="240"/>
      <c r="P35" s="240"/>
      <c r="Q35" s="240"/>
      <c r="R35" s="240"/>
      <c r="S35" s="240"/>
      <c r="T35" s="240"/>
      <c r="U35" s="243"/>
    </row>
    <row r="36" spans="1:21" ht="13.5" customHeight="1">
      <c r="A36" s="251"/>
      <c r="B36" s="306"/>
      <c r="C36" s="251"/>
      <c r="D36" s="103" t="s">
        <v>89</v>
      </c>
      <c r="E36" s="102">
        <f>F36+G36+H36+I36+J36+K36+L36</f>
        <v>64848.57</v>
      </c>
      <c r="F36" s="104">
        <f aca="true" t="shared" si="6" ref="F36:L38">F12+F18+F30</f>
        <v>0</v>
      </c>
      <c r="G36" s="104">
        <f t="shared" si="6"/>
        <v>0</v>
      </c>
      <c r="H36" s="104">
        <f t="shared" si="6"/>
        <v>0</v>
      </c>
      <c r="I36" s="104">
        <f t="shared" si="6"/>
        <v>0</v>
      </c>
      <c r="J36" s="104">
        <f t="shared" si="6"/>
        <v>64848.57</v>
      </c>
      <c r="K36" s="104">
        <f t="shared" si="6"/>
        <v>0</v>
      </c>
      <c r="L36" s="104">
        <f t="shared" si="6"/>
        <v>0</v>
      </c>
      <c r="M36" s="254"/>
      <c r="N36" s="240"/>
      <c r="O36" s="240"/>
      <c r="P36" s="240"/>
      <c r="Q36" s="240"/>
      <c r="R36" s="240"/>
      <c r="S36" s="240"/>
      <c r="T36" s="240"/>
      <c r="U36" s="243"/>
    </row>
    <row r="37" spans="1:21" ht="13.5" customHeight="1">
      <c r="A37" s="251"/>
      <c r="B37" s="306"/>
      <c r="C37" s="251"/>
      <c r="D37" s="103" t="s">
        <v>90</v>
      </c>
      <c r="E37" s="102">
        <f>F37+G37+H37+I37+J37+K37+L37</f>
        <v>0</v>
      </c>
      <c r="F37" s="104">
        <f t="shared" si="6"/>
        <v>0</v>
      </c>
      <c r="G37" s="104">
        <f t="shared" si="6"/>
        <v>0</v>
      </c>
      <c r="H37" s="104">
        <f t="shared" si="6"/>
        <v>0</v>
      </c>
      <c r="I37" s="104">
        <f t="shared" si="6"/>
        <v>0</v>
      </c>
      <c r="J37" s="104">
        <f t="shared" si="6"/>
        <v>0</v>
      </c>
      <c r="K37" s="104">
        <f t="shared" si="6"/>
        <v>0</v>
      </c>
      <c r="L37" s="104">
        <f t="shared" si="6"/>
        <v>0</v>
      </c>
      <c r="M37" s="254"/>
      <c r="N37" s="240"/>
      <c r="O37" s="240"/>
      <c r="P37" s="240"/>
      <c r="Q37" s="240"/>
      <c r="R37" s="240"/>
      <c r="S37" s="240"/>
      <c r="T37" s="240"/>
      <c r="U37" s="243"/>
    </row>
    <row r="38" spans="1:21" ht="13.5" customHeight="1">
      <c r="A38" s="251"/>
      <c r="B38" s="307"/>
      <c r="C38" s="251"/>
      <c r="D38" s="103" t="s">
        <v>92</v>
      </c>
      <c r="E38" s="102">
        <f>F38+G38+H38+I38+J38+K38+L38</f>
        <v>7494292.75</v>
      </c>
      <c r="F38" s="104">
        <f t="shared" si="6"/>
        <v>1000000</v>
      </c>
      <c r="G38" s="104">
        <f t="shared" si="6"/>
        <v>1511088.65</v>
      </c>
      <c r="H38" s="104">
        <f t="shared" si="6"/>
        <v>654114</v>
      </c>
      <c r="I38" s="104">
        <f t="shared" si="6"/>
        <v>1050750.1</v>
      </c>
      <c r="J38" s="104">
        <f t="shared" si="6"/>
        <v>1092780</v>
      </c>
      <c r="K38" s="104">
        <f t="shared" si="6"/>
        <v>1092780</v>
      </c>
      <c r="L38" s="104">
        <f t="shared" si="6"/>
        <v>1092780</v>
      </c>
      <c r="M38" s="255"/>
      <c r="N38" s="241"/>
      <c r="O38" s="241"/>
      <c r="P38" s="241"/>
      <c r="Q38" s="241"/>
      <c r="R38" s="241"/>
      <c r="S38" s="241"/>
      <c r="T38" s="241"/>
      <c r="U38" s="244"/>
    </row>
    <row r="39" spans="1:21" ht="13.5" customHeight="1">
      <c r="A39" s="251"/>
      <c r="B39" s="305" t="s">
        <v>234</v>
      </c>
      <c r="C39" s="251"/>
      <c r="D39" s="101" t="s">
        <v>93</v>
      </c>
      <c r="E39" s="102">
        <f aca="true" t="shared" si="7" ref="E39:L39">E41+E42+E43+E44</f>
        <v>201556766.01</v>
      </c>
      <c r="F39" s="102">
        <f t="shared" si="7"/>
        <v>29400869</v>
      </c>
      <c r="G39" s="102">
        <f t="shared" si="7"/>
        <v>28396543.509999998</v>
      </c>
      <c r="H39" s="102">
        <f t="shared" si="7"/>
        <v>27563144.619999997</v>
      </c>
      <c r="I39" s="102">
        <f t="shared" si="7"/>
        <v>29185946.28</v>
      </c>
      <c r="J39" s="102">
        <f t="shared" si="7"/>
        <v>30404232.329999994</v>
      </c>
      <c r="K39" s="102">
        <f t="shared" si="7"/>
        <v>27879894.83</v>
      </c>
      <c r="L39" s="102">
        <f t="shared" si="7"/>
        <v>28726135.44</v>
      </c>
      <c r="M39" s="253"/>
      <c r="N39" s="239"/>
      <c r="O39" s="239"/>
      <c r="P39" s="239"/>
      <c r="Q39" s="239"/>
      <c r="R39" s="239"/>
      <c r="S39" s="239"/>
      <c r="T39" s="239"/>
      <c r="U39" s="242"/>
    </row>
    <row r="40" spans="1:21" ht="12.75" customHeight="1">
      <c r="A40" s="251"/>
      <c r="B40" s="306"/>
      <c r="C40" s="251"/>
      <c r="D40" s="256" t="s">
        <v>113</v>
      </c>
      <c r="E40" s="257"/>
      <c r="F40" s="257"/>
      <c r="G40" s="257"/>
      <c r="H40" s="257"/>
      <c r="I40" s="257"/>
      <c r="J40" s="257"/>
      <c r="K40" s="257"/>
      <c r="L40" s="258"/>
      <c r="M40" s="254"/>
      <c r="N40" s="240"/>
      <c r="O40" s="240"/>
      <c r="P40" s="240"/>
      <c r="Q40" s="240"/>
      <c r="R40" s="240"/>
      <c r="S40" s="240"/>
      <c r="T40" s="240"/>
      <c r="U40" s="243"/>
    </row>
    <row r="41" spans="1:21" ht="13.5" customHeight="1">
      <c r="A41" s="251"/>
      <c r="B41" s="306"/>
      <c r="C41" s="251"/>
      <c r="D41" s="103" t="s">
        <v>91</v>
      </c>
      <c r="E41" s="102">
        <f>F41+G41+H41+I41+J41+K41+L41</f>
        <v>193997624.69</v>
      </c>
      <c r="F41" s="104">
        <f aca="true" t="shared" si="8" ref="F41:H44">F35</f>
        <v>28400869</v>
      </c>
      <c r="G41" s="104">
        <f t="shared" si="8"/>
        <v>26885454.86</v>
      </c>
      <c r="H41" s="104">
        <f t="shared" si="8"/>
        <v>26909030.619999997</v>
      </c>
      <c r="I41" s="104">
        <f aca="true" t="shared" si="9" ref="I41:L44">I35</f>
        <v>28135196.18</v>
      </c>
      <c r="J41" s="104">
        <f t="shared" si="9"/>
        <v>29246603.759999994</v>
      </c>
      <c r="K41" s="104">
        <f t="shared" si="9"/>
        <v>26787114.83</v>
      </c>
      <c r="L41" s="104">
        <f t="shared" si="9"/>
        <v>27633355.44</v>
      </c>
      <c r="M41" s="254"/>
      <c r="N41" s="240"/>
      <c r="O41" s="240"/>
      <c r="P41" s="240"/>
      <c r="Q41" s="240"/>
      <c r="R41" s="240"/>
      <c r="S41" s="240"/>
      <c r="T41" s="240"/>
      <c r="U41" s="243"/>
    </row>
    <row r="42" spans="1:21" ht="13.5" customHeight="1">
      <c r="A42" s="251"/>
      <c r="B42" s="306"/>
      <c r="C42" s="251"/>
      <c r="D42" s="103" t="s">
        <v>89</v>
      </c>
      <c r="E42" s="102">
        <f>F42+G42+H42+I42+J42+K42+L42</f>
        <v>64848.57</v>
      </c>
      <c r="F42" s="104">
        <f t="shared" si="8"/>
        <v>0</v>
      </c>
      <c r="G42" s="104">
        <f t="shared" si="8"/>
        <v>0</v>
      </c>
      <c r="H42" s="104">
        <f t="shared" si="8"/>
        <v>0</v>
      </c>
      <c r="I42" s="104">
        <f t="shared" si="9"/>
        <v>0</v>
      </c>
      <c r="J42" s="104">
        <f t="shared" si="9"/>
        <v>64848.57</v>
      </c>
      <c r="K42" s="104">
        <f t="shared" si="9"/>
        <v>0</v>
      </c>
      <c r="L42" s="104">
        <f t="shared" si="9"/>
        <v>0</v>
      </c>
      <c r="M42" s="254"/>
      <c r="N42" s="240"/>
      <c r="O42" s="240"/>
      <c r="P42" s="240"/>
      <c r="Q42" s="240"/>
      <c r="R42" s="240"/>
      <c r="S42" s="240"/>
      <c r="T42" s="240"/>
      <c r="U42" s="243"/>
    </row>
    <row r="43" spans="1:21" ht="13.5" customHeight="1">
      <c r="A43" s="251"/>
      <c r="B43" s="306"/>
      <c r="C43" s="251"/>
      <c r="D43" s="103" t="s">
        <v>90</v>
      </c>
      <c r="E43" s="102">
        <f>F43+G43+H43+I43+J43+K43+L43</f>
        <v>0</v>
      </c>
      <c r="F43" s="104">
        <f t="shared" si="8"/>
        <v>0</v>
      </c>
      <c r="G43" s="104">
        <f t="shared" si="8"/>
        <v>0</v>
      </c>
      <c r="H43" s="104">
        <f t="shared" si="8"/>
        <v>0</v>
      </c>
      <c r="I43" s="104">
        <f t="shared" si="9"/>
        <v>0</v>
      </c>
      <c r="J43" s="104">
        <f t="shared" si="9"/>
        <v>0</v>
      </c>
      <c r="K43" s="104">
        <f t="shared" si="9"/>
        <v>0</v>
      </c>
      <c r="L43" s="104">
        <f t="shared" si="9"/>
        <v>0</v>
      </c>
      <c r="M43" s="254"/>
      <c r="N43" s="240"/>
      <c r="O43" s="240"/>
      <c r="P43" s="240"/>
      <c r="Q43" s="240"/>
      <c r="R43" s="240"/>
      <c r="S43" s="240"/>
      <c r="T43" s="240"/>
      <c r="U43" s="243"/>
    </row>
    <row r="44" spans="1:21" ht="13.5" customHeight="1">
      <c r="A44" s="251"/>
      <c r="B44" s="307"/>
      <c r="C44" s="251"/>
      <c r="D44" s="103" t="s">
        <v>92</v>
      </c>
      <c r="E44" s="102">
        <f>F44+G44+H44+I44+J44+K44+L44</f>
        <v>7494292.75</v>
      </c>
      <c r="F44" s="104">
        <f t="shared" si="8"/>
        <v>1000000</v>
      </c>
      <c r="G44" s="104">
        <f t="shared" si="8"/>
        <v>1511088.65</v>
      </c>
      <c r="H44" s="104">
        <f t="shared" si="8"/>
        <v>654114</v>
      </c>
      <c r="I44" s="104">
        <f t="shared" si="9"/>
        <v>1050750.1</v>
      </c>
      <c r="J44" s="104">
        <f t="shared" si="9"/>
        <v>1092780</v>
      </c>
      <c r="K44" s="104">
        <f t="shared" si="9"/>
        <v>1092780</v>
      </c>
      <c r="L44" s="104">
        <f t="shared" si="9"/>
        <v>1092780</v>
      </c>
      <c r="M44" s="255"/>
      <c r="N44" s="241"/>
      <c r="O44" s="241"/>
      <c r="P44" s="241"/>
      <c r="Q44" s="241"/>
      <c r="R44" s="241"/>
      <c r="S44" s="241"/>
      <c r="T44" s="241"/>
      <c r="U44" s="244"/>
    </row>
    <row r="47" ht="12.75">
      <c r="G47" s="25"/>
    </row>
  </sheetData>
  <sheetProtection/>
  <mergeCells count="89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39:U44"/>
    <mergeCell ref="D40:L40"/>
    <mergeCell ref="O39:O44"/>
    <mergeCell ref="P39:P44"/>
    <mergeCell ref="Q39:Q44"/>
    <mergeCell ref="R39:R44"/>
    <mergeCell ref="S39:S44"/>
    <mergeCell ref="T39:T44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7" customWidth="1"/>
    <col min="2" max="2" width="18.28125" style="7" customWidth="1"/>
    <col min="3" max="3" width="15.421875" style="7" customWidth="1"/>
    <col min="4" max="4" width="14.8515625" style="7" customWidth="1"/>
    <col min="5" max="5" width="14.28125" style="7" customWidth="1"/>
    <col min="6" max="6" width="15.7109375" style="7" bestFit="1" customWidth="1"/>
    <col min="7" max="8" width="14.28125" style="7" bestFit="1" customWidth="1"/>
    <col min="9" max="9" width="15.7109375" style="7" bestFit="1" customWidth="1"/>
    <col min="10" max="16384" width="9.140625" style="7" customWidth="1"/>
  </cols>
  <sheetData>
    <row r="1" spans="6:9" ht="71.25" customHeight="1">
      <c r="F1" s="313" t="s">
        <v>286</v>
      </c>
      <c r="G1" s="313"/>
      <c r="H1" s="313"/>
      <c r="I1" s="313"/>
    </row>
    <row r="2" spans="5:10" ht="18.75" customHeight="1">
      <c r="E2" s="8"/>
      <c r="G2" s="9"/>
      <c r="H2" s="9"/>
      <c r="I2" s="2" t="s">
        <v>235</v>
      </c>
      <c r="J2" s="9"/>
    </row>
    <row r="4" spans="1:9" ht="36.75" customHeight="1">
      <c r="A4" s="322" t="s">
        <v>236</v>
      </c>
      <c r="B4" s="322"/>
      <c r="C4" s="322"/>
      <c r="D4" s="322"/>
      <c r="E4" s="322"/>
      <c r="F4" s="322"/>
      <c r="G4" s="322"/>
      <c r="H4" s="322"/>
      <c r="I4" s="322"/>
    </row>
    <row r="5" spans="1:9" ht="30" customHeight="1">
      <c r="A5" s="323" t="s">
        <v>99</v>
      </c>
      <c r="B5" s="325" t="s">
        <v>100</v>
      </c>
      <c r="C5" s="327" t="s">
        <v>101</v>
      </c>
      <c r="D5" s="327"/>
      <c r="E5" s="327"/>
      <c r="F5" s="327"/>
      <c r="G5" s="327"/>
      <c r="H5" s="327"/>
      <c r="I5" s="327"/>
    </row>
    <row r="6" spans="1:9" ht="16.5" customHeight="1">
      <c r="A6" s="324"/>
      <c r="B6" s="326"/>
      <c r="C6" s="10">
        <v>2014</v>
      </c>
      <c r="D6" s="10">
        <v>2015</v>
      </c>
      <c r="E6" s="10">
        <v>2016</v>
      </c>
      <c r="F6" s="10">
        <v>2017</v>
      </c>
      <c r="G6" s="10">
        <v>2018</v>
      </c>
      <c r="H6" s="10">
        <v>2019</v>
      </c>
      <c r="I6" s="52">
        <v>2020</v>
      </c>
    </row>
    <row r="7" spans="1:9" ht="16.5" customHeight="1">
      <c r="A7" s="53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6">
        <v>9</v>
      </c>
    </row>
    <row r="8" spans="1:9" ht="19.5" customHeight="1">
      <c r="A8" s="11" t="s">
        <v>237</v>
      </c>
      <c r="B8" s="12">
        <f>B10+B11+B12+B13</f>
        <v>373648314.6</v>
      </c>
      <c r="C8" s="12">
        <f aca="true" t="shared" si="0" ref="C8:I8">C10+C11+C12+C13</f>
        <v>42388334</v>
      </c>
      <c r="D8" s="12">
        <f t="shared" si="0"/>
        <v>51554076.68</v>
      </c>
      <c r="E8" s="12">
        <f t="shared" si="0"/>
        <v>49201469.76</v>
      </c>
      <c r="F8" s="12">
        <f t="shared" si="0"/>
        <v>56565898</v>
      </c>
      <c r="G8" s="12">
        <f t="shared" si="0"/>
        <v>59569560.3</v>
      </c>
      <c r="H8" s="12">
        <f t="shared" si="0"/>
        <v>57170436.43</v>
      </c>
      <c r="I8" s="12">
        <f t="shared" si="0"/>
        <v>57198539.43</v>
      </c>
    </row>
    <row r="9" spans="1:9" ht="16.5" customHeight="1">
      <c r="A9" s="319" t="s">
        <v>102</v>
      </c>
      <c r="B9" s="320"/>
      <c r="C9" s="320"/>
      <c r="D9" s="320"/>
      <c r="E9" s="320"/>
      <c r="F9" s="320"/>
      <c r="G9" s="320"/>
      <c r="H9" s="320"/>
      <c r="I9" s="321"/>
    </row>
    <row r="10" spans="1:9" ht="16.5" customHeight="1">
      <c r="A10" s="13" t="s">
        <v>103</v>
      </c>
      <c r="B10" s="12">
        <f>C10+D10+E10+F10+G10+H10+I10</f>
        <v>44738467.32</v>
      </c>
      <c r="C10" s="15">
        <f>C17</f>
        <v>6370094</v>
      </c>
      <c r="D10" s="15">
        <f aca="true" t="shared" si="1" ref="D10:I10">D17</f>
        <v>6261697.23</v>
      </c>
      <c r="E10" s="15">
        <f t="shared" si="1"/>
        <v>5948669.76</v>
      </c>
      <c r="F10" s="15">
        <f t="shared" si="1"/>
        <v>6439998</v>
      </c>
      <c r="G10" s="15">
        <f t="shared" si="1"/>
        <v>6525832.47</v>
      </c>
      <c r="H10" s="15">
        <f t="shared" si="1"/>
        <v>6582036.43</v>
      </c>
      <c r="I10" s="15">
        <f t="shared" si="1"/>
        <v>6610139.43</v>
      </c>
    </row>
    <row r="11" spans="1:9" ht="16.5" customHeight="1">
      <c r="A11" s="13" t="s">
        <v>20</v>
      </c>
      <c r="B11" s="12">
        <f>C11+D11+E11+F11+G11+H11+I11</f>
        <v>112449827.83</v>
      </c>
      <c r="C11" s="15">
        <f aca="true" t="shared" si="2" ref="C11:I13">C18</f>
        <v>16180900</v>
      </c>
      <c r="D11" s="15">
        <f t="shared" si="2"/>
        <v>13779800</v>
      </c>
      <c r="E11" s="15">
        <f t="shared" si="2"/>
        <v>14942700</v>
      </c>
      <c r="F11" s="15">
        <f t="shared" si="2"/>
        <v>15925900</v>
      </c>
      <c r="G11" s="15">
        <f t="shared" si="2"/>
        <v>18843727.83</v>
      </c>
      <c r="H11" s="15">
        <f t="shared" si="2"/>
        <v>16388400</v>
      </c>
      <c r="I11" s="15">
        <f t="shared" si="2"/>
        <v>16388400</v>
      </c>
    </row>
    <row r="12" spans="1:9" ht="16.5" customHeight="1">
      <c r="A12" s="13" t="s">
        <v>21</v>
      </c>
      <c r="B12" s="12">
        <f>C12+D12+E12+F12+G12+H12+I12</f>
        <v>0</v>
      </c>
      <c r="C12" s="15">
        <f>C19</f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</row>
    <row r="13" spans="1:9" ht="16.5" customHeight="1">
      <c r="A13" s="13" t="s">
        <v>106</v>
      </c>
      <c r="B13" s="12">
        <f>C13+D13+E13+F13+G13+H13+I13</f>
        <v>216460019.45</v>
      </c>
      <c r="C13" s="15">
        <f t="shared" si="2"/>
        <v>19837340</v>
      </c>
      <c r="D13" s="15">
        <f t="shared" si="2"/>
        <v>31512579.45</v>
      </c>
      <c r="E13" s="15">
        <f t="shared" si="2"/>
        <v>28310100</v>
      </c>
      <c r="F13" s="15">
        <f t="shared" si="2"/>
        <v>34200000</v>
      </c>
      <c r="G13" s="15">
        <f t="shared" si="2"/>
        <v>34200000</v>
      </c>
      <c r="H13" s="15">
        <f t="shared" si="2"/>
        <v>34200000</v>
      </c>
      <c r="I13" s="15">
        <f t="shared" si="2"/>
        <v>34200000</v>
      </c>
    </row>
    <row r="14" spans="1:9" ht="16.5" customHeight="1">
      <c r="A14" s="328" t="s">
        <v>107</v>
      </c>
      <c r="B14" s="329"/>
      <c r="C14" s="329"/>
      <c r="D14" s="329"/>
      <c r="E14" s="329"/>
      <c r="F14" s="329"/>
      <c r="G14" s="329"/>
      <c r="H14" s="329"/>
      <c r="I14" s="330"/>
    </row>
    <row r="15" spans="1:9" ht="48.75" customHeight="1">
      <c r="A15" s="14" t="s">
        <v>114</v>
      </c>
      <c r="B15" s="12">
        <f>B17+B18+B19+B20</f>
        <v>373648314.6</v>
      </c>
      <c r="C15" s="12">
        <f>C17+C18+C19+C20</f>
        <v>42388334</v>
      </c>
      <c r="D15" s="12">
        <f aca="true" t="shared" si="3" ref="D15:I15">D17+D18+D19+D20</f>
        <v>51554076.68</v>
      </c>
      <c r="E15" s="12">
        <f t="shared" si="3"/>
        <v>49201469.76</v>
      </c>
      <c r="F15" s="12">
        <f t="shared" si="3"/>
        <v>56565898</v>
      </c>
      <c r="G15" s="12">
        <f t="shared" si="3"/>
        <v>59569560.3</v>
      </c>
      <c r="H15" s="12">
        <f t="shared" si="3"/>
        <v>57170436.43</v>
      </c>
      <c r="I15" s="12">
        <f t="shared" si="3"/>
        <v>57198539.43</v>
      </c>
    </row>
    <row r="16" spans="1:9" ht="16.5" customHeight="1">
      <c r="A16" s="319" t="s">
        <v>102</v>
      </c>
      <c r="B16" s="320"/>
      <c r="C16" s="320"/>
      <c r="D16" s="320"/>
      <c r="E16" s="320"/>
      <c r="F16" s="320"/>
      <c r="G16" s="320"/>
      <c r="H16" s="320"/>
      <c r="I16" s="321"/>
    </row>
    <row r="17" spans="1:9" ht="16.5" customHeight="1">
      <c r="A17" s="13" t="s">
        <v>103</v>
      </c>
      <c r="B17" s="12">
        <f>C17+D17+E17+F17+G17+H17+I17</f>
        <v>44738467.32</v>
      </c>
      <c r="C17" s="15">
        <f>'таб 3(6)'!F53</f>
        <v>6370094</v>
      </c>
      <c r="D17" s="15">
        <f>'таб 3(6)'!G53</f>
        <v>6261697.23</v>
      </c>
      <c r="E17" s="15">
        <f>'таб 3(6)'!H53</f>
        <v>5948669.76</v>
      </c>
      <c r="F17" s="15">
        <f>'таб 3(6)'!I53</f>
        <v>6439998</v>
      </c>
      <c r="G17" s="15">
        <f>'таб 3(6)'!J53</f>
        <v>6525832.47</v>
      </c>
      <c r="H17" s="15">
        <f>'таб 3(6)'!K53</f>
        <v>6582036.43</v>
      </c>
      <c r="I17" s="15">
        <f>'таб 3(6)'!L53</f>
        <v>6610139.43</v>
      </c>
    </row>
    <row r="18" spans="1:9" ht="16.5" customHeight="1">
      <c r="A18" s="13" t="s">
        <v>20</v>
      </c>
      <c r="B18" s="12">
        <f>C18+D18+E18+F18+G18+H18+I18</f>
        <v>112449827.83</v>
      </c>
      <c r="C18" s="15">
        <f>'таб 3(6)'!F54</f>
        <v>16180900</v>
      </c>
      <c r="D18" s="15">
        <f>'таб 3(6)'!G54</f>
        <v>13779800</v>
      </c>
      <c r="E18" s="15">
        <f>'таб 3(6)'!H54</f>
        <v>14942700</v>
      </c>
      <c r="F18" s="15">
        <f>'таб 3(6)'!I54</f>
        <v>15925900</v>
      </c>
      <c r="G18" s="15">
        <f>'таб 3(6)'!J54</f>
        <v>18843727.83</v>
      </c>
      <c r="H18" s="15">
        <f>'таб 3(6)'!K54</f>
        <v>16388400</v>
      </c>
      <c r="I18" s="15">
        <f>'таб 3(6)'!L54</f>
        <v>16388400</v>
      </c>
    </row>
    <row r="19" spans="1:9" ht="16.5" customHeight="1">
      <c r="A19" s="13" t="s">
        <v>21</v>
      </c>
      <c r="B19" s="12">
        <f>C19+D19+E19+F19+G19+H19+I19</f>
        <v>0</v>
      </c>
      <c r="C19" s="15">
        <f>'таб 3(6)'!F55</f>
        <v>0</v>
      </c>
      <c r="D19" s="15">
        <f>'таб 3(6)'!G55</f>
        <v>0</v>
      </c>
      <c r="E19" s="15">
        <f>'таб 3(6)'!H55</f>
        <v>0</v>
      </c>
      <c r="F19" s="15">
        <f>'таб 3(6)'!I55</f>
        <v>0</v>
      </c>
      <c r="G19" s="15">
        <f>'таб 3(6)'!J55</f>
        <v>0</v>
      </c>
      <c r="H19" s="15">
        <f>'таб 3(6)'!K55</f>
        <v>0</v>
      </c>
      <c r="I19" s="15">
        <f>'таб 3(6)'!L55</f>
        <v>0</v>
      </c>
    </row>
    <row r="20" spans="1:9" ht="16.5" customHeight="1">
      <c r="A20" s="13" t="s">
        <v>106</v>
      </c>
      <c r="B20" s="12">
        <f>C20+D20+E20+F20+G20+H20+I20</f>
        <v>216460019.45</v>
      </c>
      <c r="C20" s="15">
        <f>'таб 3(6)'!F56</f>
        <v>19837340</v>
      </c>
      <c r="D20" s="15">
        <f>'таб 3(6)'!G56</f>
        <v>31512579.45</v>
      </c>
      <c r="E20" s="15">
        <f>'таб 3(6)'!H56</f>
        <v>28310100</v>
      </c>
      <c r="F20" s="15">
        <f>'таб 3(6)'!I56</f>
        <v>34200000</v>
      </c>
      <c r="G20" s="15">
        <f>'таб 3(6)'!J56</f>
        <v>34200000</v>
      </c>
      <c r="H20" s="15">
        <f>'таб 3(6)'!K56</f>
        <v>34200000</v>
      </c>
      <c r="I20" s="15">
        <f>'таб 3(6)'!L56</f>
        <v>34200000</v>
      </c>
    </row>
    <row r="21" spans="1:9" ht="31.5">
      <c r="A21" s="16" t="s">
        <v>108</v>
      </c>
      <c r="B21" s="12">
        <f>C21+D21+E21+F21+G21+H21+I21</f>
        <v>0</v>
      </c>
      <c r="C21" s="15">
        <f>'таб 3(6)'!F57</f>
        <v>0</v>
      </c>
      <c r="D21" s="15">
        <f>'таб 3(6)'!G57</f>
        <v>0</v>
      </c>
      <c r="E21" s="15">
        <f>'таб 3(6)'!H57</f>
        <v>0</v>
      </c>
      <c r="F21" s="15">
        <f>'таб 3(6)'!I57</f>
        <v>0</v>
      </c>
      <c r="G21" s="15">
        <f>'таб 3(6)'!J57</f>
        <v>0</v>
      </c>
      <c r="H21" s="15">
        <f>'таб 3(6)'!K57</f>
        <v>0</v>
      </c>
      <c r="I21" s="15">
        <f>'таб 3(6)'!L57</f>
        <v>0</v>
      </c>
    </row>
    <row r="23" spans="4:9" ht="15.75">
      <c r="D23" s="114"/>
      <c r="E23" s="114"/>
      <c r="F23" s="114"/>
      <c r="G23" s="114"/>
      <c r="H23" s="114"/>
      <c r="I23" s="114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F1">
      <selection activeCell="O1" sqref="O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7" width="12.8515625" style="18" bestFit="1" customWidth="1"/>
    <col min="8" max="8" width="13.57421875" style="18" bestFit="1" customWidth="1"/>
    <col min="9" max="12" width="12.8515625" style="18" bestFit="1" customWidth="1"/>
    <col min="13" max="13" width="27.28125" style="18" customWidth="1"/>
    <col min="14" max="20" width="4.421875" style="18" bestFit="1" customWidth="1"/>
    <col min="21" max="21" width="19.421875" style="18" customWidth="1"/>
    <col min="22" max="16384" width="9.140625" style="18" customWidth="1"/>
  </cols>
  <sheetData>
    <row r="1" spans="15:21" ht="69.75" customHeight="1">
      <c r="O1" s="313" t="s">
        <v>287</v>
      </c>
      <c r="P1" s="313"/>
      <c r="Q1" s="313"/>
      <c r="R1" s="313"/>
      <c r="S1" s="313"/>
      <c r="T1" s="313"/>
      <c r="U1" s="313"/>
    </row>
    <row r="2" spans="20:21" ht="31.5">
      <c r="T2" s="99"/>
      <c r="U2" s="105" t="s">
        <v>238</v>
      </c>
    </row>
    <row r="3" spans="1:21" ht="15.75">
      <c r="A3" s="247" t="s">
        <v>239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31.5" customHeight="1">
      <c r="A4" s="211" t="s">
        <v>97</v>
      </c>
      <c r="B4" s="211" t="s">
        <v>109</v>
      </c>
      <c r="C4" s="211" t="s">
        <v>110</v>
      </c>
      <c r="D4" s="211" t="s">
        <v>99</v>
      </c>
      <c r="E4" s="211" t="s">
        <v>111</v>
      </c>
      <c r="F4" s="211"/>
      <c r="G4" s="211"/>
      <c r="H4" s="211"/>
      <c r="I4" s="211"/>
      <c r="J4" s="211"/>
      <c r="K4" s="211"/>
      <c r="L4" s="211"/>
      <c r="M4" s="211" t="s">
        <v>32</v>
      </c>
      <c r="N4" s="211"/>
      <c r="O4" s="211"/>
      <c r="P4" s="211"/>
      <c r="Q4" s="211"/>
      <c r="R4" s="211"/>
      <c r="S4" s="211"/>
      <c r="T4" s="211"/>
      <c r="U4" s="265" t="s">
        <v>112</v>
      </c>
    </row>
    <row r="5" spans="1:21" ht="21" customHeight="1">
      <c r="A5" s="211"/>
      <c r="B5" s="211"/>
      <c r="C5" s="211"/>
      <c r="D5" s="211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6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7" t="s">
        <v>240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2.75">
      <c r="A8" s="20">
        <v>1</v>
      </c>
      <c r="B8" s="267" t="s">
        <v>241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6.5" customHeight="1">
      <c r="A9" s="245" t="s">
        <v>121</v>
      </c>
      <c r="B9" s="294" t="s">
        <v>242</v>
      </c>
      <c r="C9" s="230" t="s">
        <v>78</v>
      </c>
      <c r="D9" s="21" t="s">
        <v>93</v>
      </c>
      <c r="E9" s="22">
        <f>E11+E12+E13+E14</f>
        <v>53030044.48</v>
      </c>
      <c r="F9" s="22">
        <f aca="true" t="shared" si="0" ref="F9:L9">F11+F12+F13+F14</f>
        <v>6791464</v>
      </c>
      <c r="G9" s="22">
        <f t="shared" si="0"/>
        <v>6800330.36</v>
      </c>
      <c r="H9" s="22">
        <f t="shared" si="0"/>
        <v>6935497</v>
      </c>
      <c r="I9" s="22">
        <f t="shared" si="0"/>
        <v>7439745</v>
      </c>
      <c r="J9" s="22">
        <f t="shared" si="0"/>
        <v>9991221.26</v>
      </c>
      <c r="K9" s="22">
        <f t="shared" si="0"/>
        <v>7535893.43</v>
      </c>
      <c r="L9" s="22">
        <f t="shared" si="0"/>
        <v>7535893.43</v>
      </c>
      <c r="M9" s="236" t="s">
        <v>243</v>
      </c>
      <c r="N9" s="314">
        <v>2101</v>
      </c>
      <c r="O9" s="314">
        <v>2137</v>
      </c>
      <c r="P9" s="314">
        <v>2140</v>
      </c>
      <c r="Q9" s="314">
        <v>2473</v>
      </c>
      <c r="R9" s="314">
        <v>2471</v>
      </c>
      <c r="S9" s="314">
        <v>2471</v>
      </c>
      <c r="T9" s="314">
        <v>2471</v>
      </c>
      <c r="U9" s="279" t="s">
        <v>244</v>
      </c>
    </row>
    <row r="10" spans="1:21" ht="16.5" customHeight="1">
      <c r="A10" s="245"/>
      <c r="B10" s="295"/>
      <c r="C10" s="231"/>
      <c r="D10" s="248" t="s">
        <v>113</v>
      </c>
      <c r="E10" s="249"/>
      <c r="F10" s="249"/>
      <c r="G10" s="249"/>
      <c r="H10" s="249"/>
      <c r="I10" s="249"/>
      <c r="J10" s="249"/>
      <c r="K10" s="249"/>
      <c r="L10" s="250"/>
      <c r="M10" s="237"/>
      <c r="N10" s="315"/>
      <c r="O10" s="315"/>
      <c r="P10" s="315"/>
      <c r="Q10" s="315"/>
      <c r="R10" s="315"/>
      <c r="S10" s="315"/>
      <c r="T10" s="315"/>
      <c r="U10" s="280"/>
    </row>
    <row r="11" spans="1:21" ht="12.75">
      <c r="A11" s="245"/>
      <c r="B11" s="295"/>
      <c r="C11" s="231"/>
      <c r="D11" s="21" t="s">
        <v>91</v>
      </c>
      <c r="E11" s="22">
        <f>F11+G11+H11+I11+J11+K11+L11</f>
        <v>40867116.65</v>
      </c>
      <c r="F11" s="22">
        <v>5886264</v>
      </c>
      <c r="G11" s="22">
        <v>5658330.36</v>
      </c>
      <c r="H11" s="22">
        <v>5478597</v>
      </c>
      <c r="I11" s="22">
        <v>5783945</v>
      </c>
      <c r="J11" s="22">
        <v>6019993.43</v>
      </c>
      <c r="K11" s="22">
        <v>6019993.43</v>
      </c>
      <c r="L11" s="22">
        <v>6019993.43</v>
      </c>
      <c r="M11" s="237"/>
      <c r="N11" s="315"/>
      <c r="O11" s="315"/>
      <c r="P11" s="315"/>
      <c r="Q11" s="315"/>
      <c r="R11" s="315"/>
      <c r="S11" s="315"/>
      <c r="T11" s="315"/>
      <c r="U11" s="280"/>
    </row>
    <row r="12" spans="1:21" ht="12.75">
      <c r="A12" s="245"/>
      <c r="B12" s="295"/>
      <c r="C12" s="231"/>
      <c r="D12" s="21" t="s">
        <v>89</v>
      </c>
      <c r="E12" s="22">
        <f>F12+G12+H12+I12+J12+K12+L12</f>
        <v>12162927.83</v>
      </c>
      <c r="F12" s="22">
        <v>905200</v>
      </c>
      <c r="G12" s="22">
        <f>1119300+22700</f>
        <v>1142000</v>
      </c>
      <c r="H12" s="22">
        <f>1396800+60100</f>
        <v>1456900</v>
      </c>
      <c r="I12" s="22">
        <f>1601600+54200</f>
        <v>1655800</v>
      </c>
      <c r="J12" s="22">
        <f>1515900+2455327.83</f>
        <v>3971227.83</v>
      </c>
      <c r="K12" s="22">
        <v>1515900</v>
      </c>
      <c r="L12" s="22">
        <v>1515900</v>
      </c>
      <c r="M12" s="237"/>
      <c r="N12" s="315"/>
      <c r="O12" s="315"/>
      <c r="P12" s="315"/>
      <c r="Q12" s="315"/>
      <c r="R12" s="315"/>
      <c r="S12" s="315"/>
      <c r="T12" s="315"/>
      <c r="U12" s="280"/>
    </row>
    <row r="13" spans="1:21" ht="12.75" customHeight="1">
      <c r="A13" s="245"/>
      <c r="B13" s="295"/>
      <c r="C13" s="231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37"/>
      <c r="N13" s="315"/>
      <c r="O13" s="315"/>
      <c r="P13" s="315"/>
      <c r="Q13" s="315"/>
      <c r="R13" s="315"/>
      <c r="S13" s="315"/>
      <c r="T13" s="315"/>
      <c r="U13" s="280"/>
    </row>
    <row r="14" spans="1:21" ht="18.75" customHeight="1">
      <c r="A14" s="245"/>
      <c r="B14" s="296"/>
      <c r="C14" s="232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38"/>
      <c r="N14" s="316"/>
      <c r="O14" s="316"/>
      <c r="P14" s="316"/>
      <c r="Q14" s="316"/>
      <c r="R14" s="316"/>
      <c r="S14" s="316"/>
      <c r="T14" s="316"/>
      <c r="U14" s="281"/>
    </row>
    <row r="15" spans="1:21" ht="24" customHeight="1">
      <c r="A15" s="245" t="s">
        <v>122</v>
      </c>
      <c r="B15" s="294" t="s">
        <v>245</v>
      </c>
      <c r="C15" s="230" t="s">
        <v>78</v>
      </c>
      <c r="D15" s="21" t="s">
        <v>93</v>
      </c>
      <c r="E15" s="22">
        <f>E17+E18+E19+E20</f>
        <v>100286900</v>
      </c>
      <c r="F15" s="22">
        <f aca="true" t="shared" si="1" ref="F15:L15">F17+F18+F19+F20</f>
        <v>15275700</v>
      </c>
      <c r="G15" s="22">
        <f t="shared" si="1"/>
        <v>12637800</v>
      </c>
      <c r="H15" s="22">
        <f t="shared" si="1"/>
        <v>13485800</v>
      </c>
      <c r="I15" s="22">
        <f t="shared" si="1"/>
        <v>14270100</v>
      </c>
      <c r="J15" s="22">
        <f t="shared" si="1"/>
        <v>14872500</v>
      </c>
      <c r="K15" s="22">
        <f t="shared" si="1"/>
        <v>14872500</v>
      </c>
      <c r="L15" s="22">
        <f t="shared" si="1"/>
        <v>14872500</v>
      </c>
      <c r="M15" s="236" t="s">
        <v>246</v>
      </c>
      <c r="N15" s="314">
        <v>1002</v>
      </c>
      <c r="O15" s="314">
        <v>1011</v>
      </c>
      <c r="P15" s="314">
        <v>1021</v>
      </c>
      <c r="Q15" s="314">
        <v>855</v>
      </c>
      <c r="R15" s="314">
        <v>889</v>
      </c>
      <c r="S15" s="314">
        <v>889</v>
      </c>
      <c r="T15" s="314">
        <v>889</v>
      </c>
      <c r="U15" s="279" t="s">
        <v>247</v>
      </c>
    </row>
    <row r="16" spans="1:21" ht="16.5" customHeight="1">
      <c r="A16" s="245"/>
      <c r="B16" s="295"/>
      <c r="C16" s="231"/>
      <c r="D16" s="248" t="s">
        <v>113</v>
      </c>
      <c r="E16" s="249"/>
      <c r="F16" s="249"/>
      <c r="G16" s="249"/>
      <c r="H16" s="249"/>
      <c r="I16" s="249"/>
      <c r="J16" s="249"/>
      <c r="K16" s="249"/>
      <c r="L16" s="250"/>
      <c r="M16" s="237"/>
      <c r="N16" s="315"/>
      <c r="O16" s="315"/>
      <c r="P16" s="315"/>
      <c r="Q16" s="315"/>
      <c r="R16" s="315"/>
      <c r="S16" s="315"/>
      <c r="T16" s="315"/>
      <c r="U16" s="280"/>
    </row>
    <row r="17" spans="1:21" ht="18" customHeight="1">
      <c r="A17" s="245"/>
      <c r="B17" s="295"/>
      <c r="C17" s="231"/>
      <c r="D17" s="21" t="s">
        <v>91</v>
      </c>
      <c r="E17" s="22">
        <f>F17+G17+H17+I17+J17+K17+L17</f>
        <v>0</v>
      </c>
      <c r="F17" s="22"/>
      <c r="G17" s="22"/>
      <c r="H17" s="22"/>
      <c r="I17" s="22"/>
      <c r="J17" s="22"/>
      <c r="K17" s="22"/>
      <c r="L17" s="22"/>
      <c r="M17" s="237"/>
      <c r="N17" s="315"/>
      <c r="O17" s="315"/>
      <c r="P17" s="315"/>
      <c r="Q17" s="315"/>
      <c r="R17" s="315"/>
      <c r="S17" s="315"/>
      <c r="T17" s="315"/>
      <c r="U17" s="280"/>
    </row>
    <row r="18" spans="1:21" ht="12.75" customHeight="1">
      <c r="A18" s="245"/>
      <c r="B18" s="295"/>
      <c r="C18" s="231"/>
      <c r="D18" s="21" t="s">
        <v>89</v>
      </c>
      <c r="E18" s="22">
        <f>F18+G18+H18+I18+J18+K18+L18</f>
        <v>100286900</v>
      </c>
      <c r="F18" s="22">
        <v>15275700</v>
      </c>
      <c r="G18" s="22">
        <v>12637800</v>
      </c>
      <c r="H18" s="22">
        <f>13137100+348700</f>
        <v>13485800</v>
      </c>
      <c r="I18" s="22">
        <f>13494200+775900</f>
        <v>14270100</v>
      </c>
      <c r="J18" s="22">
        <v>14872500</v>
      </c>
      <c r="K18" s="22">
        <v>14872500</v>
      </c>
      <c r="L18" s="22">
        <v>14872500</v>
      </c>
      <c r="M18" s="237"/>
      <c r="N18" s="315"/>
      <c r="O18" s="315"/>
      <c r="P18" s="315"/>
      <c r="Q18" s="315"/>
      <c r="R18" s="315"/>
      <c r="S18" s="315"/>
      <c r="T18" s="315"/>
      <c r="U18" s="280"/>
    </row>
    <row r="19" spans="1:21" ht="12.75" customHeight="1">
      <c r="A19" s="245"/>
      <c r="B19" s="295"/>
      <c r="C19" s="231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37"/>
      <c r="N19" s="315"/>
      <c r="O19" s="315"/>
      <c r="P19" s="315"/>
      <c r="Q19" s="315"/>
      <c r="R19" s="315"/>
      <c r="S19" s="315"/>
      <c r="T19" s="315"/>
      <c r="U19" s="280"/>
    </row>
    <row r="20" spans="1:21" ht="24" customHeight="1">
      <c r="A20" s="245"/>
      <c r="B20" s="296"/>
      <c r="C20" s="232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38"/>
      <c r="N20" s="316"/>
      <c r="O20" s="316"/>
      <c r="P20" s="316"/>
      <c r="Q20" s="316"/>
      <c r="R20" s="316"/>
      <c r="S20" s="316"/>
      <c r="T20" s="316"/>
      <c r="U20" s="281"/>
    </row>
    <row r="21" spans="1:21" ht="15" customHeight="1">
      <c r="A21" s="245" t="s">
        <v>123</v>
      </c>
      <c r="B21" s="294" t="s">
        <v>248</v>
      </c>
      <c r="C21" s="230" t="s">
        <v>78</v>
      </c>
      <c r="D21" s="21" t="s">
        <v>93</v>
      </c>
      <c r="E21" s="22">
        <f>E23+E24+E25+E26</f>
        <v>216460019.45</v>
      </c>
      <c r="F21" s="22">
        <f aca="true" t="shared" si="2" ref="F21:L21">F23+F24+F25+F26</f>
        <v>19837340</v>
      </c>
      <c r="G21" s="22">
        <f t="shared" si="2"/>
        <v>31512579.45</v>
      </c>
      <c r="H21" s="22">
        <f t="shared" si="2"/>
        <v>28310100</v>
      </c>
      <c r="I21" s="22">
        <f t="shared" si="2"/>
        <v>34200000</v>
      </c>
      <c r="J21" s="22">
        <f t="shared" si="2"/>
        <v>34200000</v>
      </c>
      <c r="K21" s="22">
        <f t="shared" si="2"/>
        <v>34200000</v>
      </c>
      <c r="L21" s="22">
        <f t="shared" si="2"/>
        <v>34200000</v>
      </c>
      <c r="M21" s="236" t="s">
        <v>249</v>
      </c>
      <c r="N21" s="314">
        <v>90</v>
      </c>
      <c r="O21" s="314">
        <v>93</v>
      </c>
      <c r="P21" s="314">
        <v>94</v>
      </c>
      <c r="Q21" s="314">
        <v>95</v>
      </c>
      <c r="R21" s="314">
        <v>100</v>
      </c>
      <c r="S21" s="314">
        <v>100</v>
      </c>
      <c r="T21" s="314">
        <v>100</v>
      </c>
      <c r="U21" s="279" t="s">
        <v>247</v>
      </c>
    </row>
    <row r="22" spans="1:21" ht="16.5" customHeight="1">
      <c r="A22" s="245"/>
      <c r="B22" s="295"/>
      <c r="C22" s="231"/>
      <c r="D22" s="248" t="s">
        <v>113</v>
      </c>
      <c r="E22" s="249"/>
      <c r="F22" s="249"/>
      <c r="G22" s="249"/>
      <c r="H22" s="249"/>
      <c r="I22" s="249"/>
      <c r="J22" s="249"/>
      <c r="K22" s="249"/>
      <c r="L22" s="250"/>
      <c r="M22" s="237"/>
      <c r="N22" s="315"/>
      <c r="O22" s="315"/>
      <c r="P22" s="315"/>
      <c r="Q22" s="315"/>
      <c r="R22" s="315"/>
      <c r="S22" s="315"/>
      <c r="T22" s="315"/>
      <c r="U22" s="280"/>
    </row>
    <row r="23" spans="1:21" ht="12.75" customHeight="1">
      <c r="A23" s="245"/>
      <c r="B23" s="295"/>
      <c r="C23" s="231"/>
      <c r="D23" s="21" t="s">
        <v>91</v>
      </c>
      <c r="E23" s="22">
        <f>F23+G23+H23+I23+J23+K23+L23</f>
        <v>0</v>
      </c>
      <c r="F23" s="22"/>
      <c r="G23" s="22"/>
      <c r="H23" s="22"/>
      <c r="I23" s="22"/>
      <c r="J23" s="22"/>
      <c r="K23" s="22"/>
      <c r="L23" s="22"/>
      <c r="M23" s="237"/>
      <c r="N23" s="315"/>
      <c r="O23" s="315"/>
      <c r="P23" s="315"/>
      <c r="Q23" s="315"/>
      <c r="R23" s="315"/>
      <c r="S23" s="315"/>
      <c r="T23" s="315"/>
      <c r="U23" s="280"/>
    </row>
    <row r="24" spans="1:21" ht="12.75" customHeight="1">
      <c r="A24" s="245"/>
      <c r="B24" s="295"/>
      <c r="C24" s="231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37"/>
      <c r="N24" s="315"/>
      <c r="O24" s="315"/>
      <c r="P24" s="315"/>
      <c r="Q24" s="315"/>
      <c r="R24" s="315"/>
      <c r="S24" s="315"/>
      <c r="T24" s="315"/>
      <c r="U24" s="280"/>
    </row>
    <row r="25" spans="1:21" ht="12.75" customHeight="1">
      <c r="A25" s="245"/>
      <c r="B25" s="295"/>
      <c r="C25" s="231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37"/>
      <c r="N25" s="315"/>
      <c r="O25" s="315"/>
      <c r="P25" s="315"/>
      <c r="Q25" s="315"/>
      <c r="R25" s="315"/>
      <c r="S25" s="315"/>
      <c r="T25" s="315"/>
      <c r="U25" s="280"/>
    </row>
    <row r="26" spans="1:21" ht="12.75" customHeight="1">
      <c r="A26" s="245"/>
      <c r="B26" s="296"/>
      <c r="C26" s="232"/>
      <c r="D26" s="21" t="s">
        <v>92</v>
      </c>
      <c r="E26" s="22">
        <f>F26+G26+H26+I26+J26+K26+L26</f>
        <v>216460019.45</v>
      </c>
      <c r="F26" s="22">
        <v>19837340</v>
      </c>
      <c r="G26" s="83">
        <v>31512579.45</v>
      </c>
      <c r="H26" s="83">
        <v>28310100</v>
      </c>
      <c r="I26" s="83">
        <v>34200000</v>
      </c>
      <c r="J26" s="83">
        <v>34200000</v>
      </c>
      <c r="K26" s="83">
        <v>34200000</v>
      </c>
      <c r="L26" s="83">
        <v>34200000</v>
      </c>
      <c r="M26" s="238"/>
      <c r="N26" s="316"/>
      <c r="O26" s="316"/>
      <c r="P26" s="316"/>
      <c r="Q26" s="316"/>
      <c r="R26" s="316"/>
      <c r="S26" s="316"/>
      <c r="T26" s="316"/>
      <c r="U26" s="281"/>
    </row>
    <row r="27" spans="1:21" ht="15" customHeight="1">
      <c r="A27" s="245" t="s">
        <v>124</v>
      </c>
      <c r="B27" s="294" t="s">
        <v>250</v>
      </c>
      <c r="C27" s="230" t="s">
        <v>78</v>
      </c>
      <c r="D27" s="21" t="s">
        <v>93</v>
      </c>
      <c r="E27" s="22">
        <f>E29+E30+E31+E32</f>
        <v>44288.86</v>
      </c>
      <c r="F27" s="22">
        <f aca="true" t="shared" si="3" ref="F27:L27">F29+F30+F31+F32</f>
        <v>33830</v>
      </c>
      <c r="G27" s="22">
        <f t="shared" si="3"/>
        <v>10458.86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  <c r="L27" s="22">
        <f t="shared" si="3"/>
        <v>0</v>
      </c>
      <c r="M27" s="236" t="s">
        <v>3</v>
      </c>
      <c r="N27" s="227">
        <v>1</v>
      </c>
      <c r="O27" s="227">
        <v>1</v>
      </c>
      <c r="P27" s="227">
        <v>1</v>
      </c>
      <c r="Q27" s="227">
        <v>1</v>
      </c>
      <c r="R27" s="227">
        <v>1</v>
      </c>
      <c r="S27" s="227">
        <v>1</v>
      </c>
      <c r="T27" s="227">
        <v>1</v>
      </c>
      <c r="U27" s="236" t="s">
        <v>251</v>
      </c>
    </row>
    <row r="28" spans="1:21" ht="16.5" customHeight="1">
      <c r="A28" s="245"/>
      <c r="B28" s="295"/>
      <c r="C28" s="23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237"/>
      <c r="N28" s="228"/>
      <c r="O28" s="228"/>
      <c r="P28" s="228"/>
      <c r="Q28" s="228"/>
      <c r="R28" s="228"/>
      <c r="S28" s="228"/>
      <c r="T28" s="228"/>
      <c r="U28" s="237"/>
    </row>
    <row r="29" spans="1:21" ht="12.75" customHeight="1">
      <c r="A29" s="245"/>
      <c r="B29" s="295"/>
      <c r="C29" s="231"/>
      <c r="D29" s="21" t="s">
        <v>91</v>
      </c>
      <c r="E29" s="22">
        <f>F29+G29+H29+I29+J29+K29+L29</f>
        <v>44288.86</v>
      </c>
      <c r="F29" s="22">
        <v>33830</v>
      </c>
      <c r="G29" s="22">
        <f>11046-587.32+0.18</f>
        <v>10458.86</v>
      </c>
      <c r="H29" s="22">
        <v>0</v>
      </c>
      <c r="I29" s="22">
        <v>0</v>
      </c>
      <c r="J29" s="22"/>
      <c r="K29" s="22"/>
      <c r="L29" s="22"/>
      <c r="M29" s="237"/>
      <c r="N29" s="228"/>
      <c r="O29" s="228"/>
      <c r="P29" s="228"/>
      <c r="Q29" s="228"/>
      <c r="R29" s="228"/>
      <c r="S29" s="228"/>
      <c r="T29" s="228"/>
      <c r="U29" s="237"/>
    </row>
    <row r="30" spans="1:21" ht="12.75" customHeight="1">
      <c r="A30" s="245"/>
      <c r="B30" s="295"/>
      <c r="C30" s="231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37"/>
      <c r="N30" s="228"/>
      <c r="O30" s="228"/>
      <c r="P30" s="228"/>
      <c r="Q30" s="228"/>
      <c r="R30" s="228"/>
      <c r="S30" s="228"/>
      <c r="T30" s="228"/>
      <c r="U30" s="237"/>
    </row>
    <row r="31" spans="1:21" ht="12.75" customHeight="1">
      <c r="A31" s="245"/>
      <c r="B31" s="295"/>
      <c r="C31" s="231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37"/>
      <c r="N31" s="228"/>
      <c r="O31" s="228"/>
      <c r="P31" s="228"/>
      <c r="Q31" s="228"/>
      <c r="R31" s="228"/>
      <c r="S31" s="228"/>
      <c r="T31" s="228"/>
      <c r="U31" s="237"/>
    </row>
    <row r="32" spans="1:21" ht="12.75" customHeight="1">
      <c r="A32" s="245"/>
      <c r="B32" s="296"/>
      <c r="C32" s="232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38"/>
      <c r="N32" s="229"/>
      <c r="O32" s="229"/>
      <c r="P32" s="229"/>
      <c r="Q32" s="229"/>
      <c r="R32" s="229"/>
      <c r="S32" s="229"/>
      <c r="T32" s="229"/>
      <c r="U32" s="238"/>
    </row>
    <row r="33" spans="1:21" ht="15" customHeight="1">
      <c r="A33" s="245" t="s">
        <v>125</v>
      </c>
      <c r="B33" s="294" t="s">
        <v>252</v>
      </c>
      <c r="C33" s="230" t="s">
        <v>78</v>
      </c>
      <c r="D33" s="21" t="s">
        <v>93</v>
      </c>
      <c r="E33" s="22">
        <f>E35+E36+E37+E38</f>
        <v>2834561.81</v>
      </c>
      <c r="F33" s="22">
        <f aca="true" t="shared" si="4" ref="F33:L33">F35+F36+F37+F38</f>
        <v>0</v>
      </c>
      <c r="G33" s="22">
        <f t="shared" si="4"/>
        <v>417908.01</v>
      </c>
      <c r="H33" s="22">
        <f t="shared" si="4"/>
        <v>295072.76</v>
      </c>
      <c r="I33" s="22">
        <f t="shared" si="4"/>
        <v>463553</v>
      </c>
      <c r="J33" s="22">
        <f t="shared" si="4"/>
        <v>505839.04</v>
      </c>
      <c r="K33" s="22">
        <f t="shared" si="4"/>
        <v>562043</v>
      </c>
      <c r="L33" s="22">
        <f t="shared" si="4"/>
        <v>590146</v>
      </c>
      <c r="M33" s="236" t="s">
        <v>264</v>
      </c>
      <c r="N33" s="227">
        <v>1</v>
      </c>
      <c r="O33" s="227">
        <v>1</v>
      </c>
      <c r="P33" s="227">
        <v>1</v>
      </c>
      <c r="Q33" s="227">
        <v>100</v>
      </c>
      <c r="R33" s="227">
        <v>100</v>
      </c>
      <c r="S33" s="227">
        <v>100</v>
      </c>
      <c r="T33" s="227">
        <v>100</v>
      </c>
      <c r="U33" s="236" t="s">
        <v>251</v>
      </c>
    </row>
    <row r="34" spans="1:21" ht="16.5" customHeight="1">
      <c r="A34" s="245"/>
      <c r="B34" s="295"/>
      <c r="C34" s="231"/>
      <c r="D34" s="248" t="s">
        <v>113</v>
      </c>
      <c r="E34" s="249"/>
      <c r="F34" s="249"/>
      <c r="G34" s="249"/>
      <c r="H34" s="249"/>
      <c r="I34" s="249"/>
      <c r="J34" s="249"/>
      <c r="K34" s="249"/>
      <c r="L34" s="250"/>
      <c r="M34" s="237"/>
      <c r="N34" s="228"/>
      <c r="O34" s="228"/>
      <c r="P34" s="228"/>
      <c r="Q34" s="228"/>
      <c r="R34" s="228"/>
      <c r="S34" s="228"/>
      <c r="T34" s="228"/>
      <c r="U34" s="237"/>
    </row>
    <row r="35" spans="1:21" ht="12.75" customHeight="1">
      <c r="A35" s="245"/>
      <c r="B35" s="295"/>
      <c r="C35" s="231"/>
      <c r="D35" s="21" t="s">
        <v>91</v>
      </c>
      <c r="E35" s="22">
        <f>F35+G35+H35+I35+J35+K35+L35</f>
        <v>2834561.81</v>
      </c>
      <c r="F35" s="22"/>
      <c r="G35" s="22">
        <f>592908.01-175000</f>
        <v>417908.01</v>
      </c>
      <c r="H35" s="22">
        <v>295072.76</v>
      </c>
      <c r="I35" s="22">
        <f>295072.76+168480.24</f>
        <v>463553</v>
      </c>
      <c r="J35" s="22">
        <v>505839.04</v>
      </c>
      <c r="K35" s="22">
        <v>562043</v>
      </c>
      <c r="L35" s="22">
        <v>590146</v>
      </c>
      <c r="M35" s="237"/>
      <c r="N35" s="228"/>
      <c r="O35" s="228"/>
      <c r="P35" s="228"/>
      <c r="Q35" s="228"/>
      <c r="R35" s="228"/>
      <c r="S35" s="228"/>
      <c r="T35" s="228"/>
      <c r="U35" s="237"/>
    </row>
    <row r="36" spans="1:21" ht="12.75" customHeight="1">
      <c r="A36" s="245"/>
      <c r="B36" s="295"/>
      <c r="C36" s="231"/>
      <c r="D36" s="21" t="s">
        <v>89</v>
      </c>
      <c r="E36" s="22">
        <f>F36+G36+H36+I36+J36+K36+L36</f>
        <v>0</v>
      </c>
      <c r="F36" s="22"/>
      <c r="G36" s="22"/>
      <c r="H36" s="22"/>
      <c r="I36" s="22"/>
      <c r="J36" s="22"/>
      <c r="K36" s="22"/>
      <c r="L36" s="22"/>
      <c r="M36" s="237"/>
      <c r="N36" s="228"/>
      <c r="O36" s="228"/>
      <c r="P36" s="228"/>
      <c r="Q36" s="228"/>
      <c r="R36" s="228"/>
      <c r="S36" s="228"/>
      <c r="T36" s="228"/>
      <c r="U36" s="237"/>
    </row>
    <row r="37" spans="1:21" ht="12.75" customHeight="1">
      <c r="A37" s="245"/>
      <c r="B37" s="295"/>
      <c r="C37" s="231"/>
      <c r="D37" s="21" t="s">
        <v>90</v>
      </c>
      <c r="E37" s="22">
        <f>F37+G37+H37+I37+J37+K37+L37</f>
        <v>0</v>
      </c>
      <c r="F37" s="22"/>
      <c r="G37" s="22"/>
      <c r="H37" s="22"/>
      <c r="I37" s="22"/>
      <c r="J37" s="22"/>
      <c r="K37" s="22"/>
      <c r="L37" s="22"/>
      <c r="M37" s="237"/>
      <c r="N37" s="228"/>
      <c r="O37" s="228"/>
      <c r="P37" s="228"/>
      <c r="Q37" s="228"/>
      <c r="R37" s="228"/>
      <c r="S37" s="228"/>
      <c r="T37" s="228"/>
      <c r="U37" s="237"/>
    </row>
    <row r="38" spans="1:21" ht="12.75" customHeight="1">
      <c r="A38" s="245"/>
      <c r="B38" s="296"/>
      <c r="C38" s="232"/>
      <c r="D38" s="21" t="s">
        <v>92</v>
      </c>
      <c r="E38" s="22">
        <f>F38+G38+H38+I38+J38+K38+L38</f>
        <v>0</v>
      </c>
      <c r="F38" s="22"/>
      <c r="G38" s="22"/>
      <c r="H38" s="22"/>
      <c r="I38" s="22"/>
      <c r="J38" s="22"/>
      <c r="K38" s="22"/>
      <c r="L38" s="22"/>
      <c r="M38" s="238"/>
      <c r="N38" s="229"/>
      <c r="O38" s="229"/>
      <c r="P38" s="229"/>
      <c r="Q38" s="229"/>
      <c r="R38" s="229"/>
      <c r="S38" s="229"/>
      <c r="T38" s="229"/>
      <c r="U38" s="238"/>
    </row>
    <row r="39" spans="1:21" ht="12.75" customHeight="1">
      <c r="A39" s="245" t="s">
        <v>126</v>
      </c>
      <c r="B39" s="294" t="s">
        <v>253</v>
      </c>
      <c r="C39" s="230" t="s">
        <v>78</v>
      </c>
      <c r="D39" s="21" t="s">
        <v>93</v>
      </c>
      <c r="E39" s="22">
        <f>E41+E42+E43+E44</f>
        <v>992500</v>
      </c>
      <c r="F39" s="22">
        <f aca="true" t="shared" si="5" ref="F39:L39">F41+F42+F43+F44</f>
        <v>450000</v>
      </c>
      <c r="G39" s="22">
        <f t="shared" si="5"/>
        <v>175000</v>
      </c>
      <c r="H39" s="22">
        <f t="shared" si="5"/>
        <v>175000</v>
      </c>
      <c r="I39" s="22">
        <f t="shared" si="5"/>
        <v>192500</v>
      </c>
      <c r="J39" s="22">
        <f t="shared" si="5"/>
        <v>0</v>
      </c>
      <c r="K39" s="22">
        <f t="shared" si="5"/>
        <v>0</v>
      </c>
      <c r="L39" s="22">
        <f t="shared" si="5"/>
        <v>0</v>
      </c>
      <c r="M39" s="236" t="s">
        <v>254</v>
      </c>
      <c r="N39" s="227">
        <v>1</v>
      </c>
      <c r="O39" s="227">
        <v>1</v>
      </c>
      <c r="P39" s="227">
        <v>1</v>
      </c>
      <c r="Q39" s="227">
        <v>1</v>
      </c>
      <c r="R39" s="227">
        <v>1</v>
      </c>
      <c r="S39" s="227">
        <v>1</v>
      </c>
      <c r="T39" s="227">
        <v>1</v>
      </c>
      <c r="U39" s="236" t="s">
        <v>251</v>
      </c>
    </row>
    <row r="40" spans="1:21" ht="12.75" customHeight="1">
      <c r="A40" s="245"/>
      <c r="B40" s="295"/>
      <c r="C40" s="231"/>
      <c r="D40" s="248" t="s">
        <v>113</v>
      </c>
      <c r="E40" s="249"/>
      <c r="F40" s="249"/>
      <c r="G40" s="249"/>
      <c r="H40" s="249"/>
      <c r="I40" s="249"/>
      <c r="J40" s="249"/>
      <c r="K40" s="249"/>
      <c r="L40" s="250"/>
      <c r="M40" s="237"/>
      <c r="N40" s="228"/>
      <c r="O40" s="228"/>
      <c r="P40" s="228"/>
      <c r="Q40" s="228"/>
      <c r="R40" s="228"/>
      <c r="S40" s="228"/>
      <c r="T40" s="228"/>
      <c r="U40" s="237"/>
    </row>
    <row r="41" spans="1:21" ht="12.75" customHeight="1">
      <c r="A41" s="245"/>
      <c r="B41" s="295"/>
      <c r="C41" s="231"/>
      <c r="D41" s="21" t="s">
        <v>91</v>
      </c>
      <c r="E41" s="22">
        <f>F41+G41+H41+I41+J41+K41+L41</f>
        <v>992500</v>
      </c>
      <c r="F41" s="22">
        <v>450000</v>
      </c>
      <c r="G41" s="22">
        <f>175000</f>
        <v>175000</v>
      </c>
      <c r="H41" s="22">
        <v>175000</v>
      </c>
      <c r="I41" s="22">
        <v>192500</v>
      </c>
      <c r="J41" s="22">
        <v>0</v>
      </c>
      <c r="K41" s="22">
        <v>0</v>
      </c>
      <c r="L41" s="22">
        <v>0</v>
      </c>
      <c r="M41" s="237"/>
      <c r="N41" s="228"/>
      <c r="O41" s="228"/>
      <c r="P41" s="228"/>
      <c r="Q41" s="228"/>
      <c r="R41" s="228"/>
      <c r="S41" s="228"/>
      <c r="T41" s="228"/>
      <c r="U41" s="237"/>
    </row>
    <row r="42" spans="1:21" ht="12.75" customHeight="1">
      <c r="A42" s="245"/>
      <c r="B42" s="295"/>
      <c r="C42" s="231"/>
      <c r="D42" s="21" t="s">
        <v>89</v>
      </c>
      <c r="E42" s="22">
        <f>F42+G42+H42+I42+J42+K42+L42</f>
        <v>0</v>
      </c>
      <c r="F42" s="22"/>
      <c r="G42" s="22"/>
      <c r="H42" s="22"/>
      <c r="I42" s="22"/>
      <c r="J42" s="22"/>
      <c r="K42" s="22"/>
      <c r="L42" s="22"/>
      <c r="M42" s="237"/>
      <c r="N42" s="228"/>
      <c r="O42" s="228"/>
      <c r="P42" s="228"/>
      <c r="Q42" s="228"/>
      <c r="R42" s="228"/>
      <c r="S42" s="228"/>
      <c r="T42" s="228"/>
      <c r="U42" s="237"/>
    </row>
    <row r="43" spans="1:21" ht="12.75" customHeight="1">
      <c r="A43" s="245"/>
      <c r="B43" s="295"/>
      <c r="C43" s="231"/>
      <c r="D43" s="21" t="s">
        <v>90</v>
      </c>
      <c r="E43" s="22">
        <f>F43+G43+H43+I43+J43+K43+L43</f>
        <v>0</v>
      </c>
      <c r="F43" s="22"/>
      <c r="G43" s="22"/>
      <c r="H43" s="22"/>
      <c r="I43" s="22"/>
      <c r="J43" s="22"/>
      <c r="K43" s="22"/>
      <c r="L43" s="22"/>
      <c r="M43" s="237"/>
      <c r="N43" s="228"/>
      <c r="O43" s="228"/>
      <c r="P43" s="228"/>
      <c r="Q43" s="228"/>
      <c r="R43" s="228"/>
      <c r="S43" s="228"/>
      <c r="T43" s="228"/>
      <c r="U43" s="237"/>
    </row>
    <row r="44" spans="1:21" ht="12.75" customHeight="1">
      <c r="A44" s="245"/>
      <c r="B44" s="296"/>
      <c r="C44" s="232"/>
      <c r="D44" s="21" t="s">
        <v>92</v>
      </c>
      <c r="E44" s="22">
        <f>F44+G44+H44+I44+J44+K44+L44</f>
        <v>0</v>
      </c>
      <c r="F44" s="22"/>
      <c r="G44" s="22"/>
      <c r="H44" s="22"/>
      <c r="I44" s="22"/>
      <c r="J44" s="22"/>
      <c r="K44" s="22"/>
      <c r="L44" s="22"/>
      <c r="M44" s="238"/>
      <c r="N44" s="229"/>
      <c r="O44" s="229"/>
      <c r="P44" s="229"/>
      <c r="Q44" s="229"/>
      <c r="R44" s="229"/>
      <c r="S44" s="229"/>
      <c r="T44" s="229"/>
      <c r="U44" s="238"/>
    </row>
    <row r="45" spans="1:21" ht="13.5" customHeight="1">
      <c r="A45" s="251"/>
      <c r="B45" s="305" t="s">
        <v>152</v>
      </c>
      <c r="C45" s="251"/>
      <c r="D45" s="101" t="s">
        <v>93</v>
      </c>
      <c r="E45" s="102">
        <f aca="true" t="shared" si="6" ref="E45:L45">E47+E48+E49+E50</f>
        <v>373648314.6</v>
      </c>
      <c r="F45" s="102">
        <f t="shared" si="6"/>
        <v>42388334</v>
      </c>
      <c r="G45" s="102">
        <f t="shared" si="6"/>
        <v>51554076.68</v>
      </c>
      <c r="H45" s="102">
        <f t="shared" si="6"/>
        <v>49201469.76</v>
      </c>
      <c r="I45" s="102">
        <f t="shared" si="6"/>
        <v>56565898</v>
      </c>
      <c r="J45" s="102">
        <f t="shared" si="6"/>
        <v>59569560.3</v>
      </c>
      <c r="K45" s="102">
        <f t="shared" si="6"/>
        <v>57170436.43</v>
      </c>
      <c r="L45" s="102">
        <f t="shared" si="6"/>
        <v>57198539.43</v>
      </c>
      <c r="M45" s="253"/>
      <c r="N45" s="239"/>
      <c r="O45" s="239"/>
      <c r="P45" s="239"/>
      <c r="Q45" s="239"/>
      <c r="R45" s="239"/>
      <c r="S45" s="239"/>
      <c r="T45" s="239"/>
      <c r="U45" s="242"/>
    </row>
    <row r="46" spans="1:21" ht="12.75" customHeight="1">
      <c r="A46" s="251"/>
      <c r="B46" s="306"/>
      <c r="C46" s="251"/>
      <c r="D46" s="256" t="s">
        <v>113</v>
      </c>
      <c r="E46" s="257"/>
      <c r="F46" s="257"/>
      <c r="G46" s="257"/>
      <c r="H46" s="257"/>
      <c r="I46" s="257"/>
      <c r="J46" s="257"/>
      <c r="K46" s="257"/>
      <c r="L46" s="258"/>
      <c r="M46" s="254"/>
      <c r="N46" s="240"/>
      <c r="O46" s="240"/>
      <c r="P46" s="240"/>
      <c r="Q46" s="240"/>
      <c r="R46" s="240"/>
      <c r="S46" s="240"/>
      <c r="T46" s="240"/>
      <c r="U46" s="243"/>
    </row>
    <row r="47" spans="1:21" ht="13.5" customHeight="1">
      <c r="A47" s="251"/>
      <c r="B47" s="306"/>
      <c r="C47" s="251"/>
      <c r="D47" s="103" t="s">
        <v>91</v>
      </c>
      <c r="E47" s="102">
        <f>F47+G47+H47+I47+J47+K47+L47</f>
        <v>44738467.32</v>
      </c>
      <c r="F47" s="104">
        <f>F11+F17+F23+F29+F35+F41</f>
        <v>6370094</v>
      </c>
      <c r="G47" s="104">
        <f>G11+G17+G23+G29+G35+G41</f>
        <v>6261697.23</v>
      </c>
      <c r="H47" s="104">
        <f>H11+H17+H23+H29+H35+H41</f>
        <v>5948669.76</v>
      </c>
      <c r="I47" s="104">
        <f>I11+I17+I23+I29+I35+I41</f>
        <v>6439998</v>
      </c>
      <c r="J47" s="104">
        <f>J11+J17+J23+J29+J35</f>
        <v>6525832.47</v>
      </c>
      <c r="K47" s="104">
        <f>K11+K17+K23+K29+K35</f>
        <v>6582036.43</v>
      </c>
      <c r="L47" s="104">
        <f>L11+L17+L23+L29+L35</f>
        <v>6610139.43</v>
      </c>
      <c r="M47" s="254"/>
      <c r="N47" s="240"/>
      <c r="O47" s="240"/>
      <c r="P47" s="240"/>
      <c r="Q47" s="240"/>
      <c r="R47" s="240"/>
      <c r="S47" s="240"/>
      <c r="T47" s="240"/>
      <c r="U47" s="243"/>
    </row>
    <row r="48" spans="1:21" ht="13.5" customHeight="1">
      <c r="A48" s="251"/>
      <c r="B48" s="306"/>
      <c r="C48" s="251"/>
      <c r="D48" s="103" t="s">
        <v>89</v>
      </c>
      <c r="E48" s="102">
        <f>F48+G48+H48+I48+J48+K48+L48</f>
        <v>112449827.83</v>
      </c>
      <c r="F48" s="104">
        <f aca="true" t="shared" si="7" ref="F48:H50">F12+F18+F24+F30+F36</f>
        <v>16180900</v>
      </c>
      <c r="G48" s="104">
        <f t="shared" si="7"/>
        <v>13779800</v>
      </c>
      <c r="H48" s="104">
        <f t="shared" si="7"/>
        <v>14942700</v>
      </c>
      <c r="I48" s="104">
        <f aca="true" t="shared" si="8" ref="I48:L50">I12+I18+I24+I30+I36</f>
        <v>15925900</v>
      </c>
      <c r="J48" s="104">
        <f t="shared" si="8"/>
        <v>18843727.83</v>
      </c>
      <c r="K48" s="104">
        <f t="shared" si="8"/>
        <v>16388400</v>
      </c>
      <c r="L48" s="104">
        <f t="shared" si="8"/>
        <v>16388400</v>
      </c>
      <c r="M48" s="254"/>
      <c r="N48" s="240"/>
      <c r="O48" s="240"/>
      <c r="P48" s="240"/>
      <c r="Q48" s="240"/>
      <c r="R48" s="240"/>
      <c r="S48" s="240"/>
      <c r="T48" s="240"/>
      <c r="U48" s="243"/>
    </row>
    <row r="49" spans="1:21" ht="13.5" customHeight="1">
      <c r="A49" s="251"/>
      <c r="B49" s="306"/>
      <c r="C49" s="251"/>
      <c r="D49" s="103" t="s">
        <v>90</v>
      </c>
      <c r="E49" s="102">
        <f>F49+G49+H49+I49+J49+K49+L49</f>
        <v>0</v>
      </c>
      <c r="F49" s="104">
        <f t="shared" si="7"/>
        <v>0</v>
      </c>
      <c r="G49" s="104">
        <f t="shared" si="7"/>
        <v>0</v>
      </c>
      <c r="H49" s="104">
        <f t="shared" si="7"/>
        <v>0</v>
      </c>
      <c r="I49" s="104">
        <f t="shared" si="8"/>
        <v>0</v>
      </c>
      <c r="J49" s="104">
        <f t="shared" si="8"/>
        <v>0</v>
      </c>
      <c r="K49" s="104">
        <f t="shared" si="8"/>
        <v>0</v>
      </c>
      <c r="L49" s="104">
        <f t="shared" si="8"/>
        <v>0</v>
      </c>
      <c r="M49" s="254"/>
      <c r="N49" s="240"/>
      <c r="O49" s="240"/>
      <c r="P49" s="240"/>
      <c r="Q49" s="240"/>
      <c r="R49" s="240"/>
      <c r="S49" s="240"/>
      <c r="T49" s="240"/>
      <c r="U49" s="243"/>
    </row>
    <row r="50" spans="1:21" ht="13.5" customHeight="1">
      <c r="A50" s="251"/>
      <c r="B50" s="307"/>
      <c r="C50" s="251"/>
      <c r="D50" s="103" t="s">
        <v>92</v>
      </c>
      <c r="E50" s="102">
        <f>F50+G50+H50+I50+J50+K50+L50</f>
        <v>216460019.45</v>
      </c>
      <c r="F50" s="104">
        <f t="shared" si="7"/>
        <v>19837340</v>
      </c>
      <c r="G50" s="104">
        <f t="shared" si="7"/>
        <v>31512579.45</v>
      </c>
      <c r="H50" s="104">
        <f t="shared" si="7"/>
        <v>28310100</v>
      </c>
      <c r="I50" s="104">
        <f t="shared" si="8"/>
        <v>34200000</v>
      </c>
      <c r="J50" s="104">
        <f t="shared" si="8"/>
        <v>34200000</v>
      </c>
      <c r="K50" s="104">
        <f t="shared" si="8"/>
        <v>34200000</v>
      </c>
      <c r="L50" s="104">
        <f t="shared" si="8"/>
        <v>34200000</v>
      </c>
      <c r="M50" s="255"/>
      <c r="N50" s="241"/>
      <c r="O50" s="241"/>
      <c r="P50" s="241"/>
      <c r="Q50" s="241"/>
      <c r="R50" s="241"/>
      <c r="S50" s="241"/>
      <c r="T50" s="241"/>
      <c r="U50" s="244"/>
    </row>
    <row r="51" spans="1:21" ht="13.5" customHeight="1">
      <c r="A51" s="251"/>
      <c r="B51" s="305" t="s">
        <v>255</v>
      </c>
      <c r="C51" s="251"/>
      <c r="D51" s="101" t="s">
        <v>93</v>
      </c>
      <c r="E51" s="102">
        <f aca="true" t="shared" si="9" ref="E51:L51">E53+E54+E55+E56</f>
        <v>373648314.6</v>
      </c>
      <c r="F51" s="102">
        <f t="shared" si="9"/>
        <v>42388334</v>
      </c>
      <c r="G51" s="102">
        <f t="shared" si="9"/>
        <v>51554076.68</v>
      </c>
      <c r="H51" s="102">
        <f t="shared" si="9"/>
        <v>49201469.76</v>
      </c>
      <c r="I51" s="102">
        <f t="shared" si="9"/>
        <v>56565898</v>
      </c>
      <c r="J51" s="102">
        <f t="shared" si="9"/>
        <v>59569560.3</v>
      </c>
      <c r="K51" s="102">
        <f t="shared" si="9"/>
        <v>57170436.43</v>
      </c>
      <c r="L51" s="102">
        <f t="shared" si="9"/>
        <v>57198539.43</v>
      </c>
      <c r="M51" s="253"/>
      <c r="N51" s="239"/>
      <c r="O51" s="239"/>
      <c r="P51" s="239"/>
      <c r="Q51" s="239"/>
      <c r="R51" s="239"/>
      <c r="S51" s="239"/>
      <c r="T51" s="239"/>
      <c r="U51" s="242"/>
    </row>
    <row r="52" spans="1:21" ht="12.75" customHeight="1">
      <c r="A52" s="251"/>
      <c r="B52" s="306"/>
      <c r="C52" s="251"/>
      <c r="D52" s="256" t="s">
        <v>113</v>
      </c>
      <c r="E52" s="257"/>
      <c r="F52" s="257"/>
      <c r="G52" s="257"/>
      <c r="H52" s="257"/>
      <c r="I52" s="257"/>
      <c r="J52" s="257"/>
      <c r="K52" s="257"/>
      <c r="L52" s="258"/>
      <c r="M52" s="254"/>
      <c r="N52" s="240"/>
      <c r="O52" s="240"/>
      <c r="P52" s="240"/>
      <c r="Q52" s="240"/>
      <c r="R52" s="240"/>
      <c r="S52" s="240"/>
      <c r="T52" s="240"/>
      <c r="U52" s="243"/>
    </row>
    <row r="53" spans="1:21" ht="13.5" customHeight="1">
      <c r="A53" s="251"/>
      <c r="B53" s="306"/>
      <c r="C53" s="251"/>
      <c r="D53" s="103" t="s">
        <v>91</v>
      </c>
      <c r="E53" s="102">
        <f>F53+G53+H53+I53+J53+K53+L53</f>
        <v>44738467.32</v>
      </c>
      <c r="F53" s="104">
        <f aca="true" t="shared" si="10" ref="F53:L56">F47</f>
        <v>6370094</v>
      </c>
      <c r="G53" s="104">
        <f t="shared" si="10"/>
        <v>6261697.23</v>
      </c>
      <c r="H53" s="104">
        <f t="shared" si="10"/>
        <v>5948669.76</v>
      </c>
      <c r="I53" s="104">
        <f t="shared" si="10"/>
        <v>6439998</v>
      </c>
      <c r="J53" s="104">
        <f t="shared" si="10"/>
        <v>6525832.47</v>
      </c>
      <c r="K53" s="104">
        <f t="shared" si="10"/>
        <v>6582036.43</v>
      </c>
      <c r="L53" s="104">
        <f t="shared" si="10"/>
        <v>6610139.43</v>
      </c>
      <c r="M53" s="254"/>
      <c r="N53" s="240"/>
      <c r="O53" s="240"/>
      <c r="P53" s="240"/>
      <c r="Q53" s="240"/>
      <c r="R53" s="240"/>
      <c r="S53" s="240"/>
      <c r="T53" s="240"/>
      <c r="U53" s="243"/>
    </row>
    <row r="54" spans="1:21" ht="13.5" customHeight="1">
      <c r="A54" s="251"/>
      <c r="B54" s="306"/>
      <c r="C54" s="251"/>
      <c r="D54" s="103" t="s">
        <v>89</v>
      </c>
      <c r="E54" s="102">
        <f>F54+G54+H54+I54+J54+K54+L54</f>
        <v>112449827.83</v>
      </c>
      <c r="F54" s="104">
        <f t="shared" si="10"/>
        <v>16180900</v>
      </c>
      <c r="G54" s="104">
        <f t="shared" si="10"/>
        <v>13779800</v>
      </c>
      <c r="H54" s="104">
        <f t="shared" si="10"/>
        <v>14942700</v>
      </c>
      <c r="I54" s="104">
        <f t="shared" si="10"/>
        <v>15925900</v>
      </c>
      <c r="J54" s="104">
        <f t="shared" si="10"/>
        <v>18843727.83</v>
      </c>
      <c r="K54" s="104">
        <f t="shared" si="10"/>
        <v>16388400</v>
      </c>
      <c r="L54" s="104">
        <f t="shared" si="10"/>
        <v>16388400</v>
      </c>
      <c r="M54" s="254"/>
      <c r="N54" s="240"/>
      <c r="O54" s="240"/>
      <c r="P54" s="240"/>
      <c r="Q54" s="240"/>
      <c r="R54" s="240"/>
      <c r="S54" s="240"/>
      <c r="T54" s="240"/>
      <c r="U54" s="243"/>
    </row>
    <row r="55" spans="1:21" ht="13.5" customHeight="1">
      <c r="A55" s="251"/>
      <c r="B55" s="306"/>
      <c r="C55" s="251"/>
      <c r="D55" s="103" t="s">
        <v>90</v>
      </c>
      <c r="E55" s="102">
        <f>F55+G55+H55+I55+J55+K55+L55</f>
        <v>0</v>
      </c>
      <c r="F55" s="104">
        <f t="shared" si="10"/>
        <v>0</v>
      </c>
      <c r="G55" s="104">
        <f t="shared" si="10"/>
        <v>0</v>
      </c>
      <c r="H55" s="104">
        <f t="shared" si="10"/>
        <v>0</v>
      </c>
      <c r="I55" s="104">
        <f t="shared" si="10"/>
        <v>0</v>
      </c>
      <c r="J55" s="104">
        <f t="shared" si="10"/>
        <v>0</v>
      </c>
      <c r="K55" s="104">
        <f t="shared" si="10"/>
        <v>0</v>
      </c>
      <c r="L55" s="104">
        <f t="shared" si="10"/>
        <v>0</v>
      </c>
      <c r="M55" s="254"/>
      <c r="N55" s="240"/>
      <c r="O55" s="240"/>
      <c r="P55" s="240"/>
      <c r="Q55" s="240"/>
      <c r="R55" s="240"/>
      <c r="S55" s="240"/>
      <c r="T55" s="240"/>
      <c r="U55" s="243"/>
    </row>
    <row r="56" spans="1:21" ht="13.5" customHeight="1">
      <c r="A56" s="251"/>
      <c r="B56" s="307"/>
      <c r="C56" s="251"/>
      <c r="D56" s="103" t="s">
        <v>92</v>
      </c>
      <c r="E56" s="102">
        <f>F56+G56+H56+I56+J56+K56+L56</f>
        <v>216460019.45</v>
      </c>
      <c r="F56" s="104">
        <f t="shared" si="10"/>
        <v>19837340</v>
      </c>
      <c r="G56" s="104">
        <f t="shared" si="10"/>
        <v>31512579.45</v>
      </c>
      <c r="H56" s="104">
        <f t="shared" si="10"/>
        <v>28310100</v>
      </c>
      <c r="I56" s="104">
        <f t="shared" si="10"/>
        <v>34200000</v>
      </c>
      <c r="J56" s="104">
        <f t="shared" si="10"/>
        <v>34200000</v>
      </c>
      <c r="K56" s="104">
        <f t="shared" si="10"/>
        <v>34200000</v>
      </c>
      <c r="L56" s="104">
        <f t="shared" si="10"/>
        <v>34200000</v>
      </c>
      <c r="M56" s="255"/>
      <c r="N56" s="241"/>
      <c r="O56" s="241"/>
      <c r="P56" s="241"/>
      <c r="Q56" s="241"/>
      <c r="R56" s="241"/>
      <c r="S56" s="241"/>
      <c r="T56" s="241"/>
      <c r="U56" s="244"/>
    </row>
    <row r="59" spans="8:9" ht="12.75">
      <c r="H59" s="115"/>
      <c r="I59" s="115"/>
    </row>
    <row r="60" spans="7:9" ht="12.75">
      <c r="G60" s="25"/>
      <c r="H60" s="115"/>
      <c r="I60" s="115"/>
    </row>
    <row r="61" spans="8:9" ht="12.75">
      <c r="H61" s="115"/>
      <c r="I61" s="115"/>
    </row>
    <row r="62" ht="12.75">
      <c r="H62" s="115"/>
    </row>
  </sheetData>
  <sheetProtection/>
  <mergeCells count="115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51:U56"/>
    <mergeCell ref="D52:L52"/>
    <mergeCell ref="O51:O56"/>
    <mergeCell ref="P51:P56"/>
    <mergeCell ref="Q51:Q56"/>
    <mergeCell ref="R51:R56"/>
    <mergeCell ref="S51:S56"/>
    <mergeCell ref="T51:T56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28" customWidth="1"/>
    <col min="2" max="2" width="18.28125" style="128" customWidth="1"/>
    <col min="3" max="7" width="14.28125" style="128" bestFit="1" customWidth="1"/>
    <col min="8" max="8" width="15.7109375" style="128" bestFit="1" customWidth="1"/>
    <col min="9" max="9" width="14.28125" style="128" bestFit="1" customWidth="1"/>
    <col min="10" max="16384" width="9.140625" style="128" customWidth="1"/>
  </cols>
  <sheetData>
    <row r="1" spans="6:10" s="91" customFormat="1" ht="79.5" customHeight="1">
      <c r="F1" s="204" t="s">
        <v>288</v>
      </c>
      <c r="G1" s="205"/>
      <c r="H1" s="205"/>
      <c r="I1" s="205"/>
      <c r="J1" s="127"/>
    </row>
    <row r="2" spans="5:10" ht="18.75" customHeight="1">
      <c r="E2" s="129"/>
      <c r="G2" s="105"/>
      <c r="H2" s="130" t="s">
        <v>39</v>
      </c>
      <c r="J2" s="105"/>
    </row>
    <row r="4" spans="1:9" ht="36.75" customHeight="1">
      <c r="A4" s="218" t="s">
        <v>18</v>
      </c>
      <c r="B4" s="218"/>
      <c r="C4" s="218"/>
      <c r="D4" s="218"/>
      <c r="E4" s="218"/>
      <c r="F4" s="218"/>
      <c r="G4" s="218"/>
      <c r="H4" s="218"/>
      <c r="I4" s="218"/>
    </row>
    <row r="5" spans="1:9" ht="30" customHeight="1">
      <c r="A5" s="219" t="s">
        <v>99</v>
      </c>
      <c r="B5" s="221" t="s">
        <v>100</v>
      </c>
      <c r="C5" s="223" t="s">
        <v>101</v>
      </c>
      <c r="D5" s="223"/>
      <c r="E5" s="223"/>
      <c r="F5" s="223"/>
      <c r="G5" s="223"/>
      <c r="H5" s="223"/>
      <c r="I5" s="223"/>
    </row>
    <row r="6" spans="1:9" ht="16.5" customHeight="1">
      <c r="A6" s="220"/>
      <c r="B6" s="222"/>
      <c r="C6" s="131">
        <v>2014</v>
      </c>
      <c r="D6" s="131">
        <v>2015</v>
      </c>
      <c r="E6" s="131">
        <v>2016</v>
      </c>
      <c r="F6" s="131">
        <v>2017</v>
      </c>
      <c r="G6" s="131">
        <v>2018</v>
      </c>
      <c r="H6" s="131">
        <v>2019</v>
      </c>
      <c r="I6" s="52">
        <v>2020</v>
      </c>
    </row>
    <row r="7" spans="1:9" ht="16.5" customHeight="1">
      <c r="A7" s="56">
        <v>1</v>
      </c>
      <c r="B7" s="132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56">
        <v>9</v>
      </c>
    </row>
    <row r="8" spans="1:9" ht="34.5" customHeight="1">
      <c r="A8" s="134" t="s">
        <v>19</v>
      </c>
      <c r="B8" s="135">
        <f>B10+B11+B12+B13</f>
        <v>116248887.82</v>
      </c>
      <c r="C8" s="135">
        <f aca="true" t="shared" si="0" ref="C8:I8">C10+C11+C12+C13</f>
        <v>17676119</v>
      </c>
      <c r="D8" s="135">
        <f t="shared" si="0"/>
        <v>16780520.299999997</v>
      </c>
      <c r="E8" s="135">
        <f t="shared" si="0"/>
        <v>15441758.7</v>
      </c>
      <c r="F8" s="135">
        <f t="shared" si="0"/>
        <v>17031260</v>
      </c>
      <c r="G8" s="135">
        <f t="shared" si="0"/>
        <v>16449389.94</v>
      </c>
      <c r="H8" s="135">
        <f t="shared" si="0"/>
        <v>16434919.94</v>
      </c>
      <c r="I8" s="135">
        <f t="shared" si="0"/>
        <v>16434919.94</v>
      </c>
    </row>
    <row r="9" spans="1:9" ht="15.75">
      <c r="A9" s="212" t="s">
        <v>102</v>
      </c>
      <c r="B9" s="213"/>
      <c r="C9" s="213"/>
      <c r="D9" s="213"/>
      <c r="E9" s="213"/>
      <c r="F9" s="213"/>
      <c r="G9" s="213"/>
      <c r="H9" s="213"/>
      <c r="I9" s="214"/>
    </row>
    <row r="10" spans="1:9" ht="20.25" customHeight="1">
      <c r="A10" s="136" t="s">
        <v>103</v>
      </c>
      <c r="B10" s="135">
        <f>C10+D10+E10+F10+G10+H10+I10</f>
        <v>63201006.81999999</v>
      </c>
      <c r="C10" s="137">
        <f>C17</f>
        <v>10150939</v>
      </c>
      <c r="D10" s="137">
        <f aca="true" t="shared" si="1" ref="D10:I10">D17</f>
        <v>9058458.299999999</v>
      </c>
      <c r="E10" s="137">
        <f t="shared" si="1"/>
        <v>8455158.7</v>
      </c>
      <c r="F10" s="137">
        <f t="shared" si="1"/>
        <v>8846090</v>
      </c>
      <c r="G10" s="137">
        <f t="shared" si="1"/>
        <v>8896786.94</v>
      </c>
      <c r="H10" s="137">
        <f t="shared" si="1"/>
        <v>8896786.94</v>
      </c>
      <c r="I10" s="137">
        <f t="shared" si="1"/>
        <v>8896786.94</v>
      </c>
    </row>
    <row r="11" spans="1:9" ht="20.25" customHeight="1">
      <c r="A11" s="136" t="s">
        <v>20</v>
      </c>
      <c r="B11" s="135">
        <f>C11+D11+E11+F11+G11+H11+I11</f>
        <v>22561163</v>
      </c>
      <c r="C11" s="137">
        <f aca="true" t="shared" si="2" ref="C11:I13">C18</f>
        <v>3072400</v>
      </c>
      <c r="D11" s="137">
        <f t="shared" si="2"/>
        <v>2824004</v>
      </c>
      <c r="E11" s="137">
        <f t="shared" si="2"/>
        <v>3124600</v>
      </c>
      <c r="F11" s="137">
        <f t="shared" si="2"/>
        <v>3866700</v>
      </c>
      <c r="G11" s="137">
        <f t="shared" si="2"/>
        <v>3234133</v>
      </c>
      <c r="H11" s="137">
        <f t="shared" si="2"/>
        <v>3219663</v>
      </c>
      <c r="I11" s="137">
        <f t="shared" si="2"/>
        <v>3219663</v>
      </c>
    </row>
    <row r="12" spans="1:9" ht="20.25" customHeight="1">
      <c r="A12" s="136" t="s">
        <v>21</v>
      </c>
      <c r="B12" s="135">
        <f>C12+D12+E12+F12+G12+H12+I12</f>
        <v>0</v>
      </c>
      <c r="C12" s="137">
        <f>C19</f>
        <v>0</v>
      </c>
      <c r="D12" s="137">
        <f t="shared" si="2"/>
        <v>0</v>
      </c>
      <c r="E12" s="137">
        <f t="shared" si="2"/>
        <v>0</v>
      </c>
      <c r="F12" s="137">
        <f t="shared" si="2"/>
        <v>0</v>
      </c>
      <c r="G12" s="137">
        <f t="shared" si="2"/>
        <v>0</v>
      </c>
      <c r="H12" s="137">
        <f t="shared" si="2"/>
        <v>0</v>
      </c>
      <c r="I12" s="137">
        <f t="shared" si="2"/>
        <v>0</v>
      </c>
    </row>
    <row r="13" spans="1:9" ht="20.25" customHeight="1">
      <c r="A13" s="136" t="s">
        <v>106</v>
      </c>
      <c r="B13" s="135">
        <f>C13+D13+E13+F13+G13+H13+I13</f>
        <v>30486718</v>
      </c>
      <c r="C13" s="137">
        <f t="shared" si="2"/>
        <v>4452780</v>
      </c>
      <c r="D13" s="137">
        <f t="shared" si="2"/>
        <v>4898058</v>
      </c>
      <c r="E13" s="137">
        <f t="shared" si="2"/>
        <v>3862000</v>
      </c>
      <c r="F13" s="137">
        <f t="shared" si="2"/>
        <v>4318470</v>
      </c>
      <c r="G13" s="137">
        <f t="shared" si="2"/>
        <v>4318470</v>
      </c>
      <c r="H13" s="137">
        <f t="shared" si="2"/>
        <v>4318470</v>
      </c>
      <c r="I13" s="137">
        <f t="shared" si="2"/>
        <v>4318470</v>
      </c>
    </row>
    <row r="14" spans="1:9" ht="20.25" customHeight="1">
      <c r="A14" s="215" t="s">
        <v>107</v>
      </c>
      <c r="B14" s="216"/>
      <c r="C14" s="216"/>
      <c r="D14" s="216"/>
      <c r="E14" s="216"/>
      <c r="F14" s="216"/>
      <c r="G14" s="216"/>
      <c r="H14" s="216"/>
      <c r="I14" s="217"/>
    </row>
    <row r="15" spans="1:9" ht="49.5" customHeight="1">
      <c r="A15" s="138" t="s">
        <v>114</v>
      </c>
      <c r="B15" s="135">
        <f>B17+B18+B19+B20</f>
        <v>116248887.82</v>
      </c>
      <c r="C15" s="135">
        <f>C17+C18+C19+C20</f>
        <v>17676119</v>
      </c>
      <c r="D15" s="135">
        <f aca="true" t="shared" si="3" ref="D15:I15">D17+D18+D19+D20</f>
        <v>16780520.299999997</v>
      </c>
      <c r="E15" s="135">
        <f t="shared" si="3"/>
        <v>15441758.7</v>
      </c>
      <c r="F15" s="135">
        <f t="shared" si="3"/>
        <v>17031260</v>
      </c>
      <c r="G15" s="135">
        <f t="shared" si="3"/>
        <v>16449389.94</v>
      </c>
      <c r="H15" s="135">
        <f t="shared" si="3"/>
        <v>16434919.94</v>
      </c>
      <c r="I15" s="135">
        <f t="shared" si="3"/>
        <v>16434919.94</v>
      </c>
    </row>
    <row r="16" spans="1:9" ht="15.75">
      <c r="A16" s="212" t="s">
        <v>102</v>
      </c>
      <c r="B16" s="213"/>
      <c r="C16" s="213"/>
      <c r="D16" s="213"/>
      <c r="E16" s="213"/>
      <c r="F16" s="213"/>
      <c r="G16" s="213"/>
      <c r="H16" s="213"/>
      <c r="I16" s="214"/>
    </row>
    <row r="17" spans="1:9" ht="25.5" customHeight="1">
      <c r="A17" s="136" t="s">
        <v>103</v>
      </c>
      <c r="B17" s="135">
        <f>C17+D17+E17+F17+G17+H17+I17</f>
        <v>63201006.81999999</v>
      </c>
      <c r="C17" s="137">
        <f>'таб 3(7)'!F30</f>
        <v>10150939</v>
      </c>
      <c r="D17" s="137">
        <f>+'таб 3(7)'!G30</f>
        <v>9058458.299999999</v>
      </c>
      <c r="E17" s="137">
        <f>+'таб 3(7)'!H30</f>
        <v>8455158.7</v>
      </c>
      <c r="F17" s="137">
        <f>+'таб 3(7)'!I30</f>
        <v>8846090</v>
      </c>
      <c r="G17" s="137">
        <f>+'таб 3(7)'!J30</f>
        <v>8896786.94</v>
      </c>
      <c r="H17" s="137">
        <f>+'таб 3(7)'!K30</f>
        <v>8896786.94</v>
      </c>
      <c r="I17" s="137">
        <f>+'таб 3(7)'!L30</f>
        <v>8896786.94</v>
      </c>
    </row>
    <row r="18" spans="1:9" ht="25.5" customHeight="1">
      <c r="A18" s="139" t="s">
        <v>20</v>
      </c>
      <c r="B18" s="135">
        <f>C18+D18+E18+F18+G18+H18+I18</f>
        <v>22561163</v>
      </c>
      <c r="C18" s="137">
        <v>3072400</v>
      </c>
      <c r="D18" s="137">
        <f>+'таб 3(7)'!G31</f>
        <v>2824004</v>
      </c>
      <c r="E18" s="137">
        <f>+'таб 3(7)'!H31</f>
        <v>3124600</v>
      </c>
      <c r="F18" s="137">
        <f>+'таб 3(7)'!I31</f>
        <v>3866700</v>
      </c>
      <c r="G18" s="137">
        <f>+'таб 3(7)'!J31</f>
        <v>3234133</v>
      </c>
      <c r="H18" s="137">
        <f>+'таб 3(7)'!K31</f>
        <v>3219663</v>
      </c>
      <c r="I18" s="137">
        <f>+'таб 3(7)'!L31</f>
        <v>3219663</v>
      </c>
    </row>
    <row r="19" spans="1:9" ht="25.5" customHeight="1">
      <c r="A19" s="136" t="s">
        <v>21</v>
      </c>
      <c r="B19" s="135">
        <f>C19+D19+E19+F19+G19+H19+I19</f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</row>
    <row r="20" spans="1:9" ht="25.5" customHeight="1">
      <c r="A20" s="136" t="s">
        <v>106</v>
      </c>
      <c r="B20" s="135">
        <f>C20+D20+E20+F20+G20+H20+I20</f>
        <v>30486718</v>
      </c>
      <c r="C20" s="137">
        <f>'таб 3(7)'!F33</f>
        <v>4452780</v>
      </c>
      <c r="D20" s="137">
        <f>+'таб 3(7)'!G33</f>
        <v>4898058</v>
      </c>
      <c r="E20" s="137">
        <f>+'таб 3(7)'!H33</f>
        <v>3862000</v>
      </c>
      <c r="F20" s="137">
        <f>+'таб 3(7)'!I33</f>
        <v>4318470</v>
      </c>
      <c r="G20" s="137">
        <f>+'таб 3(7)'!J33</f>
        <v>4318470</v>
      </c>
      <c r="H20" s="137">
        <f>+'таб 3(7)'!K33</f>
        <v>4318470</v>
      </c>
      <c r="I20" s="137">
        <f>+'таб 3(7)'!L33</f>
        <v>4318470</v>
      </c>
    </row>
    <row r="21" spans="1:9" ht="30.75" customHeight="1">
      <c r="A21" s="16" t="s">
        <v>108</v>
      </c>
      <c r="B21" s="135">
        <f>C21+D21+E21+F21+G21+H21+I21</f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L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8" customWidth="1"/>
    <col min="2" max="2" width="27.2812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4.140625" style="18" customWidth="1"/>
    <col min="7" max="7" width="13.7109375" style="18" customWidth="1"/>
    <col min="8" max="8" width="14.8515625" style="18" customWidth="1"/>
    <col min="9" max="9" width="13.421875" style="18" customWidth="1"/>
    <col min="10" max="10" width="13.28125" style="18" customWidth="1"/>
    <col min="11" max="11" width="13.57421875" style="18" customWidth="1"/>
    <col min="12" max="12" width="13.28125" style="18" customWidth="1"/>
    <col min="13" max="13" width="25.421875" style="18" customWidth="1"/>
    <col min="14" max="20" width="5.7109375" style="18" bestFit="1" customWidth="1"/>
    <col min="21" max="21" width="17.8515625" style="18" customWidth="1"/>
    <col min="22" max="16384" width="9.140625" style="18" customWidth="1"/>
  </cols>
  <sheetData>
    <row r="1" spans="7:21" s="91" customFormat="1" ht="79.5" customHeight="1">
      <c r="G1" s="18"/>
      <c r="H1" s="18"/>
      <c r="I1" s="18"/>
      <c r="J1" s="127"/>
      <c r="P1" s="204" t="s">
        <v>289</v>
      </c>
      <c r="Q1" s="205"/>
      <c r="R1" s="205"/>
      <c r="S1" s="205"/>
      <c r="T1" s="205"/>
      <c r="U1" s="205"/>
    </row>
    <row r="2" spans="20:21" ht="27" customHeight="1">
      <c r="T2" s="99"/>
      <c r="U2" s="105" t="s">
        <v>169</v>
      </c>
    </row>
    <row r="3" spans="1:21" ht="15.75">
      <c r="A3" s="334" t="s">
        <v>22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4" spans="1:21" ht="15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6"/>
    </row>
    <row r="5" spans="1:21" ht="31.5" customHeight="1">
      <c r="A5" s="211" t="s">
        <v>97</v>
      </c>
      <c r="B5" s="211" t="s">
        <v>109</v>
      </c>
      <c r="C5" s="211" t="s">
        <v>110</v>
      </c>
      <c r="D5" s="211" t="s">
        <v>99</v>
      </c>
      <c r="E5" s="211" t="s">
        <v>111</v>
      </c>
      <c r="F5" s="211"/>
      <c r="G5" s="211"/>
      <c r="H5" s="211"/>
      <c r="I5" s="211"/>
      <c r="J5" s="211"/>
      <c r="K5" s="211"/>
      <c r="L5" s="211"/>
      <c r="M5" s="211" t="s">
        <v>32</v>
      </c>
      <c r="N5" s="211"/>
      <c r="O5" s="211"/>
      <c r="P5" s="211"/>
      <c r="Q5" s="211"/>
      <c r="R5" s="211"/>
      <c r="S5" s="211"/>
      <c r="T5" s="211"/>
      <c r="U5" s="265" t="s">
        <v>112</v>
      </c>
    </row>
    <row r="6" spans="1:21" ht="21" customHeight="1">
      <c r="A6" s="211"/>
      <c r="B6" s="211"/>
      <c r="C6" s="211"/>
      <c r="D6" s="211"/>
      <c r="E6" s="19" t="s">
        <v>93</v>
      </c>
      <c r="F6" s="5" t="s">
        <v>82</v>
      </c>
      <c r="G6" s="5" t="s">
        <v>83</v>
      </c>
      <c r="H6" s="5" t="s">
        <v>84</v>
      </c>
      <c r="I6" s="5" t="s">
        <v>85</v>
      </c>
      <c r="J6" s="5" t="s">
        <v>86</v>
      </c>
      <c r="K6" s="5" t="s">
        <v>87</v>
      </c>
      <c r="L6" s="5" t="s">
        <v>88</v>
      </c>
      <c r="M6" s="3" t="s">
        <v>98</v>
      </c>
      <c r="N6" s="5" t="s">
        <v>82</v>
      </c>
      <c r="O6" s="5" t="s">
        <v>83</v>
      </c>
      <c r="P6" s="5" t="s">
        <v>84</v>
      </c>
      <c r="Q6" s="5" t="s">
        <v>85</v>
      </c>
      <c r="R6" s="5" t="s">
        <v>86</v>
      </c>
      <c r="S6" s="5" t="s">
        <v>87</v>
      </c>
      <c r="T6" s="5" t="s">
        <v>88</v>
      </c>
      <c r="U6" s="266"/>
    </row>
    <row r="7" spans="1:2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</row>
    <row r="8" spans="1:21" ht="12.75">
      <c r="A8" s="20"/>
      <c r="B8" s="267" t="s">
        <v>170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2.75">
      <c r="A9" s="20">
        <v>1</v>
      </c>
      <c r="B9" s="57" t="s">
        <v>17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ht="16.5" customHeight="1">
      <c r="A10" s="245" t="s">
        <v>121</v>
      </c>
      <c r="B10" s="294" t="s">
        <v>177</v>
      </c>
      <c r="C10" s="230" t="s">
        <v>78</v>
      </c>
      <c r="D10" s="21" t="s">
        <v>93</v>
      </c>
      <c r="E10" s="22">
        <f>E12+E13+E14+E15</f>
        <v>80355120.82999998</v>
      </c>
      <c r="F10" s="22">
        <f aca="true" t="shared" si="0" ref="F10:L10">F12+F13+F14+F15</f>
        <v>12453039</v>
      </c>
      <c r="G10" s="22">
        <f t="shared" si="0"/>
        <v>11826060.739999998</v>
      </c>
      <c r="H10" s="22">
        <f t="shared" si="0"/>
        <v>10293225.899999999</v>
      </c>
      <c r="I10" s="22">
        <f t="shared" si="0"/>
        <v>11893027.2</v>
      </c>
      <c r="J10" s="22">
        <f t="shared" si="0"/>
        <v>11296589.33</v>
      </c>
      <c r="K10" s="22">
        <f t="shared" si="0"/>
        <v>11296589.33</v>
      </c>
      <c r="L10" s="22">
        <f t="shared" si="0"/>
        <v>11296589.33</v>
      </c>
      <c r="M10" s="279" t="s">
        <v>4</v>
      </c>
      <c r="N10" s="224">
        <v>96</v>
      </c>
      <c r="O10" s="224">
        <v>96</v>
      </c>
      <c r="P10" s="224">
        <v>96</v>
      </c>
      <c r="Q10" s="224">
        <v>96</v>
      </c>
      <c r="R10" s="224">
        <v>96</v>
      </c>
      <c r="S10" s="224">
        <v>96</v>
      </c>
      <c r="T10" s="224">
        <v>96</v>
      </c>
      <c r="U10" s="279" t="s">
        <v>202</v>
      </c>
    </row>
    <row r="11" spans="1:21" ht="16.5" customHeight="1">
      <c r="A11" s="245"/>
      <c r="B11" s="295"/>
      <c r="C11" s="231"/>
      <c r="D11" s="248" t="s">
        <v>113</v>
      </c>
      <c r="E11" s="249"/>
      <c r="F11" s="249"/>
      <c r="G11" s="249"/>
      <c r="H11" s="249"/>
      <c r="I11" s="249"/>
      <c r="J11" s="249"/>
      <c r="K11" s="249"/>
      <c r="L11" s="250"/>
      <c r="M11" s="280"/>
      <c r="N11" s="225"/>
      <c r="O11" s="225"/>
      <c r="P11" s="225"/>
      <c r="Q11" s="225"/>
      <c r="R11" s="225"/>
      <c r="S11" s="225"/>
      <c r="T11" s="225"/>
      <c r="U11" s="280"/>
    </row>
    <row r="12" spans="1:21" ht="12.75">
      <c r="A12" s="245"/>
      <c r="B12" s="295"/>
      <c r="C12" s="231"/>
      <c r="D12" s="21" t="s">
        <v>91</v>
      </c>
      <c r="E12" s="22">
        <f>F12+G12+H12+I12+J12+K12+L12</f>
        <v>48648116.82999999</v>
      </c>
      <c r="F12" s="22">
        <f>7560259+440000</f>
        <v>8000259</v>
      </c>
      <c r="G12" s="22">
        <f>6820974.14+107028.6</f>
        <v>6928002.739999999</v>
      </c>
      <c r="H12" s="22">
        <f>7038601.3-607375.4</f>
        <v>6431225.899999999</v>
      </c>
      <c r="I12" s="60">
        <f>6822157.2</f>
        <v>6822157.2</v>
      </c>
      <c r="J12" s="60">
        <f>6472027.21+64013+286117.12</f>
        <v>6822157.33</v>
      </c>
      <c r="K12" s="60">
        <f>6472027.21+64013+286117.12</f>
        <v>6822157.33</v>
      </c>
      <c r="L12" s="60">
        <f>6472027.21+64013+286117.12</f>
        <v>6822157.33</v>
      </c>
      <c r="M12" s="280"/>
      <c r="N12" s="225"/>
      <c r="O12" s="225"/>
      <c r="P12" s="225"/>
      <c r="Q12" s="225"/>
      <c r="R12" s="225"/>
      <c r="S12" s="225"/>
      <c r="T12" s="225"/>
      <c r="U12" s="280"/>
    </row>
    <row r="13" spans="1:21" ht="12.75">
      <c r="A13" s="245"/>
      <c r="B13" s="295"/>
      <c r="C13" s="231"/>
      <c r="D13" s="21" t="s">
        <v>89</v>
      </c>
      <c r="E13" s="22">
        <f>F13+G13+H13+I13+J13+K13+L13</f>
        <v>1220286</v>
      </c>
      <c r="F13" s="22"/>
      <c r="G13" s="22"/>
      <c r="H13" s="22"/>
      <c r="I13" s="161">
        <v>752400</v>
      </c>
      <c r="J13" s="22">
        <v>155962</v>
      </c>
      <c r="K13" s="22">
        <f>155962</f>
        <v>155962</v>
      </c>
      <c r="L13" s="22">
        <v>155962</v>
      </c>
      <c r="M13" s="280"/>
      <c r="N13" s="225"/>
      <c r="O13" s="225"/>
      <c r="P13" s="225"/>
      <c r="Q13" s="225"/>
      <c r="R13" s="225"/>
      <c r="S13" s="225"/>
      <c r="T13" s="225"/>
      <c r="U13" s="280"/>
    </row>
    <row r="14" spans="1:21" ht="12.75" customHeight="1">
      <c r="A14" s="245"/>
      <c r="B14" s="295"/>
      <c r="C14" s="231"/>
      <c r="D14" s="21" t="s">
        <v>90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80"/>
      <c r="N14" s="225"/>
      <c r="O14" s="225"/>
      <c r="P14" s="225"/>
      <c r="Q14" s="225"/>
      <c r="R14" s="225"/>
      <c r="S14" s="225"/>
      <c r="T14" s="225"/>
      <c r="U14" s="280"/>
    </row>
    <row r="15" spans="1:21" ht="18.75" customHeight="1">
      <c r="A15" s="245"/>
      <c r="B15" s="296"/>
      <c r="C15" s="232"/>
      <c r="D15" s="21" t="s">
        <v>92</v>
      </c>
      <c r="E15" s="22">
        <f>F15+G15+H15+I15+J15+K15+L15</f>
        <v>30486718</v>
      </c>
      <c r="F15" s="61">
        <v>4452780</v>
      </c>
      <c r="G15" s="61">
        <v>4898058</v>
      </c>
      <c r="H15" s="61">
        <v>3862000</v>
      </c>
      <c r="I15" s="158">
        <v>4318470</v>
      </c>
      <c r="J15" s="158">
        <v>4318470</v>
      </c>
      <c r="K15" s="158">
        <v>4318470</v>
      </c>
      <c r="L15" s="158">
        <v>4318470</v>
      </c>
      <c r="M15" s="281"/>
      <c r="N15" s="226"/>
      <c r="O15" s="226"/>
      <c r="P15" s="226"/>
      <c r="Q15" s="226"/>
      <c r="R15" s="226"/>
      <c r="S15" s="226"/>
      <c r="T15" s="226"/>
      <c r="U15" s="281"/>
    </row>
    <row r="16" spans="1:21" ht="24" customHeight="1">
      <c r="A16" s="245" t="s">
        <v>122</v>
      </c>
      <c r="B16" s="294" t="s">
        <v>167</v>
      </c>
      <c r="C16" s="230" t="s">
        <v>78</v>
      </c>
      <c r="D16" s="21" t="s">
        <v>93</v>
      </c>
      <c r="E16" s="22">
        <f>E18+E19+E20+E21</f>
        <v>35893766.989999995</v>
      </c>
      <c r="F16" s="22">
        <f aca="true" t="shared" si="1" ref="F16:L16">F18+F19+F20+F21</f>
        <v>5223080</v>
      </c>
      <c r="G16" s="22">
        <f t="shared" si="1"/>
        <v>4954459.5600000005</v>
      </c>
      <c r="H16" s="22">
        <f t="shared" si="1"/>
        <v>5148532.8</v>
      </c>
      <c r="I16" s="22">
        <f t="shared" si="1"/>
        <v>5138232.8</v>
      </c>
      <c r="J16" s="22">
        <f t="shared" si="1"/>
        <v>5152800.61</v>
      </c>
      <c r="K16" s="22">
        <f t="shared" si="1"/>
        <v>5138330.61</v>
      </c>
      <c r="L16" s="22">
        <f t="shared" si="1"/>
        <v>5138330.61</v>
      </c>
      <c r="M16" s="279" t="s">
        <v>168</v>
      </c>
      <c r="N16" s="331">
        <v>100</v>
      </c>
      <c r="O16" s="331">
        <v>100</v>
      </c>
      <c r="P16" s="331">
        <v>100</v>
      </c>
      <c r="Q16" s="331">
        <v>100</v>
      </c>
      <c r="R16" s="331">
        <v>100</v>
      </c>
      <c r="S16" s="331">
        <v>100</v>
      </c>
      <c r="T16" s="331">
        <v>100</v>
      </c>
      <c r="U16" s="279" t="s">
        <v>198</v>
      </c>
    </row>
    <row r="17" spans="1:21" ht="16.5" customHeight="1">
      <c r="A17" s="245"/>
      <c r="B17" s="295"/>
      <c r="C17" s="231"/>
      <c r="D17" s="248" t="s">
        <v>113</v>
      </c>
      <c r="E17" s="249"/>
      <c r="F17" s="249"/>
      <c r="G17" s="249"/>
      <c r="H17" s="249"/>
      <c r="I17" s="249"/>
      <c r="J17" s="249"/>
      <c r="K17" s="249"/>
      <c r="L17" s="250"/>
      <c r="M17" s="280"/>
      <c r="N17" s="332"/>
      <c r="O17" s="332"/>
      <c r="P17" s="332"/>
      <c r="Q17" s="332"/>
      <c r="R17" s="332"/>
      <c r="S17" s="332"/>
      <c r="T17" s="332"/>
      <c r="U17" s="280"/>
    </row>
    <row r="18" spans="1:21" ht="18" customHeight="1">
      <c r="A18" s="245"/>
      <c r="B18" s="295"/>
      <c r="C18" s="231"/>
      <c r="D18" s="21" t="s">
        <v>91</v>
      </c>
      <c r="E18" s="22">
        <f>F18+G18+H18+I18+J18+K18+L18</f>
        <v>14552889.989999998</v>
      </c>
      <c r="F18" s="22">
        <v>2150680</v>
      </c>
      <c r="G18" s="22">
        <f>2250093-119637.44</f>
        <v>2130455.56</v>
      </c>
      <c r="H18" s="22">
        <v>2023932.8</v>
      </c>
      <c r="I18" s="22">
        <f>2023932.8</f>
        <v>2023932.8</v>
      </c>
      <c r="J18" s="22">
        <v>2074629.61</v>
      </c>
      <c r="K18" s="22">
        <v>2074629.61</v>
      </c>
      <c r="L18" s="22">
        <v>2074629.61</v>
      </c>
      <c r="M18" s="280"/>
      <c r="N18" s="332"/>
      <c r="O18" s="332"/>
      <c r="P18" s="332"/>
      <c r="Q18" s="332"/>
      <c r="R18" s="332"/>
      <c r="S18" s="332"/>
      <c r="T18" s="332"/>
      <c r="U18" s="280"/>
    </row>
    <row r="19" spans="1:21" ht="12.75" customHeight="1">
      <c r="A19" s="245"/>
      <c r="B19" s="295"/>
      <c r="C19" s="231"/>
      <c r="D19" s="21" t="s">
        <v>89</v>
      </c>
      <c r="E19" s="22">
        <f>F19+G19+H19+I19+J19+K19+L19</f>
        <v>21340877</v>
      </c>
      <c r="F19" s="22">
        <v>3072400</v>
      </c>
      <c r="G19" s="83">
        <f>2920100-96096</f>
        <v>2824004</v>
      </c>
      <c r="H19" s="83">
        <v>3124600</v>
      </c>
      <c r="I19" s="83">
        <f>3866700-752400</f>
        <v>3114300</v>
      </c>
      <c r="J19" s="83">
        <v>3078171</v>
      </c>
      <c r="K19" s="83">
        <v>3063701</v>
      </c>
      <c r="L19" s="83">
        <v>3063701</v>
      </c>
      <c r="M19" s="280"/>
      <c r="N19" s="332"/>
      <c r="O19" s="332"/>
      <c r="P19" s="332"/>
      <c r="Q19" s="332"/>
      <c r="R19" s="332"/>
      <c r="S19" s="332"/>
      <c r="T19" s="332"/>
      <c r="U19" s="280"/>
    </row>
    <row r="20" spans="1:21" ht="12.75" customHeight="1">
      <c r="A20" s="245"/>
      <c r="B20" s="295"/>
      <c r="C20" s="231"/>
      <c r="D20" s="21" t="s">
        <v>90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0"/>
      <c r="N20" s="332"/>
      <c r="O20" s="332"/>
      <c r="P20" s="332"/>
      <c r="Q20" s="332"/>
      <c r="R20" s="332"/>
      <c r="S20" s="332"/>
      <c r="T20" s="332"/>
      <c r="U20" s="280"/>
    </row>
    <row r="21" spans="1:21" ht="24" customHeight="1">
      <c r="A21" s="245"/>
      <c r="B21" s="296"/>
      <c r="C21" s="232"/>
      <c r="D21" s="21" t="s">
        <v>92</v>
      </c>
      <c r="E21" s="22">
        <f>F21+G21+H21+I21+J21+K21+L21</f>
        <v>0</v>
      </c>
      <c r="F21" s="22"/>
      <c r="G21" s="22"/>
      <c r="H21" s="22"/>
      <c r="I21" s="22"/>
      <c r="J21" s="22"/>
      <c r="K21" s="22"/>
      <c r="L21" s="22"/>
      <c r="M21" s="281"/>
      <c r="N21" s="333"/>
      <c r="O21" s="333"/>
      <c r="P21" s="333"/>
      <c r="Q21" s="333"/>
      <c r="R21" s="333"/>
      <c r="S21" s="333"/>
      <c r="T21" s="333"/>
      <c r="U21" s="281"/>
    </row>
    <row r="22" spans="1:21" ht="13.5" customHeight="1">
      <c r="A22" s="251"/>
      <c r="B22" s="305" t="s">
        <v>152</v>
      </c>
      <c r="C22" s="251"/>
      <c r="D22" s="101" t="s">
        <v>93</v>
      </c>
      <c r="E22" s="102">
        <f aca="true" t="shared" si="2" ref="E22:L22">E24+E25+E26+E27</f>
        <v>116248887.82</v>
      </c>
      <c r="F22" s="102">
        <f t="shared" si="2"/>
        <v>17676119</v>
      </c>
      <c r="G22" s="102">
        <f>G24+G25+G26+G27</f>
        <v>16780520.299999997</v>
      </c>
      <c r="H22" s="102">
        <f t="shared" si="2"/>
        <v>15441758.7</v>
      </c>
      <c r="I22" s="102">
        <f t="shared" si="2"/>
        <v>17031260</v>
      </c>
      <c r="J22" s="102">
        <f t="shared" si="2"/>
        <v>16449389.94</v>
      </c>
      <c r="K22" s="102">
        <f t="shared" si="2"/>
        <v>16434919.94</v>
      </c>
      <c r="L22" s="102">
        <f t="shared" si="2"/>
        <v>16434919.94</v>
      </c>
      <c r="M22" s="253"/>
      <c r="N22" s="239"/>
      <c r="O22" s="239"/>
      <c r="P22" s="239"/>
      <c r="Q22" s="239"/>
      <c r="R22" s="239"/>
      <c r="S22" s="239"/>
      <c r="T22" s="239"/>
      <c r="U22" s="242"/>
    </row>
    <row r="23" spans="1:21" ht="12.75" customHeight="1">
      <c r="A23" s="251"/>
      <c r="B23" s="306"/>
      <c r="C23" s="251"/>
      <c r="D23" s="256" t="s">
        <v>113</v>
      </c>
      <c r="E23" s="257"/>
      <c r="F23" s="257"/>
      <c r="G23" s="257"/>
      <c r="H23" s="257"/>
      <c r="I23" s="257"/>
      <c r="J23" s="257"/>
      <c r="K23" s="257"/>
      <c r="L23" s="258"/>
      <c r="M23" s="254"/>
      <c r="N23" s="240"/>
      <c r="O23" s="240"/>
      <c r="P23" s="240"/>
      <c r="Q23" s="240"/>
      <c r="R23" s="240"/>
      <c r="S23" s="240"/>
      <c r="T23" s="240"/>
      <c r="U23" s="243"/>
    </row>
    <row r="24" spans="1:21" ht="13.5" customHeight="1">
      <c r="A24" s="251"/>
      <c r="B24" s="306"/>
      <c r="C24" s="251"/>
      <c r="D24" s="103" t="s">
        <v>91</v>
      </c>
      <c r="E24" s="102">
        <f>F24+G24+H24+I24+J24+K24+L24</f>
        <v>63201006.81999999</v>
      </c>
      <c r="F24" s="104">
        <f aca="true" t="shared" si="3" ref="F24:L27">F12+F18</f>
        <v>10150939</v>
      </c>
      <c r="G24" s="104">
        <f t="shared" si="3"/>
        <v>9058458.299999999</v>
      </c>
      <c r="H24" s="104">
        <f t="shared" si="3"/>
        <v>8455158.7</v>
      </c>
      <c r="I24" s="104">
        <f t="shared" si="3"/>
        <v>8846090</v>
      </c>
      <c r="J24" s="104">
        <f t="shared" si="3"/>
        <v>8896786.94</v>
      </c>
      <c r="K24" s="104">
        <f t="shared" si="3"/>
        <v>8896786.94</v>
      </c>
      <c r="L24" s="104">
        <f t="shared" si="3"/>
        <v>8896786.94</v>
      </c>
      <c r="M24" s="254"/>
      <c r="N24" s="240"/>
      <c r="O24" s="240"/>
      <c r="P24" s="240"/>
      <c r="Q24" s="240"/>
      <c r="R24" s="240"/>
      <c r="S24" s="240"/>
      <c r="T24" s="240"/>
      <c r="U24" s="243"/>
    </row>
    <row r="25" spans="1:21" ht="13.5" customHeight="1">
      <c r="A25" s="251"/>
      <c r="B25" s="306"/>
      <c r="C25" s="251"/>
      <c r="D25" s="103" t="s">
        <v>89</v>
      </c>
      <c r="E25" s="102">
        <f>F25+G25+H25+I25+J25+K25+L25</f>
        <v>22561163</v>
      </c>
      <c r="F25" s="104">
        <f aca="true" t="shared" si="4" ref="F25:H27">F13+F19</f>
        <v>3072400</v>
      </c>
      <c r="G25" s="104">
        <f t="shared" si="4"/>
        <v>2824004</v>
      </c>
      <c r="H25" s="104">
        <f t="shared" si="4"/>
        <v>3124600</v>
      </c>
      <c r="I25" s="104">
        <f t="shared" si="3"/>
        <v>3866700</v>
      </c>
      <c r="J25" s="104">
        <f t="shared" si="3"/>
        <v>3234133</v>
      </c>
      <c r="K25" s="104">
        <f t="shared" si="3"/>
        <v>3219663</v>
      </c>
      <c r="L25" s="104">
        <f t="shared" si="3"/>
        <v>3219663</v>
      </c>
      <c r="M25" s="254"/>
      <c r="N25" s="240"/>
      <c r="O25" s="240"/>
      <c r="P25" s="240"/>
      <c r="Q25" s="240"/>
      <c r="R25" s="240"/>
      <c r="S25" s="240"/>
      <c r="T25" s="240"/>
      <c r="U25" s="243"/>
    </row>
    <row r="26" spans="1:21" ht="13.5" customHeight="1">
      <c r="A26" s="251"/>
      <c r="B26" s="306"/>
      <c r="C26" s="251"/>
      <c r="D26" s="103" t="s">
        <v>90</v>
      </c>
      <c r="E26" s="102">
        <f>F26+G26+H26+I26+J26+K26+L26</f>
        <v>0</v>
      </c>
      <c r="F26" s="104">
        <f t="shared" si="4"/>
        <v>0</v>
      </c>
      <c r="G26" s="104">
        <f t="shared" si="4"/>
        <v>0</v>
      </c>
      <c r="H26" s="104">
        <f t="shared" si="4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254"/>
      <c r="N26" s="240"/>
      <c r="O26" s="240"/>
      <c r="P26" s="240"/>
      <c r="Q26" s="240"/>
      <c r="R26" s="240"/>
      <c r="S26" s="240"/>
      <c r="T26" s="240"/>
      <c r="U26" s="243"/>
    </row>
    <row r="27" spans="1:21" ht="13.5" customHeight="1">
      <c r="A27" s="251"/>
      <c r="B27" s="307"/>
      <c r="C27" s="251"/>
      <c r="D27" s="103" t="s">
        <v>92</v>
      </c>
      <c r="E27" s="102">
        <f>F27+G27+H27+I27+J27+K27+L27</f>
        <v>30486718</v>
      </c>
      <c r="F27" s="104">
        <f t="shared" si="4"/>
        <v>4452780</v>
      </c>
      <c r="G27" s="104">
        <f t="shared" si="4"/>
        <v>4898058</v>
      </c>
      <c r="H27" s="104">
        <f t="shared" si="4"/>
        <v>3862000</v>
      </c>
      <c r="I27" s="104">
        <f t="shared" si="3"/>
        <v>4318470</v>
      </c>
      <c r="J27" s="104">
        <f t="shared" si="3"/>
        <v>4318470</v>
      </c>
      <c r="K27" s="104">
        <f t="shared" si="3"/>
        <v>4318470</v>
      </c>
      <c r="L27" s="104">
        <f t="shared" si="3"/>
        <v>4318470</v>
      </c>
      <c r="M27" s="255"/>
      <c r="N27" s="241"/>
      <c r="O27" s="241"/>
      <c r="P27" s="241"/>
      <c r="Q27" s="241"/>
      <c r="R27" s="241"/>
      <c r="S27" s="241"/>
      <c r="T27" s="241"/>
      <c r="U27" s="244"/>
    </row>
    <row r="28" spans="1:21" ht="13.5" customHeight="1">
      <c r="A28" s="251"/>
      <c r="B28" s="305" t="s">
        <v>23</v>
      </c>
      <c r="C28" s="251"/>
      <c r="D28" s="101" t="s">
        <v>93</v>
      </c>
      <c r="E28" s="102">
        <f>E30+E31+E32+E33</f>
        <v>116248887.82</v>
      </c>
      <c r="F28" s="104">
        <f>F16+F22</f>
        <v>22899199</v>
      </c>
      <c r="G28" s="104">
        <f aca="true" t="shared" si="5" ref="G28:L28">+G30+G31+G33</f>
        <v>16780520.299999997</v>
      </c>
      <c r="H28" s="104">
        <f t="shared" si="5"/>
        <v>15441758.7</v>
      </c>
      <c r="I28" s="104">
        <f t="shared" si="5"/>
        <v>17031260</v>
      </c>
      <c r="J28" s="104">
        <f t="shared" si="5"/>
        <v>16449389.94</v>
      </c>
      <c r="K28" s="104">
        <f t="shared" si="5"/>
        <v>16434919.94</v>
      </c>
      <c r="L28" s="104">
        <f t="shared" si="5"/>
        <v>16434919.94</v>
      </c>
      <c r="M28" s="253"/>
      <c r="N28" s="239"/>
      <c r="O28" s="239"/>
      <c r="P28" s="239"/>
      <c r="Q28" s="239"/>
      <c r="R28" s="239"/>
      <c r="S28" s="239"/>
      <c r="T28" s="239"/>
      <c r="U28" s="242"/>
    </row>
    <row r="29" spans="1:21" ht="12.75" customHeight="1">
      <c r="A29" s="251"/>
      <c r="B29" s="306"/>
      <c r="C29" s="251"/>
      <c r="D29" s="256" t="s">
        <v>113</v>
      </c>
      <c r="E29" s="257"/>
      <c r="F29" s="257"/>
      <c r="G29" s="257"/>
      <c r="H29" s="257"/>
      <c r="I29" s="257"/>
      <c r="J29" s="257"/>
      <c r="K29" s="257"/>
      <c r="L29" s="258"/>
      <c r="M29" s="254"/>
      <c r="N29" s="240"/>
      <c r="O29" s="240"/>
      <c r="P29" s="240"/>
      <c r="Q29" s="240"/>
      <c r="R29" s="240"/>
      <c r="S29" s="240"/>
      <c r="T29" s="240"/>
      <c r="U29" s="243"/>
    </row>
    <row r="30" spans="1:21" ht="13.5" customHeight="1">
      <c r="A30" s="251"/>
      <c r="B30" s="306"/>
      <c r="C30" s="251"/>
      <c r="D30" s="103" t="s">
        <v>91</v>
      </c>
      <c r="E30" s="102">
        <f>F30+G30+H30+I30+J30+K30+L30</f>
        <v>63201006.81999999</v>
      </c>
      <c r="F30" s="104">
        <f>F24</f>
        <v>10150939</v>
      </c>
      <c r="G30" s="104">
        <f aca="true" t="shared" si="6" ref="G30:L33">G24</f>
        <v>9058458.299999999</v>
      </c>
      <c r="H30" s="104">
        <f t="shared" si="6"/>
        <v>8455158.7</v>
      </c>
      <c r="I30" s="104">
        <f t="shared" si="6"/>
        <v>8846090</v>
      </c>
      <c r="J30" s="104">
        <f t="shared" si="6"/>
        <v>8896786.94</v>
      </c>
      <c r="K30" s="104">
        <f t="shared" si="6"/>
        <v>8896786.94</v>
      </c>
      <c r="L30" s="104">
        <f t="shared" si="6"/>
        <v>8896786.94</v>
      </c>
      <c r="M30" s="254"/>
      <c r="N30" s="240"/>
      <c r="O30" s="240"/>
      <c r="P30" s="240"/>
      <c r="Q30" s="240"/>
      <c r="R30" s="240"/>
      <c r="S30" s="240"/>
      <c r="T30" s="240"/>
      <c r="U30" s="243"/>
    </row>
    <row r="31" spans="1:21" ht="13.5" customHeight="1">
      <c r="A31" s="251"/>
      <c r="B31" s="306"/>
      <c r="C31" s="251"/>
      <c r="D31" s="103" t="s">
        <v>89</v>
      </c>
      <c r="E31" s="102">
        <f>F31+G31+H31+I31+J31+K31+L31</f>
        <v>22561163</v>
      </c>
      <c r="F31" s="104">
        <f>F25</f>
        <v>3072400</v>
      </c>
      <c r="G31" s="104">
        <f aca="true" t="shared" si="7" ref="G31:H33">G25</f>
        <v>2824004</v>
      </c>
      <c r="H31" s="104">
        <f t="shared" si="7"/>
        <v>3124600</v>
      </c>
      <c r="I31" s="104">
        <f t="shared" si="6"/>
        <v>3866700</v>
      </c>
      <c r="J31" s="104">
        <f t="shared" si="6"/>
        <v>3234133</v>
      </c>
      <c r="K31" s="104">
        <f t="shared" si="6"/>
        <v>3219663</v>
      </c>
      <c r="L31" s="104">
        <f t="shared" si="6"/>
        <v>3219663</v>
      </c>
      <c r="M31" s="254"/>
      <c r="N31" s="240"/>
      <c r="O31" s="240"/>
      <c r="P31" s="240"/>
      <c r="Q31" s="240"/>
      <c r="R31" s="240"/>
      <c r="S31" s="240"/>
      <c r="T31" s="240"/>
      <c r="U31" s="243"/>
    </row>
    <row r="32" spans="1:21" ht="13.5" customHeight="1">
      <c r="A32" s="251"/>
      <c r="B32" s="306"/>
      <c r="C32" s="251"/>
      <c r="D32" s="103" t="s">
        <v>90</v>
      </c>
      <c r="E32" s="102">
        <f>F32+G32+H32+I32+J32+K32+L32</f>
        <v>0</v>
      </c>
      <c r="F32" s="104">
        <f>F26</f>
        <v>0</v>
      </c>
      <c r="G32" s="104">
        <f t="shared" si="7"/>
        <v>0</v>
      </c>
      <c r="H32" s="104">
        <f t="shared" si="7"/>
        <v>0</v>
      </c>
      <c r="I32" s="104">
        <f t="shared" si="6"/>
        <v>0</v>
      </c>
      <c r="J32" s="104">
        <f t="shared" si="6"/>
        <v>0</v>
      </c>
      <c r="K32" s="104">
        <f t="shared" si="6"/>
        <v>0</v>
      </c>
      <c r="L32" s="104">
        <f t="shared" si="6"/>
        <v>0</v>
      </c>
      <c r="M32" s="254"/>
      <c r="N32" s="240"/>
      <c r="O32" s="240"/>
      <c r="P32" s="240"/>
      <c r="Q32" s="240"/>
      <c r="R32" s="240"/>
      <c r="S32" s="240"/>
      <c r="T32" s="240"/>
      <c r="U32" s="243"/>
    </row>
    <row r="33" spans="1:21" ht="13.5" customHeight="1">
      <c r="A33" s="251"/>
      <c r="B33" s="307"/>
      <c r="C33" s="251"/>
      <c r="D33" s="103" t="s">
        <v>92</v>
      </c>
      <c r="E33" s="102">
        <f>F33+G33+H33+I33+J33+K33+L33</f>
        <v>30486718</v>
      </c>
      <c r="F33" s="104">
        <f>F27</f>
        <v>4452780</v>
      </c>
      <c r="G33" s="104">
        <f t="shared" si="7"/>
        <v>4898058</v>
      </c>
      <c r="H33" s="104">
        <f t="shared" si="7"/>
        <v>3862000</v>
      </c>
      <c r="I33" s="104">
        <f t="shared" si="6"/>
        <v>4318470</v>
      </c>
      <c r="J33" s="104">
        <f t="shared" si="6"/>
        <v>4318470</v>
      </c>
      <c r="K33" s="104">
        <f t="shared" si="6"/>
        <v>4318470</v>
      </c>
      <c r="L33" s="104">
        <f t="shared" si="6"/>
        <v>4318470</v>
      </c>
      <c r="M33" s="255"/>
      <c r="N33" s="241"/>
      <c r="O33" s="241"/>
      <c r="P33" s="241"/>
      <c r="Q33" s="241"/>
      <c r="R33" s="241"/>
      <c r="S33" s="241"/>
      <c r="T33" s="241"/>
      <c r="U33" s="244"/>
    </row>
    <row r="36" spans="6:7" ht="12.75">
      <c r="F36" s="107"/>
      <c r="G36" s="25"/>
    </row>
    <row r="37" spans="6:8" ht="12.75">
      <c r="F37" s="107"/>
      <c r="H37" s="24"/>
    </row>
    <row r="38" ht="12.75">
      <c r="F38" s="107"/>
    </row>
    <row r="39" spans="6:8" ht="12.75">
      <c r="F39" s="107"/>
      <c r="H39" s="26"/>
    </row>
    <row r="40" ht="12.75">
      <c r="F40" s="107"/>
    </row>
    <row r="41" ht="12.75">
      <c r="F41" s="107"/>
    </row>
    <row r="42" ht="12.75">
      <c r="F42" s="107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5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" sqref="F1:I1"/>
    </sheetView>
  </sheetViews>
  <sheetFormatPr defaultColWidth="9.140625" defaultRowHeight="15"/>
  <cols>
    <col min="1" max="1" width="35.421875" style="51" customWidth="1"/>
    <col min="2" max="2" width="18.28125" style="51" customWidth="1"/>
    <col min="3" max="3" width="15.421875" style="51" customWidth="1"/>
    <col min="4" max="4" width="15.421875" style="51" bestFit="1" customWidth="1"/>
    <col min="5" max="5" width="19.140625" style="51" customWidth="1"/>
    <col min="6" max="6" width="16.8515625" style="51" customWidth="1"/>
    <col min="7" max="7" width="14.28125" style="51" bestFit="1" customWidth="1"/>
    <col min="8" max="8" width="15.57421875" style="51" customWidth="1"/>
    <col min="9" max="9" width="15.140625" style="51" bestFit="1" customWidth="1"/>
    <col min="10" max="10" width="15.57421875" style="51" customWidth="1"/>
    <col min="11" max="11" width="12.57421875" style="51" bestFit="1" customWidth="1"/>
    <col min="12" max="16384" width="9.140625" style="51" customWidth="1"/>
  </cols>
  <sheetData>
    <row r="1" spans="6:10" ht="79.5" customHeight="1">
      <c r="F1" s="338" t="s">
        <v>290</v>
      </c>
      <c r="G1" s="339"/>
      <c r="H1" s="339"/>
      <c r="I1" s="339"/>
      <c r="J1" s="110"/>
    </row>
    <row r="2" spans="5:9" ht="18.75" customHeight="1">
      <c r="E2" s="6"/>
      <c r="G2" s="70"/>
      <c r="H2" s="70"/>
      <c r="I2" s="1" t="s">
        <v>171</v>
      </c>
    </row>
    <row r="4" spans="1:9" ht="36.75" customHeight="1">
      <c r="A4" s="340" t="s">
        <v>25</v>
      </c>
      <c r="B4" s="340"/>
      <c r="C4" s="340"/>
      <c r="D4" s="340"/>
      <c r="E4" s="340"/>
      <c r="F4" s="340"/>
      <c r="G4" s="340"/>
      <c r="H4" s="340"/>
      <c r="I4" s="340"/>
    </row>
    <row r="5" spans="1:9" ht="30" customHeight="1">
      <c r="A5" s="341" t="s">
        <v>99</v>
      </c>
      <c r="B5" s="343" t="s">
        <v>100</v>
      </c>
      <c r="C5" s="345" t="s">
        <v>101</v>
      </c>
      <c r="D5" s="345"/>
      <c r="E5" s="345"/>
      <c r="F5" s="345"/>
      <c r="G5" s="345"/>
      <c r="H5" s="345"/>
      <c r="I5" s="345"/>
    </row>
    <row r="6" spans="1:9" ht="16.5" customHeight="1">
      <c r="A6" s="342"/>
      <c r="B6" s="344"/>
      <c r="C6" s="62">
        <v>2014</v>
      </c>
      <c r="D6" s="62">
        <v>2015</v>
      </c>
      <c r="E6" s="62">
        <v>2016</v>
      </c>
      <c r="F6" s="62">
        <v>2017</v>
      </c>
      <c r="G6" s="62">
        <v>2018</v>
      </c>
      <c r="H6" s="62">
        <v>2019</v>
      </c>
      <c r="I6" s="63">
        <v>2020</v>
      </c>
    </row>
    <row r="7" spans="1:9" ht="16.5" customHeigh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6">
        <v>9</v>
      </c>
    </row>
    <row r="8" spans="1:9" ht="19.5" customHeight="1">
      <c r="A8" s="71" t="s">
        <v>26</v>
      </c>
      <c r="B8" s="69">
        <f>B10+B11+B12</f>
        <v>843586053.73</v>
      </c>
      <c r="C8" s="69">
        <f aca="true" t="shared" si="0" ref="C8:I8">C10+C11+C12+C13</f>
        <v>378697560.7</v>
      </c>
      <c r="D8" s="69">
        <f t="shared" si="0"/>
        <v>268862522.66999996</v>
      </c>
      <c r="E8" s="69">
        <f t="shared" si="0"/>
        <v>75942400.7</v>
      </c>
      <c r="F8" s="69">
        <f t="shared" si="0"/>
        <v>19417416.71</v>
      </c>
      <c r="G8" s="197">
        <f>G10+G11+G12+G13</f>
        <v>41356252.95</v>
      </c>
      <c r="H8" s="69">
        <f t="shared" si="0"/>
        <v>59309900</v>
      </c>
      <c r="I8" s="69">
        <f t="shared" si="0"/>
        <v>0</v>
      </c>
    </row>
    <row r="9" spans="1:9" ht="16.5" customHeight="1">
      <c r="A9" s="335" t="s">
        <v>102</v>
      </c>
      <c r="B9" s="336"/>
      <c r="C9" s="336"/>
      <c r="D9" s="336"/>
      <c r="E9" s="336"/>
      <c r="F9" s="336"/>
      <c r="G9" s="336"/>
      <c r="H9" s="336"/>
      <c r="I9" s="337"/>
    </row>
    <row r="10" spans="1:9" ht="16.5" customHeight="1">
      <c r="A10" s="64" t="s">
        <v>103</v>
      </c>
      <c r="B10" s="69">
        <f>C10+D10+E10+F10+G10+H10+I10</f>
        <v>505317555.81999993</v>
      </c>
      <c r="C10" s="65">
        <f>C17+C24</f>
        <v>224841076.51999998</v>
      </c>
      <c r="D10" s="65">
        <f>D17+D24</f>
        <v>179542022.67</v>
      </c>
      <c r="E10" s="65">
        <f>E17+E24</f>
        <v>60942400.7</v>
      </c>
      <c r="F10" s="65">
        <f>F17+F24</f>
        <v>18642902.98</v>
      </c>
      <c r="G10" s="65">
        <f>G17+G24+G31</f>
        <v>10849152.95</v>
      </c>
      <c r="H10" s="65">
        <f>H17+H24+H31</f>
        <v>10500000</v>
      </c>
      <c r="I10" s="65">
        <f aca="true" t="shared" si="1" ref="H10:I13">I17+I24+I31</f>
        <v>0</v>
      </c>
    </row>
    <row r="11" spans="1:9" ht="16.5" customHeight="1">
      <c r="A11" s="64" t="s">
        <v>20</v>
      </c>
      <c r="B11" s="69">
        <f>C11+D11+E11+F11+G11+H11+I11</f>
        <v>68366613.72999999</v>
      </c>
      <c r="C11" s="65">
        <f aca="true" t="shared" si="2" ref="C11:F13">C18+C25</f>
        <v>0</v>
      </c>
      <c r="D11" s="65">
        <f t="shared" si="2"/>
        <v>20606100</v>
      </c>
      <c r="E11" s="65">
        <f t="shared" si="2"/>
        <v>15000000</v>
      </c>
      <c r="F11" s="65">
        <f>F18+F25</f>
        <v>774513.73</v>
      </c>
      <c r="G11" s="65">
        <f>G18+G25+G32</f>
        <v>6850700</v>
      </c>
      <c r="H11" s="65">
        <f t="shared" si="1"/>
        <v>25135300</v>
      </c>
      <c r="I11" s="65">
        <f t="shared" si="1"/>
        <v>0</v>
      </c>
    </row>
    <row r="12" spans="1:9" ht="16.5" customHeight="1">
      <c r="A12" s="64" t="s">
        <v>21</v>
      </c>
      <c r="B12" s="69">
        <f>C12+D12+E12+F12+G12+H12+I12</f>
        <v>269901884.18</v>
      </c>
      <c r="C12" s="65">
        <f t="shared" si="2"/>
        <v>153856484.18</v>
      </c>
      <c r="D12" s="65">
        <f t="shared" si="2"/>
        <v>68714400</v>
      </c>
      <c r="E12" s="65">
        <f t="shared" si="2"/>
        <v>0</v>
      </c>
      <c r="F12" s="65">
        <f t="shared" si="2"/>
        <v>0</v>
      </c>
      <c r="G12" s="65">
        <f>G19+G26+G33</f>
        <v>23656400</v>
      </c>
      <c r="H12" s="65">
        <f t="shared" si="1"/>
        <v>23674600</v>
      </c>
      <c r="I12" s="65">
        <f t="shared" si="1"/>
        <v>0</v>
      </c>
    </row>
    <row r="13" spans="1:9" ht="16.5" customHeight="1">
      <c r="A13" s="64" t="s">
        <v>106</v>
      </c>
      <c r="B13" s="69">
        <f>C13+D13+E13+F13+G13+H13+I13</f>
        <v>0</v>
      </c>
      <c r="C13" s="65">
        <f t="shared" si="2"/>
        <v>0</v>
      </c>
      <c r="D13" s="65">
        <f t="shared" si="2"/>
        <v>0</v>
      </c>
      <c r="E13" s="65">
        <f t="shared" si="2"/>
        <v>0</v>
      </c>
      <c r="F13" s="65">
        <f t="shared" si="2"/>
        <v>0</v>
      </c>
      <c r="G13" s="65">
        <f>G20+G27+G34</f>
        <v>0</v>
      </c>
      <c r="H13" s="65">
        <f t="shared" si="1"/>
        <v>0</v>
      </c>
      <c r="I13" s="65">
        <f t="shared" si="1"/>
        <v>0</v>
      </c>
    </row>
    <row r="14" spans="1:9" ht="16.5" customHeight="1">
      <c r="A14" s="346" t="s">
        <v>107</v>
      </c>
      <c r="B14" s="347"/>
      <c r="C14" s="347"/>
      <c r="D14" s="347"/>
      <c r="E14" s="347"/>
      <c r="F14" s="347"/>
      <c r="G14" s="347"/>
      <c r="H14" s="347"/>
      <c r="I14" s="348"/>
    </row>
    <row r="15" spans="1:11" ht="47.25" customHeight="1">
      <c r="A15" s="72" t="s">
        <v>114</v>
      </c>
      <c r="B15" s="69">
        <f>B17+B18+B19+B20</f>
        <v>104742351.31000002</v>
      </c>
      <c r="C15" s="69">
        <f>C17+C18+C19+C20</f>
        <v>37890057.95</v>
      </c>
      <c r="D15" s="69">
        <f aca="true" t="shared" si="3" ref="D15:I15">D17+D18+D19+D20</f>
        <v>32468676.48</v>
      </c>
      <c r="E15" s="69">
        <f>E17+E18+E19+E20</f>
        <v>8054460.949999999</v>
      </c>
      <c r="F15" s="69">
        <f t="shared" si="3"/>
        <v>18380002.98</v>
      </c>
      <c r="G15" s="69">
        <f t="shared" si="3"/>
        <v>7949152.949999999</v>
      </c>
      <c r="H15" s="69">
        <f t="shared" si="3"/>
        <v>0</v>
      </c>
      <c r="I15" s="69">
        <f t="shared" si="3"/>
        <v>0</v>
      </c>
      <c r="K15" s="90"/>
    </row>
    <row r="16" spans="1:10" ht="16.5" customHeight="1">
      <c r="A16" s="335" t="s">
        <v>102</v>
      </c>
      <c r="B16" s="336"/>
      <c r="C16" s="336"/>
      <c r="D16" s="336"/>
      <c r="E16" s="336"/>
      <c r="F16" s="336"/>
      <c r="G16" s="336"/>
      <c r="H16" s="336"/>
      <c r="I16" s="337"/>
      <c r="J16" s="90"/>
    </row>
    <row r="17" spans="1:9" ht="16.5" customHeight="1">
      <c r="A17" s="64" t="s">
        <v>103</v>
      </c>
      <c r="B17" s="69">
        <f>C17+D17+E17+F17+G17+H17+I17</f>
        <v>99136251.31000002</v>
      </c>
      <c r="C17" s="65">
        <v>37890057.95</v>
      </c>
      <c r="D17" s="65">
        <v>26862576.48</v>
      </c>
      <c r="E17" s="65">
        <f>6300010.14+1057802.74+366885.6+158204+182115-10556.53</f>
        <v>8054460.949999999</v>
      </c>
      <c r="F17" s="65">
        <f>'таб 3(8)'!I63+'таб 3(8)'!I75+'таб 3(8)'!I81+'таб 3(8)'!I69-262900</f>
        <v>18380002.98</v>
      </c>
      <c r="G17" s="65">
        <f>'таб 3(8)'!J99-'таб 2(8)'!G31</f>
        <v>7949152.949999999</v>
      </c>
      <c r="H17" s="65">
        <f>'таб 3(8)'!K93</f>
        <v>0</v>
      </c>
      <c r="I17" s="65">
        <f>'таб 3(8)'!L93</f>
        <v>0</v>
      </c>
    </row>
    <row r="18" spans="1:10" ht="16.5" customHeight="1">
      <c r="A18" s="64" t="s">
        <v>20</v>
      </c>
      <c r="B18" s="69">
        <f>C18+D18+E18+F18+G18+H18+I18</f>
        <v>5606100</v>
      </c>
      <c r="C18" s="65">
        <v>0</v>
      </c>
      <c r="D18" s="65">
        <f>+'таб 3(8)'!G18+'таб 3(8)'!G48</f>
        <v>5606100</v>
      </c>
      <c r="E18" s="65">
        <v>0</v>
      </c>
      <c r="F18" s="65">
        <v>0</v>
      </c>
      <c r="G18" s="65">
        <f>'таб 3(8)'!J70</f>
        <v>0</v>
      </c>
      <c r="H18" s="65">
        <v>0</v>
      </c>
      <c r="I18" s="65">
        <v>0</v>
      </c>
      <c r="J18" s="126"/>
    </row>
    <row r="19" spans="1:9" ht="16.5" customHeight="1">
      <c r="A19" s="64" t="s">
        <v>21</v>
      </c>
      <c r="B19" s="69">
        <f>C19+D19+E19+F19+G19+H19+I19</f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1:9" ht="16.5" customHeight="1">
      <c r="A20" s="64" t="s">
        <v>106</v>
      </c>
      <c r="B20" s="69">
        <f>C20+D20+E20+F20+G20+H20+I20</f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1:9" ht="30">
      <c r="A21" s="68" t="s">
        <v>108</v>
      </c>
      <c r="B21" s="69">
        <f>C21+D21+E21+F21+G21+H21+I21</f>
        <v>20333549.72</v>
      </c>
      <c r="C21" s="65">
        <f>'таб 3(8)'!F39</f>
        <v>20333549.72</v>
      </c>
      <c r="D21" s="65">
        <f>'таб 3(8)'!G39</f>
        <v>0</v>
      </c>
      <c r="E21" s="65">
        <f>'таб 3(8)'!H39</f>
        <v>0</v>
      </c>
      <c r="F21" s="65">
        <f>'таб 3(8)'!I39</f>
        <v>0</v>
      </c>
      <c r="G21" s="65">
        <f>'таб 3(8)'!J39</f>
        <v>0</v>
      </c>
      <c r="H21" s="65">
        <f>'таб 3(8)'!K39</f>
        <v>0</v>
      </c>
      <c r="I21" s="65">
        <f>'таб 3(8)'!L39</f>
        <v>0</v>
      </c>
    </row>
    <row r="22" spans="1:9" ht="45" customHeight="1">
      <c r="A22" s="72" t="s">
        <v>178</v>
      </c>
      <c r="B22" s="69">
        <f>B24+B25+B26+B27</f>
        <v>646126702.4200001</v>
      </c>
      <c r="C22" s="69">
        <f>C24+C25+C26+C27</f>
        <v>340807502.75</v>
      </c>
      <c r="D22" s="69">
        <f aca="true" t="shared" si="4" ref="D22:I22">D24+D25+D26+D27</f>
        <v>236393846.19</v>
      </c>
      <c r="E22" s="69">
        <f>E24+E25+E26+E27</f>
        <v>67887939.75</v>
      </c>
      <c r="F22" s="69">
        <f>F24+F25+F26+F27</f>
        <v>1037413.73</v>
      </c>
      <c r="G22" s="69">
        <f t="shared" si="4"/>
        <v>0</v>
      </c>
      <c r="H22" s="69">
        <f t="shared" si="4"/>
        <v>0</v>
      </c>
      <c r="I22" s="69">
        <f t="shared" si="4"/>
        <v>0</v>
      </c>
    </row>
    <row r="23" spans="1:9" ht="16.5" customHeight="1">
      <c r="A23" s="335" t="s">
        <v>102</v>
      </c>
      <c r="B23" s="336"/>
      <c r="C23" s="336"/>
      <c r="D23" s="336"/>
      <c r="E23" s="336"/>
      <c r="F23" s="336"/>
      <c r="G23" s="336"/>
      <c r="H23" s="336"/>
      <c r="I23" s="337"/>
    </row>
    <row r="24" spans="1:9" ht="16.5" customHeight="1">
      <c r="A24" s="64" t="s">
        <v>103</v>
      </c>
      <c r="B24" s="69">
        <f>C24+D24+E24+F24+G24+H24+I24</f>
        <v>392781304.51</v>
      </c>
      <c r="C24" s="65">
        <v>186951018.57</v>
      </c>
      <c r="D24" s="87">
        <v>152679446.19</v>
      </c>
      <c r="E24" s="87">
        <f>49779000-15000000+2702387.68+9207002.98+4989967.13+1209581.96</f>
        <v>52887939.75</v>
      </c>
      <c r="F24" s="65">
        <f>'таб 3(8)'!I33+262900</f>
        <v>262900</v>
      </c>
      <c r="G24" s="65">
        <v>0</v>
      </c>
      <c r="H24" s="65">
        <v>0</v>
      </c>
      <c r="I24" s="65">
        <v>0</v>
      </c>
    </row>
    <row r="25" spans="1:10" ht="16.5" customHeight="1">
      <c r="A25" s="64" t="s">
        <v>20</v>
      </c>
      <c r="B25" s="69">
        <f>C25+D25+E25+F25+G25+H25+I25</f>
        <v>30774513.73</v>
      </c>
      <c r="C25" s="67"/>
      <c r="D25" s="65">
        <f>+'таб 3(8)'!G12</f>
        <v>15000000</v>
      </c>
      <c r="E25" s="87">
        <v>15000000</v>
      </c>
      <c r="F25" s="65">
        <f>'таб 3(8)'!I12</f>
        <v>774513.73</v>
      </c>
      <c r="G25" s="65">
        <v>0</v>
      </c>
      <c r="H25" s="65">
        <v>0</v>
      </c>
      <c r="I25" s="65">
        <v>0</v>
      </c>
      <c r="J25" s="126"/>
    </row>
    <row r="26" spans="1:9" ht="16.5" customHeight="1">
      <c r="A26" s="64" t="s">
        <v>21</v>
      </c>
      <c r="B26" s="69">
        <f>C26+D26+E26+F26+G26+H26+I26</f>
        <v>222570884.18</v>
      </c>
      <c r="C26" s="65">
        <f>'таб 3(8)'!F101</f>
        <v>153856484.18</v>
      </c>
      <c r="D26" s="65">
        <f>+'таб 3(8)'!G13</f>
        <v>68714400</v>
      </c>
      <c r="E26" s="65">
        <f>+'таб 3(8)'!H101</f>
        <v>0</v>
      </c>
      <c r="F26" s="65"/>
      <c r="G26" s="65">
        <v>0</v>
      </c>
      <c r="H26" s="65">
        <v>0</v>
      </c>
      <c r="I26" s="65">
        <v>0</v>
      </c>
    </row>
    <row r="27" spans="1:9" ht="16.5" customHeight="1">
      <c r="A27" s="64" t="s">
        <v>106</v>
      </c>
      <c r="B27" s="69">
        <f>C27+D27+E27+F27+G27+H27+I27</f>
        <v>0</v>
      </c>
      <c r="C27" s="65">
        <f aca="true" t="shared" si="5" ref="C27:I27">C34+C41</f>
        <v>0</v>
      </c>
      <c r="D27" s="65">
        <f t="shared" si="5"/>
        <v>0</v>
      </c>
      <c r="E27" s="65">
        <f>+'таб 3(8)'!I102</f>
        <v>0</v>
      </c>
      <c r="F27" s="65">
        <f t="shared" si="5"/>
        <v>0</v>
      </c>
      <c r="G27" s="65">
        <v>0</v>
      </c>
      <c r="H27" s="65">
        <f t="shared" si="5"/>
        <v>0</v>
      </c>
      <c r="I27" s="65">
        <f t="shared" si="5"/>
        <v>0</v>
      </c>
    </row>
    <row r="28" spans="1:9" ht="30">
      <c r="A28" s="68" t="s">
        <v>108</v>
      </c>
      <c r="B28" s="69">
        <f>B22</f>
        <v>646126702.4200001</v>
      </c>
      <c r="C28" s="66">
        <f aca="true" t="shared" si="6" ref="C28:I28">C22</f>
        <v>340807502.75</v>
      </c>
      <c r="D28" s="66">
        <f t="shared" si="6"/>
        <v>236393846.19</v>
      </c>
      <c r="E28" s="66">
        <f t="shared" si="6"/>
        <v>67887939.75</v>
      </c>
      <c r="F28" s="66">
        <f t="shared" si="6"/>
        <v>1037413.73</v>
      </c>
      <c r="G28" s="66">
        <f t="shared" si="6"/>
        <v>0</v>
      </c>
      <c r="H28" s="66">
        <f t="shared" si="6"/>
        <v>0</v>
      </c>
      <c r="I28" s="66">
        <f t="shared" si="6"/>
        <v>0</v>
      </c>
    </row>
    <row r="29" spans="1:9" ht="45" customHeight="1">
      <c r="A29" s="72" t="s">
        <v>274</v>
      </c>
      <c r="B29" s="69">
        <f>G29+H29+I29</f>
        <v>92717000</v>
      </c>
      <c r="C29" s="69">
        <f>C31+C32+C33+C34</f>
        <v>0</v>
      </c>
      <c r="D29" s="69">
        <f>D31+D32+D33+D34</f>
        <v>0</v>
      </c>
      <c r="E29" s="69">
        <f>E31+E32+E33+E34</f>
        <v>0</v>
      </c>
      <c r="F29" s="69">
        <f>F31+F32+F33+F34</f>
        <v>0</v>
      </c>
      <c r="G29" s="69">
        <f>G31+G32+G33</f>
        <v>33407100</v>
      </c>
      <c r="H29" s="69">
        <f>H31+H32+H33+H34</f>
        <v>59309900</v>
      </c>
      <c r="I29" s="69">
        <f>I31+I32+I33+I34</f>
        <v>0</v>
      </c>
    </row>
    <row r="30" spans="1:9" ht="16.5" customHeight="1">
      <c r="A30" s="335" t="s">
        <v>102</v>
      </c>
      <c r="B30" s="336"/>
      <c r="C30" s="336"/>
      <c r="D30" s="336"/>
      <c r="E30" s="336"/>
      <c r="F30" s="336"/>
      <c r="G30" s="336"/>
      <c r="H30" s="336"/>
      <c r="I30" s="337"/>
    </row>
    <row r="31" spans="1:9" ht="16.5" customHeight="1">
      <c r="A31" s="64" t="s">
        <v>103</v>
      </c>
      <c r="B31" s="69">
        <f>C31+D31+E31+F31+G31+H31+I31</f>
        <v>13400000</v>
      </c>
      <c r="C31" s="65">
        <v>0</v>
      </c>
      <c r="D31" s="87">
        <v>0</v>
      </c>
      <c r="E31" s="87">
        <v>0</v>
      </c>
      <c r="F31" s="65">
        <v>0</v>
      </c>
      <c r="G31" s="65">
        <f>'таб 3(8)'!J51</f>
        <v>2900000</v>
      </c>
      <c r="H31" s="65">
        <f>'таб 3(8)'!K51</f>
        <v>10500000</v>
      </c>
      <c r="I31" s="65">
        <f>'таб 3(8)'!L51</f>
        <v>0</v>
      </c>
    </row>
    <row r="32" spans="1:10" ht="16.5" customHeight="1">
      <c r="A32" s="64" t="s">
        <v>20</v>
      </c>
      <c r="B32" s="69">
        <f>C32+D32+E32+F32+G32+H32+I32</f>
        <v>31986000</v>
      </c>
      <c r="C32" s="67">
        <v>0</v>
      </c>
      <c r="D32" s="65">
        <v>0</v>
      </c>
      <c r="E32" s="87">
        <v>0</v>
      </c>
      <c r="F32" s="65">
        <v>0</v>
      </c>
      <c r="G32" s="65">
        <f>'таб 3(8)'!J52</f>
        <v>6850700</v>
      </c>
      <c r="H32" s="65">
        <f>'таб 3(8)'!K52</f>
        <v>25135300</v>
      </c>
      <c r="I32" s="65">
        <f>'таб 3(8)'!L52</f>
        <v>0</v>
      </c>
      <c r="J32" s="126"/>
    </row>
    <row r="33" spans="1:9" ht="16.5" customHeight="1">
      <c r="A33" s="64" t="s">
        <v>21</v>
      </c>
      <c r="B33" s="69">
        <f>C33+D33+E33+F33+G33+H33+I33</f>
        <v>47331000</v>
      </c>
      <c r="C33" s="65">
        <v>0</v>
      </c>
      <c r="D33" s="65">
        <v>0</v>
      </c>
      <c r="E33" s="65">
        <v>0</v>
      </c>
      <c r="F33" s="65">
        <v>0</v>
      </c>
      <c r="G33" s="65">
        <f>'таб 3(8)'!J101</f>
        <v>23656400</v>
      </c>
      <c r="H33" s="65">
        <f>'таб 3(8)'!K53</f>
        <v>23674600</v>
      </c>
      <c r="I33" s="65">
        <f>'таб 3(8)'!L53</f>
        <v>0</v>
      </c>
    </row>
    <row r="34" spans="1:9" ht="16.5" customHeight="1">
      <c r="A34" s="64" t="s">
        <v>106</v>
      </c>
      <c r="B34" s="69">
        <f>C34+D34+E34+F34+G34+H34+I34</f>
        <v>0</v>
      </c>
      <c r="C34" s="65">
        <v>0</v>
      </c>
      <c r="D34" s="65">
        <f>D41+D48</f>
        <v>0</v>
      </c>
      <c r="E34" s="65">
        <v>0</v>
      </c>
      <c r="F34" s="65">
        <v>0</v>
      </c>
      <c r="G34" s="65">
        <v>0</v>
      </c>
      <c r="H34" s="65">
        <f>H41+H48</f>
        <v>0</v>
      </c>
      <c r="I34" s="65">
        <f>I41+I48</f>
        <v>0</v>
      </c>
    </row>
    <row r="35" spans="1:9" ht="30">
      <c r="A35" s="68" t="s">
        <v>108</v>
      </c>
      <c r="B35" s="69">
        <f>B29</f>
        <v>92717000</v>
      </c>
      <c r="C35" s="66">
        <v>0</v>
      </c>
      <c r="D35" s="66">
        <f aca="true" t="shared" si="7" ref="D35:I35">D29</f>
        <v>0</v>
      </c>
      <c r="E35" s="66">
        <f t="shared" si="7"/>
        <v>0</v>
      </c>
      <c r="F35" s="66">
        <f t="shared" si="7"/>
        <v>0</v>
      </c>
      <c r="G35" s="66">
        <f>'таб 3(8)'!J54-88200</f>
        <v>33318900</v>
      </c>
      <c r="H35" s="66">
        <f>H29-183500</f>
        <v>59126400</v>
      </c>
      <c r="I35" s="66">
        <f t="shared" si="7"/>
        <v>0</v>
      </c>
    </row>
  </sheetData>
  <sheetProtection/>
  <mergeCells count="10">
    <mergeCell ref="A30:I30"/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10"/>
  <sheetViews>
    <sheetView tabSelected="1" zoomScaleSheetLayoutView="115" zoomScalePageLayoutView="0" workbookViewId="0" topLeftCell="A1">
      <pane xSplit="3" ySplit="8" topLeftCell="K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8" customWidth="1"/>
    <col min="2" max="2" width="38.00390625" style="18" customWidth="1"/>
    <col min="3" max="3" width="10.8515625" style="18" customWidth="1"/>
    <col min="4" max="4" width="10.00390625" style="18" customWidth="1"/>
    <col min="5" max="6" width="14.00390625" style="18" customWidth="1"/>
    <col min="7" max="7" width="14.00390625" style="18" bestFit="1" customWidth="1"/>
    <col min="8" max="8" width="15.421875" style="18" customWidth="1"/>
    <col min="9" max="9" width="12.8515625" style="18" customWidth="1"/>
    <col min="10" max="10" width="14.7109375" style="187" customWidth="1"/>
    <col min="11" max="11" width="15.421875" style="18" customWidth="1"/>
    <col min="12" max="12" width="12.8515625" style="18" bestFit="1" customWidth="1"/>
    <col min="13" max="13" width="25.421875" style="18" customWidth="1"/>
    <col min="14" max="20" width="4.421875" style="18" bestFit="1" customWidth="1"/>
    <col min="21" max="21" width="20.7109375" style="18" customWidth="1"/>
    <col min="22" max="16384" width="9.140625" style="18" customWidth="1"/>
  </cols>
  <sheetData>
    <row r="1" spans="8:21" ht="79.5" customHeight="1">
      <c r="H1" s="25"/>
      <c r="J1" s="186"/>
      <c r="K1" s="91"/>
      <c r="L1" s="91"/>
      <c r="P1" s="338" t="s">
        <v>291</v>
      </c>
      <c r="Q1" s="339"/>
      <c r="R1" s="339"/>
      <c r="S1" s="339"/>
      <c r="T1" s="339"/>
      <c r="U1" s="339"/>
    </row>
    <row r="2" spans="20:21" ht="15" customHeight="1">
      <c r="T2" s="99"/>
      <c r="U2" s="105" t="s">
        <v>172</v>
      </c>
    </row>
    <row r="3" spans="1:21" ht="15.75">
      <c r="A3" s="247" t="s">
        <v>27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24.75" customHeight="1">
      <c r="A4" s="211" t="s">
        <v>97</v>
      </c>
      <c r="B4" s="211" t="s">
        <v>109</v>
      </c>
      <c r="C4" s="211" t="s">
        <v>110</v>
      </c>
      <c r="D4" s="211" t="s">
        <v>99</v>
      </c>
      <c r="E4" s="211" t="s">
        <v>111</v>
      </c>
      <c r="F4" s="211"/>
      <c r="G4" s="211"/>
      <c r="H4" s="211"/>
      <c r="I4" s="211"/>
      <c r="J4" s="211"/>
      <c r="K4" s="211"/>
      <c r="L4" s="211"/>
      <c r="M4" s="211" t="s">
        <v>31</v>
      </c>
      <c r="N4" s="211"/>
      <c r="O4" s="211"/>
      <c r="P4" s="211"/>
      <c r="Q4" s="211"/>
      <c r="R4" s="211"/>
      <c r="S4" s="211"/>
      <c r="T4" s="211"/>
      <c r="U4" s="265" t="s">
        <v>112</v>
      </c>
    </row>
    <row r="5" spans="1:21" ht="27.75" customHeight="1">
      <c r="A5" s="211"/>
      <c r="B5" s="211"/>
      <c r="C5" s="211"/>
      <c r="D5" s="211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188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6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189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7" t="s">
        <v>29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2.75">
      <c r="A8" s="20">
        <v>1</v>
      </c>
      <c r="B8" s="267" t="s">
        <v>179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2.75">
      <c r="A9" s="377" t="s">
        <v>95</v>
      </c>
      <c r="B9" s="294" t="s">
        <v>53</v>
      </c>
      <c r="C9" s="251">
        <v>2015</v>
      </c>
      <c r="D9" s="108" t="s">
        <v>93</v>
      </c>
      <c r="E9" s="22">
        <f aca="true" t="shared" si="0" ref="E9:L9">E11+E12+E13+E14</f>
        <v>370505619.30999994</v>
      </c>
      <c r="F9" s="22">
        <f t="shared" si="0"/>
        <v>155467418.57</v>
      </c>
      <c r="G9" s="22">
        <f t="shared" si="0"/>
        <v>158184676.87</v>
      </c>
      <c r="H9" s="22">
        <f t="shared" si="0"/>
        <v>56079010.14</v>
      </c>
      <c r="I9" s="22">
        <f t="shared" si="0"/>
        <v>774513.73</v>
      </c>
      <c r="J9" s="183">
        <f t="shared" si="0"/>
        <v>0</v>
      </c>
      <c r="K9" s="22">
        <f t="shared" si="0"/>
        <v>0</v>
      </c>
      <c r="L9" s="22">
        <f t="shared" si="0"/>
        <v>0</v>
      </c>
      <c r="M9" s="367" t="s">
        <v>186</v>
      </c>
      <c r="N9" s="368"/>
      <c r="O9" s="349">
        <v>0</v>
      </c>
      <c r="P9" s="376">
        <v>1</v>
      </c>
      <c r="Q9" s="368"/>
      <c r="R9" s="368"/>
      <c r="S9" s="368"/>
      <c r="T9" s="368"/>
      <c r="U9" s="364" t="s">
        <v>201</v>
      </c>
    </row>
    <row r="10" spans="1:21" ht="12.75">
      <c r="A10" s="251"/>
      <c r="B10" s="295"/>
      <c r="C10" s="251"/>
      <c r="D10" s="248" t="s">
        <v>113</v>
      </c>
      <c r="E10" s="249"/>
      <c r="F10" s="249"/>
      <c r="G10" s="249"/>
      <c r="H10" s="249"/>
      <c r="I10" s="249"/>
      <c r="J10" s="249"/>
      <c r="K10" s="249"/>
      <c r="L10" s="250"/>
      <c r="M10" s="374"/>
      <c r="N10" s="368"/>
      <c r="O10" s="349"/>
      <c r="P10" s="376"/>
      <c r="Q10" s="368"/>
      <c r="R10" s="368"/>
      <c r="S10" s="368"/>
      <c r="T10" s="368"/>
      <c r="U10" s="365"/>
    </row>
    <row r="11" spans="1:21" ht="12.75">
      <c r="A11" s="251"/>
      <c r="B11" s="295"/>
      <c r="C11" s="251"/>
      <c r="D11" s="21" t="s">
        <v>91</v>
      </c>
      <c r="E11" s="22">
        <f>F11+G11+H11+I11+J11+K11+L11</f>
        <v>146266705.57999998</v>
      </c>
      <c r="F11" s="22">
        <f>53237500-22520081.43</f>
        <v>30717418.57</v>
      </c>
      <c r="G11" s="22">
        <v>74470276.87</v>
      </c>
      <c r="H11" s="22">
        <f>34779000+6300010.14</f>
        <v>41079010.14</v>
      </c>
      <c r="I11" s="22">
        <v>0</v>
      </c>
      <c r="J11" s="183">
        <v>0</v>
      </c>
      <c r="K11" s="22">
        <v>0</v>
      </c>
      <c r="L11" s="22">
        <v>0</v>
      </c>
      <c r="M11" s="374"/>
      <c r="N11" s="368"/>
      <c r="O11" s="349"/>
      <c r="P11" s="376"/>
      <c r="Q11" s="368"/>
      <c r="R11" s="368"/>
      <c r="S11" s="368"/>
      <c r="T11" s="368"/>
      <c r="U11" s="365"/>
    </row>
    <row r="12" spans="1:21" ht="12.75">
      <c r="A12" s="251"/>
      <c r="B12" s="295"/>
      <c r="C12" s="251"/>
      <c r="D12" s="21" t="s">
        <v>89</v>
      </c>
      <c r="E12" s="22">
        <f>F12+G12+H12+I12+J12+K12+L12</f>
        <v>30774513.73</v>
      </c>
      <c r="F12" s="22">
        <v>0</v>
      </c>
      <c r="G12" s="22">
        <v>15000000</v>
      </c>
      <c r="H12" s="22">
        <v>15000000</v>
      </c>
      <c r="I12" s="22">
        <v>774513.73</v>
      </c>
      <c r="J12" s="183">
        <v>0</v>
      </c>
      <c r="K12" s="22">
        <v>0</v>
      </c>
      <c r="L12" s="22">
        <v>0</v>
      </c>
      <c r="M12" s="374"/>
      <c r="N12" s="368"/>
      <c r="O12" s="349"/>
      <c r="P12" s="376"/>
      <c r="Q12" s="368"/>
      <c r="R12" s="368"/>
      <c r="S12" s="368"/>
      <c r="T12" s="368"/>
      <c r="U12" s="365"/>
    </row>
    <row r="13" spans="1:21" ht="12.75">
      <c r="A13" s="251"/>
      <c r="B13" s="295"/>
      <c r="C13" s="251"/>
      <c r="D13" s="21" t="s">
        <v>90</v>
      </c>
      <c r="E13" s="22">
        <f>F13+G13+H13+I13+J13+K13+L13</f>
        <v>193464400</v>
      </c>
      <c r="F13" s="22">
        <v>124750000</v>
      </c>
      <c r="G13" s="22">
        <v>68714400</v>
      </c>
      <c r="H13" s="22">
        <v>0</v>
      </c>
      <c r="I13" s="22">
        <v>0</v>
      </c>
      <c r="J13" s="183">
        <v>0</v>
      </c>
      <c r="K13" s="22">
        <v>0</v>
      </c>
      <c r="L13" s="22">
        <v>0</v>
      </c>
      <c r="M13" s="374"/>
      <c r="N13" s="368"/>
      <c r="O13" s="349"/>
      <c r="P13" s="376"/>
      <c r="Q13" s="368"/>
      <c r="R13" s="368"/>
      <c r="S13" s="368"/>
      <c r="T13" s="368"/>
      <c r="U13" s="365"/>
    </row>
    <row r="14" spans="1:21" ht="12.75">
      <c r="A14" s="251"/>
      <c r="B14" s="296"/>
      <c r="C14" s="251"/>
      <c r="D14" s="21" t="s">
        <v>92</v>
      </c>
      <c r="E14" s="22">
        <f>F14+G14+H14+I14+J14+K14+L14</f>
        <v>0</v>
      </c>
      <c r="F14" s="22">
        <v>0</v>
      </c>
      <c r="G14" s="22">
        <v>0</v>
      </c>
      <c r="H14" s="22">
        <v>0</v>
      </c>
      <c r="I14" s="22">
        <v>0</v>
      </c>
      <c r="J14" s="183">
        <v>0</v>
      </c>
      <c r="K14" s="22">
        <v>0</v>
      </c>
      <c r="L14" s="22">
        <v>0</v>
      </c>
      <c r="M14" s="375"/>
      <c r="N14" s="368"/>
      <c r="O14" s="349"/>
      <c r="P14" s="376"/>
      <c r="Q14" s="368"/>
      <c r="R14" s="368"/>
      <c r="S14" s="368"/>
      <c r="T14" s="368"/>
      <c r="U14" s="366"/>
    </row>
    <row r="15" spans="1:21" ht="12.75">
      <c r="A15" s="377" t="s">
        <v>94</v>
      </c>
      <c r="B15" s="294" t="s">
        <v>208</v>
      </c>
      <c r="C15" s="251">
        <v>2015</v>
      </c>
      <c r="D15" s="108" t="s">
        <v>93</v>
      </c>
      <c r="E15" s="22">
        <f aca="true" t="shared" si="1" ref="E15:L15">E17+E18+E19+E20</f>
        <v>276554268.36</v>
      </c>
      <c r="F15" s="22">
        <f t="shared" si="1"/>
        <v>185340084.18</v>
      </c>
      <c r="G15" s="22">
        <f t="shared" si="1"/>
        <v>88511796.5</v>
      </c>
      <c r="H15" s="22">
        <f t="shared" si="1"/>
        <v>2702387.68</v>
      </c>
      <c r="I15" s="22">
        <f t="shared" si="1"/>
        <v>0</v>
      </c>
      <c r="J15" s="183">
        <f t="shared" si="1"/>
        <v>0</v>
      </c>
      <c r="K15" s="22">
        <f t="shared" si="1"/>
        <v>0</v>
      </c>
      <c r="L15" s="22">
        <f t="shared" si="1"/>
        <v>0</v>
      </c>
      <c r="M15" s="367" t="s">
        <v>205</v>
      </c>
      <c r="N15" s="368"/>
      <c r="O15" s="349">
        <v>1</v>
      </c>
      <c r="P15" s="376"/>
      <c r="Q15" s="368"/>
      <c r="R15" s="368"/>
      <c r="S15" s="368"/>
      <c r="T15" s="368"/>
      <c r="U15" s="364" t="s">
        <v>201</v>
      </c>
    </row>
    <row r="16" spans="1:21" ht="12.75">
      <c r="A16" s="251"/>
      <c r="B16" s="295"/>
      <c r="C16" s="251"/>
      <c r="D16" s="248" t="s">
        <v>113</v>
      </c>
      <c r="E16" s="249"/>
      <c r="F16" s="249"/>
      <c r="G16" s="249"/>
      <c r="H16" s="249"/>
      <c r="I16" s="249"/>
      <c r="J16" s="249"/>
      <c r="K16" s="249"/>
      <c r="L16" s="250"/>
      <c r="M16" s="374"/>
      <c r="N16" s="368"/>
      <c r="O16" s="349"/>
      <c r="P16" s="376"/>
      <c r="Q16" s="368"/>
      <c r="R16" s="368"/>
      <c r="S16" s="368"/>
      <c r="T16" s="368"/>
      <c r="U16" s="365"/>
    </row>
    <row r="17" spans="1:21" ht="14.25" customHeight="1">
      <c r="A17" s="251"/>
      <c r="B17" s="295"/>
      <c r="C17" s="251"/>
      <c r="D17" s="21" t="s">
        <v>91</v>
      </c>
      <c r="E17" s="22">
        <f>F17+G17+H17+I17+J17+K17+L17</f>
        <v>246647784.18</v>
      </c>
      <c r="F17" s="22">
        <v>156233600</v>
      </c>
      <c r="G17" s="22">
        <v>87711796.5</v>
      </c>
      <c r="H17" s="22">
        <f>2702387.68</f>
        <v>2702387.68</v>
      </c>
      <c r="I17" s="22">
        <v>0</v>
      </c>
      <c r="J17" s="183">
        <v>0</v>
      </c>
      <c r="K17" s="22">
        <v>0</v>
      </c>
      <c r="L17" s="22">
        <v>0</v>
      </c>
      <c r="M17" s="374"/>
      <c r="N17" s="368"/>
      <c r="O17" s="349"/>
      <c r="P17" s="376"/>
      <c r="Q17" s="368"/>
      <c r="R17" s="368"/>
      <c r="S17" s="368"/>
      <c r="T17" s="368"/>
      <c r="U17" s="365"/>
    </row>
    <row r="18" spans="1:21" ht="12.75">
      <c r="A18" s="251"/>
      <c r="B18" s="295"/>
      <c r="C18" s="251"/>
      <c r="D18" s="21" t="s">
        <v>89</v>
      </c>
      <c r="E18" s="22">
        <f>F18+G18+H18+I18+J18+K18+L18</f>
        <v>800000</v>
      </c>
      <c r="F18" s="22">
        <v>0</v>
      </c>
      <c r="G18" s="22">
        <v>800000</v>
      </c>
      <c r="H18" s="22">
        <v>0</v>
      </c>
      <c r="I18" s="22">
        <v>0</v>
      </c>
      <c r="J18" s="183">
        <v>0</v>
      </c>
      <c r="K18" s="22">
        <v>0</v>
      </c>
      <c r="L18" s="22">
        <v>0</v>
      </c>
      <c r="M18" s="374"/>
      <c r="N18" s="368"/>
      <c r="O18" s="349"/>
      <c r="P18" s="376"/>
      <c r="Q18" s="368"/>
      <c r="R18" s="368"/>
      <c r="S18" s="368"/>
      <c r="T18" s="368"/>
      <c r="U18" s="365"/>
    </row>
    <row r="19" spans="1:21" ht="12.75">
      <c r="A19" s="251"/>
      <c r="B19" s="295"/>
      <c r="C19" s="251"/>
      <c r="D19" s="21" t="s">
        <v>90</v>
      </c>
      <c r="E19" s="22">
        <f>F19+G19+H19+I19+J19+K19+L19</f>
        <v>29106484.18</v>
      </c>
      <c r="F19" s="22">
        <v>29106484.18</v>
      </c>
      <c r="G19" s="22">
        <v>0</v>
      </c>
      <c r="H19" s="22">
        <v>0</v>
      </c>
      <c r="I19" s="22">
        <v>0</v>
      </c>
      <c r="J19" s="183">
        <v>0</v>
      </c>
      <c r="K19" s="22">
        <v>0</v>
      </c>
      <c r="L19" s="22">
        <v>0</v>
      </c>
      <c r="M19" s="374"/>
      <c r="N19" s="368"/>
      <c r="O19" s="349"/>
      <c r="P19" s="376"/>
      <c r="Q19" s="368"/>
      <c r="R19" s="368"/>
      <c r="S19" s="368"/>
      <c r="T19" s="368"/>
      <c r="U19" s="365"/>
    </row>
    <row r="20" spans="1:21" ht="12.75">
      <c r="A20" s="251"/>
      <c r="B20" s="296"/>
      <c r="C20" s="251"/>
      <c r="D20" s="21" t="s">
        <v>92</v>
      </c>
      <c r="E20" s="22">
        <f>F20+G20+H20+I20+J20+K20+L20</f>
        <v>0</v>
      </c>
      <c r="F20" s="22">
        <v>0</v>
      </c>
      <c r="G20" s="22">
        <v>0</v>
      </c>
      <c r="H20" s="22">
        <v>0</v>
      </c>
      <c r="I20" s="22">
        <v>0</v>
      </c>
      <c r="J20" s="183">
        <v>0</v>
      </c>
      <c r="K20" s="22">
        <v>0</v>
      </c>
      <c r="L20" s="22">
        <v>0</v>
      </c>
      <c r="M20" s="375"/>
      <c r="N20" s="368"/>
      <c r="O20" s="349"/>
      <c r="P20" s="376"/>
      <c r="Q20" s="368"/>
      <c r="R20" s="368"/>
      <c r="S20" s="368"/>
      <c r="T20" s="368"/>
      <c r="U20" s="366"/>
    </row>
    <row r="21" spans="1:21" ht="12.75" customHeight="1" hidden="1">
      <c r="A21" s="251" t="s">
        <v>96</v>
      </c>
      <c r="B21" s="294" t="s">
        <v>206</v>
      </c>
      <c r="C21" s="251">
        <v>2015</v>
      </c>
      <c r="D21" s="21" t="s">
        <v>93</v>
      </c>
      <c r="E21" s="22">
        <f aca="true" t="shared" si="2" ref="E21:L21">E23+E24+E25+E26</f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183">
        <f t="shared" si="2"/>
        <v>0</v>
      </c>
      <c r="K21" s="22">
        <f t="shared" si="2"/>
        <v>0</v>
      </c>
      <c r="L21" s="22">
        <f t="shared" si="2"/>
        <v>0</v>
      </c>
      <c r="M21" s="367" t="s">
        <v>186</v>
      </c>
      <c r="N21" s="224"/>
      <c r="O21" s="227">
        <v>1</v>
      </c>
      <c r="P21" s="361"/>
      <c r="Q21" s="224"/>
      <c r="R21" s="224"/>
      <c r="S21" s="224"/>
      <c r="T21" s="224"/>
      <c r="U21" s="364" t="s">
        <v>201</v>
      </c>
    </row>
    <row r="22" spans="1:21" ht="12.75" hidden="1">
      <c r="A22" s="251"/>
      <c r="B22" s="295"/>
      <c r="C22" s="251"/>
      <c r="D22" s="248" t="s">
        <v>113</v>
      </c>
      <c r="E22" s="249"/>
      <c r="F22" s="249"/>
      <c r="G22" s="249"/>
      <c r="H22" s="249"/>
      <c r="I22" s="249"/>
      <c r="J22" s="249"/>
      <c r="K22" s="249"/>
      <c r="L22" s="250"/>
      <c r="M22" s="358"/>
      <c r="N22" s="300"/>
      <c r="O22" s="300"/>
      <c r="P22" s="362"/>
      <c r="Q22" s="300"/>
      <c r="R22" s="300"/>
      <c r="S22" s="300"/>
      <c r="T22" s="300"/>
      <c r="U22" s="365"/>
    </row>
    <row r="23" spans="1:21" ht="14.25" customHeight="1" hidden="1">
      <c r="A23" s="251"/>
      <c r="B23" s="295"/>
      <c r="C23" s="251"/>
      <c r="D23" s="21" t="s">
        <v>91</v>
      </c>
      <c r="E23" s="22">
        <f>F23+G23+H23+I23+J23+K23+L23</f>
        <v>0</v>
      </c>
      <c r="F23" s="22"/>
      <c r="G23" s="22"/>
      <c r="H23" s="22"/>
      <c r="I23" s="22">
        <v>0</v>
      </c>
      <c r="J23" s="183">
        <v>0</v>
      </c>
      <c r="K23" s="22">
        <v>0</v>
      </c>
      <c r="L23" s="22">
        <v>0</v>
      </c>
      <c r="M23" s="359"/>
      <c r="N23" s="301"/>
      <c r="O23" s="301"/>
      <c r="P23" s="363"/>
      <c r="Q23" s="301"/>
      <c r="R23" s="301"/>
      <c r="S23" s="301"/>
      <c r="T23" s="301"/>
      <c r="U23" s="365"/>
    </row>
    <row r="24" spans="1:21" ht="12.75" hidden="1">
      <c r="A24" s="251"/>
      <c r="B24" s="295"/>
      <c r="C24" s="251"/>
      <c r="D24" s="21" t="s">
        <v>89</v>
      </c>
      <c r="E24" s="22">
        <f>F24+G24+H24+I24+J24+K24+L24</f>
        <v>0</v>
      </c>
      <c r="F24" s="22">
        <v>0</v>
      </c>
      <c r="G24" s="22"/>
      <c r="H24" s="22">
        <v>0</v>
      </c>
      <c r="I24" s="22">
        <v>0</v>
      </c>
      <c r="J24" s="183">
        <v>0</v>
      </c>
      <c r="K24" s="22">
        <v>0</v>
      </c>
      <c r="L24" s="22">
        <v>0</v>
      </c>
      <c r="M24" s="367" t="s">
        <v>204</v>
      </c>
      <c r="N24" s="224"/>
      <c r="O24" s="227"/>
      <c r="P24" s="361">
        <v>1</v>
      </c>
      <c r="Q24" s="224"/>
      <c r="R24" s="224"/>
      <c r="S24" s="224"/>
      <c r="T24" s="224"/>
      <c r="U24" s="365"/>
    </row>
    <row r="25" spans="1:21" ht="12.75" hidden="1">
      <c r="A25" s="251"/>
      <c r="B25" s="295"/>
      <c r="C25" s="251"/>
      <c r="D25" s="21" t="s">
        <v>90</v>
      </c>
      <c r="E25" s="22">
        <f>F25+G25+H25+I25+J25+K25+L25</f>
        <v>0</v>
      </c>
      <c r="F25" s="22"/>
      <c r="G25" s="22">
        <v>0</v>
      </c>
      <c r="H25" s="22">
        <v>0</v>
      </c>
      <c r="I25" s="22">
        <v>0</v>
      </c>
      <c r="J25" s="183">
        <v>0</v>
      </c>
      <c r="K25" s="22">
        <v>0</v>
      </c>
      <c r="L25" s="22">
        <v>0</v>
      </c>
      <c r="M25" s="358"/>
      <c r="N25" s="300"/>
      <c r="O25" s="300"/>
      <c r="P25" s="362"/>
      <c r="Q25" s="300"/>
      <c r="R25" s="300"/>
      <c r="S25" s="300"/>
      <c r="T25" s="300"/>
      <c r="U25" s="365"/>
    </row>
    <row r="26" spans="1:21" ht="27.75" customHeight="1" hidden="1">
      <c r="A26" s="251"/>
      <c r="B26" s="296"/>
      <c r="C26" s="251"/>
      <c r="D26" s="21" t="s">
        <v>92</v>
      </c>
      <c r="E26" s="22">
        <f>F26+G26+H26+I26+J26+K26+L26</f>
        <v>0</v>
      </c>
      <c r="F26" s="22">
        <v>0</v>
      </c>
      <c r="G26" s="22">
        <v>0</v>
      </c>
      <c r="H26" s="22">
        <v>0</v>
      </c>
      <c r="I26" s="22">
        <v>0</v>
      </c>
      <c r="J26" s="183">
        <v>0</v>
      </c>
      <c r="K26" s="22">
        <v>0</v>
      </c>
      <c r="L26" s="22">
        <v>0</v>
      </c>
      <c r="M26" s="359"/>
      <c r="N26" s="301"/>
      <c r="O26" s="301"/>
      <c r="P26" s="363"/>
      <c r="Q26" s="301"/>
      <c r="R26" s="301"/>
      <c r="S26" s="301"/>
      <c r="T26" s="301"/>
      <c r="U26" s="366"/>
    </row>
    <row r="27" spans="1:21" ht="12.75" hidden="1">
      <c r="A27" s="251" t="s">
        <v>197</v>
      </c>
      <c r="B27" s="259" t="s">
        <v>207</v>
      </c>
      <c r="C27" s="251">
        <v>2015</v>
      </c>
      <c r="D27" s="21" t="s">
        <v>93</v>
      </c>
      <c r="E27" s="22">
        <f aca="true" t="shared" si="3" ref="E27:L27">E29+E30+E31+E32</f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  <c r="I27" s="22">
        <f t="shared" si="3"/>
        <v>0</v>
      </c>
      <c r="J27" s="183">
        <f t="shared" si="3"/>
        <v>0</v>
      </c>
      <c r="K27" s="22">
        <f t="shared" si="3"/>
        <v>0</v>
      </c>
      <c r="L27" s="22">
        <f t="shared" si="3"/>
        <v>0</v>
      </c>
      <c r="M27" s="367" t="s">
        <v>205</v>
      </c>
      <c r="N27" s="224"/>
      <c r="O27" s="227">
        <v>1</v>
      </c>
      <c r="P27" s="361"/>
      <c r="Q27" s="224"/>
      <c r="R27" s="224"/>
      <c r="S27" s="224"/>
      <c r="T27" s="224"/>
      <c r="U27" s="364" t="s">
        <v>201</v>
      </c>
    </row>
    <row r="28" spans="1:21" ht="12.75" customHeight="1" hidden="1">
      <c r="A28" s="251"/>
      <c r="B28" s="259"/>
      <c r="C28" s="25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358"/>
      <c r="N28" s="300"/>
      <c r="O28" s="300"/>
      <c r="P28" s="300"/>
      <c r="Q28" s="300"/>
      <c r="R28" s="300"/>
      <c r="S28" s="300"/>
      <c r="T28" s="300"/>
      <c r="U28" s="365"/>
    </row>
    <row r="29" spans="1:21" ht="15" customHeight="1" hidden="1">
      <c r="A29" s="251"/>
      <c r="B29" s="259"/>
      <c r="C29" s="251"/>
      <c r="D29" s="21" t="s">
        <v>91</v>
      </c>
      <c r="E29" s="22">
        <f>F29+G29+H29+I29+J29+K29+L29</f>
        <v>0</v>
      </c>
      <c r="F29" s="22">
        <v>0</v>
      </c>
      <c r="G29" s="22"/>
      <c r="H29" s="22"/>
      <c r="I29" s="22">
        <v>0</v>
      </c>
      <c r="J29" s="183">
        <v>0</v>
      </c>
      <c r="K29" s="22">
        <v>0</v>
      </c>
      <c r="L29" s="22">
        <v>0</v>
      </c>
      <c r="M29" s="358"/>
      <c r="N29" s="300"/>
      <c r="O29" s="300"/>
      <c r="P29" s="300"/>
      <c r="Q29" s="300"/>
      <c r="R29" s="300"/>
      <c r="S29" s="300"/>
      <c r="T29" s="300"/>
      <c r="U29" s="365"/>
    </row>
    <row r="30" spans="1:21" ht="12.75" hidden="1">
      <c r="A30" s="251"/>
      <c r="B30" s="259"/>
      <c r="C30" s="251"/>
      <c r="D30" s="21" t="s">
        <v>89</v>
      </c>
      <c r="E30" s="22">
        <f>F30+G30+H30+I30+J30+K30+L30</f>
        <v>0</v>
      </c>
      <c r="F30" s="22">
        <v>0</v>
      </c>
      <c r="G30" s="22"/>
      <c r="H30" s="22">
        <v>0</v>
      </c>
      <c r="I30" s="22">
        <v>0</v>
      </c>
      <c r="J30" s="183">
        <v>0</v>
      </c>
      <c r="K30" s="22">
        <v>0</v>
      </c>
      <c r="L30" s="22">
        <v>0</v>
      </c>
      <c r="M30" s="358"/>
      <c r="N30" s="300"/>
      <c r="O30" s="300"/>
      <c r="P30" s="300"/>
      <c r="Q30" s="300"/>
      <c r="R30" s="300"/>
      <c r="S30" s="300"/>
      <c r="T30" s="300"/>
      <c r="U30" s="365"/>
    </row>
    <row r="31" spans="1:21" ht="12.75" customHeight="1" hidden="1">
      <c r="A31" s="251"/>
      <c r="B31" s="259"/>
      <c r="C31" s="251"/>
      <c r="D31" s="21" t="s">
        <v>90</v>
      </c>
      <c r="E31" s="22">
        <f>F31+G31+H31+I31+J31+K31+L31</f>
        <v>0</v>
      </c>
      <c r="F31" s="22">
        <v>0</v>
      </c>
      <c r="G31" s="22">
        <v>0</v>
      </c>
      <c r="H31" s="22">
        <v>0</v>
      </c>
      <c r="I31" s="22">
        <v>0</v>
      </c>
      <c r="J31" s="183">
        <v>0</v>
      </c>
      <c r="K31" s="22">
        <v>0</v>
      </c>
      <c r="L31" s="22">
        <v>0</v>
      </c>
      <c r="M31" s="358"/>
      <c r="N31" s="300"/>
      <c r="O31" s="300"/>
      <c r="P31" s="300"/>
      <c r="Q31" s="300"/>
      <c r="R31" s="300"/>
      <c r="S31" s="300"/>
      <c r="T31" s="300"/>
      <c r="U31" s="365"/>
    </row>
    <row r="32" spans="1:21" ht="29.25" customHeight="1" hidden="1">
      <c r="A32" s="251"/>
      <c r="B32" s="259"/>
      <c r="C32" s="251"/>
      <c r="D32" s="21" t="s">
        <v>92</v>
      </c>
      <c r="E32" s="22">
        <f>F32+G32+H32+I32+J32+K32+L32</f>
        <v>0</v>
      </c>
      <c r="F32" s="22">
        <v>0</v>
      </c>
      <c r="G32" s="22">
        <v>0</v>
      </c>
      <c r="H32" s="22">
        <v>0</v>
      </c>
      <c r="I32" s="22">
        <v>0</v>
      </c>
      <c r="J32" s="183">
        <v>0</v>
      </c>
      <c r="K32" s="22">
        <v>0</v>
      </c>
      <c r="L32" s="22">
        <v>0</v>
      </c>
      <c r="M32" s="359"/>
      <c r="N32" s="301"/>
      <c r="O32" s="301"/>
      <c r="P32" s="301"/>
      <c r="Q32" s="301"/>
      <c r="R32" s="301"/>
      <c r="S32" s="301"/>
      <c r="T32" s="301"/>
      <c r="U32" s="366"/>
    </row>
    <row r="33" spans="1:21" ht="12.75">
      <c r="A33" s="378" t="s">
        <v>96</v>
      </c>
      <c r="B33" s="259" t="s">
        <v>54</v>
      </c>
      <c r="C33" s="251">
        <v>2017</v>
      </c>
      <c r="D33" s="21" t="s">
        <v>93</v>
      </c>
      <c r="E33" s="22">
        <f aca="true" t="shared" si="4" ref="E33:L33">E35+E36+E37+E38</f>
        <v>2430000</v>
      </c>
      <c r="F33" s="22">
        <f t="shared" si="4"/>
        <v>0</v>
      </c>
      <c r="G33" s="22">
        <f t="shared" si="4"/>
        <v>2430000</v>
      </c>
      <c r="H33" s="22">
        <f t="shared" si="4"/>
        <v>0</v>
      </c>
      <c r="I33" s="22">
        <f t="shared" si="4"/>
        <v>0</v>
      </c>
      <c r="J33" s="183">
        <f t="shared" si="4"/>
        <v>0</v>
      </c>
      <c r="K33" s="22">
        <f t="shared" si="4"/>
        <v>0</v>
      </c>
      <c r="L33" s="22">
        <f t="shared" si="4"/>
        <v>0</v>
      </c>
      <c r="M33" s="367" t="s">
        <v>186</v>
      </c>
      <c r="N33" s="368"/>
      <c r="O33" s="349">
        <v>1</v>
      </c>
      <c r="P33" s="349"/>
      <c r="Q33" s="349"/>
      <c r="R33" s="368"/>
      <c r="S33" s="368"/>
      <c r="T33" s="368"/>
      <c r="U33" s="364" t="s">
        <v>187</v>
      </c>
    </row>
    <row r="34" spans="1:21" ht="12.75">
      <c r="A34" s="251"/>
      <c r="B34" s="259"/>
      <c r="C34" s="251"/>
      <c r="D34" s="248" t="s">
        <v>113</v>
      </c>
      <c r="E34" s="249"/>
      <c r="F34" s="249"/>
      <c r="G34" s="249"/>
      <c r="H34" s="249"/>
      <c r="I34" s="249"/>
      <c r="J34" s="249"/>
      <c r="K34" s="249"/>
      <c r="L34" s="250"/>
      <c r="M34" s="374"/>
      <c r="N34" s="368"/>
      <c r="O34" s="349"/>
      <c r="P34" s="349"/>
      <c r="Q34" s="349"/>
      <c r="R34" s="368"/>
      <c r="S34" s="368"/>
      <c r="T34" s="368"/>
      <c r="U34" s="365"/>
    </row>
    <row r="35" spans="1:21" ht="12.75">
      <c r="A35" s="251"/>
      <c r="B35" s="259"/>
      <c r="C35" s="251"/>
      <c r="D35" s="21" t="s">
        <v>91</v>
      </c>
      <c r="E35" s="22">
        <f>F35+G35+H35+I35+J35+K35+L35</f>
        <v>2430000</v>
      </c>
      <c r="F35" s="22">
        <v>0</v>
      </c>
      <c r="G35" s="22">
        <v>2430000</v>
      </c>
      <c r="H35" s="22">
        <v>0</v>
      </c>
      <c r="I35" s="22"/>
      <c r="J35" s="183">
        <v>0</v>
      </c>
      <c r="K35" s="22">
        <v>0</v>
      </c>
      <c r="L35" s="22">
        <v>0</v>
      </c>
      <c r="M35" s="374"/>
      <c r="N35" s="368"/>
      <c r="O35" s="349"/>
      <c r="P35" s="349"/>
      <c r="Q35" s="349"/>
      <c r="R35" s="368"/>
      <c r="S35" s="368"/>
      <c r="T35" s="368"/>
      <c r="U35" s="365"/>
    </row>
    <row r="36" spans="1:21" ht="12.75">
      <c r="A36" s="251"/>
      <c r="B36" s="259"/>
      <c r="C36" s="251"/>
      <c r="D36" s="21" t="s">
        <v>89</v>
      </c>
      <c r="E36" s="22">
        <f>F36+G36+H36+I36+J36+K36+L36</f>
        <v>0</v>
      </c>
      <c r="F36" s="22">
        <v>0</v>
      </c>
      <c r="G36" s="22">
        <v>0</v>
      </c>
      <c r="H36" s="22">
        <v>0</v>
      </c>
      <c r="I36" s="22">
        <v>0</v>
      </c>
      <c r="J36" s="183">
        <v>0</v>
      </c>
      <c r="K36" s="22">
        <v>0</v>
      </c>
      <c r="L36" s="22">
        <v>0</v>
      </c>
      <c r="M36" s="374"/>
      <c r="N36" s="368"/>
      <c r="O36" s="349"/>
      <c r="P36" s="349"/>
      <c r="Q36" s="349"/>
      <c r="R36" s="368"/>
      <c r="S36" s="368"/>
      <c r="T36" s="368"/>
      <c r="U36" s="365"/>
    </row>
    <row r="37" spans="1:21" ht="12.75">
      <c r="A37" s="251"/>
      <c r="B37" s="259"/>
      <c r="C37" s="251"/>
      <c r="D37" s="21" t="s">
        <v>90</v>
      </c>
      <c r="E37" s="22">
        <f>F37+G37+H37+I37+J37+K37+L37</f>
        <v>0</v>
      </c>
      <c r="F37" s="22">
        <v>0</v>
      </c>
      <c r="G37" s="22">
        <v>0</v>
      </c>
      <c r="H37" s="22">
        <v>0</v>
      </c>
      <c r="I37" s="22">
        <v>0</v>
      </c>
      <c r="J37" s="183">
        <v>0</v>
      </c>
      <c r="K37" s="22">
        <v>0</v>
      </c>
      <c r="L37" s="22">
        <v>0</v>
      </c>
      <c r="M37" s="374"/>
      <c r="N37" s="368"/>
      <c r="O37" s="349"/>
      <c r="P37" s="349"/>
      <c r="Q37" s="349"/>
      <c r="R37" s="368"/>
      <c r="S37" s="368"/>
      <c r="T37" s="368"/>
      <c r="U37" s="365"/>
    </row>
    <row r="38" spans="1:21" ht="12.75">
      <c r="A38" s="251"/>
      <c r="B38" s="259"/>
      <c r="C38" s="251"/>
      <c r="D38" s="21" t="s">
        <v>92</v>
      </c>
      <c r="E38" s="22">
        <f>F38+G38+H38+I38+J38+K38+L38</f>
        <v>0</v>
      </c>
      <c r="F38" s="22">
        <v>0</v>
      </c>
      <c r="G38" s="22">
        <v>0</v>
      </c>
      <c r="H38" s="22">
        <v>0</v>
      </c>
      <c r="I38" s="22">
        <v>0</v>
      </c>
      <c r="J38" s="183">
        <v>0</v>
      </c>
      <c r="K38" s="22">
        <v>0</v>
      </c>
      <c r="L38" s="22">
        <v>0</v>
      </c>
      <c r="M38" s="375"/>
      <c r="N38" s="368"/>
      <c r="O38" s="349"/>
      <c r="P38" s="349"/>
      <c r="Q38" s="349"/>
      <c r="R38" s="368"/>
      <c r="S38" s="368"/>
      <c r="T38" s="368"/>
      <c r="U38" s="366"/>
    </row>
    <row r="39" spans="1:21" ht="12.75">
      <c r="A39" s="245" t="s">
        <v>197</v>
      </c>
      <c r="B39" s="294" t="s">
        <v>199</v>
      </c>
      <c r="C39" s="230" t="s">
        <v>78</v>
      </c>
      <c r="D39" s="21" t="s">
        <v>93</v>
      </c>
      <c r="E39" s="22">
        <f>E41+E42+E43+E44</f>
        <v>20333549.72</v>
      </c>
      <c r="F39" s="22">
        <f aca="true" t="shared" si="5" ref="F39:L39">F41+F42+F43+F44</f>
        <v>20333549.72</v>
      </c>
      <c r="G39" s="22">
        <f t="shared" si="5"/>
        <v>0</v>
      </c>
      <c r="H39" s="22">
        <f t="shared" si="5"/>
        <v>0</v>
      </c>
      <c r="I39" s="22">
        <f t="shared" si="5"/>
        <v>0</v>
      </c>
      <c r="J39" s="183">
        <f t="shared" si="5"/>
        <v>0</v>
      </c>
      <c r="K39" s="22">
        <f t="shared" si="5"/>
        <v>0</v>
      </c>
      <c r="L39" s="22">
        <f t="shared" si="5"/>
        <v>0</v>
      </c>
      <c r="M39" s="367" t="s">
        <v>186</v>
      </c>
      <c r="N39" s="227">
        <v>1</v>
      </c>
      <c r="O39" s="227"/>
      <c r="P39" s="224"/>
      <c r="Q39" s="224"/>
      <c r="R39" s="224"/>
      <c r="S39" s="224"/>
      <c r="T39" s="224"/>
      <c r="U39" s="279" t="s">
        <v>28</v>
      </c>
    </row>
    <row r="40" spans="1:21" ht="12.75">
      <c r="A40" s="245"/>
      <c r="B40" s="295"/>
      <c r="C40" s="231"/>
      <c r="D40" s="248" t="s">
        <v>113</v>
      </c>
      <c r="E40" s="249"/>
      <c r="F40" s="249"/>
      <c r="G40" s="249"/>
      <c r="H40" s="249"/>
      <c r="I40" s="249"/>
      <c r="J40" s="249"/>
      <c r="K40" s="249"/>
      <c r="L40" s="250"/>
      <c r="M40" s="374"/>
      <c r="N40" s="228"/>
      <c r="O40" s="228"/>
      <c r="P40" s="225"/>
      <c r="Q40" s="225"/>
      <c r="R40" s="225"/>
      <c r="S40" s="225"/>
      <c r="T40" s="225"/>
      <c r="U40" s="280"/>
    </row>
    <row r="41" spans="1:21" ht="12.75">
      <c r="A41" s="245"/>
      <c r="B41" s="295"/>
      <c r="C41" s="231"/>
      <c r="D41" s="21" t="s">
        <v>91</v>
      </c>
      <c r="E41" s="22">
        <f>F41+G41+H41+I41+J41+K41+L41</f>
        <v>20333549.72</v>
      </c>
      <c r="F41" s="22">
        <v>20333549.72</v>
      </c>
      <c r="G41" s="22"/>
      <c r="H41" s="22"/>
      <c r="I41" s="22"/>
      <c r="J41" s="183"/>
      <c r="K41" s="22"/>
      <c r="L41" s="22"/>
      <c r="M41" s="374"/>
      <c r="N41" s="228"/>
      <c r="O41" s="228"/>
      <c r="P41" s="225"/>
      <c r="Q41" s="225"/>
      <c r="R41" s="225"/>
      <c r="S41" s="225"/>
      <c r="T41" s="225"/>
      <c r="U41" s="280"/>
    </row>
    <row r="42" spans="1:21" ht="12.75">
      <c r="A42" s="245"/>
      <c r="B42" s="295"/>
      <c r="C42" s="231"/>
      <c r="D42" s="21" t="s">
        <v>89</v>
      </c>
      <c r="E42" s="22">
        <f>F42+G42+H42+I42+J42+K42+L42</f>
        <v>0</v>
      </c>
      <c r="F42" s="22"/>
      <c r="G42" s="22"/>
      <c r="H42" s="22"/>
      <c r="I42" s="22"/>
      <c r="J42" s="183"/>
      <c r="K42" s="22"/>
      <c r="L42" s="22"/>
      <c r="M42" s="374"/>
      <c r="N42" s="228"/>
      <c r="O42" s="228"/>
      <c r="P42" s="225"/>
      <c r="Q42" s="225"/>
      <c r="R42" s="225"/>
      <c r="S42" s="225"/>
      <c r="T42" s="225"/>
      <c r="U42" s="280"/>
    </row>
    <row r="43" spans="1:21" ht="12.75">
      <c r="A43" s="245"/>
      <c r="B43" s="295"/>
      <c r="C43" s="231"/>
      <c r="D43" s="21" t="s">
        <v>90</v>
      </c>
      <c r="E43" s="22">
        <f>F43+G43+H43+I43+J43+K43+L43</f>
        <v>0</v>
      </c>
      <c r="F43" s="22"/>
      <c r="G43" s="22"/>
      <c r="H43" s="22"/>
      <c r="I43" s="22"/>
      <c r="J43" s="183"/>
      <c r="K43" s="22"/>
      <c r="L43" s="22"/>
      <c r="M43" s="374"/>
      <c r="N43" s="228"/>
      <c r="O43" s="228"/>
      <c r="P43" s="225"/>
      <c r="Q43" s="225"/>
      <c r="R43" s="225"/>
      <c r="S43" s="225"/>
      <c r="T43" s="225"/>
      <c r="U43" s="280"/>
    </row>
    <row r="44" spans="1:21" ht="43.5" customHeight="1">
      <c r="A44" s="245"/>
      <c r="B44" s="296"/>
      <c r="C44" s="232"/>
      <c r="D44" s="21" t="s">
        <v>92</v>
      </c>
      <c r="E44" s="22">
        <f>F44+G44+H44+I44+J44+K44+L44</f>
        <v>0</v>
      </c>
      <c r="F44" s="22"/>
      <c r="G44" s="22"/>
      <c r="H44" s="22"/>
      <c r="I44" s="22"/>
      <c r="J44" s="183"/>
      <c r="K44" s="22"/>
      <c r="L44" s="22"/>
      <c r="M44" s="375"/>
      <c r="N44" s="229"/>
      <c r="O44" s="229"/>
      <c r="P44" s="226"/>
      <c r="Q44" s="226"/>
      <c r="R44" s="226"/>
      <c r="S44" s="226"/>
      <c r="T44" s="226"/>
      <c r="U44" s="281"/>
    </row>
    <row r="45" spans="1:21" ht="32.25" customHeight="1">
      <c r="A45" s="291" t="s">
        <v>209</v>
      </c>
      <c r="B45" s="294" t="s">
        <v>200</v>
      </c>
      <c r="C45" s="230">
        <v>2015</v>
      </c>
      <c r="D45" s="21" t="s">
        <v>93</v>
      </c>
      <c r="E45" s="22">
        <f>+F45+G45+H45+I45+J45+K45+L45</f>
        <v>6205020.28</v>
      </c>
      <c r="F45" s="22">
        <f aca="true" t="shared" si="6" ref="F45:L45">+F48</f>
        <v>0</v>
      </c>
      <c r="G45" s="22">
        <f>+G47+G48</f>
        <v>6205020.28</v>
      </c>
      <c r="H45" s="22">
        <f t="shared" si="6"/>
        <v>0</v>
      </c>
      <c r="I45" s="22">
        <f t="shared" si="6"/>
        <v>0</v>
      </c>
      <c r="J45" s="183">
        <f t="shared" si="6"/>
        <v>0</v>
      </c>
      <c r="K45" s="22">
        <f t="shared" si="6"/>
        <v>0</v>
      </c>
      <c r="L45" s="22">
        <f t="shared" si="6"/>
        <v>0</v>
      </c>
      <c r="M45" s="82"/>
      <c r="N45" s="80"/>
      <c r="O45" s="80"/>
      <c r="P45" s="79"/>
      <c r="Q45" s="79"/>
      <c r="R45" s="79"/>
      <c r="S45" s="79"/>
      <c r="T45" s="79"/>
      <c r="U45" s="81"/>
    </row>
    <row r="46" spans="1:21" ht="20.25" customHeight="1">
      <c r="A46" s="358"/>
      <c r="B46" s="369"/>
      <c r="C46" s="358"/>
      <c r="D46" s="21" t="s">
        <v>113</v>
      </c>
      <c r="E46" s="371"/>
      <c r="F46" s="372"/>
      <c r="G46" s="372"/>
      <c r="H46" s="372"/>
      <c r="I46" s="372"/>
      <c r="J46" s="372"/>
      <c r="K46" s="372"/>
      <c r="L46" s="373"/>
      <c r="M46" s="82"/>
      <c r="N46" s="80"/>
      <c r="O46" s="80"/>
      <c r="P46" s="79"/>
      <c r="Q46" s="79"/>
      <c r="R46" s="79"/>
      <c r="S46" s="79"/>
      <c r="T46" s="79"/>
      <c r="U46" s="81"/>
    </row>
    <row r="47" spans="1:21" ht="20.25" customHeight="1">
      <c r="A47" s="358"/>
      <c r="B47" s="369"/>
      <c r="C47" s="358"/>
      <c r="D47" s="21" t="s">
        <v>91</v>
      </c>
      <c r="E47" s="22">
        <v>0</v>
      </c>
      <c r="F47" s="22">
        <v>0</v>
      </c>
      <c r="G47" s="22">
        <v>1398920.28</v>
      </c>
      <c r="H47" s="109"/>
      <c r="I47" s="109"/>
      <c r="J47" s="190"/>
      <c r="K47" s="109"/>
      <c r="L47" s="109"/>
      <c r="M47" s="82"/>
      <c r="N47" s="80"/>
      <c r="O47" s="80"/>
      <c r="P47" s="79"/>
      <c r="Q47" s="79"/>
      <c r="R47" s="79"/>
      <c r="S47" s="79"/>
      <c r="T47" s="79"/>
      <c r="U47" s="81"/>
    </row>
    <row r="48" spans="1:21" ht="42" customHeight="1">
      <c r="A48" s="359"/>
      <c r="B48" s="370"/>
      <c r="C48" s="359"/>
      <c r="D48" s="21" t="s">
        <v>89</v>
      </c>
      <c r="E48" s="22">
        <v>0</v>
      </c>
      <c r="F48" s="22">
        <v>0</v>
      </c>
      <c r="G48" s="22">
        <v>4806100</v>
      </c>
      <c r="H48" s="22">
        <v>0</v>
      </c>
      <c r="I48" s="22">
        <v>0</v>
      </c>
      <c r="J48" s="183">
        <v>0</v>
      </c>
      <c r="K48" s="22">
        <v>0</v>
      </c>
      <c r="L48" s="22">
        <v>0</v>
      </c>
      <c r="M48" s="82"/>
      <c r="N48" s="80"/>
      <c r="O48" s="80"/>
      <c r="P48" s="79"/>
      <c r="Q48" s="79"/>
      <c r="R48" s="79"/>
      <c r="S48" s="79"/>
      <c r="T48" s="79"/>
      <c r="U48" s="81"/>
    </row>
    <row r="49" spans="1:21" ht="21.75" customHeight="1">
      <c r="A49" s="351" t="s">
        <v>271</v>
      </c>
      <c r="B49" s="354" t="s">
        <v>272</v>
      </c>
      <c r="C49" s="357">
        <v>2018</v>
      </c>
      <c r="D49" s="21" t="s">
        <v>93</v>
      </c>
      <c r="E49" s="22">
        <f>E51+E52+E53</f>
        <v>92717000</v>
      </c>
      <c r="F49" s="22">
        <f aca="true" t="shared" si="7" ref="F49:L49">F51+F52+F53</f>
        <v>0</v>
      </c>
      <c r="G49" s="22">
        <f t="shared" si="7"/>
        <v>0</v>
      </c>
      <c r="H49" s="22">
        <f t="shared" si="7"/>
        <v>0</v>
      </c>
      <c r="I49" s="22">
        <f t="shared" si="7"/>
        <v>0</v>
      </c>
      <c r="J49" s="183">
        <f t="shared" si="7"/>
        <v>33407100</v>
      </c>
      <c r="K49" s="183">
        <f t="shared" si="7"/>
        <v>59309900</v>
      </c>
      <c r="L49" s="183">
        <f t="shared" si="7"/>
        <v>0</v>
      </c>
      <c r="M49" s="360" t="s">
        <v>273</v>
      </c>
      <c r="N49" s="349"/>
      <c r="O49" s="349"/>
      <c r="P49" s="349"/>
      <c r="Q49" s="349"/>
      <c r="R49" s="349">
        <v>1</v>
      </c>
      <c r="S49" s="349"/>
      <c r="T49" s="349"/>
      <c r="U49" s="350" t="s">
        <v>187</v>
      </c>
    </row>
    <row r="50" spans="1:21" ht="15" customHeight="1">
      <c r="A50" s="352"/>
      <c r="B50" s="355"/>
      <c r="C50" s="358"/>
      <c r="D50" s="21" t="s">
        <v>113</v>
      </c>
      <c r="E50" s="22"/>
      <c r="F50" s="22"/>
      <c r="G50" s="22"/>
      <c r="H50" s="22"/>
      <c r="I50" s="22"/>
      <c r="J50" s="183"/>
      <c r="K50" s="183"/>
      <c r="L50" s="183"/>
      <c r="M50" s="360"/>
      <c r="N50" s="349"/>
      <c r="O50" s="349"/>
      <c r="P50" s="349"/>
      <c r="Q50" s="349"/>
      <c r="R50" s="349"/>
      <c r="S50" s="349"/>
      <c r="T50" s="349"/>
      <c r="U50" s="350"/>
    </row>
    <row r="51" spans="1:21" ht="15" customHeight="1">
      <c r="A51" s="352"/>
      <c r="B51" s="355"/>
      <c r="C51" s="358"/>
      <c r="D51" s="103" t="s">
        <v>91</v>
      </c>
      <c r="E51" s="22">
        <f>F51+G51+H51+I51+J51+K51+L51</f>
        <v>13400000</v>
      </c>
      <c r="F51" s="22"/>
      <c r="G51" s="22"/>
      <c r="H51" s="22"/>
      <c r="I51" s="22"/>
      <c r="J51" s="183">
        <f>2811800+88200</f>
        <v>2900000</v>
      </c>
      <c r="K51" s="183">
        <f>10316500+183500</f>
        <v>10500000</v>
      </c>
      <c r="L51" s="183"/>
      <c r="M51" s="360"/>
      <c r="N51" s="349"/>
      <c r="O51" s="349"/>
      <c r="P51" s="349"/>
      <c r="Q51" s="349"/>
      <c r="R51" s="349"/>
      <c r="S51" s="349"/>
      <c r="T51" s="349"/>
      <c r="U51" s="350"/>
    </row>
    <row r="52" spans="1:21" ht="15" customHeight="1">
      <c r="A52" s="352"/>
      <c r="B52" s="355"/>
      <c r="C52" s="358"/>
      <c r="D52" s="103" t="s">
        <v>89</v>
      </c>
      <c r="E52" s="22">
        <f>F52+G52+H52+I52+J52+K52+L52</f>
        <v>31986000</v>
      </c>
      <c r="F52" s="22"/>
      <c r="G52" s="22"/>
      <c r="H52" s="22"/>
      <c r="I52" s="22"/>
      <c r="J52" s="183">
        <v>6850700</v>
      </c>
      <c r="K52" s="183">
        <f>25135300</f>
        <v>25135300</v>
      </c>
      <c r="L52" s="183"/>
      <c r="M52" s="360"/>
      <c r="N52" s="349"/>
      <c r="O52" s="349"/>
      <c r="P52" s="349"/>
      <c r="Q52" s="349"/>
      <c r="R52" s="349"/>
      <c r="S52" s="349"/>
      <c r="T52" s="349"/>
      <c r="U52" s="350"/>
    </row>
    <row r="53" spans="1:21" ht="15" customHeight="1">
      <c r="A53" s="353"/>
      <c r="B53" s="356"/>
      <c r="C53" s="359"/>
      <c r="D53" s="103" t="s">
        <v>90</v>
      </c>
      <c r="E53" s="22">
        <f>F53+G53+H53+I53+J53+K53+L53</f>
        <v>47331000</v>
      </c>
      <c r="F53" s="178"/>
      <c r="G53" s="178"/>
      <c r="H53" s="178"/>
      <c r="I53" s="178"/>
      <c r="J53" s="184">
        <v>23656400</v>
      </c>
      <c r="K53" s="184">
        <v>23674600</v>
      </c>
      <c r="L53" s="185"/>
      <c r="M53" s="360"/>
      <c r="N53" s="349"/>
      <c r="O53" s="349"/>
      <c r="P53" s="349"/>
      <c r="Q53" s="349"/>
      <c r="R53" s="349"/>
      <c r="S53" s="349"/>
      <c r="T53" s="349"/>
      <c r="U53" s="350"/>
    </row>
    <row r="54" spans="1:21" ht="15" customHeight="1">
      <c r="A54" s="302"/>
      <c r="B54" s="305" t="s">
        <v>152</v>
      </c>
      <c r="C54" s="302"/>
      <c r="D54" s="101" t="s">
        <v>93</v>
      </c>
      <c r="E54" s="102">
        <f aca="true" t="shared" si="8" ref="E54:L54">E56+E57+E58+E59</f>
        <v>768745457.6700001</v>
      </c>
      <c r="F54" s="102">
        <f t="shared" si="8"/>
        <v>361141052.47</v>
      </c>
      <c r="G54" s="102">
        <f>G56+G57+G58+G59</f>
        <v>255331493.65</v>
      </c>
      <c r="H54" s="102">
        <f t="shared" si="8"/>
        <v>58781397.82</v>
      </c>
      <c r="I54" s="102">
        <f t="shared" si="8"/>
        <v>774513.73</v>
      </c>
      <c r="J54" s="191">
        <f t="shared" si="8"/>
        <v>33407100</v>
      </c>
      <c r="K54" s="102">
        <f t="shared" si="8"/>
        <v>59309900</v>
      </c>
      <c r="L54" s="102">
        <f t="shared" si="8"/>
        <v>0</v>
      </c>
      <c r="M54" s="253"/>
      <c r="N54" s="239"/>
      <c r="O54" s="239"/>
      <c r="P54" s="239"/>
      <c r="Q54" s="239"/>
      <c r="R54" s="239"/>
      <c r="S54" s="239"/>
      <c r="T54" s="239"/>
      <c r="U54" s="242"/>
    </row>
    <row r="55" spans="1:21" ht="12.75" customHeight="1">
      <c r="A55" s="303"/>
      <c r="B55" s="306"/>
      <c r="C55" s="303"/>
      <c r="D55" s="256" t="s">
        <v>113</v>
      </c>
      <c r="E55" s="257"/>
      <c r="F55" s="257"/>
      <c r="G55" s="257"/>
      <c r="H55" s="257"/>
      <c r="I55" s="257"/>
      <c r="J55" s="257"/>
      <c r="K55" s="257"/>
      <c r="L55" s="258"/>
      <c r="M55" s="254"/>
      <c r="N55" s="240"/>
      <c r="O55" s="240"/>
      <c r="P55" s="240"/>
      <c r="Q55" s="240"/>
      <c r="R55" s="240"/>
      <c r="S55" s="240"/>
      <c r="T55" s="240"/>
      <c r="U55" s="243"/>
    </row>
    <row r="56" spans="1:21" ht="13.5">
      <c r="A56" s="303"/>
      <c r="B56" s="306"/>
      <c r="C56" s="303"/>
      <c r="D56" s="103" t="s">
        <v>91</v>
      </c>
      <c r="E56" s="102">
        <f>F56+G56+H56+I56+J56+K56+L56</f>
        <v>430476959.76</v>
      </c>
      <c r="F56" s="104">
        <f>F11+F23+F35+F41+F17</f>
        <v>207284568.29</v>
      </c>
      <c r="G56" s="104">
        <f>G11+G23+G35+G41+G47+G17+G29</f>
        <v>166010993.65</v>
      </c>
      <c r="H56" s="104">
        <f>H11+H23+H35+H41+H17</f>
        <v>43781397.82</v>
      </c>
      <c r="I56" s="104">
        <f>I11+I23+I35+I41</f>
        <v>0</v>
      </c>
      <c r="J56" s="192">
        <f>J11+J23+J35+J41+J51</f>
        <v>2900000</v>
      </c>
      <c r="K56" s="104">
        <f>K11+K23+K35+K41+K51</f>
        <v>10500000</v>
      </c>
      <c r="L56" s="104">
        <f>L11+L23+L35+L41+L51</f>
        <v>0</v>
      </c>
      <c r="M56" s="254"/>
      <c r="N56" s="240"/>
      <c r="O56" s="240"/>
      <c r="P56" s="240"/>
      <c r="Q56" s="240"/>
      <c r="R56" s="240"/>
      <c r="S56" s="240"/>
      <c r="T56" s="240"/>
      <c r="U56" s="243"/>
    </row>
    <row r="57" spans="1:21" ht="13.5">
      <c r="A57" s="303"/>
      <c r="B57" s="306"/>
      <c r="C57" s="303"/>
      <c r="D57" s="103" t="s">
        <v>89</v>
      </c>
      <c r="E57" s="102">
        <f>F57+G57+H57+I57+J57+K57+L57</f>
        <v>68366613.72999999</v>
      </c>
      <c r="F57" s="104">
        <f>F12+F24+F36+F42</f>
        <v>0</v>
      </c>
      <c r="G57" s="104">
        <f>+G24+G12+G30+G48+G18</f>
        <v>20606100</v>
      </c>
      <c r="H57" s="104">
        <f>H12+H24+H36+H42</f>
        <v>15000000</v>
      </c>
      <c r="I57" s="104">
        <f>I12+I24+I36+I42</f>
        <v>774513.73</v>
      </c>
      <c r="J57" s="192">
        <f>J12+J24+J36+J42+J48+J52</f>
        <v>6850700</v>
      </c>
      <c r="K57" s="104">
        <f>K12+K24+K36+K42+K48+K52</f>
        <v>25135300</v>
      </c>
      <c r="L57" s="104">
        <f>L12+L24+L36+L42+L48+L52</f>
        <v>0</v>
      </c>
      <c r="M57" s="254"/>
      <c r="N57" s="240"/>
      <c r="O57" s="240"/>
      <c r="P57" s="240"/>
      <c r="Q57" s="240"/>
      <c r="R57" s="240"/>
      <c r="S57" s="240"/>
      <c r="T57" s="240"/>
      <c r="U57" s="243"/>
    </row>
    <row r="58" spans="1:21" ht="13.5">
      <c r="A58" s="303"/>
      <c r="B58" s="306"/>
      <c r="C58" s="303"/>
      <c r="D58" s="103" t="s">
        <v>90</v>
      </c>
      <c r="E58" s="102">
        <f>F58+G58+H58+I58+J58+K58+L58</f>
        <v>269901884.18</v>
      </c>
      <c r="F58" s="104">
        <f>F13+F25+F37+F43+F19</f>
        <v>153856484.18</v>
      </c>
      <c r="G58" s="104">
        <f>G13+G25+G37+G43</f>
        <v>68714400</v>
      </c>
      <c r="H58" s="104">
        <f>H13+H25+H37+H43</f>
        <v>0</v>
      </c>
      <c r="I58" s="104">
        <f>I13+I25+I37+I43</f>
        <v>0</v>
      </c>
      <c r="J58" s="192">
        <f>J13+J25+J37+J43+J53</f>
        <v>23656400</v>
      </c>
      <c r="K58" s="104">
        <f>K13+K25+K37+K43+K53</f>
        <v>23674600</v>
      </c>
      <c r="L58" s="104">
        <f>L13+L25+L37+L43+L53</f>
        <v>0</v>
      </c>
      <c r="M58" s="254"/>
      <c r="N58" s="240"/>
      <c r="O58" s="240"/>
      <c r="P58" s="240"/>
      <c r="Q58" s="240"/>
      <c r="R58" s="240"/>
      <c r="S58" s="240"/>
      <c r="T58" s="240"/>
      <c r="U58" s="243"/>
    </row>
    <row r="59" spans="1:21" ht="13.5">
      <c r="A59" s="304"/>
      <c r="B59" s="307"/>
      <c r="C59" s="304"/>
      <c r="D59" s="103" t="s">
        <v>92</v>
      </c>
      <c r="E59" s="102">
        <f>F59+G59+H59+I59+J59+K59+L59</f>
        <v>0</v>
      </c>
      <c r="F59" s="104"/>
      <c r="G59" s="104"/>
      <c r="H59" s="104"/>
      <c r="I59" s="104"/>
      <c r="J59" s="192"/>
      <c r="K59" s="104"/>
      <c r="L59" s="104"/>
      <c r="M59" s="255"/>
      <c r="N59" s="241"/>
      <c r="O59" s="241"/>
      <c r="P59" s="241"/>
      <c r="Q59" s="241"/>
      <c r="R59" s="241"/>
      <c r="S59" s="241"/>
      <c r="T59" s="241"/>
      <c r="U59" s="244"/>
    </row>
    <row r="60" spans="1:21" ht="12.75">
      <c r="A60" s="20">
        <v>2</v>
      </c>
      <c r="B60" s="267" t="s">
        <v>24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9"/>
    </row>
    <row r="61" spans="1:21" ht="12.75">
      <c r="A61" s="245" t="s">
        <v>127</v>
      </c>
      <c r="B61" s="294" t="s">
        <v>173</v>
      </c>
      <c r="C61" s="230" t="s">
        <v>78</v>
      </c>
      <c r="D61" s="21" t="s">
        <v>93</v>
      </c>
      <c r="E61" s="22">
        <f>E63+E64+E65+E66</f>
        <v>9663553.38</v>
      </c>
      <c r="F61" s="22">
        <f aca="true" t="shared" si="9" ref="F61:L61">F63+F64+F65+F66</f>
        <v>4391930.86</v>
      </c>
      <c r="G61" s="22">
        <f t="shared" si="9"/>
        <v>1573281.96</v>
      </c>
      <c r="H61" s="22">
        <f t="shared" si="9"/>
        <v>0</v>
      </c>
      <c r="I61" s="22">
        <f t="shared" si="9"/>
        <v>1179122.71</v>
      </c>
      <c r="J61" s="183">
        <f t="shared" si="9"/>
        <v>2519217.85</v>
      </c>
      <c r="K61" s="22">
        <f t="shared" si="9"/>
        <v>0</v>
      </c>
      <c r="L61" s="22">
        <f t="shared" si="9"/>
        <v>0</v>
      </c>
      <c r="M61" s="279" t="s">
        <v>267</v>
      </c>
      <c r="N61" s="227">
        <v>1</v>
      </c>
      <c r="O61" s="227">
        <v>1</v>
      </c>
      <c r="P61" s="227">
        <v>1</v>
      </c>
      <c r="Q61" s="227">
        <v>100</v>
      </c>
      <c r="R61" s="227">
        <v>100</v>
      </c>
      <c r="S61" s="227">
        <v>100</v>
      </c>
      <c r="T61" s="227">
        <v>100</v>
      </c>
      <c r="U61" s="279" t="s">
        <v>196</v>
      </c>
    </row>
    <row r="62" spans="1:21" ht="12.75">
      <c r="A62" s="245"/>
      <c r="B62" s="295"/>
      <c r="C62" s="231"/>
      <c r="D62" s="248" t="s">
        <v>113</v>
      </c>
      <c r="E62" s="249"/>
      <c r="F62" s="249"/>
      <c r="G62" s="249"/>
      <c r="H62" s="249"/>
      <c r="I62" s="249"/>
      <c r="J62" s="249"/>
      <c r="K62" s="249"/>
      <c r="L62" s="250"/>
      <c r="M62" s="280"/>
      <c r="N62" s="228"/>
      <c r="O62" s="228"/>
      <c r="P62" s="228"/>
      <c r="Q62" s="228"/>
      <c r="R62" s="228"/>
      <c r="S62" s="228"/>
      <c r="T62" s="228"/>
      <c r="U62" s="280"/>
    </row>
    <row r="63" spans="1:21" ht="12.75">
      <c r="A63" s="245"/>
      <c r="B63" s="295"/>
      <c r="C63" s="231"/>
      <c r="D63" s="21" t="s">
        <v>91</v>
      </c>
      <c r="E63" s="22">
        <f>F63+G63+H63+I63+J63+K63+L63</f>
        <v>9663553.38</v>
      </c>
      <c r="F63" s="22">
        <v>4391930.86</v>
      </c>
      <c r="G63" s="22">
        <v>1573281.96</v>
      </c>
      <c r="H63" s="22"/>
      <c r="I63" s="22">
        <f>1187188+464000-472065.29</f>
        <v>1179122.71</v>
      </c>
      <c r="J63" s="183">
        <f>1200000+403500+915717.85</f>
        <v>2519217.85</v>
      </c>
      <c r="K63" s="22"/>
      <c r="L63" s="22"/>
      <c r="M63" s="280"/>
      <c r="N63" s="228"/>
      <c r="O63" s="228"/>
      <c r="P63" s="228"/>
      <c r="Q63" s="228"/>
      <c r="R63" s="228"/>
      <c r="S63" s="228"/>
      <c r="T63" s="228"/>
      <c r="U63" s="280"/>
    </row>
    <row r="64" spans="1:21" ht="12.75">
      <c r="A64" s="245"/>
      <c r="B64" s="295"/>
      <c r="C64" s="231"/>
      <c r="D64" s="21" t="s">
        <v>89</v>
      </c>
      <c r="E64" s="22">
        <f>F64+G64+H64+I64+J64+K64+L64</f>
        <v>0</v>
      </c>
      <c r="F64" s="22"/>
      <c r="G64" s="22"/>
      <c r="H64" s="22"/>
      <c r="I64" s="22"/>
      <c r="J64" s="183"/>
      <c r="K64" s="22"/>
      <c r="L64" s="22"/>
      <c r="M64" s="280"/>
      <c r="N64" s="228"/>
      <c r="O64" s="228"/>
      <c r="P64" s="228"/>
      <c r="Q64" s="228"/>
      <c r="R64" s="228"/>
      <c r="S64" s="228"/>
      <c r="T64" s="228"/>
      <c r="U64" s="280"/>
    </row>
    <row r="65" spans="1:21" ht="12.75">
      <c r="A65" s="245"/>
      <c r="B65" s="295"/>
      <c r="C65" s="231"/>
      <c r="D65" s="21" t="s">
        <v>90</v>
      </c>
      <c r="E65" s="22">
        <f>F65+G65+H65+I65+J65+K65+L65</f>
        <v>0</v>
      </c>
      <c r="F65" s="22"/>
      <c r="G65" s="22"/>
      <c r="H65" s="22"/>
      <c r="I65" s="22"/>
      <c r="J65" s="183"/>
      <c r="K65" s="22"/>
      <c r="L65" s="22"/>
      <c r="M65" s="280"/>
      <c r="N65" s="228"/>
      <c r="O65" s="228"/>
      <c r="P65" s="228"/>
      <c r="Q65" s="228"/>
      <c r="R65" s="228"/>
      <c r="S65" s="228"/>
      <c r="T65" s="228"/>
      <c r="U65" s="280"/>
    </row>
    <row r="66" spans="1:21" ht="12.75">
      <c r="A66" s="245"/>
      <c r="B66" s="296"/>
      <c r="C66" s="232"/>
      <c r="D66" s="21" t="s">
        <v>92</v>
      </c>
      <c r="E66" s="22">
        <f>F66+G66+H66+I66+J66+K66+L66</f>
        <v>0</v>
      </c>
      <c r="F66" s="22"/>
      <c r="G66" s="22"/>
      <c r="H66" s="22"/>
      <c r="I66" s="22"/>
      <c r="J66" s="183"/>
      <c r="K66" s="22"/>
      <c r="L66" s="22"/>
      <c r="M66" s="281"/>
      <c r="N66" s="229"/>
      <c r="O66" s="229"/>
      <c r="P66" s="229"/>
      <c r="Q66" s="229"/>
      <c r="R66" s="229"/>
      <c r="S66" s="229"/>
      <c r="T66" s="229"/>
      <c r="U66" s="281"/>
    </row>
    <row r="67" spans="1:21" ht="12.75" customHeight="1">
      <c r="A67" s="245" t="s">
        <v>128</v>
      </c>
      <c r="B67" s="294" t="s">
        <v>174</v>
      </c>
      <c r="C67" s="230" t="s">
        <v>78</v>
      </c>
      <c r="D67" s="21" t="s">
        <v>93</v>
      </c>
      <c r="E67" s="22">
        <f>E69+E70+E71+E72</f>
        <v>44767315.89</v>
      </c>
      <c r="F67" s="22">
        <f aca="true" t="shared" si="10" ref="F67:L67">F69+F70+F71+F72</f>
        <v>9671279.75</v>
      </c>
      <c r="G67" s="22">
        <f t="shared" si="10"/>
        <v>11246543.73</v>
      </c>
      <c r="H67" s="22">
        <f t="shared" si="10"/>
        <v>9573888.58</v>
      </c>
      <c r="I67" s="22">
        <f t="shared" si="10"/>
        <v>11421807.32</v>
      </c>
      <c r="J67" s="183">
        <f t="shared" si="10"/>
        <v>2853796.509999999</v>
      </c>
      <c r="K67" s="22">
        <f t="shared" si="10"/>
        <v>0</v>
      </c>
      <c r="L67" s="22">
        <f t="shared" si="10"/>
        <v>0</v>
      </c>
      <c r="M67" s="279" t="s">
        <v>268</v>
      </c>
      <c r="N67" s="227">
        <v>1</v>
      </c>
      <c r="O67" s="227">
        <v>1</v>
      </c>
      <c r="P67" s="227">
        <v>1</v>
      </c>
      <c r="Q67" s="227">
        <v>100</v>
      </c>
      <c r="R67" s="227">
        <v>100</v>
      </c>
      <c r="S67" s="227">
        <v>100</v>
      </c>
      <c r="T67" s="227">
        <v>100</v>
      </c>
      <c r="U67" s="279" t="s">
        <v>203</v>
      </c>
    </row>
    <row r="68" spans="1:21" ht="12.75">
      <c r="A68" s="245"/>
      <c r="B68" s="295"/>
      <c r="C68" s="231"/>
      <c r="D68" s="248" t="s">
        <v>113</v>
      </c>
      <c r="E68" s="249"/>
      <c r="F68" s="249"/>
      <c r="G68" s="249"/>
      <c r="H68" s="249"/>
      <c r="I68" s="249"/>
      <c r="J68" s="249"/>
      <c r="K68" s="249"/>
      <c r="L68" s="250"/>
      <c r="M68" s="280"/>
      <c r="N68" s="228"/>
      <c r="O68" s="228"/>
      <c r="P68" s="228"/>
      <c r="Q68" s="228"/>
      <c r="R68" s="228"/>
      <c r="S68" s="228"/>
      <c r="T68" s="228"/>
      <c r="U68" s="280"/>
    </row>
    <row r="69" spans="1:21" ht="12.75">
      <c r="A69" s="245"/>
      <c r="B69" s="295"/>
      <c r="C69" s="231"/>
      <c r="D69" s="21" t="s">
        <v>91</v>
      </c>
      <c r="E69" s="22">
        <f>F69+G69+H69+I69+J69+K69+L69</f>
        <v>44767315.89</v>
      </c>
      <c r="F69" s="22">
        <v>9671279.75</v>
      </c>
      <c r="G69" s="22">
        <v>11246543.73</v>
      </c>
      <c r="H69" s="22">
        <f>9207002.98+366885.6</f>
        <v>9573888.58</v>
      </c>
      <c r="I69" s="22">
        <f>944051+9786493.98+262900+428362.34</f>
        <v>11421807.32</v>
      </c>
      <c r="J69" s="183">
        <f>6000000+6000000-324838.59-2381914.8-0.05-6439450.05</f>
        <v>2853796.509999999</v>
      </c>
      <c r="K69" s="22"/>
      <c r="L69" s="22"/>
      <c r="M69" s="280"/>
      <c r="N69" s="228"/>
      <c r="O69" s="228"/>
      <c r="P69" s="228"/>
      <c r="Q69" s="228"/>
      <c r="R69" s="228"/>
      <c r="S69" s="228"/>
      <c r="T69" s="228"/>
      <c r="U69" s="280"/>
    </row>
    <row r="70" spans="1:21" ht="12.75">
      <c r="A70" s="245"/>
      <c r="B70" s="295"/>
      <c r="C70" s="231"/>
      <c r="D70" s="21" t="s">
        <v>89</v>
      </c>
      <c r="E70" s="22">
        <f>F70+G70+H70+I70+J70+K70+L70</f>
        <v>0</v>
      </c>
      <c r="F70" s="22"/>
      <c r="G70" s="22"/>
      <c r="H70" s="22"/>
      <c r="I70" s="22"/>
      <c r="J70" s="183"/>
      <c r="K70" s="22"/>
      <c r="L70" s="22"/>
      <c r="M70" s="280"/>
      <c r="N70" s="228"/>
      <c r="O70" s="228"/>
      <c r="P70" s="228"/>
      <c r="Q70" s="228"/>
      <c r="R70" s="228"/>
      <c r="S70" s="228"/>
      <c r="T70" s="228"/>
      <c r="U70" s="280"/>
    </row>
    <row r="71" spans="1:21" ht="12.75">
      <c r="A71" s="245"/>
      <c r="B71" s="295"/>
      <c r="C71" s="231"/>
      <c r="D71" s="21" t="s">
        <v>90</v>
      </c>
      <c r="E71" s="22">
        <f>F71+G71+H71+I71+J71+K71+L71</f>
        <v>0</v>
      </c>
      <c r="F71" s="22"/>
      <c r="G71" s="22"/>
      <c r="H71" s="22"/>
      <c r="I71" s="22"/>
      <c r="J71" s="183"/>
      <c r="K71" s="22"/>
      <c r="L71" s="22"/>
      <c r="M71" s="280"/>
      <c r="N71" s="228"/>
      <c r="O71" s="228"/>
      <c r="P71" s="228"/>
      <c r="Q71" s="228"/>
      <c r="R71" s="228"/>
      <c r="S71" s="228"/>
      <c r="T71" s="228"/>
      <c r="U71" s="280"/>
    </row>
    <row r="72" spans="1:21" ht="12.75">
      <c r="A72" s="245"/>
      <c r="B72" s="296"/>
      <c r="C72" s="232"/>
      <c r="D72" s="21" t="s">
        <v>92</v>
      </c>
      <c r="E72" s="22">
        <f>F72+G72+H72+I72+J72+K72+L72</f>
        <v>0</v>
      </c>
      <c r="F72" s="22"/>
      <c r="G72" s="22"/>
      <c r="H72" s="22"/>
      <c r="I72" s="22"/>
      <c r="J72" s="183"/>
      <c r="K72" s="22"/>
      <c r="L72" s="22"/>
      <c r="M72" s="281"/>
      <c r="N72" s="229"/>
      <c r="O72" s="229"/>
      <c r="P72" s="229"/>
      <c r="Q72" s="229"/>
      <c r="R72" s="229"/>
      <c r="S72" s="229"/>
      <c r="T72" s="229"/>
      <c r="U72" s="281"/>
    </row>
    <row r="73" spans="1:21" ht="12.75">
      <c r="A73" s="245" t="s">
        <v>129</v>
      </c>
      <c r="B73" s="294" t="s">
        <v>175</v>
      </c>
      <c r="C73" s="230" t="s">
        <v>78</v>
      </c>
      <c r="D73" s="21" t="s">
        <v>93</v>
      </c>
      <c r="E73" s="22">
        <f>E75+E76+E77+E78</f>
        <v>3617636</v>
      </c>
      <c r="F73" s="22">
        <f aca="true" t="shared" si="11" ref="F73:L73">F75+F76+F77+F78</f>
        <v>0</v>
      </c>
      <c r="G73" s="22">
        <f t="shared" si="11"/>
        <v>0</v>
      </c>
      <c r="H73" s="22">
        <f t="shared" si="11"/>
        <v>0</v>
      </c>
      <c r="I73" s="22">
        <f t="shared" si="11"/>
        <v>3617636</v>
      </c>
      <c r="J73" s="183">
        <f t="shared" si="11"/>
        <v>0</v>
      </c>
      <c r="K73" s="22">
        <f t="shared" si="11"/>
        <v>0</v>
      </c>
      <c r="L73" s="22">
        <f t="shared" si="11"/>
        <v>0</v>
      </c>
      <c r="M73" s="279" t="s">
        <v>269</v>
      </c>
      <c r="N73" s="227">
        <v>1</v>
      </c>
      <c r="O73" s="227">
        <v>1</v>
      </c>
      <c r="P73" s="227">
        <v>1</v>
      </c>
      <c r="Q73" s="227">
        <v>100</v>
      </c>
      <c r="R73" s="227">
        <v>100</v>
      </c>
      <c r="S73" s="227">
        <v>100</v>
      </c>
      <c r="T73" s="227">
        <v>100</v>
      </c>
      <c r="U73" s="279" t="s">
        <v>196</v>
      </c>
    </row>
    <row r="74" spans="1:21" ht="12.75">
      <c r="A74" s="245"/>
      <c r="B74" s="295"/>
      <c r="C74" s="231"/>
      <c r="D74" s="248" t="s">
        <v>113</v>
      </c>
      <c r="E74" s="249"/>
      <c r="F74" s="249"/>
      <c r="G74" s="249"/>
      <c r="H74" s="249"/>
      <c r="I74" s="249"/>
      <c r="J74" s="249"/>
      <c r="K74" s="249"/>
      <c r="L74" s="250"/>
      <c r="M74" s="280"/>
      <c r="N74" s="228"/>
      <c r="O74" s="228"/>
      <c r="P74" s="228"/>
      <c r="Q74" s="228"/>
      <c r="R74" s="228"/>
      <c r="S74" s="228"/>
      <c r="T74" s="228"/>
      <c r="U74" s="280"/>
    </row>
    <row r="75" spans="1:21" ht="12.75">
      <c r="A75" s="245"/>
      <c r="B75" s="295"/>
      <c r="C75" s="231"/>
      <c r="D75" s="21" t="s">
        <v>91</v>
      </c>
      <c r="E75" s="22">
        <f>F75+G75+H75+I75+J75+K75+L75</f>
        <v>3617636</v>
      </c>
      <c r="F75" s="22"/>
      <c r="G75" s="22"/>
      <c r="H75" s="22"/>
      <c r="I75" s="22">
        <v>3617636</v>
      </c>
      <c r="J75" s="183"/>
      <c r="K75" s="22"/>
      <c r="L75" s="22"/>
      <c r="M75" s="280"/>
      <c r="N75" s="228"/>
      <c r="O75" s="228"/>
      <c r="P75" s="228"/>
      <c r="Q75" s="228"/>
      <c r="R75" s="228"/>
      <c r="S75" s="228"/>
      <c r="T75" s="228"/>
      <c r="U75" s="280"/>
    </row>
    <row r="76" spans="1:21" ht="12.75">
      <c r="A76" s="245"/>
      <c r="B76" s="295"/>
      <c r="C76" s="231"/>
      <c r="D76" s="21" t="s">
        <v>89</v>
      </c>
      <c r="E76" s="22">
        <f>F76+G76+H76+I76+J76+K76+L76</f>
        <v>0</v>
      </c>
      <c r="F76" s="22"/>
      <c r="G76" s="22"/>
      <c r="H76" s="22"/>
      <c r="I76" s="22"/>
      <c r="J76" s="183"/>
      <c r="K76" s="22"/>
      <c r="L76" s="22"/>
      <c r="M76" s="280"/>
      <c r="N76" s="228"/>
      <c r="O76" s="228"/>
      <c r="P76" s="228"/>
      <c r="Q76" s="228"/>
      <c r="R76" s="228"/>
      <c r="S76" s="228"/>
      <c r="T76" s="228"/>
      <c r="U76" s="280"/>
    </row>
    <row r="77" spans="1:21" ht="12.75">
      <c r="A77" s="245"/>
      <c r="B77" s="295"/>
      <c r="C77" s="231"/>
      <c r="D77" s="21" t="s">
        <v>90</v>
      </c>
      <c r="E77" s="22">
        <f>F77+G77+H77+I77+J77+K77+L77</f>
        <v>0</v>
      </c>
      <c r="F77" s="22"/>
      <c r="G77" s="22"/>
      <c r="H77" s="22"/>
      <c r="I77" s="22"/>
      <c r="J77" s="183"/>
      <c r="K77" s="22"/>
      <c r="L77" s="22"/>
      <c r="M77" s="280"/>
      <c r="N77" s="228"/>
      <c r="O77" s="228"/>
      <c r="P77" s="228"/>
      <c r="Q77" s="228"/>
      <c r="R77" s="228"/>
      <c r="S77" s="228"/>
      <c r="T77" s="228"/>
      <c r="U77" s="280"/>
    </row>
    <row r="78" spans="1:21" ht="12.75">
      <c r="A78" s="245"/>
      <c r="B78" s="296"/>
      <c r="C78" s="232"/>
      <c r="D78" s="21" t="s">
        <v>92</v>
      </c>
      <c r="E78" s="22">
        <f>F78+G78+H78+I78+J78+K78+L78</f>
        <v>0</v>
      </c>
      <c r="F78" s="22"/>
      <c r="G78" s="22"/>
      <c r="H78" s="22"/>
      <c r="I78" s="22"/>
      <c r="J78" s="183"/>
      <c r="K78" s="22"/>
      <c r="L78" s="22"/>
      <c r="M78" s="281"/>
      <c r="N78" s="229"/>
      <c r="O78" s="229"/>
      <c r="P78" s="229"/>
      <c r="Q78" s="229"/>
      <c r="R78" s="229"/>
      <c r="S78" s="229"/>
      <c r="T78" s="229"/>
      <c r="U78" s="281"/>
    </row>
    <row r="79" spans="1:21" ht="12.75" customHeight="1">
      <c r="A79" s="245" t="s">
        <v>148</v>
      </c>
      <c r="B79" s="294" t="s">
        <v>176</v>
      </c>
      <c r="C79" s="230" t="s">
        <v>78</v>
      </c>
      <c r="D79" s="21" t="s">
        <v>93</v>
      </c>
      <c r="E79" s="22">
        <f>E81+E82+E83+E84</f>
        <v>15582508.829999998</v>
      </c>
      <c r="F79" s="22">
        <f aca="true" t="shared" si="12" ref="F79:L79">F81+F82+F83+F84</f>
        <v>3493297.62</v>
      </c>
      <c r="G79" s="22">
        <f t="shared" si="12"/>
        <v>711203.33</v>
      </c>
      <c r="H79" s="22">
        <f t="shared" si="12"/>
        <v>6377532.34</v>
      </c>
      <c r="I79" s="22">
        <f t="shared" si="12"/>
        <v>2424336.95</v>
      </c>
      <c r="J79" s="183">
        <f t="shared" si="12"/>
        <v>2576138.59</v>
      </c>
      <c r="K79" s="22">
        <f t="shared" si="12"/>
        <v>0</v>
      </c>
      <c r="L79" s="22">
        <f t="shared" si="12"/>
        <v>0</v>
      </c>
      <c r="M79" s="279" t="s">
        <v>270</v>
      </c>
      <c r="N79" s="227">
        <v>1</v>
      </c>
      <c r="O79" s="227">
        <v>1</v>
      </c>
      <c r="P79" s="227">
        <v>1</v>
      </c>
      <c r="Q79" s="227">
        <v>100</v>
      </c>
      <c r="R79" s="227">
        <v>100</v>
      </c>
      <c r="S79" s="227">
        <v>100</v>
      </c>
      <c r="T79" s="227">
        <v>100</v>
      </c>
      <c r="U79" s="279" t="s">
        <v>203</v>
      </c>
    </row>
    <row r="80" spans="1:21" ht="12.75">
      <c r="A80" s="245"/>
      <c r="B80" s="295"/>
      <c r="C80" s="231"/>
      <c r="D80" s="248" t="s">
        <v>113</v>
      </c>
      <c r="E80" s="249"/>
      <c r="F80" s="249"/>
      <c r="G80" s="249"/>
      <c r="H80" s="249"/>
      <c r="I80" s="249"/>
      <c r="J80" s="249"/>
      <c r="K80" s="249"/>
      <c r="L80" s="250"/>
      <c r="M80" s="280"/>
      <c r="N80" s="228"/>
      <c r="O80" s="228"/>
      <c r="P80" s="228"/>
      <c r="Q80" s="228"/>
      <c r="R80" s="228"/>
      <c r="S80" s="228"/>
      <c r="T80" s="228"/>
      <c r="U80" s="280"/>
    </row>
    <row r="81" spans="1:21" ht="12.75">
      <c r="A81" s="245"/>
      <c r="B81" s="295"/>
      <c r="C81" s="231"/>
      <c r="D81" s="21" t="s">
        <v>91</v>
      </c>
      <c r="E81" s="22">
        <f>F81+G81+H81+I81+J81+K81+L81</f>
        <v>15582508.829999998</v>
      </c>
      <c r="F81" s="22">
        <v>3493297.62</v>
      </c>
      <c r="G81" s="22">
        <v>711203.33</v>
      </c>
      <c r="H81" s="22">
        <f>4989967.13+1387565.21</f>
        <v>6377532.34</v>
      </c>
      <c r="I81" s="22">
        <f>180030+469737+843817+887050+43702.95</f>
        <v>2424336.95</v>
      </c>
      <c r="J81" s="183">
        <f>2000000-78661.41+654800</f>
        <v>2576138.59</v>
      </c>
      <c r="K81" s="22"/>
      <c r="L81" s="22"/>
      <c r="M81" s="280"/>
      <c r="N81" s="228"/>
      <c r="O81" s="228"/>
      <c r="P81" s="228"/>
      <c r="Q81" s="228"/>
      <c r="R81" s="228"/>
      <c r="S81" s="228"/>
      <c r="T81" s="228"/>
      <c r="U81" s="280"/>
    </row>
    <row r="82" spans="1:21" ht="12.75">
      <c r="A82" s="245"/>
      <c r="B82" s="295"/>
      <c r="C82" s="231"/>
      <c r="D82" s="21" t="s">
        <v>89</v>
      </c>
      <c r="E82" s="22">
        <f>F82+G82+H82+I82+J82+K82+L82</f>
        <v>0</v>
      </c>
      <c r="F82" s="22"/>
      <c r="G82" s="22"/>
      <c r="H82" s="22"/>
      <c r="I82" s="22"/>
      <c r="J82" s="183"/>
      <c r="K82" s="22"/>
      <c r="L82" s="22"/>
      <c r="M82" s="280"/>
      <c r="N82" s="228"/>
      <c r="O82" s="228"/>
      <c r="P82" s="228"/>
      <c r="Q82" s="228"/>
      <c r="R82" s="228"/>
      <c r="S82" s="228"/>
      <c r="T82" s="228"/>
      <c r="U82" s="280"/>
    </row>
    <row r="83" spans="1:21" ht="12.75">
      <c r="A83" s="245"/>
      <c r="B83" s="295"/>
      <c r="C83" s="231"/>
      <c r="D83" s="21" t="s">
        <v>90</v>
      </c>
      <c r="E83" s="22">
        <f>F83+G83+H83+I83+J83+K83+L83</f>
        <v>0</v>
      </c>
      <c r="F83" s="22"/>
      <c r="G83" s="22"/>
      <c r="H83" s="22"/>
      <c r="I83" s="22"/>
      <c r="J83" s="183"/>
      <c r="K83" s="22"/>
      <c r="L83" s="22"/>
      <c r="M83" s="280"/>
      <c r="N83" s="228"/>
      <c r="O83" s="228"/>
      <c r="P83" s="228"/>
      <c r="Q83" s="228"/>
      <c r="R83" s="228"/>
      <c r="S83" s="228"/>
      <c r="T83" s="228"/>
      <c r="U83" s="280"/>
    </row>
    <row r="84" spans="1:21" ht="12.75">
      <c r="A84" s="245"/>
      <c r="B84" s="296"/>
      <c r="C84" s="232"/>
      <c r="D84" s="21" t="s">
        <v>92</v>
      </c>
      <c r="E84" s="22">
        <f>F84+G84+H84+I84+J84+K84+L84</f>
        <v>0</v>
      </c>
      <c r="F84" s="22"/>
      <c r="G84" s="22"/>
      <c r="H84" s="22"/>
      <c r="I84" s="22"/>
      <c r="J84" s="183"/>
      <c r="K84" s="22"/>
      <c r="L84" s="22"/>
      <c r="M84" s="281"/>
      <c r="N84" s="229"/>
      <c r="O84" s="229"/>
      <c r="P84" s="229"/>
      <c r="Q84" s="229"/>
      <c r="R84" s="229"/>
      <c r="S84" s="229"/>
      <c r="T84" s="229"/>
      <c r="U84" s="281"/>
    </row>
    <row r="85" spans="1:21" ht="12.75" customHeight="1">
      <c r="A85" s="245" t="s">
        <v>256</v>
      </c>
      <c r="B85" s="294" t="s">
        <v>210</v>
      </c>
      <c r="C85" s="230" t="s">
        <v>78</v>
      </c>
      <c r="D85" s="21" t="s">
        <v>93</v>
      </c>
      <c r="E85" s="22">
        <f>E87+E88+E89+E90</f>
        <v>1209581.96</v>
      </c>
      <c r="F85" s="22">
        <f aca="true" t="shared" si="13" ref="F85:L85">F87+F88+F89+F90</f>
        <v>0</v>
      </c>
      <c r="G85" s="22">
        <f t="shared" si="13"/>
        <v>0</v>
      </c>
      <c r="H85" s="22">
        <f t="shared" si="13"/>
        <v>1209581.96</v>
      </c>
      <c r="I85" s="22">
        <f t="shared" si="13"/>
        <v>0</v>
      </c>
      <c r="J85" s="183">
        <f t="shared" si="13"/>
        <v>0</v>
      </c>
      <c r="K85" s="22">
        <f t="shared" si="13"/>
        <v>0</v>
      </c>
      <c r="L85" s="22">
        <f t="shared" si="13"/>
        <v>0</v>
      </c>
      <c r="M85" s="279" t="s">
        <v>257</v>
      </c>
      <c r="N85" s="227">
        <v>1</v>
      </c>
      <c r="O85" s="227">
        <v>1</v>
      </c>
      <c r="P85" s="227">
        <v>1</v>
      </c>
      <c r="Q85" s="227">
        <v>1</v>
      </c>
      <c r="R85" s="227">
        <v>1</v>
      </c>
      <c r="S85" s="227">
        <v>1</v>
      </c>
      <c r="T85" s="227">
        <v>1</v>
      </c>
      <c r="U85" s="236" t="s">
        <v>187</v>
      </c>
    </row>
    <row r="86" spans="1:21" ht="12.75">
      <c r="A86" s="245"/>
      <c r="B86" s="295"/>
      <c r="C86" s="231"/>
      <c r="D86" s="248" t="s">
        <v>113</v>
      </c>
      <c r="E86" s="249"/>
      <c r="F86" s="249"/>
      <c r="G86" s="249"/>
      <c r="H86" s="249"/>
      <c r="I86" s="249"/>
      <c r="J86" s="249"/>
      <c r="K86" s="249"/>
      <c r="L86" s="250"/>
      <c r="M86" s="280"/>
      <c r="N86" s="228"/>
      <c r="O86" s="228"/>
      <c r="P86" s="228"/>
      <c r="Q86" s="228"/>
      <c r="R86" s="228"/>
      <c r="S86" s="228"/>
      <c r="T86" s="228"/>
      <c r="U86" s="237"/>
    </row>
    <row r="87" spans="1:21" ht="12.75">
      <c r="A87" s="245"/>
      <c r="B87" s="295"/>
      <c r="C87" s="231"/>
      <c r="D87" s="21" t="s">
        <v>91</v>
      </c>
      <c r="E87" s="22">
        <f>F87+G87+H87+I87+J87+K87+L87</f>
        <v>1209581.96</v>
      </c>
      <c r="F87" s="22"/>
      <c r="G87" s="22"/>
      <c r="H87" s="22">
        <v>1209581.96</v>
      </c>
      <c r="I87" s="22"/>
      <c r="J87" s="183"/>
      <c r="K87" s="22"/>
      <c r="L87" s="22"/>
      <c r="M87" s="280"/>
      <c r="N87" s="228"/>
      <c r="O87" s="228"/>
      <c r="P87" s="228"/>
      <c r="Q87" s="228"/>
      <c r="R87" s="228"/>
      <c r="S87" s="228"/>
      <c r="T87" s="228"/>
      <c r="U87" s="237"/>
    </row>
    <row r="88" spans="1:21" ht="12.75">
      <c r="A88" s="245"/>
      <c r="B88" s="295"/>
      <c r="C88" s="231"/>
      <c r="D88" s="21" t="s">
        <v>89</v>
      </c>
      <c r="E88" s="22">
        <f>F88+G88+H88+I88+J88+K88+L88</f>
        <v>0</v>
      </c>
      <c r="F88" s="22"/>
      <c r="G88" s="22"/>
      <c r="H88" s="22"/>
      <c r="I88" s="22"/>
      <c r="J88" s="183"/>
      <c r="K88" s="22"/>
      <c r="L88" s="22"/>
      <c r="M88" s="280"/>
      <c r="N88" s="228"/>
      <c r="O88" s="228"/>
      <c r="P88" s="228"/>
      <c r="Q88" s="228"/>
      <c r="R88" s="228"/>
      <c r="S88" s="228"/>
      <c r="T88" s="228"/>
      <c r="U88" s="237"/>
    </row>
    <row r="89" spans="1:21" ht="12.75">
      <c r="A89" s="245"/>
      <c r="B89" s="295"/>
      <c r="C89" s="231"/>
      <c r="D89" s="21" t="s">
        <v>90</v>
      </c>
      <c r="E89" s="22">
        <f>F89+G89+H89+I89+J89+K89+L89</f>
        <v>0</v>
      </c>
      <c r="F89" s="22"/>
      <c r="G89" s="22"/>
      <c r="H89" s="22"/>
      <c r="I89" s="22"/>
      <c r="J89" s="183"/>
      <c r="K89" s="22"/>
      <c r="L89" s="22"/>
      <c r="M89" s="280"/>
      <c r="N89" s="228"/>
      <c r="O89" s="228"/>
      <c r="P89" s="228"/>
      <c r="Q89" s="228"/>
      <c r="R89" s="228"/>
      <c r="S89" s="228"/>
      <c r="T89" s="228"/>
      <c r="U89" s="237"/>
    </row>
    <row r="90" spans="1:21" ht="12.75">
      <c r="A90" s="245"/>
      <c r="B90" s="296"/>
      <c r="C90" s="232"/>
      <c r="D90" s="21" t="s">
        <v>92</v>
      </c>
      <c r="E90" s="22">
        <f>F90+G90+H90+I90+J90+K90+L90</f>
        <v>0</v>
      </c>
      <c r="F90" s="22"/>
      <c r="G90" s="22"/>
      <c r="H90" s="22"/>
      <c r="I90" s="22"/>
      <c r="J90" s="183"/>
      <c r="K90" s="22"/>
      <c r="L90" s="22"/>
      <c r="M90" s="281"/>
      <c r="N90" s="229"/>
      <c r="O90" s="229"/>
      <c r="P90" s="229"/>
      <c r="Q90" s="229"/>
      <c r="R90" s="229"/>
      <c r="S90" s="229"/>
      <c r="T90" s="229"/>
      <c r="U90" s="238"/>
    </row>
    <row r="91" spans="1:21" ht="13.5" customHeight="1">
      <c r="A91" s="251"/>
      <c r="B91" s="305" t="s">
        <v>151</v>
      </c>
      <c r="C91" s="251"/>
      <c r="D91" s="101" t="s">
        <v>93</v>
      </c>
      <c r="E91" s="102">
        <f aca="true" t="shared" si="14" ref="E91:L91">E93+E94+E95+E96</f>
        <v>74840596.06</v>
      </c>
      <c r="F91" s="102">
        <f t="shared" si="14"/>
        <v>17556508.23</v>
      </c>
      <c r="G91" s="102">
        <f t="shared" si="14"/>
        <v>13531029.020000001</v>
      </c>
      <c r="H91" s="102">
        <f t="shared" si="14"/>
        <v>17161002.88</v>
      </c>
      <c r="I91" s="102">
        <f t="shared" si="14"/>
        <v>18642902.98</v>
      </c>
      <c r="J91" s="191">
        <f t="shared" si="14"/>
        <v>7949152.949999999</v>
      </c>
      <c r="K91" s="102">
        <f t="shared" si="14"/>
        <v>0</v>
      </c>
      <c r="L91" s="102">
        <f t="shared" si="14"/>
        <v>0</v>
      </c>
      <c r="M91" s="253"/>
      <c r="N91" s="239"/>
      <c r="O91" s="239"/>
      <c r="P91" s="239"/>
      <c r="Q91" s="239"/>
      <c r="R91" s="239"/>
      <c r="S91" s="239"/>
      <c r="T91" s="239"/>
      <c r="U91" s="242"/>
    </row>
    <row r="92" spans="1:21" ht="12.75" customHeight="1">
      <c r="A92" s="251"/>
      <c r="B92" s="306"/>
      <c r="C92" s="251"/>
      <c r="D92" s="256" t="s">
        <v>113</v>
      </c>
      <c r="E92" s="257"/>
      <c r="F92" s="257"/>
      <c r="G92" s="257"/>
      <c r="H92" s="257"/>
      <c r="I92" s="257"/>
      <c r="J92" s="257"/>
      <c r="K92" s="257"/>
      <c r="L92" s="258"/>
      <c r="M92" s="254"/>
      <c r="N92" s="240"/>
      <c r="O92" s="240"/>
      <c r="P92" s="240"/>
      <c r="Q92" s="240"/>
      <c r="R92" s="240"/>
      <c r="S92" s="240"/>
      <c r="T92" s="240"/>
      <c r="U92" s="243"/>
    </row>
    <row r="93" spans="1:21" ht="13.5" customHeight="1">
      <c r="A93" s="251"/>
      <c r="B93" s="306"/>
      <c r="C93" s="251"/>
      <c r="D93" s="103" t="s">
        <v>91</v>
      </c>
      <c r="E93" s="102">
        <f>F93+G93+H93+I93+J93+K93+L93</f>
        <v>74840596.06</v>
      </c>
      <c r="F93" s="104">
        <f>F63+F69+F75+F81+F87</f>
        <v>17556508.23</v>
      </c>
      <c r="G93" s="104">
        <f aca="true" t="shared" si="15" ref="G93:L96">G63+G69+G75+G81+G87</f>
        <v>13531029.020000001</v>
      </c>
      <c r="H93" s="104">
        <f t="shared" si="15"/>
        <v>17161002.88</v>
      </c>
      <c r="I93" s="104">
        <f t="shared" si="15"/>
        <v>18642902.98</v>
      </c>
      <c r="J93" s="192">
        <f>J63+J69+J75+J81+J87</f>
        <v>7949152.949999999</v>
      </c>
      <c r="K93" s="104">
        <f>K63+K69+K75+K81+K87</f>
        <v>0</v>
      </c>
      <c r="L93" s="104">
        <f>L63+L69+L75+L81+L87</f>
        <v>0</v>
      </c>
      <c r="M93" s="254"/>
      <c r="N93" s="240"/>
      <c r="O93" s="240"/>
      <c r="P93" s="240"/>
      <c r="Q93" s="240"/>
      <c r="R93" s="240"/>
      <c r="S93" s="240"/>
      <c r="T93" s="240"/>
      <c r="U93" s="243"/>
    </row>
    <row r="94" spans="1:21" ht="13.5" customHeight="1">
      <c r="A94" s="251"/>
      <c r="B94" s="306"/>
      <c r="C94" s="251"/>
      <c r="D94" s="103" t="s">
        <v>89</v>
      </c>
      <c r="E94" s="102">
        <f>F94+G94+H94+I94+J94+K94+L94</f>
        <v>0</v>
      </c>
      <c r="F94" s="104">
        <f>F64+F70+F76+F82+F88</f>
        <v>0</v>
      </c>
      <c r="G94" s="104">
        <f aca="true" t="shared" si="16" ref="G94:H96">G64+G70+G76+G82+G88</f>
        <v>0</v>
      </c>
      <c r="H94" s="104">
        <f t="shared" si="16"/>
        <v>0</v>
      </c>
      <c r="I94" s="104">
        <f t="shared" si="15"/>
        <v>0</v>
      </c>
      <c r="J94" s="192">
        <f t="shared" si="15"/>
        <v>0</v>
      </c>
      <c r="K94" s="104">
        <f t="shared" si="15"/>
        <v>0</v>
      </c>
      <c r="L94" s="104">
        <f t="shared" si="15"/>
        <v>0</v>
      </c>
      <c r="M94" s="254"/>
      <c r="N94" s="240"/>
      <c r="O94" s="240"/>
      <c r="P94" s="240"/>
      <c r="Q94" s="240"/>
      <c r="R94" s="240"/>
      <c r="S94" s="240"/>
      <c r="T94" s="240"/>
      <c r="U94" s="243"/>
    </row>
    <row r="95" spans="1:21" ht="13.5" customHeight="1">
      <c r="A95" s="251"/>
      <c r="B95" s="306"/>
      <c r="C95" s="251"/>
      <c r="D95" s="103" t="s">
        <v>90</v>
      </c>
      <c r="E95" s="102">
        <f>F95+G95+H95+I95+J95+K95+L95</f>
        <v>0</v>
      </c>
      <c r="F95" s="104">
        <f>F65+F71+F77+F83+F89</f>
        <v>0</v>
      </c>
      <c r="G95" s="104">
        <f t="shared" si="16"/>
        <v>0</v>
      </c>
      <c r="H95" s="104">
        <f t="shared" si="16"/>
        <v>0</v>
      </c>
      <c r="I95" s="104">
        <f t="shared" si="15"/>
        <v>0</v>
      </c>
      <c r="J95" s="192">
        <f t="shared" si="15"/>
        <v>0</v>
      </c>
      <c r="K95" s="104">
        <f t="shared" si="15"/>
        <v>0</v>
      </c>
      <c r="L95" s="104">
        <f t="shared" si="15"/>
        <v>0</v>
      </c>
      <c r="M95" s="254"/>
      <c r="N95" s="240"/>
      <c r="O95" s="240"/>
      <c r="P95" s="240"/>
      <c r="Q95" s="240"/>
      <c r="R95" s="240"/>
      <c r="S95" s="240"/>
      <c r="T95" s="240"/>
      <c r="U95" s="243"/>
    </row>
    <row r="96" spans="1:21" ht="13.5" customHeight="1">
      <c r="A96" s="251"/>
      <c r="B96" s="307"/>
      <c r="C96" s="251"/>
      <c r="D96" s="103" t="s">
        <v>92</v>
      </c>
      <c r="E96" s="102">
        <f>F96+G96+H96+I96+J96+K96+L96</f>
        <v>0</v>
      </c>
      <c r="F96" s="104">
        <f>F66+F72+F78+F84+F90</f>
        <v>0</v>
      </c>
      <c r="G96" s="104">
        <f t="shared" si="16"/>
        <v>0</v>
      </c>
      <c r="H96" s="104">
        <f t="shared" si="16"/>
        <v>0</v>
      </c>
      <c r="I96" s="104">
        <f t="shared" si="15"/>
        <v>0</v>
      </c>
      <c r="J96" s="192">
        <f t="shared" si="15"/>
        <v>0</v>
      </c>
      <c r="K96" s="104">
        <f t="shared" si="15"/>
        <v>0</v>
      </c>
      <c r="L96" s="104">
        <f t="shared" si="15"/>
        <v>0</v>
      </c>
      <c r="M96" s="255"/>
      <c r="N96" s="241"/>
      <c r="O96" s="241"/>
      <c r="P96" s="241"/>
      <c r="Q96" s="241"/>
      <c r="R96" s="241"/>
      <c r="S96" s="241"/>
      <c r="T96" s="241"/>
      <c r="U96" s="244"/>
    </row>
    <row r="97" spans="1:21" ht="13.5" customHeight="1">
      <c r="A97" s="251"/>
      <c r="B97" s="305" t="s">
        <v>30</v>
      </c>
      <c r="C97" s="251"/>
      <c r="D97" s="101" t="s">
        <v>93</v>
      </c>
      <c r="E97" s="102">
        <f aca="true" t="shared" si="17" ref="E97:L97">E99+E100+E101+E102</f>
        <v>843586053.73</v>
      </c>
      <c r="F97" s="102">
        <f t="shared" si="17"/>
        <v>378697560.7</v>
      </c>
      <c r="G97" s="102">
        <f t="shared" si="17"/>
        <v>268862522.67</v>
      </c>
      <c r="H97" s="102">
        <f t="shared" si="17"/>
        <v>75942400.7</v>
      </c>
      <c r="I97" s="102">
        <f t="shared" si="17"/>
        <v>19417416.71</v>
      </c>
      <c r="J97" s="191">
        <f t="shared" si="17"/>
        <v>41356252.95</v>
      </c>
      <c r="K97" s="102">
        <f t="shared" si="17"/>
        <v>59309900</v>
      </c>
      <c r="L97" s="102">
        <f t="shared" si="17"/>
        <v>0</v>
      </c>
      <c r="M97" s="253"/>
      <c r="N97" s="239"/>
      <c r="O97" s="239"/>
      <c r="P97" s="239"/>
      <c r="Q97" s="239"/>
      <c r="R97" s="239"/>
      <c r="S97" s="239"/>
      <c r="T97" s="239"/>
      <c r="U97" s="242"/>
    </row>
    <row r="98" spans="1:21" ht="12.75" customHeight="1">
      <c r="A98" s="251"/>
      <c r="B98" s="306"/>
      <c r="C98" s="251"/>
      <c r="D98" s="256" t="s">
        <v>113</v>
      </c>
      <c r="E98" s="257"/>
      <c r="F98" s="257"/>
      <c r="G98" s="257"/>
      <c r="H98" s="257"/>
      <c r="I98" s="257"/>
      <c r="J98" s="257"/>
      <c r="K98" s="257"/>
      <c r="L98" s="258"/>
      <c r="M98" s="254"/>
      <c r="N98" s="240"/>
      <c r="O98" s="240"/>
      <c r="P98" s="240"/>
      <c r="Q98" s="240"/>
      <c r="R98" s="240"/>
      <c r="S98" s="240"/>
      <c r="T98" s="240"/>
      <c r="U98" s="243"/>
    </row>
    <row r="99" spans="1:21" ht="13.5" customHeight="1">
      <c r="A99" s="251"/>
      <c r="B99" s="306"/>
      <c r="C99" s="251"/>
      <c r="D99" s="103" t="s">
        <v>91</v>
      </c>
      <c r="E99" s="102">
        <f>F99+G99+H99+I99+J99+K99+L99</f>
        <v>505317555.82</v>
      </c>
      <c r="F99" s="104">
        <f aca="true" t="shared" si="18" ref="F99:L102">F56+F93</f>
        <v>224841076.51999998</v>
      </c>
      <c r="G99" s="104">
        <f t="shared" si="18"/>
        <v>179542022.67000002</v>
      </c>
      <c r="H99" s="104">
        <f t="shared" si="18"/>
        <v>60942400.7</v>
      </c>
      <c r="I99" s="104">
        <f t="shared" si="18"/>
        <v>18642902.98</v>
      </c>
      <c r="J99" s="192">
        <f>J56+J93</f>
        <v>10849152.95</v>
      </c>
      <c r="K99" s="104">
        <f t="shared" si="18"/>
        <v>10500000</v>
      </c>
      <c r="L99" s="104">
        <f t="shared" si="18"/>
        <v>0</v>
      </c>
      <c r="M99" s="254"/>
      <c r="N99" s="240"/>
      <c r="O99" s="240"/>
      <c r="P99" s="240"/>
      <c r="Q99" s="240"/>
      <c r="R99" s="240"/>
      <c r="S99" s="240"/>
      <c r="T99" s="240"/>
      <c r="U99" s="243"/>
    </row>
    <row r="100" spans="1:21" ht="13.5" customHeight="1">
      <c r="A100" s="251"/>
      <c r="B100" s="306"/>
      <c r="C100" s="251"/>
      <c r="D100" s="103" t="s">
        <v>89</v>
      </c>
      <c r="E100" s="102">
        <f>F100+G100+H100+I100+J100+K100+L100</f>
        <v>68366613.72999999</v>
      </c>
      <c r="F100" s="104">
        <f aca="true" t="shared" si="19" ref="F100:H102">F57+F94</f>
        <v>0</v>
      </c>
      <c r="G100" s="104">
        <f t="shared" si="19"/>
        <v>20606100</v>
      </c>
      <c r="H100" s="104">
        <f t="shared" si="19"/>
        <v>15000000</v>
      </c>
      <c r="I100" s="104">
        <f t="shared" si="18"/>
        <v>774513.73</v>
      </c>
      <c r="J100" s="192">
        <f t="shared" si="18"/>
        <v>6850700</v>
      </c>
      <c r="K100" s="104">
        <f t="shared" si="18"/>
        <v>25135300</v>
      </c>
      <c r="L100" s="104">
        <f t="shared" si="18"/>
        <v>0</v>
      </c>
      <c r="M100" s="254"/>
      <c r="N100" s="240"/>
      <c r="O100" s="240"/>
      <c r="P100" s="240"/>
      <c r="Q100" s="240"/>
      <c r="R100" s="240"/>
      <c r="S100" s="240"/>
      <c r="T100" s="240"/>
      <c r="U100" s="243"/>
    </row>
    <row r="101" spans="1:21" ht="13.5" customHeight="1">
      <c r="A101" s="251"/>
      <c r="B101" s="306"/>
      <c r="C101" s="251"/>
      <c r="D101" s="103" t="s">
        <v>90</v>
      </c>
      <c r="E101" s="102">
        <f>F101+G101+H101+I101+J101+K101+L101</f>
        <v>269901884.18</v>
      </c>
      <c r="F101" s="104">
        <f t="shared" si="19"/>
        <v>153856484.18</v>
      </c>
      <c r="G101" s="104">
        <f t="shared" si="19"/>
        <v>68714400</v>
      </c>
      <c r="H101" s="104">
        <f t="shared" si="19"/>
        <v>0</v>
      </c>
      <c r="I101" s="104">
        <f t="shared" si="18"/>
        <v>0</v>
      </c>
      <c r="J101" s="192">
        <f t="shared" si="18"/>
        <v>23656400</v>
      </c>
      <c r="K101" s="104">
        <f t="shared" si="18"/>
        <v>23674600</v>
      </c>
      <c r="L101" s="104">
        <f t="shared" si="18"/>
        <v>0</v>
      </c>
      <c r="M101" s="254"/>
      <c r="N101" s="240"/>
      <c r="O101" s="240"/>
      <c r="P101" s="240"/>
      <c r="Q101" s="240"/>
      <c r="R101" s="240"/>
      <c r="S101" s="240"/>
      <c r="T101" s="240"/>
      <c r="U101" s="243"/>
    </row>
    <row r="102" spans="1:21" ht="13.5" customHeight="1">
      <c r="A102" s="251"/>
      <c r="B102" s="307"/>
      <c r="C102" s="251"/>
      <c r="D102" s="103" t="s">
        <v>92</v>
      </c>
      <c r="E102" s="102">
        <f>F102+G102+H102+I102+J102+K102+L102</f>
        <v>0</v>
      </c>
      <c r="F102" s="104">
        <f t="shared" si="19"/>
        <v>0</v>
      </c>
      <c r="G102" s="104">
        <f t="shared" si="19"/>
        <v>0</v>
      </c>
      <c r="H102" s="104">
        <f t="shared" si="19"/>
        <v>0</v>
      </c>
      <c r="I102" s="104">
        <f t="shared" si="18"/>
        <v>0</v>
      </c>
      <c r="J102" s="192">
        <f t="shared" si="18"/>
        <v>0</v>
      </c>
      <c r="K102" s="104">
        <f t="shared" si="18"/>
        <v>0</v>
      </c>
      <c r="L102" s="104">
        <f t="shared" si="18"/>
        <v>0</v>
      </c>
      <c r="M102" s="255"/>
      <c r="N102" s="241"/>
      <c r="O102" s="241"/>
      <c r="P102" s="241"/>
      <c r="Q102" s="241"/>
      <c r="R102" s="241"/>
      <c r="S102" s="241"/>
      <c r="T102" s="241"/>
      <c r="U102" s="244"/>
    </row>
    <row r="105" ht="12.75">
      <c r="G105" s="25"/>
    </row>
    <row r="106" ht="12.75">
      <c r="G106" s="25"/>
    </row>
    <row r="107" ht="12.75">
      <c r="G107" s="25"/>
    </row>
    <row r="108" ht="12.75">
      <c r="G108" s="25"/>
    </row>
    <row r="109" ht="12.75">
      <c r="G109" s="25"/>
    </row>
    <row r="110" ht="12.75">
      <c r="G110" s="25"/>
    </row>
  </sheetData>
  <sheetProtection/>
  <mergeCells count="218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60:U60"/>
    <mergeCell ref="A61:A66"/>
    <mergeCell ref="B61:B66"/>
    <mergeCell ref="C61:C66"/>
    <mergeCell ref="M61:M66"/>
    <mergeCell ref="N61:N66"/>
    <mergeCell ref="O61:O66"/>
    <mergeCell ref="P61:P66"/>
    <mergeCell ref="R61:R66"/>
    <mergeCell ref="S61:S66"/>
    <mergeCell ref="D62:L62"/>
    <mergeCell ref="A67:A72"/>
    <mergeCell ref="B67:B72"/>
    <mergeCell ref="C67:C72"/>
    <mergeCell ref="M67:M72"/>
    <mergeCell ref="N67:N72"/>
    <mergeCell ref="D68:L68"/>
    <mergeCell ref="O67:O72"/>
    <mergeCell ref="P67:P72"/>
    <mergeCell ref="Q67:Q72"/>
    <mergeCell ref="R67:R72"/>
    <mergeCell ref="Q61:Q66"/>
    <mergeCell ref="U67:U72"/>
    <mergeCell ref="U61:U66"/>
    <mergeCell ref="S67:S72"/>
    <mergeCell ref="T67:T72"/>
    <mergeCell ref="T61:T66"/>
    <mergeCell ref="A73:A78"/>
    <mergeCell ref="B73:B78"/>
    <mergeCell ref="C73:C78"/>
    <mergeCell ref="M73:M78"/>
    <mergeCell ref="N73:N78"/>
    <mergeCell ref="D74:L74"/>
    <mergeCell ref="O73:O78"/>
    <mergeCell ref="P73:P78"/>
    <mergeCell ref="Q73:Q78"/>
    <mergeCell ref="T79:T84"/>
    <mergeCell ref="R73:R78"/>
    <mergeCell ref="S73:S78"/>
    <mergeCell ref="O79:O84"/>
    <mergeCell ref="T73:T78"/>
    <mergeCell ref="P79:P84"/>
    <mergeCell ref="A79:A84"/>
    <mergeCell ref="B79:B84"/>
    <mergeCell ref="C79:C84"/>
    <mergeCell ref="M79:M84"/>
    <mergeCell ref="N79:N84"/>
    <mergeCell ref="D80:L80"/>
    <mergeCell ref="A85:A90"/>
    <mergeCell ref="B85:B90"/>
    <mergeCell ref="C85:C90"/>
    <mergeCell ref="M85:M90"/>
    <mergeCell ref="N85:N90"/>
    <mergeCell ref="O85:O90"/>
    <mergeCell ref="U97:U102"/>
    <mergeCell ref="U85:U90"/>
    <mergeCell ref="O97:O102"/>
    <mergeCell ref="P97:P102"/>
    <mergeCell ref="Q97:Q102"/>
    <mergeCell ref="R97:R102"/>
    <mergeCell ref="S97:S102"/>
    <mergeCell ref="P85:P90"/>
    <mergeCell ref="R85:R90"/>
    <mergeCell ref="T85:T90"/>
    <mergeCell ref="B97:B102"/>
    <mergeCell ref="C97:C102"/>
    <mergeCell ref="M97:M102"/>
    <mergeCell ref="T91:T96"/>
    <mergeCell ref="Q85:Q90"/>
    <mergeCell ref="T97:T102"/>
    <mergeCell ref="N97:N102"/>
    <mergeCell ref="D86:L86"/>
    <mergeCell ref="S85:S90"/>
    <mergeCell ref="B27:B32"/>
    <mergeCell ref="R91:R96"/>
    <mergeCell ref="S91:S96"/>
    <mergeCell ref="D98:L98"/>
    <mergeCell ref="A91:A96"/>
    <mergeCell ref="B91:B96"/>
    <mergeCell ref="C91:C96"/>
    <mergeCell ref="M91:M96"/>
    <mergeCell ref="N91:N96"/>
    <mergeCell ref="A97:A102"/>
    <mergeCell ref="A27:A32"/>
    <mergeCell ref="O91:O96"/>
    <mergeCell ref="P91:P96"/>
    <mergeCell ref="Q91:Q96"/>
    <mergeCell ref="D92:L92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91:U96"/>
    <mergeCell ref="U79:U84"/>
    <mergeCell ref="Q79:Q84"/>
    <mergeCell ref="R79:R84"/>
    <mergeCell ref="S79:S84"/>
    <mergeCell ref="U73:U7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54:P59"/>
    <mergeCell ref="U39:U44"/>
    <mergeCell ref="A39:A44"/>
    <mergeCell ref="B39:B44"/>
    <mergeCell ref="C39:C44"/>
    <mergeCell ref="M39:M44"/>
    <mergeCell ref="N39:N44"/>
    <mergeCell ref="A54:A59"/>
    <mergeCell ref="B54:B59"/>
    <mergeCell ref="C54:C59"/>
    <mergeCell ref="M54:M59"/>
    <mergeCell ref="N54:N59"/>
    <mergeCell ref="O54:O59"/>
    <mergeCell ref="D55:L55"/>
    <mergeCell ref="R54:R59"/>
    <mergeCell ref="S54:S59"/>
    <mergeCell ref="Q54:Q59"/>
    <mergeCell ref="T54:T59"/>
    <mergeCell ref="U54:U59"/>
    <mergeCell ref="Q24:Q26"/>
    <mergeCell ref="R24:R26"/>
    <mergeCell ref="S24:S26"/>
    <mergeCell ref="T39:T44"/>
    <mergeCell ref="R39:R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Q49:Q53"/>
    <mergeCell ref="R49:R53"/>
    <mergeCell ref="D28:L28"/>
    <mergeCell ref="C27:C32"/>
    <mergeCell ref="T24:T26"/>
    <mergeCell ref="C21:C26"/>
    <mergeCell ref="D22:L22"/>
    <mergeCell ref="P24:P26"/>
    <mergeCell ref="R21:R23"/>
    <mergeCell ref="S39:S44"/>
    <mergeCell ref="S49:S53"/>
    <mergeCell ref="T49:T53"/>
    <mergeCell ref="U49:U53"/>
    <mergeCell ref="A49:A53"/>
    <mergeCell ref="B49:B53"/>
    <mergeCell ref="C49:C53"/>
    <mergeCell ref="M49:M53"/>
    <mergeCell ref="N49:N53"/>
    <mergeCell ref="O49:O53"/>
    <mergeCell ref="P49:P5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8"/>
  <sheetViews>
    <sheetView zoomScale="80" zoomScaleNormal="80"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28" bestFit="1" customWidth="1"/>
    <col min="2" max="2" width="20.00390625" style="128" customWidth="1"/>
    <col min="3" max="9" width="17.28125" style="128" customWidth="1"/>
    <col min="10" max="16384" width="9.140625" style="128" customWidth="1"/>
  </cols>
  <sheetData>
    <row r="1" spans="7:10" s="91" customFormat="1" ht="79.5" customHeight="1">
      <c r="G1" s="204" t="s">
        <v>276</v>
      </c>
      <c r="H1" s="205"/>
      <c r="I1" s="205"/>
      <c r="J1" s="127"/>
    </row>
    <row r="2" spans="5:10" ht="39" customHeight="1">
      <c r="E2" s="129"/>
      <c r="F2" s="130"/>
      <c r="G2" s="130"/>
      <c r="I2" s="130" t="s">
        <v>120</v>
      </c>
      <c r="J2" s="105"/>
    </row>
    <row r="3" ht="15.75">
      <c r="F3" s="130"/>
    </row>
    <row r="4" spans="1:9" ht="36.75" customHeight="1">
      <c r="A4" s="218" t="s">
        <v>57</v>
      </c>
      <c r="B4" s="218"/>
      <c r="C4" s="218"/>
      <c r="D4" s="218"/>
      <c r="E4" s="218"/>
      <c r="F4" s="218"/>
      <c r="G4" s="218"/>
      <c r="H4" s="218"/>
      <c r="I4" s="218"/>
    </row>
    <row r="5" spans="1:9" ht="30" customHeight="1">
      <c r="A5" s="219" t="s">
        <v>99</v>
      </c>
      <c r="B5" s="221" t="s">
        <v>100</v>
      </c>
      <c r="C5" s="223" t="s">
        <v>101</v>
      </c>
      <c r="D5" s="223"/>
      <c r="E5" s="223"/>
      <c r="F5" s="223"/>
      <c r="G5" s="223"/>
      <c r="H5" s="223"/>
      <c r="I5" s="223"/>
    </row>
    <row r="6" spans="1:9" ht="16.5" customHeight="1">
      <c r="A6" s="220"/>
      <c r="B6" s="222"/>
      <c r="C6" s="131">
        <v>2014</v>
      </c>
      <c r="D6" s="131">
        <v>2015</v>
      </c>
      <c r="E6" s="131">
        <v>2016</v>
      </c>
      <c r="F6" s="131">
        <v>2017</v>
      </c>
      <c r="G6" s="131">
        <v>2018</v>
      </c>
      <c r="H6" s="131">
        <v>2019</v>
      </c>
      <c r="I6" s="52">
        <v>2020</v>
      </c>
    </row>
    <row r="7" spans="1:9" ht="16.5" customHeight="1">
      <c r="A7" s="145" t="s">
        <v>59</v>
      </c>
      <c r="B7" s="145" t="s">
        <v>60</v>
      </c>
      <c r="C7" s="145" t="s">
        <v>61</v>
      </c>
      <c r="D7" s="145" t="s">
        <v>62</v>
      </c>
      <c r="E7" s="145" t="s">
        <v>63</v>
      </c>
      <c r="F7" s="145" t="s">
        <v>64</v>
      </c>
      <c r="G7" s="145" t="s">
        <v>65</v>
      </c>
      <c r="H7" s="145" t="s">
        <v>66</v>
      </c>
      <c r="I7" s="145" t="s">
        <v>67</v>
      </c>
    </row>
    <row r="8" spans="1:9" ht="19.5" customHeight="1">
      <c r="A8" s="134" t="s">
        <v>58</v>
      </c>
      <c r="B8" s="135">
        <f>B10+B11+B12+B13</f>
        <v>4342189161.88</v>
      </c>
      <c r="C8" s="135">
        <f>C10+C11+C12+C13</f>
        <v>529444436.56</v>
      </c>
      <c r="D8" s="135">
        <f aca="true" t="shared" si="0" ref="D8:I8">D10+D11+D12+D13</f>
        <v>534443846.3399999</v>
      </c>
      <c r="E8" s="135">
        <f t="shared" si="0"/>
        <v>581563893.9100001</v>
      </c>
      <c r="F8" s="135">
        <f t="shared" si="0"/>
        <v>627368555.7599999</v>
      </c>
      <c r="G8" s="135">
        <f t="shared" si="0"/>
        <v>700273867.44</v>
      </c>
      <c r="H8" s="135">
        <f t="shared" si="0"/>
        <v>672622096.1700001</v>
      </c>
      <c r="I8" s="135">
        <f t="shared" si="0"/>
        <v>696472465.7</v>
      </c>
    </row>
    <row r="9" spans="1:9" ht="16.5" customHeight="1">
      <c r="A9" s="212" t="s">
        <v>102</v>
      </c>
      <c r="B9" s="213"/>
      <c r="C9" s="213"/>
      <c r="D9" s="213"/>
      <c r="E9" s="213"/>
      <c r="F9" s="213"/>
      <c r="G9" s="213"/>
      <c r="H9" s="213"/>
      <c r="I9" s="214"/>
    </row>
    <row r="10" spans="1:9" ht="16.5" customHeight="1">
      <c r="A10" s="136" t="s">
        <v>103</v>
      </c>
      <c r="B10" s="135">
        <f>B17</f>
        <v>1422808115.4</v>
      </c>
      <c r="C10" s="154">
        <f aca="true" t="shared" si="1" ref="C10:I10">C17</f>
        <v>188197260.56</v>
      </c>
      <c r="D10" s="154">
        <f t="shared" si="1"/>
        <v>183358996.29999998</v>
      </c>
      <c r="E10" s="154">
        <f t="shared" si="1"/>
        <v>200063567.48000002</v>
      </c>
      <c r="F10" s="154">
        <f t="shared" si="1"/>
        <v>214739723.39</v>
      </c>
      <c r="G10" s="154">
        <f t="shared" si="1"/>
        <v>230854438.92</v>
      </c>
      <c r="H10" s="154">
        <f t="shared" si="1"/>
        <v>200261749.07000002</v>
      </c>
      <c r="I10" s="154">
        <f t="shared" si="1"/>
        <v>205332379.67999998</v>
      </c>
    </row>
    <row r="11" spans="1:9" ht="16.5" customHeight="1">
      <c r="A11" s="136" t="s">
        <v>20</v>
      </c>
      <c r="B11" s="135">
        <f aca="true" t="shared" si="2" ref="B11:I11">B18</f>
        <v>2515742531.77</v>
      </c>
      <c r="C11" s="154">
        <f t="shared" si="2"/>
        <v>296853576</v>
      </c>
      <c r="D11" s="154">
        <f t="shared" si="2"/>
        <v>303770524.76</v>
      </c>
      <c r="E11" s="154">
        <f t="shared" si="2"/>
        <v>323224934.43</v>
      </c>
      <c r="F11" s="154">
        <f t="shared" si="2"/>
        <v>351170309.21</v>
      </c>
      <c r="G11" s="154">
        <f t="shared" si="2"/>
        <v>405353870.43000007</v>
      </c>
      <c r="H11" s="154">
        <f t="shared" si="2"/>
        <v>408294789.01</v>
      </c>
      <c r="I11" s="154">
        <f t="shared" si="2"/>
        <v>427074527.93</v>
      </c>
    </row>
    <row r="12" spans="1:9" ht="16.5" customHeight="1">
      <c r="A12" s="136" t="s">
        <v>21</v>
      </c>
      <c r="B12" s="135">
        <f aca="true" t="shared" si="3" ref="B12:I12">B19</f>
        <v>0</v>
      </c>
      <c r="C12" s="154">
        <f t="shared" si="3"/>
        <v>0</v>
      </c>
      <c r="D12" s="154">
        <f t="shared" si="3"/>
        <v>0</v>
      </c>
      <c r="E12" s="154">
        <f t="shared" si="3"/>
        <v>0</v>
      </c>
      <c r="F12" s="154">
        <f t="shared" si="3"/>
        <v>0</v>
      </c>
      <c r="G12" s="154">
        <f t="shared" si="3"/>
        <v>0</v>
      </c>
      <c r="H12" s="154">
        <f t="shared" si="3"/>
        <v>0</v>
      </c>
      <c r="I12" s="154">
        <f t="shared" si="3"/>
        <v>0</v>
      </c>
    </row>
    <row r="13" spans="1:9" ht="16.5" customHeight="1">
      <c r="A13" s="136" t="s">
        <v>106</v>
      </c>
      <c r="B13" s="135">
        <f aca="true" t="shared" si="4" ref="B13:I13">B20</f>
        <v>403638514.71000004</v>
      </c>
      <c r="C13" s="154">
        <f t="shared" si="4"/>
        <v>44393600</v>
      </c>
      <c r="D13" s="154">
        <f t="shared" si="4"/>
        <v>47314325.28</v>
      </c>
      <c r="E13" s="154">
        <f t="shared" si="4"/>
        <v>58275392</v>
      </c>
      <c r="F13" s="154">
        <f t="shared" si="4"/>
        <v>61458523.160000004</v>
      </c>
      <c r="G13" s="154">
        <f t="shared" si="4"/>
        <v>64065558.09</v>
      </c>
      <c r="H13" s="154">
        <f t="shared" si="4"/>
        <v>64065558.09</v>
      </c>
      <c r="I13" s="154">
        <f t="shared" si="4"/>
        <v>64065558.09</v>
      </c>
    </row>
    <row r="14" spans="1:9" ht="16.5" customHeight="1">
      <c r="A14" s="215" t="s">
        <v>107</v>
      </c>
      <c r="B14" s="216"/>
      <c r="C14" s="216"/>
      <c r="D14" s="216"/>
      <c r="E14" s="216"/>
      <c r="F14" s="216"/>
      <c r="G14" s="216"/>
      <c r="H14" s="216"/>
      <c r="I14" s="217"/>
    </row>
    <row r="15" spans="1:9" ht="46.5" customHeight="1">
      <c r="A15" s="138" t="s">
        <v>114</v>
      </c>
      <c r="B15" s="135">
        <f>B17+B18+B19+B20</f>
        <v>4342189161.88</v>
      </c>
      <c r="C15" s="135">
        <f>C17+C18+C19+C20</f>
        <v>529444436.56</v>
      </c>
      <c r="D15" s="135">
        <f>D17+D18+D20</f>
        <v>534443846.3399999</v>
      </c>
      <c r="E15" s="135">
        <f>E17+E18+E19+E20</f>
        <v>581563893.9100001</v>
      </c>
      <c r="F15" s="135">
        <f>F17+F18+F19+F20</f>
        <v>627368555.7599999</v>
      </c>
      <c r="G15" s="135">
        <f>G17+G18+G19+G20</f>
        <v>700273867.44</v>
      </c>
      <c r="H15" s="135">
        <f>H17+H18+H19+H20</f>
        <v>672622096.1700001</v>
      </c>
      <c r="I15" s="135">
        <f>I17+I18+I19+I20</f>
        <v>696472465.7</v>
      </c>
    </row>
    <row r="16" spans="1:9" ht="16.5" customHeight="1">
      <c r="A16" s="212" t="s">
        <v>102</v>
      </c>
      <c r="B16" s="213"/>
      <c r="C16" s="213"/>
      <c r="D16" s="213"/>
      <c r="E16" s="213"/>
      <c r="F16" s="213"/>
      <c r="G16" s="213"/>
      <c r="H16" s="213"/>
      <c r="I16" s="214"/>
    </row>
    <row r="17" spans="1:9" ht="16.5" customHeight="1">
      <c r="A17" s="136" t="s">
        <v>103</v>
      </c>
      <c r="B17" s="135">
        <f>SUM(C17:I17)</f>
        <v>1422808115.4</v>
      </c>
      <c r="C17" s="155">
        <f>'таб 3(1)'!F53</f>
        <v>188197260.56</v>
      </c>
      <c r="D17" s="137">
        <f>+'таб 3(1)'!G53</f>
        <v>183358996.29999998</v>
      </c>
      <c r="E17" s="137">
        <f>+'таб 3(1)'!H53</f>
        <v>200063567.48000002</v>
      </c>
      <c r="F17" s="137">
        <f>+'таб 3(1)'!I53</f>
        <v>214739723.39</v>
      </c>
      <c r="G17" s="137">
        <f>+'таб 3(1)'!J53</f>
        <v>230854438.92</v>
      </c>
      <c r="H17" s="137">
        <f>+'таб 3(1)'!K53</f>
        <v>200261749.07000002</v>
      </c>
      <c r="I17" s="137">
        <f>+'таб 3(1)'!L53</f>
        <v>205332379.67999998</v>
      </c>
    </row>
    <row r="18" spans="1:9" ht="16.5" customHeight="1">
      <c r="A18" s="136" t="s">
        <v>20</v>
      </c>
      <c r="B18" s="135">
        <f>SUM(C18:I18)</f>
        <v>2515742531.77</v>
      </c>
      <c r="C18" s="156">
        <f>'таб 3(1)'!F54</f>
        <v>296853576</v>
      </c>
      <c r="D18" s="137">
        <f>+'таб 3(1)'!G54</f>
        <v>303770524.76</v>
      </c>
      <c r="E18" s="137">
        <f>+'таб 3(1)'!H54</f>
        <v>323224934.43</v>
      </c>
      <c r="F18" s="137">
        <f>+'таб 3(1)'!I54</f>
        <v>351170309.21</v>
      </c>
      <c r="G18" s="137">
        <f>+'таб 3(1)'!J54</f>
        <v>405353870.43000007</v>
      </c>
      <c r="H18" s="137">
        <f>+'таб 3(1)'!K54</f>
        <v>408294789.01</v>
      </c>
      <c r="I18" s="137">
        <f>+'таб 3(1)'!L54</f>
        <v>427074527.93</v>
      </c>
    </row>
    <row r="19" spans="1:9" ht="16.5" customHeight="1">
      <c r="A19" s="136" t="s">
        <v>21</v>
      </c>
      <c r="B19" s="135">
        <f>SUM(C19:I19)</f>
        <v>0</v>
      </c>
      <c r="C19" s="137">
        <f>'таб 3(1)'!F55</f>
        <v>0</v>
      </c>
      <c r="D19" s="137">
        <f>'таб 3(1)'!G55</f>
        <v>0</v>
      </c>
      <c r="E19" s="137">
        <f>'таб 3(1)'!H55</f>
        <v>0</v>
      </c>
      <c r="F19" s="137">
        <f>'таб 3(1)'!I55</f>
        <v>0</v>
      </c>
      <c r="G19" s="137">
        <f>'таб 3(1)'!J55</f>
        <v>0</v>
      </c>
      <c r="H19" s="137">
        <f>'таб 3(1)'!K55</f>
        <v>0</v>
      </c>
      <c r="I19" s="137">
        <f>'таб 3(1)'!L55</f>
        <v>0</v>
      </c>
    </row>
    <row r="20" spans="1:9" ht="16.5" customHeight="1">
      <c r="A20" s="136" t="s">
        <v>106</v>
      </c>
      <c r="B20" s="135">
        <f>SUM(C20:I20)</f>
        <v>403638514.71000004</v>
      </c>
      <c r="C20" s="156">
        <f>'таб 3(1)'!F56</f>
        <v>44393600</v>
      </c>
      <c r="D20" s="137">
        <f>'таб 3(1)'!G56</f>
        <v>47314325.28</v>
      </c>
      <c r="E20" s="137">
        <f>'таб 3(1)'!H56</f>
        <v>58275392</v>
      </c>
      <c r="F20" s="137">
        <f>'таб 3(1)'!I56</f>
        <v>61458523.160000004</v>
      </c>
      <c r="G20" s="137">
        <f>'таб 3(1)'!J56</f>
        <v>64065558.09</v>
      </c>
      <c r="H20" s="137">
        <f>'таб 3(1)'!K56</f>
        <v>64065558.09</v>
      </c>
      <c r="I20" s="137">
        <f>'таб 3(1)'!L56</f>
        <v>64065558.09</v>
      </c>
    </row>
    <row r="21" spans="1:9" ht="31.5">
      <c r="A21" s="16" t="s">
        <v>108</v>
      </c>
      <c r="B21" s="135">
        <f>SUM(C21:I21)</f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</row>
    <row r="22" spans="1:9" ht="15.75">
      <c r="A22" s="17"/>
      <c r="B22" s="129"/>
      <c r="C22" s="157"/>
      <c r="D22" s="157"/>
      <c r="E22" s="157"/>
      <c r="F22" s="157"/>
      <c r="G22" s="157"/>
      <c r="H22" s="157"/>
      <c r="I22" s="157"/>
    </row>
    <row r="24" spans="2:9" ht="15.75">
      <c r="B24" s="171"/>
      <c r="G24" s="171"/>
      <c r="H24" s="171"/>
      <c r="I24" s="171"/>
    </row>
    <row r="25" spans="2:9" ht="15.75">
      <c r="B25" s="171"/>
      <c r="C25" s="171"/>
      <c r="D25" s="171"/>
      <c r="E25" s="171"/>
      <c r="F25" s="171"/>
      <c r="G25" s="176"/>
      <c r="H25" s="171"/>
      <c r="I25" s="171"/>
    </row>
    <row r="27" spans="2:7" ht="15.75">
      <c r="B27" s="173"/>
      <c r="G27" s="172"/>
    </row>
    <row r="28" spans="2:9" ht="15.75">
      <c r="B28" s="173"/>
      <c r="G28" s="173"/>
      <c r="H28" s="173"/>
      <c r="I28" s="173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J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7.140625" style="18" bestFit="1" customWidth="1"/>
    <col min="6" max="6" width="16.00390625" style="18" customWidth="1"/>
    <col min="7" max="7" width="15.57421875" style="18" bestFit="1" customWidth="1"/>
    <col min="8" max="8" width="15.28125" style="18" customWidth="1"/>
    <col min="9" max="12" width="15.57421875" style="18" bestFit="1" customWidth="1"/>
    <col min="13" max="13" width="28.140625" style="18" customWidth="1"/>
    <col min="14" max="14" width="7.421875" style="18" customWidth="1"/>
    <col min="15" max="20" width="7.421875" style="18" bestFit="1" customWidth="1"/>
    <col min="21" max="21" width="17.00390625" style="18" customWidth="1"/>
    <col min="22" max="16384" width="9.140625" style="18" customWidth="1"/>
  </cols>
  <sheetData>
    <row r="1" spans="7:21" s="91" customFormat="1" ht="79.5" customHeight="1">
      <c r="G1" s="150"/>
      <c r="H1" s="112"/>
      <c r="I1" s="18"/>
      <c r="J1" s="177"/>
      <c r="Q1" s="204" t="s">
        <v>277</v>
      </c>
      <c r="R1" s="205"/>
      <c r="S1" s="205"/>
      <c r="T1" s="205"/>
      <c r="U1" s="205"/>
    </row>
    <row r="2" spans="20:21" ht="12.75">
      <c r="T2" s="99"/>
      <c r="U2" s="99" t="s">
        <v>115</v>
      </c>
    </row>
    <row r="3" spans="1:21" ht="15.75">
      <c r="A3" s="247" t="s">
        <v>68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31.5" customHeight="1">
      <c r="A4" s="211" t="s">
        <v>97</v>
      </c>
      <c r="B4" s="211" t="s">
        <v>109</v>
      </c>
      <c r="C4" s="211" t="s">
        <v>110</v>
      </c>
      <c r="D4" s="211" t="s">
        <v>99</v>
      </c>
      <c r="E4" s="211" t="s">
        <v>111</v>
      </c>
      <c r="F4" s="211"/>
      <c r="G4" s="211"/>
      <c r="H4" s="211"/>
      <c r="I4" s="211"/>
      <c r="J4" s="211"/>
      <c r="K4" s="211"/>
      <c r="L4" s="211"/>
      <c r="M4" s="211" t="s">
        <v>32</v>
      </c>
      <c r="N4" s="211"/>
      <c r="O4" s="211"/>
      <c r="P4" s="211"/>
      <c r="Q4" s="211"/>
      <c r="R4" s="211"/>
      <c r="S4" s="211"/>
      <c r="T4" s="211"/>
      <c r="U4" s="265" t="s">
        <v>112</v>
      </c>
    </row>
    <row r="5" spans="1:21" ht="24.75" customHeight="1">
      <c r="A5" s="211"/>
      <c r="B5" s="211"/>
      <c r="C5" s="211"/>
      <c r="D5" s="211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6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7" t="s">
        <v>116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2.75">
      <c r="A8" s="27">
        <v>1</v>
      </c>
      <c r="B8" s="267" t="s">
        <v>117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8" customHeight="1">
      <c r="A9" s="245" t="s">
        <v>121</v>
      </c>
      <c r="B9" s="259" t="s">
        <v>259</v>
      </c>
      <c r="C9" s="230" t="s">
        <v>78</v>
      </c>
      <c r="D9" s="21" t="s">
        <v>93</v>
      </c>
      <c r="E9" s="22">
        <f>E11+E12+E13+E14</f>
        <v>2395528913.93</v>
      </c>
      <c r="F9" s="22">
        <f aca="true" t="shared" si="0" ref="F9:L9">F11+F12+F13+F14</f>
        <v>287085070</v>
      </c>
      <c r="G9" s="22">
        <f t="shared" si="0"/>
        <v>289512389</v>
      </c>
      <c r="H9" s="22">
        <f t="shared" si="0"/>
        <v>309857326.13</v>
      </c>
      <c r="I9" s="22">
        <f t="shared" si="0"/>
        <v>334968711.59999996</v>
      </c>
      <c r="J9" s="22">
        <f>J11+J12+J13+J14</f>
        <v>373421729.00000006</v>
      </c>
      <c r="K9" s="22">
        <f t="shared" si="0"/>
        <v>390951823</v>
      </c>
      <c r="L9" s="22">
        <f t="shared" si="0"/>
        <v>409731865.2</v>
      </c>
      <c r="M9" s="260" t="s">
        <v>189</v>
      </c>
      <c r="N9" s="224">
        <v>99.6</v>
      </c>
      <c r="O9" s="224">
        <v>95.7</v>
      </c>
      <c r="P9" s="224">
        <v>97.5</v>
      </c>
      <c r="Q9" s="224">
        <v>100</v>
      </c>
      <c r="R9" s="224">
        <v>100</v>
      </c>
      <c r="S9" s="224">
        <v>100</v>
      </c>
      <c r="T9" s="224">
        <v>100</v>
      </c>
      <c r="U9" s="236" t="s">
        <v>263</v>
      </c>
    </row>
    <row r="10" spans="1:21" ht="24.75" customHeight="1">
      <c r="A10" s="245"/>
      <c r="B10" s="259"/>
      <c r="C10" s="231"/>
      <c r="D10" s="248" t="s">
        <v>113</v>
      </c>
      <c r="E10" s="249"/>
      <c r="F10" s="249"/>
      <c r="G10" s="249"/>
      <c r="H10" s="249"/>
      <c r="I10" s="249"/>
      <c r="J10" s="249"/>
      <c r="K10" s="249"/>
      <c r="L10" s="250"/>
      <c r="M10" s="261"/>
      <c r="N10" s="225"/>
      <c r="O10" s="225"/>
      <c r="P10" s="225"/>
      <c r="Q10" s="225"/>
      <c r="R10" s="225"/>
      <c r="S10" s="225"/>
      <c r="T10" s="225"/>
      <c r="U10" s="237"/>
    </row>
    <row r="11" spans="1:21" ht="18" customHeight="1">
      <c r="A11" s="245"/>
      <c r="B11" s="259"/>
      <c r="C11" s="231"/>
      <c r="D11" s="21" t="s">
        <v>91</v>
      </c>
      <c r="E11" s="22">
        <f>F11+G11+H11+I11+J11+K11+L11</f>
        <v>4256339.9399999995</v>
      </c>
      <c r="F11" s="22">
        <v>3970110</v>
      </c>
      <c r="G11" s="22"/>
      <c r="H11" s="22">
        <f>82156+30701.13</f>
        <v>112857.13</v>
      </c>
      <c r="I11" s="22">
        <f>25732.57+4968.56-15350.61+7919.49</f>
        <v>23270.010000000002</v>
      </c>
      <c r="J11" s="22">
        <f>96095.26-27963.72</f>
        <v>68131.54</v>
      </c>
      <c r="K11" s="169">
        <f>57593.78-16759.79</f>
        <v>40833.99</v>
      </c>
      <c r="L11" s="170">
        <f>7068.26+50953.28-16884.27</f>
        <v>41137.270000000004</v>
      </c>
      <c r="M11" s="261"/>
      <c r="N11" s="225"/>
      <c r="O11" s="225"/>
      <c r="P11" s="225"/>
      <c r="Q11" s="225"/>
      <c r="R11" s="225"/>
      <c r="S11" s="225"/>
      <c r="T11" s="225"/>
      <c r="U11" s="237"/>
    </row>
    <row r="12" spans="1:21" ht="18" customHeight="1">
      <c r="A12" s="245"/>
      <c r="B12" s="259"/>
      <c r="C12" s="231"/>
      <c r="D12" s="21" t="s">
        <v>89</v>
      </c>
      <c r="E12" s="22">
        <f>F12+G12+H12+I12+J12+K12+L12</f>
        <v>2391272573.99</v>
      </c>
      <c r="F12" s="22">
        <f>279467500+2997400+650060</f>
        <v>283114960</v>
      </c>
      <c r="G12" s="22">
        <f>924600+573289+288014500</f>
        <v>289512389</v>
      </c>
      <c r="H12" s="22">
        <f>306311700+1150930+553739+1728100</f>
        <v>309744469</v>
      </c>
      <c r="I12" s="22">
        <f>335745600+488918.78-285202.78+144011.59-9461600+8313714</f>
        <v>334945441.59</v>
      </c>
      <c r="J12" s="22">
        <f>348525800+234128.99+7442700-68131.53+17219100</f>
        <v>373353597.46000004</v>
      </c>
      <c r="K12" s="22">
        <f>365140600+140323+7760400-40833.99+17910500</f>
        <v>390910989.01</v>
      </c>
      <c r="L12" s="22">
        <f>382867000+141365.2+8095600-41137.27+18627900</f>
        <v>409690727.93</v>
      </c>
      <c r="M12" s="261"/>
      <c r="N12" s="225"/>
      <c r="O12" s="225"/>
      <c r="P12" s="225"/>
      <c r="Q12" s="225"/>
      <c r="R12" s="225"/>
      <c r="S12" s="225"/>
      <c r="T12" s="225"/>
      <c r="U12" s="237"/>
    </row>
    <row r="13" spans="1:21" ht="22.5" customHeight="1">
      <c r="A13" s="245"/>
      <c r="B13" s="259"/>
      <c r="C13" s="231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61"/>
      <c r="N13" s="225"/>
      <c r="O13" s="225"/>
      <c r="P13" s="225"/>
      <c r="Q13" s="225"/>
      <c r="R13" s="225"/>
      <c r="S13" s="225"/>
      <c r="T13" s="225"/>
      <c r="U13" s="237"/>
    </row>
    <row r="14" spans="1:21" ht="23.25" customHeight="1">
      <c r="A14" s="245"/>
      <c r="B14" s="259"/>
      <c r="C14" s="232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262"/>
      <c r="N14" s="226"/>
      <c r="O14" s="226"/>
      <c r="P14" s="226"/>
      <c r="Q14" s="226"/>
      <c r="R14" s="226"/>
      <c r="S14" s="226"/>
      <c r="T14" s="226"/>
      <c r="U14" s="238"/>
    </row>
    <row r="15" spans="1:21" ht="18.75" customHeight="1">
      <c r="A15" s="245" t="s">
        <v>122</v>
      </c>
      <c r="B15" s="259" t="s">
        <v>260</v>
      </c>
      <c r="C15" s="230" t="s">
        <v>78</v>
      </c>
      <c r="D15" s="21" t="s">
        <v>93</v>
      </c>
      <c r="E15" s="22">
        <f>E17+E18+E19+E20</f>
        <v>1732319525.55</v>
      </c>
      <c r="F15" s="22">
        <f aca="true" t="shared" si="1" ref="F15:L15">F17+F18+F19+F20</f>
        <v>209551061.53</v>
      </c>
      <c r="G15" s="22">
        <f t="shared" si="1"/>
        <v>203813083.76</v>
      </c>
      <c r="H15" s="22">
        <f t="shared" si="1"/>
        <v>247178201.23000002</v>
      </c>
      <c r="I15" s="22">
        <f t="shared" si="1"/>
        <v>267013631.6</v>
      </c>
      <c r="J15" s="22">
        <f t="shared" si="1"/>
        <v>295694964.76</v>
      </c>
      <c r="K15" s="22">
        <f t="shared" si="1"/>
        <v>254577314.17000002</v>
      </c>
      <c r="L15" s="22">
        <f t="shared" si="1"/>
        <v>254491268.49999997</v>
      </c>
      <c r="M15" s="260" t="s">
        <v>188</v>
      </c>
      <c r="N15" s="224">
        <v>100</v>
      </c>
      <c r="O15" s="224">
        <v>100</v>
      </c>
      <c r="P15" s="224">
        <v>100</v>
      </c>
      <c r="Q15" s="224">
        <v>100</v>
      </c>
      <c r="R15" s="224">
        <v>100</v>
      </c>
      <c r="S15" s="224">
        <v>100</v>
      </c>
      <c r="T15" s="224">
        <v>100</v>
      </c>
      <c r="U15" s="236" t="s">
        <v>263</v>
      </c>
    </row>
    <row r="16" spans="1:21" ht="16.5" customHeight="1">
      <c r="A16" s="245"/>
      <c r="B16" s="259"/>
      <c r="C16" s="231"/>
      <c r="D16" s="248" t="s">
        <v>113</v>
      </c>
      <c r="E16" s="249"/>
      <c r="F16" s="249"/>
      <c r="G16" s="249"/>
      <c r="H16" s="249"/>
      <c r="I16" s="249"/>
      <c r="J16" s="249"/>
      <c r="K16" s="249"/>
      <c r="L16" s="250"/>
      <c r="M16" s="261"/>
      <c r="N16" s="225"/>
      <c r="O16" s="225"/>
      <c r="P16" s="225"/>
      <c r="Q16" s="225"/>
      <c r="R16" s="225"/>
      <c r="S16" s="225"/>
      <c r="T16" s="225"/>
      <c r="U16" s="237"/>
    </row>
    <row r="17" spans="1:21" ht="12.75" customHeight="1">
      <c r="A17" s="245"/>
      <c r="B17" s="259"/>
      <c r="C17" s="231"/>
      <c r="D17" s="21" t="s">
        <v>91</v>
      </c>
      <c r="E17" s="22">
        <f>F17+G17+H17+I17+J17+K17+L17</f>
        <v>1323028149.87</v>
      </c>
      <c r="F17" s="22">
        <f>166906451.53</f>
        <v>166906451.53</v>
      </c>
      <c r="G17" s="22">
        <v>157638427.98</v>
      </c>
      <c r="H17" s="22">
        <f>181419742.53+5992432-164443.47+1823219.61+2011460.83-379602.27</f>
        <v>190702809.23000002</v>
      </c>
      <c r="I17" s="22">
        <f>193799176.87+10744449.98-1300802.93+3241622.02</f>
        <v>206484445.94</v>
      </c>
      <c r="J17" s="22">
        <f>26081771.29+94133957.41+28428455.15+54124003+1514011.81+3380407.6+1020882.94+1531776-5381645.91-1625257.07+7006902.98+3040546.5+4872327</f>
        <v>218128138.7</v>
      </c>
      <c r="K17" s="22">
        <f>24845252.01+79114566.92+23892599.2+56288963.12+1514011.81+3409978.62+1029813.4+1531776</f>
        <v>191626961.08</v>
      </c>
      <c r="L17" s="22">
        <f>23670558.72+78221722.71+23622960.26+58540521.64+1514011.81+3409650.1+1029714.17+1531776</f>
        <v>191540915.40999997</v>
      </c>
      <c r="M17" s="261"/>
      <c r="N17" s="225"/>
      <c r="O17" s="225"/>
      <c r="P17" s="225"/>
      <c r="Q17" s="225"/>
      <c r="R17" s="225"/>
      <c r="S17" s="225"/>
      <c r="T17" s="225"/>
      <c r="U17" s="237"/>
    </row>
    <row r="18" spans="1:21" ht="12.75" customHeight="1">
      <c r="A18" s="245"/>
      <c r="B18" s="259"/>
      <c r="C18" s="231"/>
      <c r="D18" s="21" t="s">
        <v>89</v>
      </c>
      <c r="E18" s="22">
        <f>F18+G18+H18+I18+J18+K18+L18</f>
        <v>15584282.97</v>
      </c>
      <c r="F18" s="22">
        <v>967810</v>
      </c>
      <c r="G18" s="22"/>
      <c r="H18" s="22"/>
      <c r="I18" s="22"/>
      <c r="J18" s="22">
        <v>14616472.97</v>
      </c>
      <c r="K18" s="22"/>
      <c r="L18" s="22"/>
      <c r="M18" s="261"/>
      <c r="N18" s="225"/>
      <c r="O18" s="225"/>
      <c r="P18" s="225"/>
      <c r="Q18" s="225"/>
      <c r="R18" s="225"/>
      <c r="S18" s="225"/>
      <c r="T18" s="225"/>
      <c r="U18" s="237"/>
    </row>
    <row r="19" spans="1:21" ht="12.75" customHeight="1">
      <c r="A19" s="245"/>
      <c r="B19" s="259"/>
      <c r="C19" s="231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61"/>
      <c r="N19" s="225"/>
      <c r="O19" s="225"/>
      <c r="P19" s="225"/>
      <c r="Q19" s="225"/>
      <c r="R19" s="225"/>
      <c r="S19" s="225"/>
      <c r="T19" s="225"/>
      <c r="U19" s="237"/>
    </row>
    <row r="20" spans="1:21" ht="13.5" customHeight="1">
      <c r="A20" s="245"/>
      <c r="B20" s="259"/>
      <c r="C20" s="232"/>
      <c r="D20" s="21" t="s">
        <v>92</v>
      </c>
      <c r="E20" s="22">
        <f>F20+G20+H20+I20+J20+K20+L20</f>
        <v>393707092.71000004</v>
      </c>
      <c r="F20" s="22">
        <v>41676800</v>
      </c>
      <c r="G20" s="22">
        <f>45883796.78+290859</f>
        <v>46174655.78</v>
      </c>
      <c r="H20" s="22">
        <v>56475392</v>
      </c>
      <c r="I20" s="22">
        <f>7500000+3065690.4+5718296.16+4800000+4097480.4+3934154.74+6500000+3963283.49+2450+6120000+9800000+3910000+1117830.47</f>
        <v>60529185.660000004</v>
      </c>
      <c r="J20" s="22">
        <v>62950353.09</v>
      </c>
      <c r="K20" s="22">
        <v>62950353.09</v>
      </c>
      <c r="L20" s="22">
        <v>62950353.09</v>
      </c>
      <c r="M20" s="262"/>
      <c r="N20" s="226"/>
      <c r="O20" s="226"/>
      <c r="P20" s="226"/>
      <c r="Q20" s="226"/>
      <c r="R20" s="226"/>
      <c r="S20" s="226"/>
      <c r="T20" s="226"/>
      <c r="U20" s="238"/>
    </row>
    <row r="21" spans="1:21" ht="19.5" customHeight="1">
      <c r="A21" s="245" t="s">
        <v>123</v>
      </c>
      <c r="B21" s="259" t="s">
        <v>118</v>
      </c>
      <c r="C21" s="230" t="s">
        <v>78</v>
      </c>
      <c r="D21" s="21" t="s">
        <v>93</v>
      </c>
      <c r="E21" s="22">
        <f>E23+E24+E25+E26</f>
        <v>34547131.85</v>
      </c>
      <c r="F21" s="22">
        <f aca="true" t="shared" si="2" ref="F21:L21">F23+F24+F25+F26</f>
        <v>17320699.03</v>
      </c>
      <c r="G21" s="22">
        <f t="shared" si="2"/>
        <v>17226432.82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33" t="s">
        <v>3</v>
      </c>
      <c r="N21" s="227">
        <v>1</v>
      </c>
      <c r="O21" s="227">
        <v>1</v>
      </c>
      <c r="P21" s="227">
        <v>1</v>
      </c>
      <c r="Q21" s="227">
        <v>1</v>
      </c>
      <c r="R21" s="227">
        <v>1</v>
      </c>
      <c r="S21" s="227">
        <v>1</v>
      </c>
      <c r="T21" s="227">
        <v>1</v>
      </c>
      <c r="U21" s="236" t="s">
        <v>52</v>
      </c>
    </row>
    <row r="22" spans="1:21" ht="16.5" customHeight="1">
      <c r="A22" s="245"/>
      <c r="B22" s="259"/>
      <c r="C22" s="231"/>
      <c r="D22" s="248" t="s">
        <v>113</v>
      </c>
      <c r="E22" s="249"/>
      <c r="F22" s="249"/>
      <c r="G22" s="249"/>
      <c r="H22" s="249"/>
      <c r="I22" s="249"/>
      <c r="J22" s="249"/>
      <c r="K22" s="249"/>
      <c r="L22" s="250"/>
      <c r="M22" s="234"/>
      <c r="N22" s="228"/>
      <c r="O22" s="228"/>
      <c r="P22" s="228"/>
      <c r="Q22" s="228"/>
      <c r="R22" s="228"/>
      <c r="S22" s="228"/>
      <c r="T22" s="228"/>
      <c r="U22" s="237"/>
    </row>
    <row r="23" spans="1:21" ht="23.25" customHeight="1">
      <c r="A23" s="245"/>
      <c r="B23" s="259"/>
      <c r="C23" s="231"/>
      <c r="D23" s="21" t="s">
        <v>91</v>
      </c>
      <c r="E23" s="22">
        <f>F23+G23+H23+I23+J23+K23+L23</f>
        <v>34547131.85</v>
      </c>
      <c r="F23" s="22">
        <f>16842844.03+477855</f>
        <v>17320699.03</v>
      </c>
      <c r="G23" s="22">
        <f>18193797-967364.18</f>
        <v>17226432.82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4"/>
      <c r="N23" s="228"/>
      <c r="O23" s="228"/>
      <c r="P23" s="228"/>
      <c r="Q23" s="228"/>
      <c r="R23" s="228"/>
      <c r="S23" s="228"/>
      <c r="T23" s="228"/>
      <c r="U23" s="237"/>
    </row>
    <row r="24" spans="1:21" ht="12.75">
      <c r="A24" s="245"/>
      <c r="B24" s="259"/>
      <c r="C24" s="231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34"/>
      <c r="N24" s="228"/>
      <c r="O24" s="228"/>
      <c r="P24" s="228"/>
      <c r="Q24" s="228"/>
      <c r="R24" s="228"/>
      <c r="S24" s="228"/>
      <c r="T24" s="228"/>
      <c r="U24" s="237"/>
    </row>
    <row r="25" spans="1:21" ht="12.75">
      <c r="A25" s="245"/>
      <c r="B25" s="259"/>
      <c r="C25" s="231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34"/>
      <c r="N25" s="228"/>
      <c r="O25" s="228"/>
      <c r="P25" s="228"/>
      <c r="Q25" s="228"/>
      <c r="R25" s="228"/>
      <c r="S25" s="228"/>
      <c r="T25" s="228"/>
      <c r="U25" s="237"/>
    </row>
    <row r="26" spans="1:21" ht="12.75">
      <c r="A26" s="245"/>
      <c r="B26" s="259"/>
      <c r="C26" s="232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35"/>
      <c r="N26" s="229"/>
      <c r="O26" s="229"/>
      <c r="P26" s="229"/>
      <c r="Q26" s="229"/>
      <c r="R26" s="229"/>
      <c r="S26" s="229"/>
      <c r="T26" s="229"/>
      <c r="U26" s="238"/>
    </row>
    <row r="27" spans="1:21" ht="19.5" customHeight="1">
      <c r="A27" s="245" t="s">
        <v>124</v>
      </c>
      <c r="B27" s="259" t="s">
        <v>180</v>
      </c>
      <c r="C27" s="230" t="s">
        <v>78</v>
      </c>
      <c r="D27" s="21" t="s">
        <v>93</v>
      </c>
      <c r="E27" s="22">
        <f aca="true" t="shared" si="3" ref="E27:L27">E29+E30+E31+E32</f>
        <v>63580668.55</v>
      </c>
      <c r="F27" s="22">
        <f t="shared" si="3"/>
        <v>805706</v>
      </c>
      <c r="G27" s="22">
        <f t="shared" si="3"/>
        <v>9276871.26</v>
      </c>
      <c r="H27" s="22">
        <f t="shared" si="3"/>
        <v>9991366.549999999</v>
      </c>
      <c r="I27" s="22">
        <f t="shared" si="3"/>
        <v>8504275.06</v>
      </c>
      <c r="J27" s="22">
        <f t="shared" si="3"/>
        <v>12658168.68</v>
      </c>
      <c r="K27" s="22">
        <f t="shared" si="3"/>
        <v>8593954</v>
      </c>
      <c r="L27" s="22">
        <f t="shared" si="3"/>
        <v>13750327</v>
      </c>
      <c r="M27" s="233" t="s">
        <v>264</v>
      </c>
      <c r="N27" s="227">
        <v>1</v>
      </c>
      <c r="O27" s="227">
        <v>1</v>
      </c>
      <c r="P27" s="227">
        <v>1</v>
      </c>
      <c r="Q27" s="227">
        <v>100</v>
      </c>
      <c r="R27" s="227">
        <v>100</v>
      </c>
      <c r="S27" s="227">
        <v>100</v>
      </c>
      <c r="T27" s="227">
        <v>100</v>
      </c>
      <c r="U27" s="236" t="s">
        <v>263</v>
      </c>
    </row>
    <row r="28" spans="1:21" ht="16.5" customHeight="1">
      <c r="A28" s="245"/>
      <c r="B28" s="259"/>
      <c r="C28" s="23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234"/>
      <c r="N28" s="228"/>
      <c r="O28" s="228"/>
      <c r="P28" s="228"/>
      <c r="Q28" s="228"/>
      <c r="R28" s="228"/>
      <c r="S28" s="228"/>
      <c r="T28" s="228"/>
      <c r="U28" s="237"/>
    </row>
    <row r="29" spans="1:21" ht="23.25" customHeight="1">
      <c r="A29" s="245"/>
      <c r="B29" s="259"/>
      <c r="C29" s="231"/>
      <c r="D29" s="21" t="s">
        <v>91</v>
      </c>
      <c r="E29" s="22">
        <f>F29+G29+H29+I29+J29+K29+L29</f>
        <v>60976493.739999995</v>
      </c>
      <c r="F29" s="22"/>
      <c r="G29" s="22">
        <v>8494135.5</v>
      </c>
      <c r="H29" s="22">
        <f>6503695+685472.64+771517.94+1046435.17+240780.37</f>
        <v>9247901.12</v>
      </c>
      <c r="I29" s="22">
        <f>8012033+219974.44</f>
        <v>8232007.44</v>
      </c>
      <c r="J29" s="22">
        <f>14077123.29-1418954.61</f>
        <v>12658168.68</v>
      </c>
      <c r="K29" s="22">
        <v>8593954</v>
      </c>
      <c r="L29" s="22">
        <v>13750327</v>
      </c>
      <c r="M29" s="234"/>
      <c r="N29" s="228"/>
      <c r="O29" s="228"/>
      <c r="P29" s="228"/>
      <c r="Q29" s="228"/>
      <c r="R29" s="228"/>
      <c r="S29" s="228"/>
      <c r="T29" s="228"/>
      <c r="U29" s="237"/>
    </row>
    <row r="30" spans="1:21" ht="15" customHeight="1">
      <c r="A30" s="245"/>
      <c r="B30" s="259"/>
      <c r="C30" s="231"/>
      <c r="D30" s="21" t="s">
        <v>89</v>
      </c>
      <c r="E30" s="22">
        <f>F30+G30+H30+I30+J30+K30+L30</f>
        <v>2604174.81</v>
      </c>
      <c r="F30" s="23">
        <v>805706</v>
      </c>
      <c r="G30" s="23">
        <f>4745+777990.76</f>
        <v>782735.76</v>
      </c>
      <c r="H30" s="23">
        <f>1785.43+741680</f>
        <v>743465.43</v>
      </c>
      <c r="I30" s="23">
        <f>1887.92+722034.04-417034.04-1415.92-33204.38</f>
        <v>272267.6200000001</v>
      </c>
      <c r="J30" s="23"/>
      <c r="K30" s="23"/>
      <c r="L30" s="23"/>
      <c r="M30" s="234"/>
      <c r="N30" s="228"/>
      <c r="O30" s="228"/>
      <c r="P30" s="228"/>
      <c r="Q30" s="228"/>
      <c r="R30" s="228"/>
      <c r="S30" s="228"/>
      <c r="T30" s="228"/>
      <c r="U30" s="237"/>
    </row>
    <row r="31" spans="1:21" ht="12.75">
      <c r="A31" s="245"/>
      <c r="B31" s="259"/>
      <c r="C31" s="231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34"/>
      <c r="N31" s="228"/>
      <c r="O31" s="228"/>
      <c r="P31" s="228"/>
      <c r="Q31" s="228"/>
      <c r="R31" s="228"/>
      <c r="S31" s="228"/>
      <c r="T31" s="228"/>
      <c r="U31" s="237"/>
    </row>
    <row r="32" spans="1:21" ht="12.75">
      <c r="A32" s="245"/>
      <c r="B32" s="259"/>
      <c r="C32" s="232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35"/>
      <c r="N32" s="229"/>
      <c r="O32" s="229"/>
      <c r="P32" s="229"/>
      <c r="Q32" s="229"/>
      <c r="R32" s="229"/>
      <c r="S32" s="229"/>
      <c r="T32" s="229"/>
      <c r="U32" s="238"/>
    </row>
    <row r="33" spans="1:21" ht="18" customHeight="1">
      <c r="A33" s="245" t="s">
        <v>125</v>
      </c>
      <c r="B33" s="259" t="s">
        <v>261</v>
      </c>
      <c r="C33" s="230" t="s">
        <v>78</v>
      </c>
      <c r="D33" s="21" t="s">
        <v>93</v>
      </c>
      <c r="E33" s="22">
        <f aca="true" t="shared" si="4" ref="E33:L33">E35+E36+E37+E38</f>
        <v>2592300</v>
      </c>
      <c r="F33" s="22">
        <f t="shared" si="4"/>
        <v>291800</v>
      </c>
      <c r="G33" s="22">
        <f t="shared" si="4"/>
        <v>328700</v>
      </c>
      <c r="H33" s="22">
        <f t="shared" si="4"/>
        <v>310700</v>
      </c>
      <c r="I33" s="22">
        <f t="shared" si="4"/>
        <v>389100</v>
      </c>
      <c r="J33" s="22">
        <f t="shared" si="4"/>
        <v>424000</v>
      </c>
      <c r="K33" s="22">
        <f t="shared" si="4"/>
        <v>424000</v>
      </c>
      <c r="L33" s="22">
        <f t="shared" si="4"/>
        <v>424000</v>
      </c>
      <c r="M33" s="233" t="s">
        <v>2</v>
      </c>
      <c r="N33" s="227">
        <v>1</v>
      </c>
      <c r="O33" s="227">
        <v>1</v>
      </c>
      <c r="P33" s="227">
        <v>1</v>
      </c>
      <c r="Q33" s="227">
        <v>1</v>
      </c>
      <c r="R33" s="227">
        <v>1</v>
      </c>
      <c r="S33" s="227">
        <v>1</v>
      </c>
      <c r="T33" s="227">
        <v>1</v>
      </c>
      <c r="U33" s="236" t="s">
        <v>263</v>
      </c>
    </row>
    <row r="34" spans="1:21" ht="16.5" customHeight="1">
      <c r="A34" s="245"/>
      <c r="B34" s="259"/>
      <c r="C34" s="231"/>
      <c r="D34" s="248" t="s">
        <v>113</v>
      </c>
      <c r="E34" s="249"/>
      <c r="F34" s="249"/>
      <c r="G34" s="249"/>
      <c r="H34" s="249"/>
      <c r="I34" s="249"/>
      <c r="J34" s="249"/>
      <c r="K34" s="249"/>
      <c r="L34" s="250"/>
      <c r="M34" s="234"/>
      <c r="N34" s="228"/>
      <c r="O34" s="228"/>
      <c r="P34" s="228"/>
      <c r="Q34" s="228"/>
      <c r="R34" s="228"/>
      <c r="S34" s="228"/>
      <c r="T34" s="228"/>
      <c r="U34" s="237"/>
    </row>
    <row r="35" spans="1:21" ht="18.75" customHeight="1">
      <c r="A35" s="245"/>
      <c r="B35" s="259"/>
      <c r="C35" s="231"/>
      <c r="D35" s="21" t="s">
        <v>91</v>
      </c>
      <c r="E35" s="22">
        <f>F35+G35+H35+I35+J35+K35+L35</f>
        <v>0</v>
      </c>
      <c r="F35" s="22"/>
      <c r="G35" s="22"/>
      <c r="H35" s="22"/>
      <c r="I35" s="22"/>
      <c r="J35" s="22"/>
      <c r="K35" s="22"/>
      <c r="L35" s="22"/>
      <c r="M35" s="234"/>
      <c r="N35" s="228"/>
      <c r="O35" s="228"/>
      <c r="P35" s="228"/>
      <c r="Q35" s="228"/>
      <c r="R35" s="228"/>
      <c r="S35" s="228"/>
      <c r="T35" s="228"/>
      <c r="U35" s="237"/>
    </row>
    <row r="36" spans="1:21" ht="15.75" customHeight="1">
      <c r="A36" s="245"/>
      <c r="B36" s="259"/>
      <c r="C36" s="231"/>
      <c r="D36" s="21" t="s">
        <v>89</v>
      </c>
      <c r="E36" s="22">
        <f>F36+G36+H36+I36+J36+K36+L36</f>
        <v>2592300</v>
      </c>
      <c r="F36" s="22">
        <f>472400-180600</f>
        <v>291800</v>
      </c>
      <c r="G36" s="22">
        <f>131499.5+197200.5</f>
        <v>328700</v>
      </c>
      <c r="H36" s="22">
        <f>168257.5+252442.5-43952-66048</f>
        <v>310700</v>
      </c>
      <c r="I36" s="22">
        <f>170216.5+255283.5-14554-21846</f>
        <v>389100</v>
      </c>
      <c r="J36" s="22">
        <f>169598+254402</f>
        <v>424000</v>
      </c>
      <c r="K36" s="22">
        <f>169598+254402</f>
        <v>424000</v>
      </c>
      <c r="L36" s="22">
        <f>169598+254402</f>
        <v>424000</v>
      </c>
      <c r="M36" s="270"/>
      <c r="N36" s="263"/>
      <c r="O36" s="263"/>
      <c r="P36" s="263"/>
      <c r="Q36" s="263"/>
      <c r="R36" s="263"/>
      <c r="S36" s="263"/>
      <c r="T36" s="263"/>
      <c r="U36" s="237"/>
    </row>
    <row r="37" spans="1:21" ht="14.25" customHeight="1">
      <c r="A37" s="245"/>
      <c r="B37" s="259"/>
      <c r="C37" s="231"/>
      <c r="D37" s="21" t="s">
        <v>90</v>
      </c>
      <c r="E37" s="22">
        <f>F37+G37+H37+I37+J37+K37+L37</f>
        <v>0</v>
      </c>
      <c r="F37" s="22"/>
      <c r="G37" s="22"/>
      <c r="H37" s="22"/>
      <c r="I37" s="22"/>
      <c r="J37" s="22"/>
      <c r="K37" s="22"/>
      <c r="L37" s="22"/>
      <c r="M37" s="270"/>
      <c r="N37" s="263"/>
      <c r="O37" s="263"/>
      <c r="P37" s="263"/>
      <c r="Q37" s="263"/>
      <c r="R37" s="263"/>
      <c r="S37" s="263"/>
      <c r="T37" s="263"/>
      <c r="U37" s="237"/>
    </row>
    <row r="38" spans="1:21" ht="14.25" customHeight="1">
      <c r="A38" s="245"/>
      <c r="B38" s="259"/>
      <c r="C38" s="232"/>
      <c r="D38" s="21" t="s">
        <v>92</v>
      </c>
      <c r="E38" s="22">
        <f>F38+G38+H38+I38+J38+K38+L38</f>
        <v>0</v>
      </c>
      <c r="F38" s="22"/>
      <c r="G38" s="22"/>
      <c r="H38" s="22"/>
      <c r="I38" s="22"/>
      <c r="J38" s="22"/>
      <c r="K38" s="22"/>
      <c r="L38" s="22"/>
      <c r="M38" s="271"/>
      <c r="N38" s="264"/>
      <c r="O38" s="264"/>
      <c r="P38" s="264"/>
      <c r="Q38" s="264"/>
      <c r="R38" s="264"/>
      <c r="S38" s="264"/>
      <c r="T38" s="264"/>
      <c r="U38" s="238"/>
    </row>
    <row r="39" spans="1:21" ht="14.25" customHeight="1">
      <c r="A39" s="245" t="s">
        <v>126</v>
      </c>
      <c r="B39" s="246" t="s">
        <v>262</v>
      </c>
      <c r="C39" s="230" t="s">
        <v>78</v>
      </c>
      <c r="D39" s="21" t="s">
        <v>93</v>
      </c>
      <c r="E39" s="22">
        <f>E41+E42+E43+E44</f>
        <v>103689200</v>
      </c>
      <c r="F39" s="22">
        <f aca="true" t="shared" si="5" ref="F39:L39">F41+F42+F43+F44</f>
        <v>11673300</v>
      </c>
      <c r="G39" s="22">
        <f t="shared" si="5"/>
        <v>13146700</v>
      </c>
      <c r="H39" s="22">
        <f t="shared" si="5"/>
        <v>12426300</v>
      </c>
      <c r="I39" s="22">
        <f t="shared" si="5"/>
        <v>15563500</v>
      </c>
      <c r="J39" s="22">
        <f t="shared" si="5"/>
        <v>16959800</v>
      </c>
      <c r="K39" s="22">
        <f t="shared" si="5"/>
        <v>16959800</v>
      </c>
      <c r="L39" s="22">
        <f t="shared" si="5"/>
        <v>16959800</v>
      </c>
      <c r="M39" s="233" t="s">
        <v>190</v>
      </c>
      <c r="N39" s="224">
        <v>93.7</v>
      </c>
      <c r="O39" s="224">
        <v>93.5</v>
      </c>
      <c r="P39" s="224">
        <v>93.3</v>
      </c>
      <c r="Q39" s="224">
        <v>93</v>
      </c>
      <c r="R39" s="224">
        <v>93</v>
      </c>
      <c r="S39" s="224">
        <v>93</v>
      </c>
      <c r="T39" s="224">
        <v>93</v>
      </c>
      <c r="U39" s="236" t="s">
        <v>263</v>
      </c>
    </row>
    <row r="40" spans="1:21" ht="16.5" customHeight="1">
      <c r="A40" s="245"/>
      <c r="B40" s="246"/>
      <c r="C40" s="231"/>
      <c r="D40" s="248" t="s">
        <v>113</v>
      </c>
      <c r="E40" s="249"/>
      <c r="F40" s="249"/>
      <c r="G40" s="249"/>
      <c r="H40" s="249"/>
      <c r="I40" s="249"/>
      <c r="J40" s="249"/>
      <c r="K40" s="249"/>
      <c r="L40" s="250"/>
      <c r="M40" s="234"/>
      <c r="N40" s="225"/>
      <c r="O40" s="225"/>
      <c r="P40" s="225"/>
      <c r="Q40" s="225"/>
      <c r="R40" s="225"/>
      <c r="S40" s="225"/>
      <c r="T40" s="225"/>
      <c r="U40" s="237"/>
    </row>
    <row r="41" spans="1:21" ht="14.25" customHeight="1">
      <c r="A41" s="245"/>
      <c r="B41" s="246"/>
      <c r="C41" s="231"/>
      <c r="D41" s="21" t="s">
        <v>91</v>
      </c>
      <c r="E41" s="22">
        <f>F41+G41+H41+I41+J41+K41+L41</f>
        <v>0</v>
      </c>
      <c r="F41" s="23"/>
      <c r="G41" s="22"/>
      <c r="H41" s="22"/>
      <c r="I41" s="22"/>
      <c r="J41" s="22"/>
      <c r="K41" s="22"/>
      <c r="L41" s="22"/>
      <c r="M41" s="234"/>
      <c r="N41" s="225"/>
      <c r="O41" s="225"/>
      <c r="P41" s="225"/>
      <c r="Q41" s="225"/>
      <c r="R41" s="225"/>
      <c r="S41" s="225"/>
      <c r="T41" s="225"/>
      <c r="U41" s="237"/>
    </row>
    <row r="42" spans="1:21" ht="14.25" customHeight="1">
      <c r="A42" s="245"/>
      <c r="B42" s="246"/>
      <c r="C42" s="231"/>
      <c r="D42" s="21" t="s">
        <v>89</v>
      </c>
      <c r="E42" s="22">
        <f>F42+G42+H42+I42+J42+K42+L42</f>
        <v>103689200</v>
      </c>
      <c r="F42" s="23">
        <f>18894800-7221500</f>
        <v>11673300</v>
      </c>
      <c r="G42" s="22">
        <f>13146700</f>
        <v>13146700</v>
      </c>
      <c r="H42" s="22">
        <f>16829500-4403200</f>
        <v>12426300</v>
      </c>
      <c r="I42" s="22">
        <f>17018900-1455400</f>
        <v>15563500</v>
      </c>
      <c r="J42" s="22">
        <v>16959800</v>
      </c>
      <c r="K42" s="22">
        <v>16959800</v>
      </c>
      <c r="L42" s="22">
        <v>16959800</v>
      </c>
      <c r="M42" s="234"/>
      <c r="N42" s="225"/>
      <c r="O42" s="225"/>
      <c r="P42" s="225"/>
      <c r="Q42" s="225"/>
      <c r="R42" s="225"/>
      <c r="S42" s="225"/>
      <c r="T42" s="225"/>
      <c r="U42" s="237"/>
    </row>
    <row r="43" spans="1:21" ht="14.25" customHeight="1">
      <c r="A43" s="245"/>
      <c r="B43" s="246"/>
      <c r="C43" s="231"/>
      <c r="D43" s="21" t="s">
        <v>90</v>
      </c>
      <c r="E43" s="22">
        <f>F43+G43+H43+I43+J43+K43+L43</f>
        <v>0</v>
      </c>
      <c r="F43" s="23"/>
      <c r="G43" s="22"/>
      <c r="H43" s="22"/>
      <c r="I43" s="22"/>
      <c r="J43" s="22"/>
      <c r="K43" s="22"/>
      <c r="L43" s="22"/>
      <c r="M43" s="234"/>
      <c r="N43" s="225"/>
      <c r="O43" s="225"/>
      <c r="P43" s="225"/>
      <c r="Q43" s="225"/>
      <c r="R43" s="225"/>
      <c r="S43" s="225"/>
      <c r="T43" s="225"/>
      <c r="U43" s="237"/>
    </row>
    <row r="44" spans="1:21" ht="14.25" customHeight="1">
      <c r="A44" s="245"/>
      <c r="B44" s="246"/>
      <c r="C44" s="232"/>
      <c r="D44" s="21" t="s">
        <v>92</v>
      </c>
      <c r="E44" s="22">
        <f>F44+G44+H44+I44+J44+K44+L44</f>
        <v>0</v>
      </c>
      <c r="F44" s="23"/>
      <c r="G44" s="22"/>
      <c r="H44" s="22"/>
      <c r="I44" s="22"/>
      <c r="J44" s="22"/>
      <c r="K44" s="22"/>
      <c r="L44" s="22"/>
      <c r="M44" s="235"/>
      <c r="N44" s="226"/>
      <c r="O44" s="226"/>
      <c r="P44" s="226"/>
      <c r="Q44" s="226"/>
      <c r="R44" s="226"/>
      <c r="S44" s="226"/>
      <c r="T44" s="226"/>
      <c r="U44" s="238"/>
    </row>
    <row r="45" spans="1:21" ht="12.75">
      <c r="A45" s="245" t="s">
        <v>140</v>
      </c>
      <c r="B45" s="246" t="s">
        <v>119</v>
      </c>
      <c r="C45" s="230" t="s">
        <v>78</v>
      </c>
      <c r="D45" s="21" t="s">
        <v>93</v>
      </c>
      <c r="E45" s="22">
        <f>E47+E48+E49+E50</f>
        <v>9931422</v>
      </c>
      <c r="F45" s="22">
        <f aca="true" t="shared" si="6" ref="F45:L45">F47+F48+F49+F50</f>
        <v>2716800</v>
      </c>
      <c r="G45" s="22">
        <f t="shared" si="6"/>
        <v>1139669.5</v>
      </c>
      <c r="H45" s="22">
        <f t="shared" si="6"/>
        <v>1800000</v>
      </c>
      <c r="I45" s="22">
        <f t="shared" si="6"/>
        <v>929337.5</v>
      </c>
      <c r="J45" s="22">
        <f t="shared" si="6"/>
        <v>1115205</v>
      </c>
      <c r="K45" s="22">
        <f t="shared" si="6"/>
        <v>1115205</v>
      </c>
      <c r="L45" s="22">
        <f t="shared" si="6"/>
        <v>1115205</v>
      </c>
      <c r="M45" s="233" t="s">
        <v>191</v>
      </c>
      <c r="N45" s="227">
        <v>1</v>
      </c>
      <c r="O45" s="227">
        <v>1</v>
      </c>
      <c r="P45" s="227">
        <v>1</v>
      </c>
      <c r="Q45" s="227">
        <v>1</v>
      </c>
      <c r="R45" s="227">
        <v>1</v>
      </c>
      <c r="S45" s="227">
        <v>1</v>
      </c>
      <c r="T45" s="227">
        <v>1</v>
      </c>
      <c r="U45" s="236" t="s">
        <v>52</v>
      </c>
    </row>
    <row r="46" spans="1:21" ht="12.75">
      <c r="A46" s="245"/>
      <c r="B46" s="246"/>
      <c r="C46" s="231"/>
      <c r="D46" s="248" t="s">
        <v>113</v>
      </c>
      <c r="E46" s="249"/>
      <c r="F46" s="249"/>
      <c r="G46" s="249"/>
      <c r="H46" s="249"/>
      <c r="I46" s="249"/>
      <c r="J46" s="249"/>
      <c r="K46" s="249"/>
      <c r="L46" s="250"/>
      <c r="M46" s="234"/>
      <c r="N46" s="228"/>
      <c r="O46" s="228"/>
      <c r="P46" s="228"/>
      <c r="Q46" s="228"/>
      <c r="R46" s="228"/>
      <c r="S46" s="228"/>
      <c r="T46" s="228"/>
      <c r="U46" s="237"/>
    </row>
    <row r="47" spans="1:21" ht="17.25" customHeight="1">
      <c r="A47" s="245"/>
      <c r="B47" s="246"/>
      <c r="C47" s="231"/>
      <c r="D47" s="21" t="s">
        <v>91</v>
      </c>
      <c r="E47" s="22">
        <f>F47+G47+H47+I47+J47+K47+L47</f>
        <v>0</v>
      </c>
      <c r="F47" s="23"/>
      <c r="G47" s="23"/>
      <c r="H47" s="23"/>
      <c r="I47" s="23"/>
      <c r="J47" s="23"/>
      <c r="K47" s="23"/>
      <c r="L47" s="23"/>
      <c r="M47" s="234"/>
      <c r="N47" s="228"/>
      <c r="O47" s="228"/>
      <c r="P47" s="228"/>
      <c r="Q47" s="228"/>
      <c r="R47" s="228"/>
      <c r="S47" s="228"/>
      <c r="T47" s="228"/>
      <c r="U47" s="237"/>
    </row>
    <row r="48" spans="1:21" ht="12.75">
      <c r="A48" s="245"/>
      <c r="B48" s="246"/>
      <c r="C48" s="231"/>
      <c r="D48" s="21" t="s">
        <v>89</v>
      </c>
      <c r="E48" s="22">
        <f>F48+G48+H48+I48+J48+K48+L48</f>
        <v>0</v>
      </c>
      <c r="F48" s="23"/>
      <c r="G48" s="23"/>
      <c r="H48" s="23"/>
      <c r="I48" s="23"/>
      <c r="J48" s="23"/>
      <c r="K48" s="23"/>
      <c r="L48" s="23"/>
      <c r="M48" s="234"/>
      <c r="N48" s="228"/>
      <c r="O48" s="228"/>
      <c r="P48" s="228"/>
      <c r="Q48" s="228"/>
      <c r="R48" s="228"/>
      <c r="S48" s="228"/>
      <c r="T48" s="228"/>
      <c r="U48" s="237"/>
    </row>
    <row r="49" spans="1:21" ht="12.75">
      <c r="A49" s="245"/>
      <c r="B49" s="246"/>
      <c r="C49" s="231"/>
      <c r="D49" s="21" t="s">
        <v>90</v>
      </c>
      <c r="E49" s="22">
        <f>F49+G49+H49+I49+J49+K49+L49</f>
        <v>0</v>
      </c>
      <c r="F49" s="23"/>
      <c r="G49" s="23"/>
      <c r="H49" s="23"/>
      <c r="I49" s="23"/>
      <c r="J49" s="23"/>
      <c r="K49" s="23"/>
      <c r="L49" s="23"/>
      <c r="M49" s="234"/>
      <c r="N49" s="228"/>
      <c r="O49" s="228"/>
      <c r="P49" s="228"/>
      <c r="Q49" s="228"/>
      <c r="R49" s="228"/>
      <c r="S49" s="228"/>
      <c r="T49" s="228"/>
      <c r="U49" s="237"/>
    </row>
    <row r="50" spans="1:21" ht="12.75">
      <c r="A50" s="245"/>
      <c r="B50" s="246"/>
      <c r="C50" s="232"/>
      <c r="D50" s="21" t="s">
        <v>92</v>
      </c>
      <c r="E50" s="22">
        <f>F50+G50+H50+I50+J50+K50+L50</f>
        <v>9931422</v>
      </c>
      <c r="F50" s="23">
        <f>3350500-633700</f>
        <v>2716800</v>
      </c>
      <c r="G50" s="23">
        <f>1108669.5+31000</f>
        <v>1139669.5</v>
      </c>
      <c r="H50" s="23">
        <v>1800000</v>
      </c>
      <c r="I50" s="23">
        <f>276144.5+68640+168326+415527+700</f>
        <v>929337.5</v>
      </c>
      <c r="J50" s="23">
        <v>1115205</v>
      </c>
      <c r="K50" s="23">
        <v>1115205</v>
      </c>
      <c r="L50" s="23">
        <v>1115205</v>
      </c>
      <c r="M50" s="235"/>
      <c r="N50" s="229"/>
      <c r="O50" s="229"/>
      <c r="P50" s="229"/>
      <c r="Q50" s="229"/>
      <c r="R50" s="229"/>
      <c r="S50" s="229"/>
      <c r="T50" s="229"/>
      <c r="U50" s="238"/>
    </row>
    <row r="51" spans="1:21" ht="13.5" customHeight="1">
      <c r="A51" s="251"/>
      <c r="B51" s="252" t="s">
        <v>71</v>
      </c>
      <c r="C51" s="251"/>
      <c r="D51" s="101" t="s">
        <v>93</v>
      </c>
      <c r="E51" s="102">
        <f aca="true" t="shared" si="7" ref="E51:L51">E53+E54+E55+E56</f>
        <v>4342189161.88</v>
      </c>
      <c r="F51" s="102">
        <f t="shared" si="7"/>
        <v>529444436.56</v>
      </c>
      <c r="G51" s="102">
        <f>G53+G54+G55+G56</f>
        <v>534443846.3399999</v>
      </c>
      <c r="H51" s="102">
        <f t="shared" si="7"/>
        <v>581563893.9100001</v>
      </c>
      <c r="I51" s="102">
        <f t="shared" si="7"/>
        <v>627368555.7599999</v>
      </c>
      <c r="J51" s="102">
        <f t="shared" si="7"/>
        <v>700273867.44</v>
      </c>
      <c r="K51" s="102">
        <f t="shared" si="7"/>
        <v>672622096.1700001</v>
      </c>
      <c r="L51" s="102">
        <f t="shared" si="7"/>
        <v>696472465.7</v>
      </c>
      <c r="M51" s="253"/>
      <c r="N51" s="239"/>
      <c r="O51" s="239"/>
      <c r="P51" s="239"/>
      <c r="Q51" s="239"/>
      <c r="R51" s="239"/>
      <c r="S51" s="239"/>
      <c r="T51" s="239"/>
      <c r="U51" s="242"/>
    </row>
    <row r="52" spans="1:21" ht="12.75">
      <c r="A52" s="251"/>
      <c r="B52" s="252"/>
      <c r="C52" s="251"/>
      <c r="D52" s="256" t="s">
        <v>113</v>
      </c>
      <c r="E52" s="257"/>
      <c r="F52" s="257"/>
      <c r="G52" s="257"/>
      <c r="H52" s="257"/>
      <c r="I52" s="257"/>
      <c r="J52" s="257"/>
      <c r="K52" s="257"/>
      <c r="L52" s="258"/>
      <c r="M52" s="254"/>
      <c r="N52" s="240"/>
      <c r="O52" s="240"/>
      <c r="P52" s="240"/>
      <c r="Q52" s="240"/>
      <c r="R52" s="240"/>
      <c r="S52" s="240"/>
      <c r="T52" s="240"/>
      <c r="U52" s="243"/>
    </row>
    <row r="53" spans="1:21" ht="13.5">
      <c r="A53" s="251"/>
      <c r="B53" s="252"/>
      <c r="C53" s="251"/>
      <c r="D53" s="103" t="s">
        <v>91</v>
      </c>
      <c r="E53" s="102">
        <f>F53+G53+H53+I53+J53+K53+L53</f>
        <v>1422808115.4</v>
      </c>
      <c r="F53" s="104">
        <f>F11+F17+F23+F29+F35+F41+F47</f>
        <v>188197260.56</v>
      </c>
      <c r="G53" s="104">
        <f aca="true" t="shared" si="8" ref="G53:L56">G11+G17+G23+G29+G35+G41+G47</f>
        <v>183358996.29999998</v>
      </c>
      <c r="H53" s="104">
        <f t="shared" si="8"/>
        <v>200063567.48000002</v>
      </c>
      <c r="I53" s="104">
        <f t="shared" si="8"/>
        <v>214739723.39</v>
      </c>
      <c r="J53" s="104">
        <f t="shared" si="8"/>
        <v>230854438.92</v>
      </c>
      <c r="K53" s="104">
        <f t="shared" si="8"/>
        <v>200261749.07000002</v>
      </c>
      <c r="L53" s="104">
        <f t="shared" si="8"/>
        <v>205332379.67999998</v>
      </c>
      <c r="M53" s="254"/>
      <c r="N53" s="240"/>
      <c r="O53" s="240"/>
      <c r="P53" s="240"/>
      <c r="Q53" s="240"/>
      <c r="R53" s="240"/>
      <c r="S53" s="240"/>
      <c r="T53" s="240"/>
      <c r="U53" s="243"/>
    </row>
    <row r="54" spans="1:21" ht="13.5">
      <c r="A54" s="251"/>
      <c r="B54" s="252"/>
      <c r="C54" s="251"/>
      <c r="D54" s="103" t="s">
        <v>89</v>
      </c>
      <c r="E54" s="102">
        <f>F54+G54+H54+I54+J54+K54+L54</f>
        <v>2515742531.77</v>
      </c>
      <c r="F54" s="104">
        <f>F12+F18+F24+F30+F36+F42+F48</f>
        <v>296853576</v>
      </c>
      <c r="G54" s="104">
        <f t="shared" si="8"/>
        <v>303770524.76</v>
      </c>
      <c r="H54" s="104">
        <f t="shared" si="8"/>
        <v>323224934.43</v>
      </c>
      <c r="I54" s="104">
        <f t="shared" si="8"/>
        <v>351170309.21</v>
      </c>
      <c r="J54" s="104">
        <f t="shared" si="8"/>
        <v>405353870.43000007</v>
      </c>
      <c r="K54" s="104">
        <f t="shared" si="8"/>
        <v>408294789.01</v>
      </c>
      <c r="L54" s="104">
        <f t="shared" si="8"/>
        <v>427074527.93</v>
      </c>
      <c r="M54" s="254"/>
      <c r="N54" s="240"/>
      <c r="O54" s="240"/>
      <c r="P54" s="240"/>
      <c r="Q54" s="240"/>
      <c r="R54" s="240"/>
      <c r="S54" s="240"/>
      <c r="T54" s="240"/>
      <c r="U54" s="243"/>
    </row>
    <row r="55" spans="1:21" ht="13.5">
      <c r="A55" s="251"/>
      <c r="B55" s="252"/>
      <c r="C55" s="251"/>
      <c r="D55" s="103" t="s">
        <v>90</v>
      </c>
      <c r="E55" s="102">
        <f>F55+G55+H55+I55+J55+K55+L55</f>
        <v>0</v>
      </c>
      <c r="F55" s="104">
        <f>F13+F19+F25+F31+F37+F43+F49</f>
        <v>0</v>
      </c>
      <c r="G55" s="104">
        <f t="shared" si="8"/>
        <v>0</v>
      </c>
      <c r="H55" s="104">
        <f t="shared" si="8"/>
        <v>0</v>
      </c>
      <c r="I55" s="104">
        <f t="shared" si="8"/>
        <v>0</v>
      </c>
      <c r="J55" s="104">
        <f t="shared" si="8"/>
        <v>0</v>
      </c>
      <c r="K55" s="104">
        <f t="shared" si="8"/>
        <v>0</v>
      </c>
      <c r="L55" s="104">
        <f t="shared" si="8"/>
        <v>0</v>
      </c>
      <c r="M55" s="254"/>
      <c r="N55" s="240"/>
      <c r="O55" s="240"/>
      <c r="P55" s="240"/>
      <c r="Q55" s="240"/>
      <c r="R55" s="240"/>
      <c r="S55" s="240"/>
      <c r="T55" s="240"/>
      <c r="U55" s="243"/>
    </row>
    <row r="56" spans="1:21" ht="13.5">
      <c r="A56" s="251"/>
      <c r="B56" s="252"/>
      <c r="C56" s="251"/>
      <c r="D56" s="103" t="s">
        <v>92</v>
      </c>
      <c r="E56" s="102">
        <f>F56+G56+H56+I56+J56+K56+L56</f>
        <v>403638514.71000004</v>
      </c>
      <c r="F56" s="104">
        <f>F14+F20+F26+F32+F38+F44+F50</f>
        <v>44393600</v>
      </c>
      <c r="G56" s="104">
        <f t="shared" si="8"/>
        <v>47314325.28</v>
      </c>
      <c r="H56" s="104">
        <f t="shared" si="8"/>
        <v>58275392</v>
      </c>
      <c r="I56" s="104">
        <f t="shared" si="8"/>
        <v>61458523.160000004</v>
      </c>
      <c r="J56" s="104">
        <f t="shared" si="8"/>
        <v>64065558.09</v>
      </c>
      <c r="K56" s="104">
        <f t="shared" si="8"/>
        <v>64065558.09</v>
      </c>
      <c r="L56" s="104">
        <f t="shared" si="8"/>
        <v>64065558.09</v>
      </c>
      <c r="M56" s="255"/>
      <c r="N56" s="241"/>
      <c r="O56" s="241"/>
      <c r="P56" s="241"/>
      <c r="Q56" s="241"/>
      <c r="R56" s="241"/>
      <c r="S56" s="241"/>
      <c r="T56" s="241"/>
      <c r="U56" s="244"/>
    </row>
    <row r="58" spans="6:9" ht="12.75">
      <c r="F58" s="111"/>
      <c r="G58" s="95"/>
      <c r="H58" s="95"/>
      <c r="I58" s="95"/>
    </row>
    <row r="59" spans="6:9" ht="12.75">
      <c r="F59" s="111"/>
      <c r="G59" s="95"/>
      <c r="H59" s="95"/>
      <c r="I59" s="95"/>
    </row>
    <row r="60" spans="6:9" ht="12.75">
      <c r="F60" s="111"/>
      <c r="G60" s="95"/>
      <c r="H60" s="95"/>
      <c r="I60" s="95"/>
    </row>
    <row r="61" spans="6:9" ht="12.75">
      <c r="F61" s="111"/>
      <c r="G61" s="95"/>
      <c r="H61" s="95"/>
      <c r="I61" s="95"/>
    </row>
    <row r="62" spans="6:9" ht="12.75">
      <c r="F62" s="28"/>
      <c r="G62" s="28"/>
      <c r="H62" s="28"/>
      <c r="I62" s="28"/>
    </row>
    <row r="63" spans="6:9" ht="12.75">
      <c r="F63" s="29"/>
      <c r="G63" s="28"/>
      <c r="H63" s="28"/>
      <c r="I63" s="28"/>
    </row>
    <row r="64" spans="6:9" ht="12.75">
      <c r="F64" s="30"/>
      <c r="G64" s="29"/>
      <c r="H64" s="29"/>
      <c r="I64" s="29"/>
    </row>
    <row r="65" spans="6:9" ht="12.75">
      <c r="F65" s="29"/>
      <c r="G65" s="29"/>
      <c r="H65" s="29"/>
      <c r="I65" s="29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O21:O26"/>
    <mergeCell ref="P21:P26"/>
    <mergeCell ref="N21:N26"/>
    <mergeCell ref="O9:O14"/>
    <mergeCell ref="N9:N14"/>
    <mergeCell ref="D10:L10"/>
    <mergeCell ref="M9:M14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T51:T56"/>
    <mergeCell ref="U51:U56"/>
    <mergeCell ref="N51:N56"/>
    <mergeCell ref="O51:O56"/>
    <mergeCell ref="P51:P56"/>
    <mergeCell ref="Q51:Q56"/>
    <mergeCell ref="R51:R56"/>
    <mergeCell ref="S51:S56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5" customWidth="1"/>
    <col min="2" max="2" width="14.8515625" style="125" bestFit="1" customWidth="1"/>
    <col min="3" max="9" width="13.421875" style="125" bestFit="1" customWidth="1"/>
    <col min="10" max="10" width="9.140625" style="125" customWidth="1"/>
    <col min="11" max="11" width="11.7109375" style="125" customWidth="1"/>
    <col min="12" max="16384" width="9.140625" style="125" customWidth="1"/>
  </cols>
  <sheetData>
    <row r="1" spans="6:10" s="91" customFormat="1" ht="79.5" customHeight="1">
      <c r="F1" s="204" t="s">
        <v>278</v>
      </c>
      <c r="G1" s="205"/>
      <c r="H1" s="205"/>
      <c r="I1" s="205"/>
      <c r="J1" s="127"/>
    </row>
    <row r="2" spans="5:9" ht="18.75" customHeight="1">
      <c r="E2" s="122"/>
      <c r="F2" s="144"/>
      <c r="G2" s="141"/>
      <c r="I2" s="144" t="s">
        <v>130</v>
      </c>
    </row>
    <row r="3" spans="1:9" ht="36.75" customHeight="1">
      <c r="A3" s="247" t="s">
        <v>69</v>
      </c>
      <c r="B3" s="247"/>
      <c r="C3" s="247"/>
      <c r="D3" s="247"/>
      <c r="E3" s="247"/>
      <c r="F3" s="247"/>
      <c r="G3" s="247"/>
      <c r="H3" s="247"/>
      <c r="I3" s="247"/>
    </row>
    <row r="4" spans="1:9" ht="30" customHeight="1">
      <c r="A4" s="207" t="s">
        <v>99</v>
      </c>
      <c r="B4" s="207" t="s">
        <v>100</v>
      </c>
      <c r="C4" s="276" t="s">
        <v>101</v>
      </c>
      <c r="D4" s="277"/>
      <c r="E4" s="277"/>
      <c r="F4" s="277"/>
      <c r="G4" s="277"/>
      <c r="H4" s="277"/>
      <c r="I4" s="278"/>
    </row>
    <row r="5" spans="1:9" ht="16.5" customHeight="1">
      <c r="A5" s="275"/>
      <c r="B5" s="275"/>
      <c r="C5" s="93">
        <v>2014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3">
        <v>2020</v>
      </c>
    </row>
    <row r="6" spans="1:9" ht="16.5" customHeight="1">
      <c r="A6" s="151" t="s">
        <v>59</v>
      </c>
      <c r="B6" s="151" t="s">
        <v>60</v>
      </c>
      <c r="C6" s="151" t="s">
        <v>61</v>
      </c>
      <c r="D6" s="151" t="s">
        <v>62</v>
      </c>
      <c r="E6" s="151" t="s">
        <v>63</v>
      </c>
      <c r="F6" s="151" t="s">
        <v>64</v>
      </c>
      <c r="G6" s="151" t="s">
        <v>65</v>
      </c>
      <c r="H6" s="151" t="s">
        <v>66</v>
      </c>
      <c r="I6" s="151" t="s">
        <v>67</v>
      </c>
    </row>
    <row r="7" spans="1:9" ht="19.5" customHeight="1">
      <c r="A7" s="142" t="s">
        <v>70</v>
      </c>
      <c r="B7" s="124">
        <f>B9+B10+B11+B12</f>
        <v>4910877953.049999</v>
      </c>
      <c r="C7" s="124">
        <f aca="true" t="shared" si="0" ref="C7:I7">C9+C10+C11+C12</f>
        <v>630157257.97</v>
      </c>
      <c r="D7" s="124">
        <f t="shared" si="0"/>
        <v>629509067.4799999</v>
      </c>
      <c r="E7" s="124">
        <f t="shared" si="0"/>
        <v>659507806.04</v>
      </c>
      <c r="F7" s="124">
        <f t="shared" si="0"/>
        <v>695886728.07</v>
      </c>
      <c r="G7" s="124">
        <f t="shared" si="0"/>
        <v>768610765.91</v>
      </c>
      <c r="H7" s="124">
        <f t="shared" si="0"/>
        <v>751136641.54</v>
      </c>
      <c r="I7" s="124">
        <f t="shared" si="0"/>
        <v>776069686.04</v>
      </c>
    </row>
    <row r="8" spans="1:9" ht="16.5" customHeight="1">
      <c r="A8" s="272" t="s">
        <v>102</v>
      </c>
      <c r="B8" s="273"/>
      <c r="C8" s="273"/>
      <c r="D8" s="273"/>
      <c r="E8" s="273"/>
      <c r="F8" s="273"/>
      <c r="G8" s="273"/>
      <c r="H8" s="273"/>
      <c r="I8" s="274"/>
    </row>
    <row r="9" spans="1:11" ht="16.5" customHeight="1">
      <c r="A9" s="152" t="s">
        <v>103</v>
      </c>
      <c r="B9" s="124">
        <f>B16</f>
        <v>2166889976.99</v>
      </c>
      <c r="C9" s="83">
        <f>C16</f>
        <v>288108773.96999997</v>
      </c>
      <c r="D9" s="83">
        <f aca="true" t="shared" si="1" ref="D9:I9">D16</f>
        <v>288034535.81</v>
      </c>
      <c r="E9" s="83">
        <f t="shared" si="1"/>
        <v>305418423.32</v>
      </c>
      <c r="F9" s="83">
        <f t="shared" si="1"/>
        <v>313261876.9</v>
      </c>
      <c r="G9" s="83">
        <f t="shared" si="1"/>
        <v>341161738.85999995</v>
      </c>
      <c r="H9" s="83">
        <f t="shared" si="1"/>
        <v>312008114.89</v>
      </c>
      <c r="I9" s="83">
        <f t="shared" si="1"/>
        <v>318896513.24</v>
      </c>
      <c r="J9" s="196"/>
      <c r="K9" s="153"/>
    </row>
    <row r="10" spans="1:9" ht="16.5" customHeight="1">
      <c r="A10" s="152" t="s">
        <v>20</v>
      </c>
      <c r="B10" s="124">
        <f aca="true" t="shared" si="2" ref="B10:I12">B17</f>
        <v>2565593781.87</v>
      </c>
      <c r="C10" s="83">
        <f t="shared" si="2"/>
        <v>308069784</v>
      </c>
      <c r="D10" s="83">
        <f t="shared" si="2"/>
        <v>318165579.24</v>
      </c>
      <c r="E10" s="83">
        <f t="shared" si="2"/>
        <v>331671421.57</v>
      </c>
      <c r="F10" s="83">
        <f t="shared" si="2"/>
        <v>359340007.56000006</v>
      </c>
      <c r="G10" s="83">
        <f>G17</f>
        <v>402314448.05</v>
      </c>
      <c r="H10" s="83">
        <f t="shared" si="2"/>
        <v>413993947.65000004</v>
      </c>
      <c r="I10" s="83">
        <f t="shared" si="2"/>
        <v>432038593.8</v>
      </c>
    </row>
    <row r="11" spans="1:9" ht="16.5" customHeight="1">
      <c r="A11" s="152" t="s">
        <v>21</v>
      </c>
      <c r="B11" s="124">
        <f t="shared" si="2"/>
        <v>0</v>
      </c>
      <c r="C11" s="83">
        <f t="shared" si="2"/>
        <v>0</v>
      </c>
      <c r="D11" s="83">
        <f t="shared" si="2"/>
        <v>0</v>
      </c>
      <c r="E11" s="83">
        <f t="shared" si="2"/>
        <v>0</v>
      </c>
      <c r="F11" s="83">
        <f t="shared" si="2"/>
        <v>0</v>
      </c>
      <c r="G11" s="83">
        <f t="shared" si="2"/>
        <v>0</v>
      </c>
      <c r="H11" s="83">
        <f t="shared" si="2"/>
        <v>0</v>
      </c>
      <c r="I11" s="83">
        <f t="shared" si="2"/>
        <v>0</v>
      </c>
    </row>
    <row r="12" spans="1:9" ht="16.5" customHeight="1">
      <c r="A12" s="152" t="s">
        <v>106</v>
      </c>
      <c r="B12" s="124">
        <f t="shared" si="2"/>
        <v>178394194.19</v>
      </c>
      <c r="C12" s="83">
        <f t="shared" si="2"/>
        <v>33978700</v>
      </c>
      <c r="D12" s="83">
        <f t="shared" si="2"/>
        <v>23308952.43</v>
      </c>
      <c r="E12" s="83">
        <f t="shared" si="2"/>
        <v>22417961.15</v>
      </c>
      <c r="F12" s="83">
        <f t="shared" si="2"/>
        <v>23284843.610000003</v>
      </c>
      <c r="G12" s="83">
        <f t="shared" si="2"/>
        <v>25134579</v>
      </c>
      <c r="H12" s="83">
        <f t="shared" si="2"/>
        <v>25134579</v>
      </c>
      <c r="I12" s="83">
        <f t="shared" si="2"/>
        <v>25134579</v>
      </c>
    </row>
    <row r="13" spans="1:9" ht="16.5" customHeight="1">
      <c r="A13" s="201" t="s">
        <v>107</v>
      </c>
      <c r="B13" s="202"/>
      <c r="C13" s="202"/>
      <c r="D13" s="202"/>
      <c r="E13" s="202"/>
      <c r="F13" s="202"/>
      <c r="G13" s="202"/>
      <c r="H13" s="202"/>
      <c r="I13" s="203"/>
    </row>
    <row r="14" spans="1:9" ht="39.75" customHeight="1">
      <c r="A14" s="143" t="s">
        <v>114</v>
      </c>
      <c r="B14" s="124">
        <f>B16+B17+B18+B19</f>
        <v>4910877953.049999</v>
      </c>
      <c r="C14" s="124">
        <f>C16+C17+C18+C19</f>
        <v>630157257.97</v>
      </c>
      <c r="D14" s="124">
        <f aca="true" t="shared" si="3" ref="D14:I14">D16+D17+D18+D19</f>
        <v>629509067.4799999</v>
      </c>
      <c r="E14" s="124">
        <f t="shared" si="3"/>
        <v>659507806.04</v>
      </c>
      <c r="F14" s="124">
        <f t="shared" si="3"/>
        <v>695886728.07</v>
      </c>
      <c r="G14" s="124">
        <f t="shared" si="3"/>
        <v>768610765.91</v>
      </c>
      <c r="H14" s="124">
        <f t="shared" si="3"/>
        <v>751136641.54</v>
      </c>
      <c r="I14" s="124">
        <f t="shared" si="3"/>
        <v>776069686.04</v>
      </c>
    </row>
    <row r="15" spans="1:9" ht="16.5" customHeight="1">
      <c r="A15" s="272" t="s">
        <v>102</v>
      </c>
      <c r="B15" s="273"/>
      <c r="C15" s="273"/>
      <c r="D15" s="273"/>
      <c r="E15" s="273"/>
      <c r="F15" s="273"/>
      <c r="G15" s="273"/>
      <c r="H15" s="273"/>
      <c r="I15" s="274"/>
    </row>
    <row r="16" spans="1:9" ht="16.5" customHeight="1">
      <c r="A16" s="152" t="s">
        <v>103</v>
      </c>
      <c r="B16" s="124">
        <f>SUM(C16:I16)</f>
        <v>2166889976.99</v>
      </c>
      <c r="C16" s="83">
        <f>'таб 3(2)'!F125</f>
        <v>288108773.96999997</v>
      </c>
      <c r="D16" s="83">
        <f>'таб 3(2)'!G125</f>
        <v>288034535.81</v>
      </c>
      <c r="E16" s="83">
        <f>'таб 3(2)'!H125</f>
        <v>305418423.32</v>
      </c>
      <c r="F16" s="83">
        <f>'таб 3(2)'!I125</f>
        <v>313261876.9</v>
      </c>
      <c r="G16" s="83">
        <f>'таб 3(2)'!J125</f>
        <v>341161738.85999995</v>
      </c>
      <c r="H16" s="83">
        <f>'таб 3(2)'!K125</f>
        <v>312008114.89</v>
      </c>
      <c r="I16" s="83">
        <f>'таб 3(2)'!L125</f>
        <v>318896513.24</v>
      </c>
    </row>
    <row r="17" spans="1:9" ht="16.5" customHeight="1">
      <c r="A17" s="152" t="s">
        <v>20</v>
      </c>
      <c r="B17" s="124">
        <f>SUM(C17:I17)</f>
        <v>2565593781.87</v>
      </c>
      <c r="C17" s="83">
        <f>'таб 3(2)'!F126</f>
        <v>308069784</v>
      </c>
      <c r="D17" s="83">
        <f>'таб 3(2)'!G126</f>
        <v>318165579.24</v>
      </c>
      <c r="E17" s="83">
        <f>'таб 3(2)'!H126</f>
        <v>331671421.57</v>
      </c>
      <c r="F17" s="83">
        <f>'таб 3(2)'!I126</f>
        <v>359340007.56000006</v>
      </c>
      <c r="G17" s="83">
        <f>'таб 3(2)'!J126</f>
        <v>402314448.05</v>
      </c>
      <c r="H17" s="83">
        <f>'таб 3(2)'!K126</f>
        <v>413993947.65000004</v>
      </c>
      <c r="I17" s="83">
        <f>'таб 3(2)'!L126</f>
        <v>432038593.8</v>
      </c>
    </row>
    <row r="18" spans="1:9" ht="16.5" customHeight="1">
      <c r="A18" s="152" t="s">
        <v>21</v>
      </c>
      <c r="B18" s="124">
        <f>SUM(C18:I18)</f>
        <v>0</v>
      </c>
      <c r="C18" s="83">
        <f>'таб 3(2)'!F127</f>
        <v>0</v>
      </c>
      <c r="D18" s="83">
        <f>'таб 3(2)'!G127</f>
        <v>0</v>
      </c>
      <c r="E18" s="83">
        <f>'таб 3(2)'!H127</f>
        <v>0</v>
      </c>
      <c r="F18" s="83">
        <f>'[1]таб 3(2)'!I134</f>
        <v>0</v>
      </c>
      <c r="G18" s="83">
        <f>'[1]таб 3(2)'!J134</f>
        <v>0</v>
      </c>
      <c r="H18" s="83">
        <f>'[1]таб 3(2)'!K134</f>
        <v>0</v>
      </c>
      <c r="I18" s="83">
        <f>'[1]таб 3(2)'!L134</f>
        <v>0</v>
      </c>
    </row>
    <row r="19" spans="1:9" ht="16.5" customHeight="1">
      <c r="A19" s="152" t="s">
        <v>106</v>
      </c>
      <c r="B19" s="124">
        <f>SUM(C19:I19)</f>
        <v>178394194.19</v>
      </c>
      <c r="C19" s="83">
        <f>'таб 3(2)'!F128</f>
        <v>33978700</v>
      </c>
      <c r="D19" s="83">
        <f>'таб 3(2)'!G128</f>
        <v>23308952.43</v>
      </c>
      <c r="E19" s="83">
        <f>'таб 3(2)'!H128</f>
        <v>22417961.15</v>
      </c>
      <c r="F19" s="83">
        <f>'таб 3(2)'!I128</f>
        <v>23284843.610000003</v>
      </c>
      <c r="G19" s="83">
        <f>'таб 3(2)'!J128</f>
        <v>25134579</v>
      </c>
      <c r="H19" s="83">
        <f>'таб 3(2)'!K128</f>
        <v>25134579</v>
      </c>
      <c r="I19" s="83">
        <f>'таб 3(2)'!L128</f>
        <v>25134579</v>
      </c>
    </row>
    <row r="20" spans="1:9" ht="25.5">
      <c r="A20" s="4" t="s">
        <v>108</v>
      </c>
      <c r="B20" s="124">
        <f>SUM(C20:I20)</f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</row>
    <row r="22" ht="15">
      <c r="C22" s="153"/>
    </row>
    <row r="23" spans="2:9" ht="15">
      <c r="B23" s="153"/>
      <c r="C23" s="153"/>
      <c r="G23" s="153"/>
      <c r="H23" s="153"/>
      <c r="I23" s="153"/>
    </row>
    <row r="24" spans="2:9" ht="15">
      <c r="B24" s="153"/>
      <c r="C24" s="153"/>
      <c r="D24" s="153"/>
      <c r="E24" s="153"/>
      <c r="F24" s="153"/>
      <c r="G24" s="153"/>
      <c r="H24" s="153"/>
      <c r="I24" s="153"/>
    </row>
    <row r="25" s="174" customFormat="1" ht="15"/>
    <row r="26" spans="2:9" ht="15">
      <c r="B26" s="175"/>
      <c r="G26" s="175"/>
      <c r="H26" s="175"/>
      <c r="I26" s="175"/>
    </row>
    <row r="28" ht="15">
      <c r="C28" s="153"/>
    </row>
    <row r="29" ht="15">
      <c r="C29" s="153"/>
    </row>
    <row r="30" ht="15">
      <c r="C30" s="153"/>
    </row>
    <row r="31" ht="15">
      <c r="C31" s="153"/>
    </row>
    <row r="32" ht="15">
      <c r="C32" s="153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6"/>
  <sheetViews>
    <sheetView zoomScaleSheetLayoutView="115" zoomScalePageLayoutView="0" workbookViewId="0" topLeftCell="A1">
      <pane xSplit="3" ySplit="7" topLeftCell="M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8" bestFit="1" customWidth="1"/>
    <col min="2" max="2" width="48.421875" style="18" customWidth="1"/>
    <col min="3" max="3" width="10.8515625" style="18" customWidth="1"/>
    <col min="4" max="4" width="10.00390625" style="18" customWidth="1"/>
    <col min="5" max="5" width="15.421875" style="18" customWidth="1"/>
    <col min="6" max="6" width="18.140625" style="18" customWidth="1"/>
    <col min="7" max="9" width="14.00390625" style="18" bestFit="1" customWidth="1"/>
    <col min="10" max="10" width="14.00390625" style="187" bestFit="1" customWidth="1"/>
    <col min="11" max="12" width="14.00390625" style="18" bestFit="1" customWidth="1"/>
    <col min="13" max="13" width="32.421875" style="18" customWidth="1"/>
    <col min="14" max="14" width="5.7109375" style="18" bestFit="1" customWidth="1"/>
    <col min="15" max="20" width="7.421875" style="18" bestFit="1" customWidth="1"/>
    <col min="21" max="21" width="18.00390625" style="18" customWidth="1"/>
    <col min="22" max="16384" width="9.140625" style="18" customWidth="1"/>
  </cols>
  <sheetData>
    <row r="1" spans="6:21" s="91" customFormat="1" ht="79.5" customHeight="1">
      <c r="F1" s="150"/>
      <c r="G1" s="112"/>
      <c r="H1" s="112"/>
      <c r="I1" s="18"/>
      <c r="J1" s="187"/>
      <c r="K1" s="18"/>
      <c r="L1" s="18"/>
      <c r="Q1" s="204" t="s">
        <v>279</v>
      </c>
      <c r="R1" s="205"/>
      <c r="S1" s="205"/>
      <c r="T1" s="205"/>
      <c r="U1" s="205"/>
    </row>
    <row r="2" spans="1:21" ht="15.75">
      <c r="A2" s="247" t="s">
        <v>73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31.5" customHeight="1">
      <c r="A3" s="207" t="s">
        <v>97</v>
      </c>
      <c r="B3" s="207" t="s">
        <v>109</v>
      </c>
      <c r="C3" s="207" t="s">
        <v>110</v>
      </c>
      <c r="D3" s="207" t="s">
        <v>99</v>
      </c>
      <c r="E3" s="211" t="s">
        <v>111</v>
      </c>
      <c r="F3" s="211"/>
      <c r="G3" s="211"/>
      <c r="H3" s="211"/>
      <c r="I3" s="211"/>
      <c r="J3" s="211"/>
      <c r="K3" s="211"/>
      <c r="L3" s="211"/>
      <c r="M3" s="211" t="s">
        <v>32</v>
      </c>
      <c r="N3" s="211"/>
      <c r="O3" s="211"/>
      <c r="P3" s="211"/>
      <c r="Q3" s="211"/>
      <c r="R3" s="211"/>
      <c r="S3" s="211"/>
      <c r="T3" s="211"/>
      <c r="U3" s="265" t="s">
        <v>112</v>
      </c>
    </row>
    <row r="4" spans="1:21" ht="21" customHeight="1">
      <c r="A4" s="275"/>
      <c r="B4" s="275"/>
      <c r="C4" s="275"/>
      <c r="D4" s="275"/>
      <c r="E4" s="19" t="s">
        <v>93</v>
      </c>
      <c r="F4" s="5" t="s">
        <v>82</v>
      </c>
      <c r="G4" s="5" t="s">
        <v>83</v>
      </c>
      <c r="H4" s="5" t="s">
        <v>84</v>
      </c>
      <c r="I4" s="5" t="s">
        <v>85</v>
      </c>
      <c r="J4" s="188" t="s">
        <v>86</v>
      </c>
      <c r="K4" s="5" t="s">
        <v>87</v>
      </c>
      <c r="L4" s="5" t="s">
        <v>88</v>
      </c>
      <c r="M4" s="3" t="s">
        <v>98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86</v>
      </c>
      <c r="S4" s="5" t="s">
        <v>87</v>
      </c>
      <c r="T4" s="5" t="s">
        <v>88</v>
      </c>
      <c r="U4" s="266"/>
    </row>
    <row r="5" spans="1:21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89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</row>
    <row r="6" spans="1:21" ht="12.75">
      <c r="A6" s="20"/>
      <c r="B6" s="267" t="s">
        <v>131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9"/>
    </row>
    <row r="7" spans="1:21" ht="12.75">
      <c r="A7" s="20">
        <v>1</v>
      </c>
      <c r="B7" s="267" t="s">
        <v>33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6.5" customHeight="1">
      <c r="A8" s="291" t="s">
        <v>121</v>
      </c>
      <c r="B8" s="294" t="s">
        <v>132</v>
      </c>
      <c r="C8" s="230" t="s">
        <v>78</v>
      </c>
      <c r="D8" s="21" t="s">
        <v>93</v>
      </c>
      <c r="E8" s="22">
        <f>E10+E11+E12+E13</f>
        <v>970833291.07</v>
      </c>
      <c r="F8" s="22">
        <f aca="true" t="shared" si="0" ref="F8:L8">F10+F11+F12+F13</f>
        <v>117460965.8</v>
      </c>
      <c r="G8" s="22">
        <f t="shared" si="0"/>
        <v>135349395.49</v>
      </c>
      <c r="H8" s="22">
        <f t="shared" si="0"/>
        <v>130598022.34</v>
      </c>
      <c r="I8" s="22">
        <f t="shared" si="0"/>
        <v>134781404.21000004</v>
      </c>
      <c r="J8" s="183">
        <f t="shared" si="0"/>
        <v>143967727.73</v>
      </c>
      <c r="K8" s="22">
        <f t="shared" si="0"/>
        <v>150871592.20000002</v>
      </c>
      <c r="L8" s="22">
        <f t="shared" si="0"/>
        <v>157804183.3</v>
      </c>
      <c r="M8" s="236" t="s">
        <v>43</v>
      </c>
      <c r="N8" s="224">
        <v>100</v>
      </c>
      <c r="O8" s="224">
        <v>100</v>
      </c>
      <c r="P8" s="224">
        <v>100</v>
      </c>
      <c r="Q8" s="224">
        <v>100</v>
      </c>
      <c r="R8" s="224">
        <v>100</v>
      </c>
      <c r="S8" s="224">
        <v>100</v>
      </c>
      <c r="T8" s="224">
        <v>100</v>
      </c>
      <c r="U8" s="233" t="s">
        <v>44</v>
      </c>
    </row>
    <row r="9" spans="1:21" ht="16.5" customHeight="1">
      <c r="A9" s="292"/>
      <c r="B9" s="295"/>
      <c r="C9" s="231"/>
      <c r="D9" s="248" t="s">
        <v>113</v>
      </c>
      <c r="E9" s="249"/>
      <c r="F9" s="249"/>
      <c r="G9" s="249"/>
      <c r="H9" s="249"/>
      <c r="I9" s="249"/>
      <c r="J9" s="249"/>
      <c r="K9" s="249"/>
      <c r="L9" s="250"/>
      <c r="M9" s="237"/>
      <c r="N9" s="225"/>
      <c r="O9" s="225"/>
      <c r="P9" s="225"/>
      <c r="Q9" s="225"/>
      <c r="R9" s="225"/>
      <c r="S9" s="225"/>
      <c r="T9" s="225"/>
      <c r="U9" s="234"/>
    </row>
    <row r="10" spans="1:21" ht="12.75">
      <c r="A10" s="292"/>
      <c r="B10" s="295"/>
      <c r="C10" s="231"/>
      <c r="D10" s="21" t="s">
        <v>91</v>
      </c>
      <c r="E10" s="22">
        <f>F10+G10+H10+I10+J10+K10+L10</f>
        <v>119214.43000000001</v>
      </c>
      <c r="F10" s="22"/>
      <c r="G10" s="22"/>
      <c r="H10" s="22">
        <f>13285.36</f>
        <v>13285.36</v>
      </c>
      <c r="I10" s="22">
        <v>12125.62</v>
      </c>
      <c r="J10" s="183">
        <f>56375.94-16405.39</f>
        <v>39970.55</v>
      </c>
      <c r="K10" s="22">
        <f>36860.05-10726.27</f>
        <v>26133.780000000002</v>
      </c>
      <c r="L10" s="22">
        <f>39067.88-11368.76</f>
        <v>27699.119999999995</v>
      </c>
      <c r="M10" s="237"/>
      <c r="N10" s="225"/>
      <c r="O10" s="225"/>
      <c r="P10" s="225"/>
      <c r="Q10" s="225"/>
      <c r="R10" s="225"/>
      <c r="S10" s="225"/>
      <c r="T10" s="225"/>
      <c r="U10" s="234"/>
    </row>
    <row r="11" spans="1:21" ht="12.75">
      <c r="A11" s="292"/>
      <c r="B11" s="295"/>
      <c r="C11" s="231"/>
      <c r="D11" s="21" t="s">
        <v>89</v>
      </c>
      <c r="E11" s="22">
        <f>F11+G11+H11+I11+J11+K11+L11</f>
        <v>970714076.6400001</v>
      </c>
      <c r="F11" s="22">
        <f>117343741.8+117224</f>
        <v>117460965.8</v>
      </c>
      <c r="G11" s="22">
        <f>135114643+234752.49</f>
        <v>135349395.49</v>
      </c>
      <c r="H11" s="22">
        <f>239756+130947250+2659572.39-3261841.41</f>
        <v>130584736.98</v>
      </c>
      <c r="I11" s="22">
        <f>230386.86+140091428.58-2162200-3390336.85</f>
        <v>134769278.59000003</v>
      </c>
      <c r="J11" s="193">
        <f>136933551.2+137355.82-39970.54+6896820.7</f>
        <v>143927757.17999998</v>
      </c>
      <c r="K11" s="23">
        <f>143522480+89806.8-26133.78+7259305.4</f>
        <v>150845458.42000002</v>
      </c>
      <c r="L11" s="23">
        <f>150054172+95186-27699.12+7654825.3</f>
        <v>157776484.18</v>
      </c>
      <c r="M11" s="237"/>
      <c r="N11" s="225"/>
      <c r="O11" s="225"/>
      <c r="P11" s="225"/>
      <c r="Q11" s="225"/>
      <c r="R11" s="225"/>
      <c r="S11" s="225"/>
      <c r="T11" s="225"/>
      <c r="U11" s="234"/>
    </row>
    <row r="12" spans="1:21" ht="12.75" customHeight="1">
      <c r="A12" s="292"/>
      <c r="B12" s="295"/>
      <c r="C12" s="231"/>
      <c r="D12" s="21" t="s">
        <v>90</v>
      </c>
      <c r="E12" s="22">
        <f>F12+G12+H12+I12+J12+K12+L12</f>
        <v>0</v>
      </c>
      <c r="F12" s="22"/>
      <c r="G12" s="22"/>
      <c r="H12" s="22"/>
      <c r="I12" s="22"/>
      <c r="J12" s="183"/>
      <c r="K12" s="22"/>
      <c r="L12" s="22"/>
      <c r="M12" s="237"/>
      <c r="N12" s="225"/>
      <c r="O12" s="225"/>
      <c r="P12" s="225"/>
      <c r="Q12" s="225"/>
      <c r="R12" s="225"/>
      <c r="S12" s="225"/>
      <c r="T12" s="225"/>
      <c r="U12" s="234"/>
    </row>
    <row r="13" spans="1:21" ht="18.75" customHeight="1">
      <c r="A13" s="293"/>
      <c r="B13" s="296"/>
      <c r="C13" s="232"/>
      <c r="D13" s="21" t="s">
        <v>92</v>
      </c>
      <c r="E13" s="22">
        <f>F13+G13+H13+I13+J13+K13+L13</f>
        <v>0</v>
      </c>
      <c r="F13" s="22"/>
      <c r="G13" s="22"/>
      <c r="H13" s="22"/>
      <c r="I13" s="22"/>
      <c r="J13" s="183"/>
      <c r="K13" s="22"/>
      <c r="L13" s="22"/>
      <c r="M13" s="238"/>
      <c r="N13" s="226"/>
      <c r="O13" s="226"/>
      <c r="P13" s="226"/>
      <c r="Q13" s="226"/>
      <c r="R13" s="226"/>
      <c r="S13" s="226"/>
      <c r="T13" s="226"/>
      <c r="U13" s="235"/>
    </row>
    <row r="14" spans="1:21" ht="24" customHeight="1">
      <c r="A14" s="291" t="s">
        <v>122</v>
      </c>
      <c r="B14" s="294" t="s">
        <v>133</v>
      </c>
      <c r="C14" s="230" t="s">
        <v>78</v>
      </c>
      <c r="D14" s="21" t="s">
        <v>93</v>
      </c>
      <c r="E14" s="22">
        <f>E16+E17+E18+E19</f>
        <v>1255316568.34</v>
      </c>
      <c r="F14" s="22">
        <f aca="true" t="shared" si="1" ref="F14:L14">F16+F17+F18+F19</f>
        <v>137693999.3</v>
      </c>
      <c r="G14" s="22">
        <f t="shared" si="1"/>
        <v>129055787.51</v>
      </c>
      <c r="H14" s="22">
        <f t="shared" si="1"/>
        <v>165212466.47000003</v>
      </c>
      <c r="I14" s="22">
        <f t="shared" si="1"/>
        <v>186942244.48000002</v>
      </c>
      <c r="J14" s="183">
        <f t="shared" si="1"/>
        <v>205042090.21</v>
      </c>
      <c r="K14" s="22">
        <f t="shared" si="1"/>
        <v>213014690.86</v>
      </c>
      <c r="L14" s="22">
        <f t="shared" si="1"/>
        <v>218355289.51</v>
      </c>
      <c r="M14" s="236" t="s">
        <v>45</v>
      </c>
      <c r="N14" s="224">
        <v>100</v>
      </c>
      <c r="O14" s="224">
        <v>100</v>
      </c>
      <c r="P14" s="224">
        <v>100</v>
      </c>
      <c r="Q14" s="224">
        <v>100</v>
      </c>
      <c r="R14" s="224">
        <v>100</v>
      </c>
      <c r="S14" s="224">
        <v>100</v>
      </c>
      <c r="T14" s="224">
        <v>100</v>
      </c>
      <c r="U14" s="233" t="s">
        <v>44</v>
      </c>
    </row>
    <row r="15" spans="1:21" ht="16.5" customHeight="1">
      <c r="A15" s="292"/>
      <c r="B15" s="295"/>
      <c r="C15" s="231"/>
      <c r="D15" s="248" t="s">
        <v>113</v>
      </c>
      <c r="E15" s="249"/>
      <c r="F15" s="249"/>
      <c r="G15" s="249"/>
      <c r="H15" s="249"/>
      <c r="I15" s="249"/>
      <c r="J15" s="249"/>
      <c r="K15" s="249"/>
      <c r="L15" s="250"/>
      <c r="M15" s="237"/>
      <c r="N15" s="225"/>
      <c r="O15" s="225"/>
      <c r="P15" s="225"/>
      <c r="Q15" s="225"/>
      <c r="R15" s="225"/>
      <c r="S15" s="225"/>
      <c r="T15" s="225"/>
      <c r="U15" s="234"/>
    </row>
    <row r="16" spans="1:21" ht="18" customHeight="1">
      <c r="A16" s="292"/>
      <c r="B16" s="295"/>
      <c r="C16" s="231"/>
      <c r="D16" s="21" t="s">
        <v>91</v>
      </c>
      <c r="E16" s="22">
        <f>F16+G16+H16+I16+J16+K16+L16</f>
        <v>145524.1</v>
      </c>
      <c r="F16" s="22"/>
      <c r="G16" s="22"/>
      <c r="H16" s="22">
        <f>11357.15</f>
        <v>11357.15</v>
      </c>
      <c r="I16" s="22">
        <v>13450.47</v>
      </c>
      <c r="J16" s="183">
        <f>78157.52-22743.85</f>
        <v>55413.670000000006</v>
      </c>
      <c r="K16" s="22">
        <f>46075.05-13407.84</f>
        <v>32667.210000000003</v>
      </c>
      <c r="L16" s="22">
        <f>46030.46-13394.86</f>
        <v>32635.6</v>
      </c>
      <c r="M16" s="237"/>
      <c r="N16" s="225"/>
      <c r="O16" s="225"/>
      <c r="P16" s="225"/>
      <c r="Q16" s="225"/>
      <c r="R16" s="225"/>
      <c r="S16" s="225"/>
      <c r="T16" s="225"/>
      <c r="U16" s="234"/>
    </row>
    <row r="17" spans="1:21" ht="12.75" customHeight="1">
      <c r="A17" s="292"/>
      <c r="B17" s="295"/>
      <c r="C17" s="231"/>
      <c r="D17" s="21" t="s">
        <v>89</v>
      </c>
      <c r="E17" s="22">
        <f>F17+G17+H17+I17+J17+K17+L17</f>
        <v>1255171044.24</v>
      </c>
      <c r="F17" s="22">
        <f>137514399.3+179600</f>
        <v>137693999.3</v>
      </c>
      <c r="G17" s="22">
        <f>128830241+225546.51</f>
        <v>129055787.51</v>
      </c>
      <c r="H17" s="22">
        <f>204953+164528250+169906.61+297999.71</f>
        <v>165201109.32000002</v>
      </c>
      <c r="I17" s="22">
        <f>255558.84+178260201.71+8413033.46</f>
        <v>186928794.01000002</v>
      </c>
      <c r="J17" s="193">
        <f>197535547.8+190425.03-55413.69+7316117.4</f>
        <v>204986676.54000002</v>
      </c>
      <c r="K17" s="23">
        <f>202652363+112258.46-32667.21+10250069.4</f>
        <v>212982023.65</v>
      </c>
      <c r="L17" s="23">
        <f>207650129+112149.81-32635.6+10593010.7</f>
        <v>218322653.91</v>
      </c>
      <c r="M17" s="237"/>
      <c r="N17" s="225"/>
      <c r="O17" s="225"/>
      <c r="P17" s="225"/>
      <c r="Q17" s="225"/>
      <c r="R17" s="225"/>
      <c r="S17" s="225"/>
      <c r="T17" s="225"/>
      <c r="U17" s="234"/>
    </row>
    <row r="18" spans="1:21" ht="12.75" customHeight="1">
      <c r="A18" s="292"/>
      <c r="B18" s="295"/>
      <c r="C18" s="231"/>
      <c r="D18" s="21" t="s">
        <v>90</v>
      </c>
      <c r="E18" s="22">
        <f>F18+G18+H18+I18+J18+K18+L18</f>
        <v>0</v>
      </c>
      <c r="F18" s="22"/>
      <c r="G18" s="22"/>
      <c r="H18" s="22"/>
      <c r="I18" s="22"/>
      <c r="J18" s="183"/>
      <c r="K18" s="22"/>
      <c r="L18" s="22"/>
      <c r="M18" s="237"/>
      <c r="N18" s="225"/>
      <c r="O18" s="225"/>
      <c r="P18" s="225"/>
      <c r="Q18" s="225"/>
      <c r="R18" s="225"/>
      <c r="S18" s="225"/>
      <c r="T18" s="225"/>
      <c r="U18" s="234"/>
    </row>
    <row r="19" spans="1:21" ht="24" customHeight="1">
      <c r="A19" s="293"/>
      <c r="B19" s="296"/>
      <c r="C19" s="232"/>
      <c r="D19" s="21" t="s">
        <v>92</v>
      </c>
      <c r="E19" s="22">
        <f>F19+G19+H19+I19+J19+K19+L19</f>
        <v>0</v>
      </c>
      <c r="F19" s="22"/>
      <c r="G19" s="22"/>
      <c r="H19" s="22"/>
      <c r="I19" s="22"/>
      <c r="J19" s="183"/>
      <c r="K19" s="22"/>
      <c r="L19" s="22"/>
      <c r="M19" s="238"/>
      <c r="N19" s="226"/>
      <c r="O19" s="226"/>
      <c r="P19" s="226"/>
      <c r="Q19" s="226"/>
      <c r="R19" s="226"/>
      <c r="S19" s="226"/>
      <c r="T19" s="226"/>
      <c r="U19" s="235"/>
    </row>
    <row r="20" spans="1:21" ht="15" customHeight="1">
      <c r="A20" s="291" t="s">
        <v>123</v>
      </c>
      <c r="B20" s="294" t="s">
        <v>134</v>
      </c>
      <c r="C20" s="230" t="s">
        <v>78</v>
      </c>
      <c r="D20" s="21" t="s">
        <v>93</v>
      </c>
      <c r="E20" s="22">
        <f>E22+E23+E24+E25</f>
        <v>276223824.8</v>
      </c>
      <c r="F20" s="22">
        <f aca="true" t="shared" si="2" ref="F20:L20">F22+F23+F24+F25</f>
        <v>39462578.9</v>
      </c>
      <c r="G20" s="22">
        <f t="shared" si="2"/>
        <v>50275216</v>
      </c>
      <c r="H20" s="22">
        <f t="shared" si="2"/>
        <v>31629962.7</v>
      </c>
      <c r="I20" s="22">
        <f t="shared" si="2"/>
        <v>29818659.1</v>
      </c>
      <c r="J20" s="183">
        <f t="shared" si="2"/>
        <v>36691662.9</v>
      </c>
      <c r="K20" s="22">
        <f t="shared" si="2"/>
        <v>41469482.2</v>
      </c>
      <c r="L20" s="22">
        <f t="shared" si="2"/>
        <v>46876263</v>
      </c>
      <c r="M20" s="297" t="s">
        <v>46</v>
      </c>
      <c r="N20" s="224">
        <v>100</v>
      </c>
      <c r="O20" s="224">
        <v>100</v>
      </c>
      <c r="P20" s="224">
        <v>100</v>
      </c>
      <c r="Q20" s="224">
        <v>100</v>
      </c>
      <c r="R20" s="224">
        <v>100</v>
      </c>
      <c r="S20" s="224">
        <v>100</v>
      </c>
      <c r="T20" s="224">
        <v>100</v>
      </c>
      <c r="U20" s="233" t="s">
        <v>44</v>
      </c>
    </row>
    <row r="21" spans="1:21" ht="16.5" customHeight="1">
      <c r="A21" s="292"/>
      <c r="B21" s="295"/>
      <c r="C21" s="231"/>
      <c r="D21" s="248" t="s">
        <v>113</v>
      </c>
      <c r="E21" s="249"/>
      <c r="F21" s="249"/>
      <c r="G21" s="249"/>
      <c r="H21" s="249"/>
      <c r="I21" s="249"/>
      <c r="J21" s="249"/>
      <c r="K21" s="249"/>
      <c r="L21" s="250"/>
      <c r="M21" s="298"/>
      <c r="N21" s="225"/>
      <c r="O21" s="225"/>
      <c r="P21" s="225"/>
      <c r="Q21" s="225"/>
      <c r="R21" s="225"/>
      <c r="S21" s="225"/>
      <c r="T21" s="225"/>
      <c r="U21" s="234"/>
    </row>
    <row r="22" spans="1:21" ht="12.75" customHeight="1">
      <c r="A22" s="292"/>
      <c r="B22" s="295"/>
      <c r="C22" s="231"/>
      <c r="D22" s="21" t="s">
        <v>91</v>
      </c>
      <c r="E22" s="22">
        <f>F22+G22+H22+I22+J22+K22+L22</f>
        <v>0</v>
      </c>
      <c r="F22" s="22"/>
      <c r="G22" s="22"/>
      <c r="H22" s="22"/>
      <c r="I22" s="22"/>
      <c r="J22" s="183"/>
      <c r="K22" s="22"/>
      <c r="L22" s="22"/>
      <c r="M22" s="298"/>
      <c r="N22" s="225"/>
      <c r="O22" s="225"/>
      <c r="P22" s="225"/>
      <c r="Q22" s="225"/>
      <c r="R22" s="225"/>
      <c r="S22" s="225"/>
      <c r="T22" s="225"/>
      <c r="U22" s="234"/>
    </row>
    <row r="23" spans="1:21" ht="12.75" customHeight="1">
      <c r="A23" s="292"/>
      <c r="B23" s="295"/>
      <c r="C23" s="231"/>
      <c r="D23" s="21" t="s">
        <v>89</v>
      </c>
      <c r="E23" s="22">
        <f>F23+G23+H23+I23+J23+K23+L23</f>
        <v>276223824.8</v>
      </c>
      <c r="F23" s="22">
        <v>39462578.9</v>
      </c>
      <c r="G23" s="22">
        <f>50275216</f>
        <v>50275216</v>
      </c>
      <c r="H23" s="22">
        <f>30434100-1767979+2963841.7</f>
        <v>31629962.7</v>
      </c>
      <c r="I23" s="22">
        <f>34687169.71-4868510.61</f>
        <v>29818659.1</v>
      </c>
      <c r="J23" s="193">
        <f>35390901+1300761.9</f>
        <v>36691662.9</v>
      </c>
      <c r="K23" s="23">
        <f>39472957+1996525.2</f>
        <v>41469482.2</v>
      </c>
      <c r="L23" s="23">
        <f>44600999+2275264</f>
        <v>46876263</v>
      </c>
      <c r="M23" s="298"/>
      <c r="N23" s="225"/>
      <c r="O23" s="225"/>
      <c r="P23" s="225"/>
      <c r="Q23" s="225"/>
      <c r="R23" s="225"/>
      <c r="S23" s="225"/>
      <c r="T23" s="225"/>
      <c r="U23" s="234"/>
    </row>
    <row r="24" spans="1:21" ht="17.25" customHeight="1">
      <c r="A24" s="292"/>
      <c r="B24" s="295"/>
      <c r="C24" s="231"/>
      <c r="D24" s="21" t="s">
        <v>90</v>
      </c>
      <c r="E24" s="22">
        <f>F24+G24+H24+I24+J24+K24+L24</f>
        <v>0</v>
      </c>
      <c r="F24" s="22"/>
      <c r="G24" s="22"/>
      <c r="H24" s="22"/>
      <c r="I24" s="22"/>
      <c r="J24" s="183"/>
      <c r="K24" s="22"/>
      <c r="L24" s="22"/>
      <c r="M24" s="298"/>
      <c r="N24" s="225"/>
      <c r="O24" s="225"/>
      <c r="P24" s="225"/>
      <c r="Q24" s="225"/>
      <c r="R24" s="225"/>
      <c r="S24" s="225"/>
      <c r="T24" s="225"/>
      <c r="U24" s="234"/>
    </row>
    <row r="25" spans="1:21" ht="12.75" customHeight="1">
      <c r="A25" s="293"/>
      <c r="B25" s="296"/>
      <c r="C25" s="232"/>
      <c r="D25" s="21" t="s">
        <v>92</v>
      </c>
      <c r="E25" s="22">
        <f>F25+G25+H25+I25+J25+K25+L25</f>
        <v>0</v>
      </c>
      <c r="F25" s="22"/>
      <c r="G25" s="22"/>
      <c r="H25" s="22"/>
      <c r="I25" s="22"/>
      <c r="J25" s="183"/>
      <c r="K25" s="22"/>
      <c r="L25" s="22"/>
      <c r="M25" s="299"/>
      <c r="N25" s="226"/>
      <c r="O25" s="226"/>
      <c r="P25" s="226"/>
      <c r="Q25" s="226"/>
      <c r="R25" s="226"/>
      <c r="S25" s="226"/>
      <c r="T25" s="226"/>
      <c r="U25" s="235"/>
    </row>
    <row r="26" spans="1:21" ht="19.5" customHeight="1">
      <c r="A26" s="291" t="s">
        <v>124</v>
      </c>
      <c r="B26" s="294" t="s">
        <v>135</v>
      </c>
      <c r="C26" s="230" t="s">
        <v>78</v>
      </c>
      <c r="D26" s="21" t="s">
        <v>93</v>
      </c>
      <c r="E26" s="22">
        <f>E28+E29+E30+E31</f>
        <v>4583344</v>
      </c>
      <c r="F26" s="22">
        <f aca="true" t="shared" si="3" ref="F26:L26">F28+F29+F30+F31</f>
        <v>4583344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183">
        <f t="shared" si="3"/>
        <v>0</v>
      </c>
      <c r="K26" s="22">
        <f t="shared" si="3"/>
        <v>0</v>
      </c>
      <c r="L26" s="22">
        <f t="shared" si="3"/>
        <v>0</v>
      </c>
      <c r="M26" s="297" t="s">
        <v>192</v>
      </c>
      <c r="N26" s="224">
        <v>100</v>
      </c>
      <c r="O26" s="224">
        <v>100</v>
      </c>
      <c r="P26" s="224">
        <v>100</v>
      </c>
      <c r="Q26" s="224">
        <v>100</v>
      </c>
      <c r="R26" s="224">
        <v>100</v>
      </c>
      <c r="S26" s="224">
        <v>100</v>
      </c>
      <c r="T26" s="224">
        <v>100</v>
      </c>
      <c r="U26" s="233" t="s">
        <v>44</v>
      </c>
    </row>
    <row r="27" spans="1:21" ht="16.5" customHeight="1">
      <c r="A27" s="292"/>
      <c r="B27" s="295"/>
      <c r="C27" s="231"/>
      <c r="D27" s="248" t="s">
        <v>113</v>
      </c>
      <c r="E27" s="249"/>
      <c r="F27" s="249"/>
      <c r="G27" s="249"/>
      <c r="H27" s="249"/>
      <c r="I27" s="249"/>
      <c r="J27" s="249"/>
      <c r="K27" s="249"/>
      <c r="L27" s="250"/>
      <c r="M27" s="298"/>
      <c r="N27" s="225"/>
      <c r="O27" s="225"/>
      <c r="P27" s="225"/>
      <c r="Q27" s="225"/>
      <c r="R27" s="225"/>
      <c r="S27" s="225"/>
      <c r="T27" s="225"/>
      <c r="U27" s="234"/>
    </row>
    <row r="28" spans="1:21" ht="23.25" customHeight="1">
      <c r="A28" s="292"/>
      <c r="B28" s="295"/>
      <c r="C28" s="231"/>
      <c r="D28" s="21" t="s">
        <v>91</v>
      </c>
      <c r="E28" s="22">
        <f>F28+G28+H28+I28+J28+K28+L28</f>
        <v>0</v>
      </c>
      <c r="F28" s="22"/>
      <c r="G28" s="22"/>
      <c r="H28" s="22"/>
      <c r="I28" s="22"/>
      <c r="J28" s="183"/>
      <c r="K28" s="22"/>
      <c r="L28" s="22"/>
      <c r="M28" s="298"/>
      <c r="N28" s="225"/>
      <c r="O28" s="225"/>
      <c r="P28" s="225"/>
      <c r="Q28" s="225"/>
      <c r="R28" s="225"/>
      <c r="S28" s="225"/>
      <c r="T28" s="225"/>
      <c r="U28" s="234"/>
    </row>
    <row r="29" spans="1:21" ht="12.75" customHeight="1">
      <c r="A29" s="292"/>
      <c r="B29" s="295"/>
      <c r="C29" s="231"/>
      <c r="D29" s="21" t="s">
        <v>89</v>
      </c>
      <c r="E29" s="22">
        <f>F29+G29+H29+I29+J29+K29+L29</f>
        <v>4583344</v>
      </c>
      <c r="F29" s="22">
        <v>4583344</v>
      </c>
      <c r="G29" s="22">
        <v>0</v>
      </c>
      <c r="H29" s="22">
        <v>0</v>
      </c>
      <c r="I29" s="22">
        <v>0</v>
      </c>
      <c r="J29" s="193">
        <f>I29</f>
        <v>0</v>
      </c>
      <c r="K29" s="23">
        <f>J29</f>
        <v>0</v>
      </c>
      <c r="L29" s="23">
        <f>K29</f>
        <v>0</v>
      </c>
      <c r="M29" s="298"/>
      <c r="N29" s="225"/>
      <c r="O29" s="225"/>
      <c r="P29" s="225"/>
      <c r="Q29" s="225"/>
      <c r="R29" s="225"/>
      <c r="S29" s="225"/>
      <c r="T29" s="225"/>
      <c r="U29" s="234"/>
    </row>
    <row r="30" spans="1:21" ht="12.75" customHeight="1">
      <c r="A30" s="292"/>
      <c r="B30" s="295"/>
      <c r="C30" s="231"/>
      <c r="D30" s="21" t="s">
        <v>90</v>
      </c>
      <c r="E30" s="22">
        <f>F30+G30+H30+I30+J30+K30+L30</f>
        <v>0</v>
      </c>
      <c r="F30" s="22"/>
      <c r="G30" s="22"/>
      <c r="H30" s="22"/>
      <c r="I30" s="22"/>
      <c r="J30" s="183"/>
      <c r="K30" s="22"/>
      <c r="L30" s="22"/>
      <c r="M30" s="298"/>
      <c r="N30" s="225"/>
      <c r="O30" s="225"/>
      <c r="P30" s="225"/>
      <c r="Q30" s="225"/>
      <c r="R30" s="225"/>
      <c r="S30" s="225"/>
      <c r="T30" s="225"/>
      <c r="U30" s="234"/>
    </row>
    <row r="31" spans="1:21" ht="12.75" customHeight="1">
      <c r="A31" s="293"/>
      <c r="B31" s="296"/>
      <c r="C31" s="232"/>
      <c r="D31" s="21" t="s">
        <v>92</v>
      </c>
      <c r="E31" s="22">
        <f>F31+G31+H31+I31+J31+K31+L31</f>
        <v>0</v>
      </c>
      <c r="F31" s="22"/>
      <c r="G31" s="22"/>
      <c r="H31" s="22"/>
      <c r="I31" s="22"/>
      <c r="J31" s="183"/>
      <c r="K31" s="22"/>
      <c r="L31" s="22"/>
      <c r="M31" s="299"/>
      <c r="N31" s="226"/>
      <c r="O31" s="226"/>
      <c r="P31" s="226"/>
      <c r="Q31" s="226"/>
      <c r="R31" s="226"/>
      <c r="S31" s="226"/>
      <c r="T31" s="226"/>
      <c r="U31" s="235"/>
    </row>
    <row r="32" spans="1:21" ht="18" customHeight="1">
      <c r="A32" s="291" t="s">
        <v>125</v>
      </c>
      <c r="B32" s="294" t="s">
        <v>136</v>
      </c>
      <c r="C32" s="230" t="s">
        <v>78</v>
      </c>
      <c r="D32" s="21" t="s">
        <v>93</v>
      </c>
      <c r="E32" s="22">
        <f>E34+E35+E36+E37</f>
        <v>4964297</v>
      </c>
      <c r="F32" s="22">
        <f aca="true" t="shared" si="4" ref="F32:L32">F34+F35+F36+F37</f>
        <v>4964297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183">
        <f t="shared" si="4"/>
        <v>0</v>
      </c>
      <c r="K32" s="22">
        <f t="shared" si="4"/>
        <v>0</v>
      </c>
      <c r="L32" s="22">
        <f t="shared" si="4"/>
        <v>0</v>
      </c>
      <c r="M32" s="297" t="s">
        <v>193</v>
      </c>
      <c r="N32" s="224">
        <v>100</v>
      </c>
      <c r="O32" s="224">
        <v>100</v>
      </c>
      <c r="P32" s="224">
        <v>100</v>
      </c>
      <c r="Q32" s="224">
        <v>100</v>
      </c>
      <c r="R32" s="224">
        <v>100</v>
      </c>
      <c r="S32" s="224">
        <v>100</v>
      </c>
      <c r="T32" s="224">
        <v>100</v>
      </c>
      <c r="U32" s="233" t="s">
        <v>44</v>
      </c>
    </row>
    <row r="33" spans="1:21" ht="16.5" customHeight="1">
      <c r="A33" s="292"/>
      <c r="B33" s="295"/>
      <c r="C33" s="231"/>
      <c r="D33" s="248" t="s">
        <v>113</v>
      </c>
      <c r="E33" s="249"/>
      <c r="F33" s="249"/>
      <c r="G33" s="249"/>
      <c r="H33" s="249"/>
      <c r="I33" s="249"/>
      <c r="J33" s="249"/>
      <c r="K33" s="249"/>
      <c r="L33" s="250"/>
      <c r="M33" s="298"/>
      <c r="N33" s="225"/>
      <c r="O33" s="225"/>
      <c r="P33" s="225"/>
      <c r="Q33" s="225"/>
      <c r="R33" s="225"/>
      <c r="S33" s="225"/>
      <c r="T33" s="225"/>
      <c r="U33" s="234"/>
    </row>
    <row r="34" spans="1:21" ht="18.75" customHeight="1">
      <c r="A34" s="292"/>
      <c r="B34" s="295"/>
      <c r="C34" s="231"/>
      <c r="D34" s="21" t="s">
        <v>91</v>
      </c>
      <c r="E34" s="22">
        <f>F34+G34+H34+I34+J34+K34+L34</f>
        <v>0</v>
      </c>
      <c r="F34" s="22"/>
      <c r="G34" s="22"/>
      <c r="H34" s="22"/>
      <c r="I34" s="22"/>
      <c r="J34" s="183"/>
      <c r="K34" s="22"/>
      <c r="L34" s="22"/>
      <c r="M34" s="298"/>
      <c r="N34" s="225"/>
      <c r="O34" s="225"/>
      <c r="P34" s="225"/>
      <c r="Q34" s="225"/>
      <c r="R34" s="225"/>
      <c r="S34" s="225"/>
      <c r="T34" s="225"/>
      <c r="U34" s="234"/>
    </row>
    <row r="35" spans="1:21" ht="15.75" customHeight="1">
      <c r="A35" s="292"/>
      <c r="B35" s="295"/>
      <c r="C35" s="231"/>
      <c r="D35" s="21" t="s">
        <v>89</v>
      </c>
      <c r="E35" s="22">
        <f>F35+G35+H35+I35+J35+K35+L35</f>
        <v>4964297</v>
      </c>
      <c r="F35" s="22">
        <f>5476997-512700</f>
        <v>4964297</v>
      </c>
      <c r="G35" s="22">
        <v>0</v>
      </c>
      <c r="H35" s="22">
        <v>0</v>
      </c>
      <c r="I35" s="22">
        <v>0</v>
      </c>
      <c r="J35" s="193">
        <f>I35</f>
        <v>0</v>
      </c>
      <c r="K35" s="23">
        <f>J35</f>
        <v>0</v>
      </c>
      <c r="L35" s="23">
        <f>K35</f>
        <v>0</v>
      </c>
      <c r="M35" s="298"/>
      <c r="N35" s="300"/>
      <c r="O35" s="300"/>
      <c r="P35" s="300"/>
      <c r="Q35" s="300"/>
      <c r="R35" s="300"/>
      <c r="S35" s="300"/>
      <c r="T35" s="300"/>
      <c r="U35" s="234"/>
    </row>
    <row r="36" spans="1:21" ht="14.25" customHeight="1">
      <c r="A36" s="292"/>
      <c r="B36" s="295"/>
      <c r="C36" s="231"/>
      <c r="D36" s="21" t="s">
        <v>90</v>
      </c>
      <c r="E36" s="22">
        <f>F36+G36+H36+I36+J36+K36+L36</f>
        <v>0</v>
      </c>
      <c r="F36" s="22"/>
      <c r="G36" s="22"/>
      <c r="H36" s="22"/>
      <c r="I36" s="22"/>
      <c r="J36" s="183"/>
      <c r="K36" s="22"/>
      <c r="L36" s="22"/>
      <c r="M36" s="298"/>
      <c r="N36" s="300"/>
      <c r="O36" s="300"/>
      <c r="P36" s="300"/>
      <c r="Q36" s="300"/>
      <c r="R36" s="300"/>
      <c r="S36" s="300"/>
      <c r="T36" s="300"/>
      <c r="U36" s="234"/>
    </row>
    <row r="37" spans="1:21" ht="14.25" customHeight="1">
      <c r="A37" s="293"/>
      <c r="B37" s="296"/>
      <c r="C37" s="232"/>
      <c r="D37" s="21" t="s">
        <v>92</v>
      </c>
      <c r="E37" s="22">
        <f>F37+G37+H37+I37+J37+K37+L37</f>
        <v>0</v>
      </c>
      <c r="F37" s="22"/>
      <c r="G37" s="22"/>
      <c r="H37" s="22"/>
      <c r="I37" s="22"/>
      <c r="J37" s="183"/>
      <c r="K37" s="22"/>
      <c r="L37" s="22"/>
      <c r="M37" s="299"/>
      <c r="N37" s="301"/>
      <c r="O37" s="301"/>
      <c r="P37" s="301"/>
      <c r="Q37" s="301"/>
      <c r="R37" s="301"/>
      <c r="S37" s="301"/>
      <c r="T37" s="301"/>
      <c r="U37" s="235"/>
    </row>
    <row r="38" spans="1:21" ht="14.25" customHeight="1">
      <c r="A38" s="291" t="s">
        <v>126</v>
      </c>
      <c r="B38" s="285" t="s">
        <v>137</v>
      </c>
      <c r="C38" s="230" t="s">
        <v>78</v>
      </c>
      <c r="D38" s="21" t="s">
        <v>93</v>
      </c>
      <c r="E38" s="22">
        <f>E40+E41+E42+E43</f>
        <v>286459</v>
      </c>
      <c r="F38" s="22">
        <f aca="true" t="shared" si="5" ref="F38:L38">F40+F41+F42+F43</f>
        <v>286459</v>
      </c>
      <c r="G38" s="22">
        <f t="shared" si="5"/>
        <v>0</v>
      </c>
      <c r="H38" s="22">
        <f t="shared" si="5"/>
        <v>0</v>
      </c>
      <c r="I38" s="22">
        <f t="shared" si="5"/>
        <v>0</v>
      </c>
      <c r="J38" s="183">
        <f t="shared" si="5"/>
        <v>0</v>
      </c>
      <c r="K38" s="22">
        <f t="shared" si="5"/>
        <v>0</v>
      </c>
      <c r="L38" s="22">
        <f t="shared" si="5"/>
        <v>0</v>
      </c>
      <c r="M38" s="236" t="s">
        <v>194</v>
      </c>
      <c r="N38" s="224">
        <v>100</v>
      </c>
      <c r="O38" s="224">
        <v>100</v>
      </c>
      <c r="P38" s="224">
        <v>100</v>
      </c>
      <c r="Q38" s="224">
        <v>100</v>
      </c>
      <c r="R38" s="224">
        <v>100</v>
      </c>
      <c r="S38" s="224">
        <v>100</v>
      </c>
      <c r="T38" s="224">
        <v>100</v>
      </c>
      <c r="U38" s="233" t="s">
        <v>44</v>
      </c>
    </row>
    <row r="39" spans="1:21" ht="16.5" customHeight="1">
      <c r="A39" s="292"/>
      <c r="B39" s="286"/>
      <c r="C39" s="231"/>
      <c r="D39" s="248" t="s">
        <v>113</v>
      </c>
      <c r="E39" s="249"/>
      <c r="F39" s="249"/>
      <c r="G39" s="249"/>
      <c r="H39" s="249"/>
      <c r="I39" s="249"/>
      <c r="J39" s="249"/>
      <c r="K39" s="249"/>
      <c r="L39" s="250"/>
      <c r="M39" s="237"/>
      <c r="N39" s="225"/>
      <c r="O39" s="225"/>
      <c r="P39" s="225"/>
      <c r="Q39" s="225"/>
      <c r="R39" s="225"/>
      <c r="S39" s="225"/>
      <c r="T39" s="225"/>
      <c r="U39" s="234"/>
    </row>
    <row r="40" spans="1:21" ht="14.25" customHeight="1">
      <c r="A40" s="292"/>
      <c r="B40" s="286"/>
      <c r="C40" s="231"/>
      <c r="D40" s="21" t="s">
        <v>91</v>
      </c>
      <c r="E40" s="22">
        <f>F40+G40+H40+I40+J40+K40+L40</f>
        <v>0</v>
      </c>
      <c r="F40" s="23"/>
      <c r="G40" s="22"/>
      <c r="H40" s="22"/>
      <c r="I40" s="22"/>
      <c r="J40" s="183"/>
      <c r="K40" s="22"/>
      <c r="L40" s="22"/>
      <c r="M40" s="237"/>
      <c r="N40" s="225"/>
      <c r="O40" s="225"/>
      <c r="P40" s="225"/>
      <c r="Q40" s="225"/>
      <c r="R40" s="225"/>
      <c r="S40" s="225"/>
      <c r="T40" s="225"/>
      <c r="U40" s="234"/>
    </row>
    <row r="41" spans="1:21" ht="14.25" customHeight="1">
      <c r="A41" s="292"/>
      <c r="B41" s="286"/>
      <c r="C41" s="231"/>
      <c r="D41" s="21" t="s">
        <v>89</v>
      </c>
      <c r="E41" s="22">
        <f>F41+G41+H41+I41+J41+K41+L41</f>
        <v>286459</v>
      </c>
      <c r="F41" s="23">
        <v>286459</v>
      </c>
      <c r="G41" s="22">
        <v>0</v>
      </c>
      <c r="H41" s="22">
        <v>0</v>
      </c>
      <c r="I41" s="22">
        <v>0</v>
      </c>
      <c r="J41" s="193">
        <f>I41</f>
        <v>0</v>
      </c>
      <c r="K41" s="23">
        <f>J41</f>
        <v>0</v>
      </c>
      <c r="L41" s="23">
        <f>K41</f>
        <v>0</v>
      </c>
      <c r="M41" s="237"/>
      <c r="N41" s="225"/>
      <c r="O41" s="225"/>
      <c r="P41" s="225"/>
      <c r="Q41" s="225"/>
      <c r="R41" s="225"/>
      <c r="S41" s="225"/>
      <c r="T41" s="225"/>
      <c r="U41" s="234"/>
    </row>
    <row r="42" spans="1:21" ht="14.25" customHeight="1">
      <c r="A42" s="292"/>
      <c r="B42" s="286"/>
      <c r="C42" s="231"/>
      <c r="D42" s="21" t="s">
        <v>90</v>
      </c>
      <c r="E42" s="22">
        <f>F42+G42+H42+I42+J42+K42+L42</f>
        <v>0</v>
      </c>
      <c r="F42" s="23"/>
      <c r="G42" s="22"/>
      <c r="H42" s="22"/>
      <c r="I42" s="22"/>
      <c r="J42" s="183"/>
      <c r="K42" s="22"/>
      <c r="L42" s="22"/>
      <c r="M42" s="237"/>
      <c r="N42" s="225"/>
      <c r="O42" s="225"/>
      <c r="P42" s="225"/>
      <c r="Q42" s="225"/>
      <c r="R42" s="225"/>
      <c r="S42" s="225"/>
      <c r="T42" s="225"/>
      <c r="U42" s="234"/>
    </row>
    <row r="43" spans="1:21" ht="14.25" customHeight="1">
      <c r="A43" s="293"/>
      <c r="B43" s="287"/>
      <c r="C43" s="232"/>
      <c r="D43" s="21" t="s">
        <v>92</v>
      </c>
      <c r="E43" s="22">
        <f>F43+G43+H43+I43+J43+K43+L43</f>
        <v>0</v>
      </c>
      <c r="F43" s="23"/>
      <c r="G43" s="22"/>
      <c r="H43" s="22"/>
      <c r="I43" s="22"/>
      <c r="J43" s="183"/>
      <c r="K43" s="22"/>
      <c r="L43" s="22"/>
      <c r="M43" s="238"/>
      <c r="N43" s="226"/>
      <c r="O43" s="226"/>
      <c r="P43" s="226"/>
      <c r="Q43" s="226"/>
      <c r="R43" s="226"/>
      <c r="S43" s="226"/>
      <c r="T43" s="226"/>
      <c r="U43" s="235"/>
    </row>
    <row r="44" spans="1:21" ht="27" customHeight="1">
      <c r="A44" s="291" t="s">
        <v>140</v>
      </c>
      <c r="B44" s="285" t="s">
        <v>138</v>
      </c>
      <c r="C44" s="230" t="s">
        <v>78</v>
      </c>
      <c r="D44" s="21" t="s">
        <v>93</v>
      </c>
      <c r="E44" s="22">
        <f>E46+E47+E48+E49</f>
        <v>682366110.9399999</v>
      </c>
      <c r="F44" s="22">
        <f aca="true" t="shared" si="6" ref="F44:L44">F46+F47+F48+F49</f>
        <v>83110947.83</v>
      </c>
      <c r="G44" s="22">
        <f t="shared" si="6"/>
        <v>77108268.28</v>
      </c>
      <c r="H44" s="22">
        <f t="shared" si="6"/>
        <v>100496919.17999999</v>
      </c>
      <c r="I44" s="22">
        <f t="shared" si="6"/>
        <v>103908566.72</v>
      </c>
      <c r="J44" s="183">
        <f t="shared" si="6"/>
        <v>111523386.7</v>
      </c>
      <c r="K44" s="22">
        <f t="shared" si="6"/>
        <v>101626896.47</v>
      </c>
      <c r="L44" s="22">
        <f t="shared" si="6"/>
        <v>104591125.76</v>
      </c>
      <c r="M44" s="236" t="s">
        <v>47</v>
      </c>
      <c r="N44" s="224">
        <v>1</v>
      </c>
      <c r="O44" s="224">
        <v>1</v>
      </c>
      <c r="P44" s="224">
        <v>1</v>
      </c>
      <c r="Q44" s="224">
        <v>1</v>
      </c>
      <c r="R44" s="224">
        <v>1</v>
      </c>
      <c r="S44" s="224">
        <v>1</v>
      </c>
      <c r="T44" s="224">
        <v>1</v>
      </c>
      <c r="U44" s="233" t="s">
        <v>44</v>
      </c>
    </row>
    <row r="45" spans="1:21" ht="16.5" customHeight="1">
      <c r="A45" s="292"/>
      <c r="B45" s="286"/>
      <c r="C45" s="231"/>
      <c r="D45" s="248" t="s">
        <v>113</v>
      </c>
      <c r="E45" s="249"/>
      <c r="F45" s="249"/>
      <c r="G45" s="249"/>
      <c r="H45" s="249"/>
      <c r="I45" s="249"/>
      <c r="J45" s="249"/>
      <c r="K45" s="249"/>
      <c r="L45" s="250"/>
      <c r="M45" s="237"/>
      <c r="N45" s="225"/>
      <c r="O45" s="225"/>
      <c r="P45" s="225"/>
      <c r="Q45" s="225"/>
      <c r="R45" s="225"/>
      <c r="S45" s="225"/>
      <c r="T45" s="225"/>
      <c r="U45" s="234"/>
    </row>
    <row r="46" spans="1:21" ht="21" customHeight="1">
      <c r="A46" s="292"/>
      <c r="B46" s="286"/>
      <c r="C46" s="231"/>
      <c r="D46" s="21" t="s">
        <v>91</v>
      </c>
      <c r="E46" s="22">
        <f>F46+G46+H46+I46+J46+K46+L46</f>
        <v>682136358.51</v>
      </c>
      <c r="F46" s="23">
        <f>99968803-F52+1016650.83+232560+34977</f>
        <v>83110947.83</v>
      </c>
      <c r="G46" s="23">
        <v>77108268.28</v>
      </c>
      <c r="H46" s="23">
        <f>100923704.24-426785.06</f>
        <v>100496919.17999999</v>
      </c>
      <c r="I46" s="23">
        <f>101563041.91+2345524.81</f>
        <v>103908566.72</v>
      </c>
      <c r="J46" s="193">
        <f>7508072.73+36007770.69+10874346.74+51213866.06-72426.24-21872.72+94298.96+701397+3421058+1567123.05</f>
        <v>111293634.27</v>
      </c>
      <c r="K46" s="23">
        <f>4930726+33359254.82+10074494.95+53262420.7</f>
        <v>101626896.47</v>
      </c>
      <c r="L46" s="23">
        <f>4836076+34072298.18+10289834.05+55392917.53</f>
        <v>104591125.76</v>
      </c>
      <c r="M46" s="237"/>
      <c r="N46" s="225"/>
      <c r="O46" s="225"/>
      <c r="P46" s="225"/>
      <c r="Q46" s="225"/>
      <c r="R46" s="225"/>
      <c r="S46" s="225"/>
      <c r="T46" s="225"/>
      <c r="U46" s="234"/>
    </row>
    <row r="47" spans="1:21" ht="15" customHeight="1">
      <c r="A47" s="292"/>
      <c r="B47" s="286"/>
      <c r="C47" s="231"/>
      <c r="D47" s="21" t="s">
        <v>89</v>
      </c>
      <c r="E47" s="22">
        <f>F47+G47+H47+I47+J47+K47+L47</f>
        <v>229752.43</v>
      </c>
      <c r="F47" s="23"/>
      <c r="G47" s="23">
        <v>0</v>
      </c>
      <c r="H47" s="23">
        <v>0</v>
      </c>
      <c r="I47" s="23">
        <v>0</v>
      </c>
      <c r="J47" s="193">
        <v>229752.43</v>
      </c>
      <c r="K47" s="23">
        <v>0</v>
      </c>
      <c r="L47" s="23">
        <v>0</v>
      </c>
      <c r="M47" s="237"/>
      <c r="N47" s="225"/>
      <c r="O47" s="225"/>
      <c r="P47" s="225"/>
      <c r="Q47" s="225"/>
      <c r="R47" s="225"/>
      <c r="S47" s="225"/>
      <c r="T47" s="225"/>
      <c r="U47" s="234"/>
    </row>
    <row r="48" spans="1:21" ht="14.25" customHeight="1">
      <c r="A48" s="292"/>
      <c r="B48" s="286"/>
      <c r="C48" s="231"/>
      <c r="D48" s="21" t="s">
        <v>90</v>
      </c>
      <c r="E48" s="22">
        <f>F48+G48+H48+I48+J48+K48+L48</f>
        <v>0</v>
      </c>
      <c r="F48" s="23">
        <v>0</v>
      </c>
      <c r="G48" s="23">
        <v>0</v>
      </c>
      <c r="H48" s="23">
        <v>0</v>
      </c>
      <c r="I48" s="23">
        <v>0</v>
      </c>
      <c r="J48" s="193">
        <v>0</v>
      </c>
      <c r="K48" s="23">
        <v>0</v>
      </c>
      <c r="L48" s="23">
        <v>0</v>
      </c>
      <c r="M48" s="237"/>
      <c r="N48" s="225"/>
      <c r="O48" s="225"/>
      <c r="P48" s="225"/>
      <c r="Q48" s="225"/>
      <c r="R48" s="225"/>
      <c r="S48" s="225"/>
      <c r="T48" s="225"/>
      <c r="U48" s="234"/>
    </row>
    <row r="49" spans="1:21" ht="14.25" customHeight="1">
      <c r="A49" s="293"/>
      <c r="B49" s="287"/>
      <c r="C49" s="232"/>
      <c r="D49" s="21" t="s">
        <v>92</v>
      </c>
      <c r="E49" s="22">
        <f>F49+G49+H49+I49+J49+K49+L49</f>
        <v>0</v>
      </c>
      <c r="F49" s="23">
        <v>0</v>
      </c>
      <c r="G49" s="23">
        <v>0</v>
      </c>
      <c r="H49" s="23">
        <v>0</v>
      </c>
      <c r="I49" s="23">
        <v>0</v>
      </c>
      <c r="J49" s="193">
        <v>0</v>
      </c>
      <c r="K49" s="23">
        <v>0</v>
      </c>
      <c r="L49" s="23">
        <v>0</v>
      </c>
      <c r="M49" s="238"/>
      <c r="N49" s="226"/>
      <c r="O49" s="226"/>
      <c r="P49" s="226"/>
      <c r="Q49" s="226"/>
      <c r="R49" s="226"/>
      <c r="S49" s="226"/>
      <c r="T49" s="226"/>
      <c r="U49" s="235"/>
    </row>
    <row r="50" spans="1:21" ht="27" customHeight="1">
      <c r="A50" s="291" t="s">
        <v>141</v>
      </c>
      <c r="B50" s="285" t="s">
        <v>146</v>
      </c>
      <c r="C50" s="230" t="s">
        <v>78</v>
      </c>
      <c r="D50" s="21" t="s">
        <v>93</v>
      </c>
      <c r="E50" s="22">
        <f>E52+E53+E54+E55</f>
        <v>36194498.82</v>
      </c>
      <c r="F50" s="22">
        <f aca="true" t="shared" si="7" ref="F50:L50">F52+F53+F54+F55</f>
        <v>18142043</v>
      </c>
      <c r="G50" s="22">
        <f t="shared" si="7"/>
        <v>18052455.82</v>
      </c>
      <c r="H50" s="22">
        <f t="shared" si="7"/>
        <v>0</v>
      </c>
      <c r="I50" s="22">
        <f t="shared" si="7"/>
        <v>0</v>
      </c>
      <c r="J50" s="183">
        <f t="shared" si="7"/>
        <v>0</v>
      </c>
      <c r="K50" s="22">
        <f t="shared" si="7"/>
        <v>0</v>
      </c>
      <c r="L50" s="22">
        <f t="shared" si="7"/>
        <v>0</v>
      </c>
      <c r="M50" s="236" t="s">
        <v>3</v>
      </c>
      <c r="N50" s="227">
        <v>1</v>
      </c>
      <c r="O50" s="227">
        <v>1</v>
      </c>
      <c r="P50" s="227">
        <v>1</v>
      </c>
      <c r="Q50" s="227">
        <v>1</v>
      </c>
      <c r="R50" s="227">
        <v>1</v>
      </c>
      <c r="S50" s="227">
        <v>1</v>
      </c>
      <c r="T50" s="227">
        <v>1</v>
      </c>
      <c r="U50" s="233" t="s">
        <v>44</v>
      </c>
    </row>
    <row r="51" spans="1:21" ht="16.5" customHeight="1">
      <c r="A51" s="292"/>
      <c r="B51" s="286"/>
      <c r="C51" s="231"/>
      <c r="D51" s="248" t="s">
        <v>113</v>
      </c>
      <c r="E51" s="249"/>
      <c r="F51" s="249"/>
      <c r="G51" s="249"/>
      <c r="H51" s="249"/>
      <c r="I51" s="249"/>
      <c r="J51" s="249"/>
      <c r="K51" s="249"/>
      <c r="L51" s="250"/>
      <c r="M51" s="237"/>
      <c r="N51" s="228"/>
      <c r="O51" s="228"/>
      <c r="P51" s="228"/>
      <c r="Q51" s="228"/>
      <c r="R51" s="228"/>
      <c r="S51" s="228"/>
      <c r="T51" s="228"/>
      <c r="U51" s="234"/>
    </row>
    <row r="52" spans="1:21" ht="21" customHeight="1">
      <c r="A52" s="292"/>
      <c r="B52" s="286"/>
      <c r="C52" s="231"/>
      <c r="D52" s="21" t="s">
        <v>91</v>
      </c>
      <c r="E52" s="22">
        <f>F52+G52+H52+I52+J52+K52+L52</f>
        <v>36194498.82</v>
      </c>
      <c r="F52" s="23">
        <f>25282883.97+5371987-F83</f>
        <v>18142043</v>
      </c>
      <c r="G52" s="23">
        <f>22306936-3240730-1013750.18</f>
        <v>18052455.82</v>
      </c>
      <c r="H52" s="23">
        <v>0</v>
      </c>
      <c r="I52" s="23">
        <v>0</v>
      </c>
      <c r="J52" s="193">
        <f>I52</f>
        <v>0</v>
      </c>
      <c r="K52" s="23">
        <f>J52</f>
        <v>0</v>
      </c>
      <c r="L52" s="23">
        <f>K52</f>
        <v>0</v>
      </c>
      <c r="M52" s="237"/>
      <c r="N52" s="228"/>
      <c r="O52" s="228"/>
      <c r="P52" s="228"/>
      <c r="Q52" s="228"/>
      <c r="R52" s="228"/>
      <c r="S52" s="228"/>
      <c r="T52" s="228"/>
      <c r="U52" s="234"/>
    </row>
    <row r="53" spans="1:21" ht="15" customHeight="1">
      <c r="A53" s="292"/>
      <c r="B53" s="286"/>
      <c r="C53" s="231"/>
      <c r="D53" s="21" t="s">
        <v>89</v>
      </c>
      <c r="E53" s="22">
        <f>F53+G53+H53+I53+J53+K53+L53</f>
        <v>0</v>
      </c>
      <c r="F53" s="23"/>
      <c r="G53" s="23"/>
      <c r="H53" s="23"/>
      <c r="I53" s="23"/>
      <c r="J53" s="193"/>
      <c r="K53" s="23"/>
      <c r="L53" s="23"/>
      <c r="M53" s="237"/>
      <c r="N53" s="228"/>
      <c r="O53" s="228"/>
      <c r="P53" s="228"/>
      <c r="Q53" s="228"/>
      <c r="R53" s="228"/>
      <c r="S53" s="228"/>
      <c r="T53" s="228"/>
      <c r="U53" s="234"/>
    </row>
    <row r="54" spans="1:21" ht="14.25" customHeight="1">
      <c r="A54" s="292"/>
      <c r="B54" s="286"/>
      <c r="C54" s="231"/>
      <c r="D54" s="21" t="s">
        <v>90</v>
      </c>
      <c r="E54" s="22">
        <f>F54+G54+H54+I54+J54+K54+L54</f>
        <v>0</v>
      </c>
      <c r="F54" s="23"/>
      <c r="G54" s="23"/>
      <c r="H54" s="23"/>
      <c r="I54" s="23"/>
      <c r="J54" s="193"/>
      <c r="K54" s="23"/>
      <c r="L54" s="23"/>
      <c r="M54" s="237"/>
      <c r="N54" s="228"/>
      <c r="O54" s="228"/>
      <c r="P54" s="228"/>
      <c r="Q54" s="228"/>
      <c r="R54" s="228"/>
      <c r="S54" s="228"/>
      <c r="T54" s="228"/>
      <c r="U54" s="234"/>
    </row>
    <row r="55" spans="1:21" ht="12.75">
      <c r="A55" s="293"/>
      <c r="B55" s="287"/>
      <c r="C55" s="232"/>
      <c r="D55" s="21" t="s">
        <v>92</v>
      </c>
      <c r="E55" s="22">
        <f>F55+G55+H55+I55+J55+K55+L55</f>
        <v>0</v>
      </c>
      <c r="F55" s="23"/>
      <c r="G55" s="23"/>
      <c r="H55" s="23"/>
      <c r="I55" s="23"/>
      <c r="J55" s="193"/>
      <c r="K55" s="23"/>
      <c r="L55" s="23"/>
      <c r="M55" s="238"/>
      <c r="N55" s="229"/>
      <c r="O55" s="229"/>
      <c r="P55" s="229"/>
      <c r="Q55" s="229"/>
      <c r="R55" s="229"/>
      <c r="S55" s="229"/>
      <c r="T55" s="229"/>
      <c r="U55" s="235"/>
    </row>
    <row r="56" spans="1:21" ht="27" customHeight="1">
      <c r="A56" s="291" t="s">
        <v>142</v>
      </c>
      <c r="B56" s="285" t="s">
        <v>180</v>
      </c>
      <c r="C56" s="230" t="s">
        <v>78</v>
      </c>
      <c r="D56" s="21" t="s">
        <v>93</v>
      </c>
      <c r="E56" s="22">
        <f>E58+E59+E60+E61</f>
        <v>49893565.769999996</v>
      </c>
      <c r="F56" s="22">
        <f aca="true" t="shared" si="8" ref="F56:L56">F58+F59+F60+F61</f>
        <v>1131090</v>
      </c>
      <c r="G56" s="22">
        <f t="shared" si="8"/>
        <v>5540424.87</v>
      </c>
      <c r="H56" s="22">
        <f t="shared" si="8"/>
        <v>7199353.0200000005</v>
      </c>
      <c r="I56" s="22">
        <f t="shared" si="8"/>
        <v>7526937.95</v>
      </c>
      <c r="J56" s="183">
        <f t="shared" si="8"/>
        <v>9356829.93</v>
      </c>
      <c r="K56" s="22">
        <f t="shared" si="8"/>
        <v>9190864</v>
      </c>
      <c r="L56" s="22">
        <f t="shared" si="8"/>
        <v>9948066</v>
      </c>
      <c r="M56" s="236" t="s">
        <v>264</v>
      </c>
      <c r="N56" s="227">
        <v>1</v>
      </c>
      <c r="O56" s="227">
        <v>1</v>
      </c>
      <c r="P56" s="227">
        <v>1</v>
      </c>
      <c r="Q56" s="227">
        <v>100</v>
      </c>
      <c r="R56" s="227">
        <v>100</v>
      </c>
      <c r="S56" s="227">
        <v>100</v>
      </c>
      <c r="T56" s="227">
        <v>100</v>
      </c>
      <c r="U56" s="233" t="s">
        <v>44</v>
      </c>
    </row>
    <row r="57" spans="1:21" ht="16.5" customHeight="1">
      <c r="A57" s="292"/>
      <c r="B57" s="286"/>
      <c r="C57" s="231"/>
      <c r="D57" s="248" t="s">
        <v>113</v>
      </c>
      <c r="E57" s="249"/>
      <c r="F57" s="249"/>
      <c r="G57" s="249"/>
      <c r="H57" s="249"/>
      <c r="I57" s="249"/>
      <c r="J57" s="249"/>
      <c r="K57" s="249"/>
      <c r="L57" s="250"/>
      <c r="M57" s="237"/>
      <c r="N57" s="228"/>
      <c r="O57" s="228"/>
      <c r="P57" s="228"/>
      <c r="Q57" s="228"/>
      <c r="R57" s="228"/>
      <c r="S57" s="228"/>
      <c r="T57" s="228"/>
      <c r="U57" s="234"/>
    </row>
    <row r="58" spans="1:21" ht="21" customHeight="1">
      <c r="A58" s="292"/>
      <c r="B58" s="286"/>
      <c r="C58" s="231"/>
      <c r="D58" s="21" t="s">
        <v>91</v>
      </c>
      <c r="E58" s="22">
        <f>F58+G58+H58+I58+J58+K58+L58</f>
        <v>39537221.65</v>
      </c>
      <c r="F58" s="23"/>
      <c r="G58" s="23">
        <f>4863632.5+11816.5-243772.44-200421.93</f>
        <v>4431254.63</v>
      </c>
      <c r="H58" s="23">
        <f>5326428.04-685472.64+834349.99+426785.06</f>
        <v>5902090.45</v>
      </c>
      <c r="I58" s="23">
        <f>6857011-617641.43</f>
        <v>6239369.57</v>
      </c>
      <c r="J58" s="193">
        <f>8082526-480000</f>
        <v>7602526</v>
      </c>
      <c r="K58" s="23">
        <v>7331266</v>
      </c>
      <c r="L58" s="23">
        <v>8030715</v>
      </c>
      <c r="M58" s="237"/>
      <c r="N58" s="228"/>
      <c r="O58" s="228"/>
      <c r="P58" s="228"/>
      <c r="Q58" s="228"/>
      <c r="R58" s="228"/>
      <c r="S58" s="228"/>
      <c r="T58" s="228"/>
      <c r="U58" s="234"/>
    </row>
    <row r="59" spans="1:21" ht="15" customHeight="1">
      <c r="A59" s="292"/>
      <c r="B59" s="286"/>
      <c r="C59" s="231"/>
      <c r="D59" s="21" t="s">
        <v>89</v>
      </c>
      <c r="E59" s="22">
        <f>F59+G59+H59+I59+J59+K59+L59</f>
        <v>10356344.120000001</v>
      </c>
      <c r="F59" s="23">
        <v>1131090</v>
      </c>
      <c r="G59" s="23">
        <f>5385+1103785.24</f>
        <v>1109170.24</v>
      </c>
      <c r="H59" s="23">
        <f>1240+1294282+1740.57</f>
        <v>1297262.57</v>
      </c>
      <c r="I59" s="23">
        <f>3548.08+1356665.96+1415.92+417034.04-491095.62</f>
        <v>1287568.38</v>
      </c>
      <c r="J59" s="193">
        <f>3936+1799691-49323.07</f>
        <v>1754303.93</v>
      </c>
      <c r="K59" s="23">
        <f>4436+1855162</f>
        <v>1859598</v>
      </c>
      <c r="L59" s="23">
        <f>4936+1912415</f>
        <v>1917351</v>
      </c>
      <c r="M59" s="237"/>
      <c r="N59" s="228"/>
      <c r="O59" s="228"/>
      <c r="P59" s="228"/>
      <c r="Q59" s="228"/>
      <c r="R59" s="228"/>
      <c r="S59" s="228"/>
      <c r="T59" s="228"/>
      <c r="U59" s="234"/>
    </row>
    <row r="60" spans="1:21" ht="14.25" customHeight="1">
      <c r="A60" s="292"/>
      <c r="B60" s="286"/>
      <c r="C60" s="231"/>
      <c r="D60" s="21" t="s">
        <v>90</v>
      </c>
      <c r="E60" s="22">
        <f>F60+G60+H60+I60+J60+K60+L60</f>
        <v>0</v>
      </c>
      <c r="F60" s="23"/>
      <c r="G60" s="23"/>
      <c r="H60" s="23"/>
      <c r="I60" s="23"/>
      <c r="J60" s="193"/>
      <c r="K60" s="23"/>
      <c r="L60" s="23"/>
      <c r="M60" s="237"/>
      <c r="N60" s="228"/>
      <c r="O60" s="228"/>
      <c r="P60" s="228"/>
      <c r="Q60" s="228"/>
      <c r="R60" s="228"/>
      <c r="S60" s="228"/>
      <c r="T60" s="228"/>
      <c r="U60" s="234"/>
    </row>
    <row r="61" spans="1:21" ht="12.75">
      <c r="A61" s="293"/>
      <c r="B61" s="287"/>
      <c r="C61" s="232"/>
      <c r="D61" s="21" t="s">
        <v>92</v>
      </c>
      <c r="E61" s="22">
        <f>F61+G61+H61+I61+J61+K61+L61</f>
        <v>0</v>
      </c>
      <c r="F61" s="23"/>
      <c r="G61" s="23"/>
      <c r="H61" s="23"/>
      <c r="I61" s="23"/>
      <c r="J61" s="193"/>
      <c r="K61" s="23"/>
      <c r="L61" s="23"/>
      <c r="M61" s="238"/>
      <c r="N61" s="229"/>
      <c r="O61" s="229"/>
      <c r="P61" s="229"/>
      <c r="Q61" s="229"/>
      <c r="R61" s="229"/>
      <c r="S61" s="229"/>
      <c r="T61" s="229"/>
      <c r="U61" s="235"/>
    </row>
    <row r="62" spans="1:21" ht="27" customHeight="1">
      <c r="A62" s="291" t="s">
        <v>195</v>
      </c>
      <c r="B62" s="285" t="s">
        <v>139</v>
      </c>
      <c r="C62" s="230" t="s">
        <v>78</v>
      </c>
      <c r="D62" s="21" t="s">
        <v>93</v>
      </c>
      <c r="E62" s="22">
        <f>E64+E65+E66+E67</f>
        <v>11123961.190000001</v>
      </c>
      <c r="F62" s="22">
        <f aca="true" t="shared" si="9" ref="F62:L62">F64+F65+F66+F67</f>
        <v>862705</v>
      </c>
      <c r="G62" s="22">
        <f t="shared" si="9"/>
        <v>1413208.07</v>
      </c>
      <c r="H62" s="22">
        <f t="shared" si="9"/>
        <v>1573000</v>
      </c>
      <c r="I62" s="22">
        <f t="shared" si="9"/>
        <v>1725048.12</v>
      </c>
      <c r="J62" s="183">
        <f t="shared" si="9"/>
        <v>1850000</v>
      </c>
      <c r="K62" s="22">
        <f t="shared" si="9"/>
        <v>1850000</v>
      </c>
      <c r="L62" s="22">
        <f t="shared" si="9"/>
        <v>1850000</v>
      </c>
      <c r="M62" s="236" t="s">
        <v>51</v>
      </c>
      <c r="N62" s="227">
        <v>1</v>
      </c>
      <c r="O62" s="227">
        <v>1</v>
      </c>
      <c r="P62" s="227">
        <v>1</v>
      </c>
      <c r="Q62" s="227">
        <v>1</v>
      </c>
      <c r="R62" s="227">
        <v>1</v>
      </c>
      <c r="S62" s="227">
        <v>1</v>
      </c>
      <c r="T62" s="227">
        <v>1</v>
      </c>
      <c r="U62" s="233" t="s">
        <v>44</v>
      </c>
    </row>
    <row r="63" spans="1:21" ht="16.5" customHeight="1">
      <c r="A63" s="292"/>
      <c r="B63" s="286"/>
      <c r="C63" s="231"/>
      <c r="D63" s="248" t="s">
        <v>113</v>
      </c>
      <c r="E63" s="249"/>
      <c r="F63" s="249"/>
      <c r="G63" s="249"/>
      <c r="H63" s="249"/>
      <c r="I63" s="249"/>
      <c r="J63" s="249"/>
      <c r="K63" s="249"/>
      <c r="L63" s="250"/>
      <c r="M63" s="237"/>
      <c r="N63" s="228"/>
      <c r="O63" s="228"/>
      <c r="P63" s="228"/>
      <c r="Q63" s="228"/>
      <c r="R63" s="228"/>
      <c r="S63" s="228"/>
      <c r="T63" s="228"/>
      <c r="U63" s="234"/>
    </row>
    <row r="64" spans="1:21" ht="21" customHeight="1">
      <c r="A64" s="292"/>
      <c r="B64" s="286"/>
      <c r="C64" s="231"/>
      <c r="D64" s="21" t="s">
        <v>91</v>
      </c>
      <c r="E64" s="22">
        <f>F64+G64+H64+I64+J64+K64+L64</f>
        <v>0</v>
      </c>
      <c r="F64" s="23"/>
      <c r="G64" s="23"/>
      <c r="H64" s="23"/>
      <c r="I64" s="23"/>
      <c r="J64" s="193"/>
      <c r="K64" s="23"/>
      <c r="L64" s="23"/>
      <c r="M64" s="237"/>
      <c r="N64" s="228"/>
      <c r="O64" s="228"/>
      <c r="P64" s="228"/>
      <c r="Q64" s="228"/>
      <c r="R64" s="228"/>
      <c r="S64" s="228"/>
      <c r="T64" s="228"/>
      <c r="U64" s="234"/>
    </row>
    <row r="65" spans="1:21" ht="15" customHeight="1">
      <c r="A65" s="292"/>
      <c r="B65" s="286"/>
      <c r="C65" s="231"/>
      <c r="D65" s="21" t="s">
        <v>89</v>
      </c>
      <c r="E65" s="22">
        <f>F65+G65+H65+I65+J65+K65+L65</f>
        <v>0</v>
      </c>
      <c r="F65" s="23"/>
      <c r="G65" s="23"/>
      <c r="H65" s="23"/>
      <c r="I65" s="23"/>
      <c r="J65" s="193"/>
      <c r="K65" s="23"/>
      <c r="L65" s="23"/>
      <c r="M65" s="237"/>
      <c r="N65" s="228"/>
      <c r="O65" s="228"/>
      <c r="P65" s="228"/>
      <c r="Q65" s="228"/>
      <c r="R65" s="228"/>
      <c r="S65" s="228"/>
      <c r="T65" s="228"/>
      <c r="U65" s="234"/>
    </row>
    <row r="66" spans="1:21" ht="14.25" customHeight="1">
      <c r="A66" s="292"/>
      <c r="B66" s="286"/>
      <c r="C66" s="231"/>
      <c r="D66" s="21" t="s">
        <v>90</v>
      </c>
      <c r="E66" s="22">
        <f>F66+G66+H66+I66+J66+K66+L66</f>
        <v>0</v>
      </c>
      <c r="F66" s="23"/>
      <c r="G66" s="23"/>
      <c r="H66" s="23"/>
      <c r="I66" s="23"/>
      <c r="J66" s="193"/>
      <c r="K66" s="23"/>
      <c r="L66" s="23"/>
      <c r="M66" s="237"/>
      <c r="N66" s="228"/>
      <c r="O66" s="228"/>
      <c r="P66" s="228"/>
      <c r="Q66" s="228"/>
      <c r="R66" s="228"/>
      <c r="S66" s="228"/>
      <c r="T66" s="228"/>
      <c r="U66" s="234"/>
    </row>
    <row r="67" spans="1:21" ht="12.75" customHeight="1">
      <c r="A67" s="293"/>
      <c r="B67" s="287"/>
      <c r="C67" s="232"/>
      <c r="D67" s="21" t="s">
        <v>92</v>
      </c>
      <c r="E67" s="22">
        <f>F67+G67+H67+I67+J67+K67+L67</f>
        <v>11123961.190000001</v>
      </c>
      <c r="F67" s="23">
        <f>1403705-541000</f>
        <v>862705</v>
      </c>
      <c r="G67" s="23">
        <v>1413208.07</v>
      </c>
      <c r="H67" s="23">
        <v>1573000</v>
      </c>
      <c r="I67" s="23">
        <f>800000+925048.12</f>
        <v>1725048.12</v>
      </c>
      <c r="J67" s="193">
        <v>1850000</v>
      </c>
      <c r="K67" s="23">
        <v>1850000</v>
      </c>
      <c r="L67" s="23">
        <v>1850000</v>
      </c>
      <c r="M67" s="238"/>
      <c r="N67" s="229"/>
      <c r="O67" s="229"/>
      <c r="P67" s="229"/>
      <c r="Q67" s="229"/>
      <c r="R67" s="229"/>
      <c r="S67" s="229"/>
      <c r="T67" s="229"/>
      <c r="U67" s="235"/>
    </row>
    <row r="68" spans="1:21" ht="13.5" customHeight="1">
      <c r="A68" s="302"/>
      <c r="B68" s="305" t="s">
        <v>152</v>
      </c>
      <c r="C68" s="302"/>
      <c r="D68" s="101" t="s">
        <v>93</v>
      </c>
      <c r="E68" s="102">
        <f aca="true" t="shared" si="10" ref="E68:L68">E70+E71+E72+E73</f>
        <v>3291785920.93</v>
      </c>
      <c r="F68" s="102">
        <f t="shared" si="10"/>
        <v>407698429.83</v>
      </c>
      <c r="G68" s="102">
        <f t="shared" si="10"/>
        <v>416794756.04</v>
      </c>
      <c r="H68" s="102">
        <f t="shared" si="10"/>
        <v>436709723.71</v>
      </c>
      <c r="I68" s="102">
        <f t="shared" si="10"/>
        <v>464702860.58000004</v>
      </c>
      <c r="J68" s="191">
        <f t="shared" si="10"/>
        <v>508431697.47</v>
      </c>
      <c r="K68" s="102">
        <f t="shared" si="10"/>
        <v>518023525.73</v>
      </c>
      <c r="L68" s="102">
        <f t="shared" si="10"/>
        <v>539424927.57</v>
      </c>
      <c r="M68" s="253"/>
      <c r="N68" s="239"/>
      <c r="O68" s="239"/>
      <c r="P68" s="239"/>
      <c r="Q68" s="239"/>
      <c r="R68" s="239"/>
      <c r="S68" s="239"/>
      <c r="T68" s="239"/>
      <c r="U68" s="308"/>
    </row>
    <row r="69" spans="1:21" ht="12.75" customHeight="1">
      <c r="A69" s="303"/>
      <c r="B69" s="306"/>
      <c r="C69" s="303"/>
      <c r="D69" s="256" t="s">
        <v>113</v>
      </c>
      <c r="E69" s="257"/>
      <c r="F69" s="257"/>
      <c r="G69" s="257"/>
      <c r="H69" s="257"/>
      <c r="I69" s="257"/>
      <c r="J69" s="257"/>
      <c r="K69" s="257"/>
      <c r="L69" s="258"/>
      <c r="M69" s="254"/>
      <c r="N69" s="240"/>
      <c r="O69" s="240"/>
      <c r="P69" s="240"/>
      <c r="Q69" s="240"/>
      <c r="R69" s="240"/>
      <c r="S69" s="240"/>
      <c r="T69" s="240"/>
      <c r="U69" s="309"/>
    </row>
    <row r="70" spans="1:21" ht="13.5" customHeight="1">
      <c r="A70" s="303"/>
      <c r="B70" s="306"/>
      <c r="C70" s="303"/>
      <c r="D70" s="103" t="s">
        <v>91</v>
      </c>
      <c r="E70" s="102">
        <f>F70+G70+H70+I70+J70+K70+L70</f>
        <v>758132817.51</v>
      </c>
      <c r="F70" s="104">
        <f>F10+F16+F22+F28+F34+F40+F46+F64+F52+F58</f>
        <v>101252990.83</v>
      </c>
      <c r="G70" s="104">
        <f>G58+G52+G46+G40+G34+G28+G22+G16+G10</f>
        <v>99591978.73</v>
      </c>
      <c r="H70" s="104">
        <f>H10+H16+H22+H28+H34+H40+H46+H64+H52+H58</f>
        <v>106423652.14</v>
      </c>
      <c r="I70" s="104">
        <f>I10+I16+I22+I28+I34+I40+I46+I64+I52+I58</f>
        <v>110173512.38</v>
      </c>
      <c r="J70" s="192">
        <f>J10+J16+J22+J28+J34+J40+J46+J64+J52+J58</f>
        <v>118991544.49</v>
      </c>
      <c r="K70" s="104">
        <f>K10+K16+K22+K28+K34+K40+K46+K64+K52+K58</f>
        <v>109016963.46</v>
      </c>
      <c r="L70" s="104">
        <f>L10+L16+L22+L28+L34+L40+L46+L64+L52+L58</f>
        <v>112682175.48</v>
      </c>
      <c r="M70" s="254"/>
      <c r="N70" s="240"/>
      <c r="O70" s="240"/>
      <c r="P70" s="240"/>
      <c r="Q70" s="240"/>
      <c r="R70" s="240"/>
      <c r="S70" s="240"/>
      <c r="T70" s="240"/>
      <c r="U70" s="309"/>
    </row>
    <row r="71" spans="1:21" ht="13.5" customHeight="1">
      <c r="A71" s="303"/>
      <c r="B71" s="306"/>
      <c r="C71" s="303"/>
      <c r="D71" s="103" t="s">
        <v>89</v>
      </c>
      <c r="E71" s="102">
        <f>F71+G71+H71+I71+J71+K71+L71</f>
        <v>2522529142.23</v>
      </c>
      <c r="F71" s="104">
        <f aca="true" t="shared" si="11" ref="F71:L73">F11+F17+F23+F29+F35+F41+F47+F65+F53+F59</f>
        <v>305582734</v>
      </c>
      <c r="G71" s="104">
        <f t="shared" si="11"/>
        <v>315789569.24</v>
      </c>
      <c r="H71" s="104">
        <f t="shared" si="11"/>
        <v>328713071.57</v>
      </c>
      <c r="I71" s="104">
        <f t="shared" si="11"/>
        <v>352804300.08000004</v>
      </c>
      <c r="J71" s="192">
        <f t="shared" si="11"/>
        <v>387590152.98</v>
      </c>
      <c r="K71" s="104">
        <f t="shared" si="11"/>
        <v>407156562.27000004</v>
      </c>
      <c r="L71" s="104">
        <f t="shared" si="11"/>
        <v>424892752.09000003</v>
      </c>
      <c r="M71" s="254"/>
      <c r="N71" s="240"/>
      <c r="O71" s="240"/>
      <c r="P71" s="240"/>
      <c r="Q71" s="240"/>
      <c r="R71" s="240"/>
      <c r="S71" s="240"/>
      <c r="T71" s="240"/>
      <c r="U71" s="309"/>
    </row>
    <row r="72" spans="1:21" ht="13.5" customHeight="1">
      <c r="A72" s="303"/>
      <c r="B72" s="306"/>
      <c r="C72" s="303"/>
      <c r="D72" s="103" t="s">
        <v>90</v>
      </c>
      <c r="E72" s="102">
        <f>F72+G72+H72+I72+J72+K72+L72</f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92">
        <f t="shared" si="11"/>
        <v>0</v>
      </c>
      <c r="K72" s="104">
        <f t="shared" si="11"/>
        <v>0</v>
      </c>
      <c r="L72" s="104">
        <f t="shared" si="11"/>
        <v>0</v>
      </c>
      <c r="M72" s="254"/>
      <c r="N72" s="240"/>
      <c r="O72" s="240"/>
      <c r="P72" s="240"/>
      <c r="Q72" s="240"/>
      <c r="R72" s="240"/>
      <c r="S72" s="240"/>
      <c r="T72" s="240"/>
      <c r="U72" s="309"/>
    </row>
    <row r="73" spans="1:21" ht="13.5" customHeight="1">
      <c r="A73" s="304"/>
      <c r="B73" s="307"/>
      <c r="C73" s="304"/>
      <c r="D73" s="103" t="s">
        <v>92</v>
      </c>
      <c r="E73" s="102">
        <f>F73+G73+H73+I73+J73+K73+L73</f>
        <v>11123961.190000001</v>
      </c>
      <c r="F73" s="104">
        <f t="shared" si="11"/>
        <v>862705</v>
      </c>
      <c r="G73" s="104">
        <f t="shared" si="11"/>
        <v>1413208.07</v>
      </c>
      <c r="H73" s="104">
        <f t="shared" si="11"/>
        <v>1573000</v>
      </c>
      <c r="I73" s="104">
        <f t="shared" si="11"/>
        <v>1725048.12</v>
      </c>
      <c r="J73" s="192">
        <f t="shared" si="11"/>
        <v>1850000</v>
      </c>
      <c r="K73" s="104">
        <f t="shared" si="11"/>
        <v>1850000</v>
      </c>
      <c r="L73" s="104">
        <f t="shared" si="11"/>
        <v>1850000</v>
      </c>
      <c r="M73" s="255"/>
      <c r="N73" s="241"/>
      <c r="O73" s="241"/>
      <c r="P73" s="241"/>
      <c r="Q73" s="241"/>
      <c r="R73" s="241"/>
      <c r="S73" s="241"/>
      <c r="T73" s="241"/>
      <c r="U73" s="310"/>
    </row>
    <row r="74" spans="1:21" ht="12.75">
      <c r="A74" s="20">
        <v>2</v>
      </c>
      <c r="B74" s="267" t="s">
        <v>34</v>
      </c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9"/>
    </row>
    <row r="75" spans="1:21" ht="12.75" customHeight="1">
      <c r="A75" s="282" t="s">
        <v>127</v>
      </c>
      <c r="B75" s="285" t="s">
        <v>143</v>
      </c>
      <c r="C75" s="230" t="s">
        <v>78</v>
      </c>
      <c r="D75" s="21" t="s">
        <v>93</v>
      </c>
      <c r="E75" s="22">
        <f>E77+E78+E79+E80</f>
        <v>1397594607.71</v>
      </c>
      <c r="F75" s="22">
        <f aca="true" t="shared" si="12" ref="F75:L75">F77+F78+F79+F80</f>
        <v>168802759.17</v>
      </c>
      <c r="G75" s="22">
        <f t="shared" si="12"/>
        <v>175694783.6</v>
      </c>
      <c r="H75" s="22">
        <f t="shared" si="12"/>
        <v>198785017.62</v>
      </c>
      <c r="I75" s="22">
        <f t="shared" si="12"/>
        <v>206451978.6</v>
      </c>
      <c r="J75" s="183">
        <f t="shared" si="12"/>
        <v>232705994.43999997</v>
      </c>
      <c r="K75" s="22">
        <f t="shared" si="12"/>
        <v>206242390.80999997</v>
      </c>
      <c r="L75" s="22">
        <f t="shared" si="12"/>
        <v>208911683.47</v>
      </c>
      <c r="M75" s="236" t="s">
        <v>48</v>
      </c>
      <c r="N75" s="224">
        <v>100</v>
      </c>
      <c r="O75" s="224">
        <v>100</v>
      </c>
      <c r="P75" s="224">
        <v>100</v>
      </c>
      <c r="Q75" s="224">
        <v>100</v>
      </c>
      <c r="R75" s="224">
        <v>100</v>
      </c>
      <c r="S75" s="224">
        <v>100</v>
      </c>
      <c r="T75" s="224">
        <v>100</v>
      </c>
      <c r="U75" s="233" t="s">
        <v>49</v>
      </c>
    </row>
    <row r="76" spans="1:21" ht="12.75">
      <c r="A76" s="283"/>
      <c r="B76" s="286"/>
      <c r="C76" s="231"/>
      <c r="D76" s="248" t="s">
        <v>113</v>
      </c>
      <c r="E76" s="249"/>
      <c r="F76" s="249"/>
      <c r="G76" s="249"/>
      <c r="H76" s="249"/>
      <c r="I76" s="249"/>
      <c r="J76" s="249"/>
      <c r="K76" s="249"/>
      <c r="L76" s="250"/>
      <c r="M76" s="237"/>
      <c r="N76" s="225"/>
      <c r="O76" s="225"/>
      <c r="P76" s="225"/>
      <c r="Q76" s="225"/>
      <c r="R76" s="225"/>
      <c r="S76" s="225"/>
      <c r="T76" s="225"/>
      <c r="U76" s="234"/>
    </row>
    <row r="77" spans="1:21" ht="12.75">
      <c r="A77" s="283"/>
      <c r="B77" s="286"/>
      <c r="C77" s="231"/>
      <c r="D77" s="21" t="s">
        <v>91</v>
      </c>
      <c r="E77" s="22">
        <f>F77+G77+H77+I77+J77+K77+L77</f>
        <v>1354529968.07</v>
      </c>
      <c r="F77" s="23">
        <f>165597360+718349.17</f>
        <v>166315709.17</v>
      </c>
      <c r="G77" s="23">
        <v>173318773.6</v>
      </c>
      <c r="H77" s="23">
        <f>199958653.01+2667060.51-2989805.55-2568514.42-1083433.26-157292.67</f>
        <v>195826667.62</v>
      </c>
      <c r="I77" s="23">
        <f>111782201.11+89268288.89+1792820.87+1165529.13-4100000+3429.75+4001.37</f>
        <v>199916271.12</v>
      </c>
      <c r="J77" s="193">
        <f>8329743.96+61342036.36+18525294.98+23853361.21+4566371.1+5728896.05+50191170.6+15157733.52+18605451.9+2968894.73+67112.96-1329758.56-401587.08-1248509.33-377049.82+1731345.64+1625559.15+110000+6754032+1781600</f>
        <v>217981699.36999997</v>
      </c>
      <c r="K77" s="23">
        <f>7963188.51+56688179.89+17119830.32+24807495.66+4566371.1+5475256.14+46409543.16+14015682.05+19349669.97+2968894.73+40893.9</f>
        <v>199405005.42999998</v>
      </c>
      <c r="L77" s="23">
        <f>7615511.84+57189214.3+17271142.72+25799795.48+4566371.1+5234298.22+46816673.35+14138635.36+20123656.77+2968894.73+41647.89</f>
        <v>201765841.76</v>
      </c>
      <c r="M77" s="237"/>
      <c r="N77" s="225"/>
      <c r="O77" s="225"/>
      <c r="P77" s="225"/>
      <c r="Q77" s="225"/>
      <c r="R77" s="225"/>
      <c r="S77" s="225"/>
      <c r="T77" s="225"/>
      <c r="U77" s="234"/>
    </row>
    <row r="78" spans="1:21" ht="12.75">
      <c r="A78" s="283"/>
      <c r="B78" s="286"/>
      <c r="C78" s="231"/>
      <c r="D78" s="21" t="s">
        <v>89</v>
      </c>
      <c r="E78" s="22">
        <f>F78+G78+H78+I78+J78+K78+L78</f>
        <v>43064639.64</v>
      </c>
      <c r="F78" s="23">
        <v>2487050</v>
      </c>
      <c r="G78" s="23">
        <v>2376010</v>
      </c>
      <c r="H78" s="23">
        <f>2958350</f>
        <v>2958350</v>
      </c>
      <c r="I78" s="23">
        <f>3340006.54+2505004.9+65165.16+76026.03+549504.85</f>
        <v>6535707.4799999995</v>
      </c>
      <c r="J78" s="193">
        <f>3646634.3+2735294.81+163515.76+4218295.58+3960554.62</f>
        <v>14724295.07</v>
      </c>
      <c r="K78" s="23">
        <f>2887799.82+3849950.58+99634.98</f>
        <v>6837385.380000001</v>
      </c>
      <c r="L78" s="23">
        <f>3019216.86+4025152.86+101471.99</f>
        <v>7145841.71</v>
      </c>
      <c r="M78" s="237"/>
      <c r="N78" s="225"/>
      <c r="O78" s="225"/>
      <c r="P78" s="225"/>
      <c r="Q78" s="225"/>
      <c r="R78" s="225"/>
      <c r="S78" s="225"/>
      <c r="T78" s="225"/>
      <c r="U78" s="234"/>
    </row>
    <row r="79" spans="1:21" ht="12.75">
      <c r="A79" s="283"/>
      <c r="B79" s="286"/>
      <c r="C79" s="231"/>
      <c r="D79" s="21" t="s">
        <v>90</v>
      </c>
      <c r="E79" s="22">
        <f>F79+G79+H79+I79+J79+K79+L79</f>
        <v>0</v>
      </c>
      <c r="F79" s="23"/>
      <c r="G79" s="23"/>
      <c r="H79" s="23"/>
      <c r="I79" s="23"/>
      <c r="J79" s="193"/>
      <c r="K79" s="23"/>
      <c r="L79" s="23"/>
      <c r="M79" s="237"/>
      <c r="N79" s="225"/>
      <c r="O79" s="225"/>
      <c r="P79" s="225"/>
      <c r="Q79" s="225"/>
      <c r="R79" s="225"/>
      <c r="S79" s="225"/>
      <c r="T79" s="225"/>
      <c r="U79" s="234"/>
    </row>
    <row r="80" spans="1:21" ht="12.75">
      <c r="A80" s="284"/>
      <c r="B80" s="287"/>
      <c r="C80" s="232"/>
      <c r="D80" s="21" t="s">
        <v>92</v>
      </c>
      <c r="E80" s="22">
        <f>F80+G80+H80+I80+J80+K80+L80</f>
        <v>0</v>
      </c>
      <c r="F80" s="23"/>
      <c r="G80" s="23"/>
      <c r="H80" s="23"/>
      <c r="I80" s="23"/>
      <c r="J80" s="193"/>
      <c r="K80" s="23"/>
      <c r="L80" s="23"/>
      <c r="M80" s="238"/>
      <c r="N80" s="226"/>
      <c r="O80" s="226"/>
      <c r="P80" s="226"/>
      <c r="Q80" s="226"/>
      <c r="R80" s="226"/>
      <c r="S80" s="226"/>
      <c r="T80" s="226"/>
      <c r="U80" s="235"/>
    </row>
    <row r="81" spans="1:21" ht="12.75" customHeight="1">
      <c r="A81" s="282" t="s">
        <v>128</v>
      </c>
      <c r="B81" s="285" t="s">
        <v>144</v>
      </c>
      <c r="C81" s="230" t="s">
        <v>78</v>
      </c>
      <c r="D81" s="21" t="s">
        <v>93</v>
      </c>
      <c r="E81" s="22">
        <f>E83+E84+E85+E86</f>
        <v>25470557.270000003</v>
      </c>
      <c r="F81" s="22">
        <f aca="true" t="shared" si="13" ref="F81:L81">F83+F84+F85+F86</f>
        <v>12512827.97</v>
      </c>
      <c r="G81" s="22">
        <f t="shared" si="13"/>
        <v>12957729.3</v>
      </c>
      <c r="H81" s="22">
        <f t="shared" si="13"/>
        <v>0</v>
      </c>
      <c r="I81" s="22">
        <f t="shared" si="13"/>
        <v>0</v>
      </c>
      <c r="J81" s="183">
        <f t="shared" si="13"/>
        <v>0</v>
      </c>
      <c r="K81" s="22">
        <f t="shared" si="13"/>
        <v>0</v>
      </c>
      <c r="L81" s="22">
        <f t="shared" si="13"/>
        <v>0</v>
      </c>
      <c r="M81" s="236" t="s">
        <v>3</v>
      </c>
      <c r="N81" s="227">
        <v>1</v>
      </c>
      <c r="O81" s="227">
        <v>1</v>
      </c>
      <c r="P81" s="227">
        <v>1</v>
      </c>
      <c r="Q81" s="227">
        <v>1</v>
      </c>
      <c r="R81" s="227">
        <v>1</v>
      </c>
      <c r="S81" s="227">
        <v>1</v>
      </c>
      <c r="T81" s="227">
        <v>1</v>
      </c>
      <c r="U81" s="233" t="s">
        <v>49</v>
      </c>
    </row>
    <row r="82" spans="1:21" ht="12.75">
      <c r="A82" s="283"/>
      <c r="B82" s="286"/>
      <c r="C82" s="231"/>
      <c r="D82" s="248" t="s">
        <v>113</v>
      </c>
      <c r="E82" s="249"/>
      <c r="F82" s="249"/>
      <c r="G82" s="249"/>
      <c r="H82" s="249"/>
      <c r="I82" s="249"/>
      <c r="J82" s="249"/>
      <c r="K82" s="249"/>
      <c r="L82" s="250"/>
      <c r="M82" s="237"/>
      <c r="N82" s="228"/>
      <c r="O82" s="228"/>
      <c r="P82" s="228"/>
      <c r="Q82" s="228"/>
      <c r="R82" s="228"/>
      <c r="S82" s="228"/>
      <c r="T82" s="228"/>
      <c r="U82" s="234"/>
    </row>
    <row r="83" spans="1:21" ht="12.75">
      <c r="A83" s="283"/>
      <c r="B83" s="286"/>
      <c r="C83" s="231"/>
      <c r="D83" s="21" t="s">
        <v>91</v>
      </c>
      <c r="E83" s="22">
        <f>F83+G83+H83+I83+J83+K83+L83</f>
        <v>25470557.270000003</v>
      </c>
      <c r="F83" s="23">
        <v>12512827.97</v>
      </c>
      <c r="G83" s="23">
        <f>13685381-727651.7</f>
        <v>12957729.3</v>
      </c>
      <c r="H83" s="23">
        <v>0</v>
      </c>
      <c r="I83" s="23">
        <v>0</v>
      </c>
      <c r="J83" s="193">
        <f>I83</f>
        <v>0</v>
      </c>
      <c r="K83" s="23">
        <f>J83</f>
        <v>0</v>
      </c>
      <c r="L83" s="23">
        <f>K83</f>
        <v>0</v>
      </c>
      <c r="M83" s="237"/>
      <c r="N83" s="228"/>
      <c r="O83" s="228"/>
      <c r="P83" s="228"/>
      <c r="Q83" s="228"/>
      <c r="R83" s="228"/>
      <c r="S83" s="228"/>
      <c r="T83" s="228"/>
      <c r="U83" s="234"/>
    </row>
    <row r="84" spans="1:21" ht="12.75">
      <c r="A84" s="283"/>
      <c r="B84" s="286"/>
      <c r="C84" s="231"/>
      <c r="D84" s="21" t="s">
        <v>89</v>
      </c>
      <c r="E84" s="22">
        <f>F84+G84+H84+I84+J84+K84+L84</f>
        <v>0</v>
      </c>
      <c r="F84" s="23"/>
      <c r="G84" s="23"/>
      <c r="H84" s="23"/>
      <c r="I84" s="23"/>
      <c r="J84" s="193"/>
      <c r="K84" s="23"/>
      <c r="L84" s="23"/>
      <c r="M84" s="237"/>
      <c r="N84" s="228"/>
      <c r="O84" s="228"/>
      <c r="P84" s="228"/>
      <c r="Q84" s="228"/>
      <c r="R84" s="228"/>
      <c r="S84" s="228"/>
      <c r="T84" s="228"/>
      <c r="U84" s="234"/>
    </row>
    <row r="85" spans="1:21" ht="12.75">
      <c r="A85" s="283"/>
      <c r="B85" s="286"/>
      <c r="C85" s="231"/>
      <c r="D85" s="21" t="s">
        <v>90</v>
      </c>
      <c r="E85" s="22">
        <f>F85+G85+H85+I85+J85+K85+L85</f>
        <v>0</v>
      </c>
      <c r="F85" s="23"/>
      <c r="G85" s="23"/>
      <c r="H85" s="23"/>
      <c r="I85" s="23"/>
      <c r="J85" s="193"/>
      <c r="K85" s="23"/>
      <c r="L85" s="23"/>
      <c r="M85" s="237"/>
      <c r="N85" s="228"/>
      <c r="O85" s="228"/>
      <c r="P85" s="228"/>
      <c r="Q85" s="228"/>
      <c r="R85" s="228"/>
      <c r="S85" s="228"/>
      <c r="T85" s="228"/>
      <c r="U85" s="234"/>
    </row>
    <row r="86" spans="1:21" ht="12.75">
      <c r="A86" s="284"/>
      <c r="B86" s="287"/>
      <c r="C86" s="232"/>
      <c r="D86" s="21" t="s">
        <v>92</v>
      </c>
      <c r="E86" s="22">
        <f>F86+G86+H86+I86+J86+K86+L86</f>
        <v>0</v>
      </c>
      <c r="F86" s="23"/>
      <c r="G86" s="23"/>
      <c r="H86" s="23"/>
      <c r="I86" s="23"/>
      <c r="J86" s="193"/>
      <c r="K86" s="23"/>
      <c r="L86" s="23"/>
      <c r="M86" s="238"/>
      <c r="N86" s="229"/>
      <c r="O86" s="229"/>
      <c r="P86" s="229"/>
      <c r="Q86" s="229"/>
      <c r="R86" s="229"/>
      <c r="S86" s="229"/>
      <c r="T86" s="229"/>
      <c r="U86" s="235"/>
    </row>
    <row r="87" spans="1:21" ht="12.75" customHeight="1">
      <c r="A87" s="282" t="s">
        <v>129</v>
      </c>
      <c r="B87" s="285" t="s">
        <v>180</v>
      </c>
      <c r="C87" s="230" t="s">
        <v>78</v>
      </c>
      <c r="D87" s="21" t="s">
        <v>93</v>
      </c>
      <c r="E87" s="22">
        <f>E89+E90+E91+E92</f>
        <v>20729388.14</v>
      </c>
      <c r="F87" s="22">
        <f aca="true" t="shared" si="14" ref="F87:L87">F89+F90+F91+F92</f>
        <v>0</v>
      </c>
      <c r="G87" s="22">
        <f t="shared" si="14"/>
        <v>2166054.18</v>
      </c>
      <c r="H87" s="22">
        <f t="shared" si="14"/>
        <v>3168103.56</v>
      </c>
      <c r="I87" s="22">
        <f t="shared" si="14"/>
        <v>3172093.4</v>
      </c>
      <c r="J87" s="183">
        <f t="shared" si="14"/>
        <v>4188495</v>
      </c>
      <c r="K87" s="22">
        <f t="shared" si="14"/>
        <v>3586146</v>
      </c>
      <c r="L87" s="22">
        <f t="shared" si="14"/>
        <v>4448496</v>
      </c>
      <c r="M87" s="236" t="s">
        <v>264</v>
      </c>
      <c r="N87" s="227">
        <v>1</v>
      </c>
      <c r="O87" s="227">
        <v>1</v>
      </c>
      <c r="P87" s="227">
        <v>1</v>
      </c>
      <c r="Q87" s="227">
        <v>100</v>
      </c>
      <c r="R87" s="227">
        <v>100</v>
      </c>
      <c r="S87" s="227">
        <v>100</v>
      </c>
      <c r="T87" s="227">
        <v>100</v>
      </c>
      <c r="U87" s="233" t="s">
        <v>49</v>
      </c>
    </row>
    <row r="88" spans="1:21" ht="12.75">
      <c r="A88" s="283"/>
      <c r="B88" s="286"/>
      <c r="C88" s="231"/>
      <c r="D88" s="248" t="s">
        <v>113</v>
      </c>
      <c r="E88" s="249"/>
      <c r="F88" s="249"/>
      <c r="G88" s="249"/>
      <c r="H88" s="249"/>
      <c r="I88" s="249"/>
      <c r="J88" s="249"/>
      <c r="K88" s="249"/>
      <c r="L88" s="250"/>
      <c r="M88" s="237"/>
      <c r="N88" s="228"/>
      <c r="O88" s="228"/>
      <c r="P88" s="228"/>
      <c r="Q88" s="228"/>
      <c r="R88" s="228"/>
      <c r="S88" s="228"/>
      <c r="T88" s="228"/>
      <c r="U88" s="234"/>
    </row>
    <row r="89" spans="1:21" ht="12.75">
      <c r="A89" s="283"/>
      <c r="B89" s="286"/>
      <c r="C89" s="231"/>
      <c r="D89" s="21" t="s">
        <v>91</v>
      </c>
      <c r="E89" s="22">
        <f>F89+G89+H89+I89+J89+K89+L89</f>
        <v>20729388.14</v>
      </c>
      <c r="F89" s="23">
        <v>0</v>
      </c>
      <c r="G89" s="23">
        <f>2100000-105000.01+171054.19</f>
        <v>2166054.18</v>
      </c>
      <c r="H89" s="23">
        <f>2534249.99+676733.02+9862.15-49672.41-3069.19</f>
        <v>3168103.56</v>
      </c>
      <c r="I89" s="23">
        <f>1732820+1689500-94407.42-155819.18</f>
        <v>3172093.4</v>
      </c>
      <c r="J89" s="193">
        <f>2710509+1737986-260000</f>
        <v>4188495</v>
      </c>
      <c r="K89" s="23">
        <f>1822382+1763764</f>
        <v>3586146</v>
      </c>
      <c r="L89" s="23">
        <f>2710509+1737987</f>
        <v>4448496</v>
      </c>
      <c r="M89" s="237"/>
      <c r="N89" s="228"/>
      <c r="O89" s="228"/>
      <c r="P89" s="228"/>
      <c r="Q89" s="228"/>
      <c r="R89" s="228"/>
      <c r="S89" s="228"/>
      <c r="T89" s="228"/>
      <c r="U89" s="234"/>
    </row>
    <row r="90" spans="1:21" ht="12.75">
      <c r="A90" s="283"/>
      <c r="B90" s="286"/>
      <c r="C90" s="231"/>
      <c r="D90" s="21" t="s">
        <v>89</v>
      </c>
      <c r="E90" s="22">
        <f>F90+G90+H90+I90+J90+K90+L90</f>
        <v>0</v>
      </c>
      <c r="F90" s="23"/>
      <c r="G90" s="23"/>
      <c r="H90" s="23"/>
      <c r="I90" s="23"/>
      <c r="J90" s="193"/>
      <c r="K90" s="23"/>
      <c r="L90" s="23"/>
      <c r="M90" s="237"/>
      <c r="N90" s="228"/>
      <c r="O90" s="228"/>
      <c r="P90" s="228"/>
      <c r="Q90" s="228"/>
      <c r="R90" s="228"/>
      <c r="S90" s="228"/>
      <c r="T90" s="228"/>
      <c r="U90" s="234"/>
    </row>
    <row r="91" spans="1:21" ht="12.75">
      <c r="A91" s="283"/>
      <c r="B91" s="286"/>
      <c r="C91" s="231"/>
      <c r="D91" s="21" t="s">
        <v>90</v>
      </c>
      <c r="E91" s="22">
        <f>F91+G91+H91+I91+J91+K91+L91</f>
        <v>0</v>
      </c>
      <c r="F91" s="23"/>
      <c r="G91" s="23"/>
      <c r="H91" s="23"/>
      <c r="I91" s="23"/>
      <c r="J91" s="193"/>
      <c r="K91" s="23"/>
      <c r="L91" s="23"/>
      <c r="M91" s="237"/>
      <c r="N91" s="228"/>
      <c r="O91" s="228"/>
      <c r="P91" s="228"/>
      <c r="Q91" s="228"/>
      <c r="R91" s="228"/>
      <c r="S91" s="228"/>
      <c r="T91" s="228"/>
      <c r="U91" s="234"/>
    </row>
    <row r="92" spans="1:21" ht="12.75">
      <c r="A92" s="284"/>
      <c r="B92" s="287"/>
      <c r="C92" s="232"/>
      <c r="D92" s="21" t="s">
        <v>92</v>
      </c>
      <c r="E92" s="22">
        <f>F92+G92+H92+I92+J92+K92+L92</f>
        <v>0</v>
      </c>
      <c r="F92" s="23"/>
      <c r="G92" s="23"/>
      <c r="H92" s="23"/>
      <c r="I92" s="23"/>
      <c r="J92" s="193"/>
      <c r="K92" s="23"/>
      <c r="L92" s="23"/>
      <c r="M92" s="238"/>
      <c r="N92" s="229"/>
      <c r="O92" s="229"/>
      <c r="P92" s="229"/>
      <c r="Q92" s="229"/>
      <c r="R92" s="229"/>
      <c r="S92" s="229"/>
      <c r="T92" s="229"/>
      <c r="U92" s="235"/>
    </row>
    <row r="93" spans="1:21" ht="12.75" customHeight="1">
      <c r="A93" s="282" t="s">
        <v>148</v>
      </c>
      <c r="B93" s="285" t="s">
        <v>145</v>
      </c>
      <c r="C93" s="230" t="s">
        <v>78</v>
      </c>
      <c r="D93" s="21" t="s">
        <v>93</v>
      </c>
      <c r="E93" s="22">
        <f>E95+E96+E97+E98</f>
        <v>158520233</v>
      </c>
      <c r="F93" s="22">
        <f aca="true" t="shared" si="15" ref="F93:L93">F95+F96+F97+F98</f>
        <v>24365995</v>
      </c>
      <c r="G93" s="22">
        <f t="shared" si="15"/>
        <v>21895744.36</v>
      </c>
      <c r="H93" s="22">
        <f t="shared" si="15"/>
        <v>20844961.15</v>
      </c>
      <c r="I93" s="22">
        <f t="shared" si="15"/>
        <v>21559795.490000002</v>
      </c>
      <c r="J93" s="183">
        <f t="shared" si="15"/>
        <v>23284579</v>
      </c>
      <c r="K93" s="22">
        <f t="shared" si="15"/>
        <v>23284579</v>
      </c>
      <c r="L93" s="22">
        <f t="shared" si="15"/>
        <v>23284579</v>
      </c>
      <c r="M93" s="288" t="s">
        <v>51</v>
      </c>
      <c r="N93" s="227">
        <v>1</v>
      </c>
      <c r="O93" s="227">
        <v>1</v>
      </c>
      <c r="P93" s="227">
        <v>1</v>
      </c>
      <c r="Q93" s="227">
        <v>1</v>
      </c>
      <c r="R93" s="227">
        <v>1</v>
      </c>
      <c r="S93" s="227">
        <v>1</v>
      </c>
      <c r="T93" s="227">
        <v>1</v>
      </c>
      <c r="U93" s="233" t="s">
        <v>49</v>
      </c>
    </row>
    <row r="94" spans="1:21" ht="12.75">
      <c r="A94" s="283"/>
      <c r="B94" s="286"/>
      <c r="C94" s="231"/>
      <c r="D94" s="248" t="s">
        <v>113</v>
      </c>
      <c r="E94" s="249"/>
      <c r="F94" s="249"/>
      <c r="G94" s="249"/>
      <c r="H94" s="249"/>
      <c r="I94" s="249"/>
      <c r="J94" s="249"/>
      <c r="K94" s="249"/>
      <c r="L94" s="250"/>
      <c r="M94" s="289"/>
      <c r="N94" s="228"/>
      <c r="O94" s="228"/>
      <c r="P94" s="228"/>
      <c r="Q94" s="228"/>
      <c r="R94" s="228"/>
      <c r="S94" s="228"/>
      <c r="T94" s="228"/>
      <c r="U94" s="234"/>
    </row>
    <row r="95" spans="1:21" ht="12.75">
      <c r="A95" s="283"/>
      <c r="B95" s="286"/>
      <c r="C95" s="231"/>
      <c r="D95" s="21" t="s">
        <v>91</v>
      </c>
      <c r="E95" s="22">
        <f>F95+G95+H95+I95+J95+K95+L95</f>
        <v>0</v>
      </c>
      <c r="F95" s="23"/>
      <c r="G95" s="23"/>
      <c r="H95" s="23"/>
      <c r="I95" s="23"/>
      <c r="J95" s="193"/>
      <c r="K95" s="23"/>
      <c r="L95" s="23"/>
      <c r="M95" s="289"/>
      <c r="N95" s="228"/>
      <c r="O95" s="228"/>
      <c r="P95" s="228"/>
      <c r="Q95" s="228"/>
      <c r="R95" s="228"/>
      <c r="S95" s="228"/>
      <c r="T95" s="228"/>
      <c r="U95" s="234"/>
    </row>
    <row r="96" spans="1:21" ht="12.75">
      <c r="A96" s="283"/>
      <c r="B96" s="286"/>
      <c r="C96" s="231"/>
      <c r="D96" s="21" t="s">
        <v>89</v>
      </c>
      <c r="E96" s="22">
        <f>F96+G96+H96+I96+J96+K96+L96</f>
        <v>0</v>
      </c>
      <c r="F96" s="23"/>
      <c r="G96" s="23"/>
      <c r="H96" s="23"/>
      <c r="I96" s="23"/>
      <c r="J96" s="193"/>
      <c r="K96" s="23"/>
      <c r="L96" s="23"/>
      <c r="M96" s="289"/>
      <c r="N96" s="228"/>
      <c r="O96" s="228"/>
      <c r="P96" s="228"/>
      <c r="Q96" s="228"/>
      <c r="R96" s="228"/>
      <c r="S96" s="228"/>
      <c r="T96" s="228"/>
      <c r="U96" s="234"/>
    </row>
    <row r="97" spans="1:21" ht="12.75">
      <c r="A97" s="283"/>
      <c r="B97" s="286"/>
      <c r="C97" s="231"/>
      <c r="D97" s="21" t="s">
        <v>90</v>
      </c>
      <c r="E97" s="22">
        <f>F97+G97+H97+I97+J97+K97+L97</f>
        <v>0</v>
      </c>
      <c r="F97" s="23"/>
      <c r="G97" s="23"/>
      <c r="H97" s="23"/>
      <c r="I97" s="23"/>
      <c r="J97" s="193"/>
      <c r="K97" s="23"/>
      <c r="L97" s="23"/>
      <c r="M97" s="289"/>
      <c r="N97" s="228"/>
      <c r="O97" s="228"/>
      <c r="P97" s="228"/>
      <c r="Q97" s="228"/>
      <c r="R97" s="228"/>
      <c r="S97" s="228"/>
      <c r="T97" s="228"/>
      <c r="U97" s="234"/>
    </row>
    <row r="98" spans="1:21" ht="12.75">
      <c r="A98" s="284"/>
      <c r="B98" s="287"/>
      <c r="C98" s="232"/>
      <c r="D98" s="21" t="s">
        <v>92</v>
      </c>
      <c r="E98" s="22">
        <f>F98+G98+H98+I98+J98+K98+L98</f>
        <v>158520233</v>
      </c>
      <c r="F98" s="23">
        <v>24365995</v>
      </c>
      <c r="G98" s="23">
        <v>21895744.36</v>
      </c>
      <c r="H98" s="23">
        <v>20844961.15</v>
      </c>
      <c r="I98" s="23">
        <f>841797.5+2680000+5420000+191337+4155222+3240098.99+5031340</f>
        <v>21559795.490000002</v>
      </c>
      <c r="J98" s="193">
        <v>23284579</v>
      </c>
      <c r="K98" s="23">
        <v>23284579</v>
      </c>
      <c r="L98" s="23">
        <v>23284579</v>
      </c>
      <c r="M98" s="290"/>
      <c r="N98" s="229"/>
      <c r="O98" s="229"/>
      <c r="P98" s="229"/>
      <c r="Q98" s="229"/>
      <c r="R98" s="229"/>
      <c r="S98" s="229"/>
      <c r="T98" s="229"/>
      <c r="U98" s="235"/>
    </row>
    <row r="99" spans="1:21" ht="12.75" customHeight="1">
      <c r="A99" s="282" t="s">
        <v>149</v>
      </c>
      <c r="B99" s="285" t="s">
        <v>0</v>
      </c>
      <c r="C99" s="230" t="s">
        <v>78</v>
      </c>
      <c r="D99" s="21" t="s">
        <v>93</v>
      </c>
      <c r="E99" s="22">
        <f>E101+E102+E103+E104</f>
        <v>7451599</v>
      </c>
      <c r="F99" s="22">
        <f aca="true" t="shared" si="16" ref="F99:L99">F101+F102+F103+F104</f>
        <v>7451599</v>
      </c>
      <c r="G99" s="22">
        <f t="shared" si="16"/>
        <v>0</v>
      </c>
      <c r="H99" s="22">
        <f t="shared" si="16"/>
        <v>0</v>
      </c>
      <c r="I99" s="22">
        <f t="shared" si="16"/>
        <v>0</v>
      </c>
      <c r="J99" s="183">
        <f t="shared" si="16"/>
        <v>0</v>
      </c>
      <c r="K99" s="22">
        <f t="shared" si="16"/>
        <v>0</v>
      </c>
      <c r="L99" s="22">
        <f t="shared" si="16"/>
        <v>0</v>
      </c>
      <c r="M99" s="236" t="s">
        <v>48</v>
      </c>
      <c r="N99" s="224">
        <v>100</v>
      </c>
      <c r="O99" s="224">
        <v>100</v>
      </c>
      <c r="P99" s="224">
        <v>100</v>
      </c>
      <c r="Q99" s="224">
        <v>100</v>
      </c>
      <c r="R99" s="224">
        <v>100</v>
      </c>
      <c r="S99" s="224">
        <v>100</v>
      </c>
      <c r="T99" s="224">
        <v>100</v>
      </c>
      <c r="U99" s="279" t="s">
        <v>50</v>
      </c>
    </row>
    <row r="100" spans="1:21" ht="12.75">
      <c r="A100" s="283"/>
      <c r="B100" s="286"/>
      <c r="C100" s="231"/>
      <c r="D100" s="248" t="s">
        <v>113</v>
      </c>
      <c r="E100" s="249"/>
      <c r="F100" s="249"/>
      <c r="G100" s="249"/>
      <c r="H100" s="249"/>
      <c r="I100" s="249"/>
      <c r="J100" s="249"/>
      <c r="K100" s="249"/>
      <c r="L100" s="250"/>
      <c r="M100" s="237"/>
      <c r="N100" s="225"/>
      <c r="O100" s="225"/>
      <c r="P100" s="225"/>
      <c r="Q100" s="225"/>
      <c r="R100" s="225"/>
      <c r="S100" s="225"/>
      <c r="T100" s="225"/>
      <c r="U100" s="280"/>
    </row>
    <row r="101" spans="1:21" ht="12.75">
      <c r="A101" s="283"/>
      <c r="B101" s="286"/>
      <c r="C101" s="231"/>
      <c r="D101" s="21" t="s">
        <v>91</v>
      </c>
      <c r="E101" s="22">
        <f>F101+G101+H101+I101+J101+K101+L101</f>
        <v>7451599</v>
      </c>
      <c r="F101" s="23">
        <v>7451599</v>
      </c>
      <c r="G101" s="23">
        <v>0</v>
      </c>
      <c r="H101" s="23">
        <v>0</v>
      </c>
      <c r="I101" s="23">
        <v>0</v>
      </c>
      <c r="J101" s="193">
        <v>0</v>
      </c>
      <c r="K101" s="23">
        <v>0</v>
      </c>
      <c r="L101" s="23">
        <v>0</v>
      </c>
      <c r="M101" s="237"/>
      <c r="N101" s="225"/>
      <c r="O101" s="225"/>
      <c r="P101" s="225"/>
      <c r="Q101" s="225"/>
      <c r="R101" s="225"/>
      <c r="S101" s="225"/>
      <c r="T101" s="225"/>
      <c r="U101" s="280"/>
    </row>
    <row r="102" spans="1:21" ht="12.75">
      <c r="A102" s="283"/>
      <c r="B102" s="286"/>
      <c r="C102" s="231"/>
      <c r="D102" s="21" t="s">
        <v>89</v>
      </c>
      <c r="E102" s="22">
        <f>F102+G102+H102+I102+J102+K102+L102</f>
        <v>0</v>
      </c>
      <c r="F102" s="23"/>
      <c r="G102" s="23"/>
      <c r="H102" s="23"/>
      <c r="I102" s="23"/>
      <c r="J102" s="193"/>
      <c r="K102" s="23"/>
      <c r="L102" s="23"/>
      <c r="M102" s="237"/>
      <c r="N102" s="225"/>
      <c r="O102" s="225"/>
      <c r="P102" s="225"/>
      <c r="Q102" s="225"/>
      <c r="R102" s="225"/>
      <c r="S102" s="225"/>
      <c r="T102" s="225"/>
      <c r="U102" s="280"/>
    </row>
    <row r="103" spans="1:21" ht="12.75">
      <c r="A103" s="283"/>
      <c r="B103" s="286"/>
      <c r="C103" s="231"/>
      <c r="D103" s="21" t="s">
        <v>90</v>
      </c>
      <c r="E103" s="22">
        <f>F103+G103+H103+I103+J103+K103+L103</f>
        <v>0</v>
      </c>
      <c r="F103" s="23"/>
      <c r="G103" s="23"/>
      <c r="H103" s="23"/>
      <c r="I103" s="23"/>
      <c r="J103" s="193"/>
      <c r="K103" s="23"/>
      <c r="L103" s="23"/>
      <c r="M103" s="237"/>
      <c r="N103" s="225"/>
      <c r="O103" s="225"/>
      <c r="P103" s="225"/>
      <c r="Q103" s="225"/>
      <c r="R103" s="225"/>
      <c r="S103" s="225"/>
      <c r="T103" s="225"/>
      <c r="U103" s="280"/>
    </row>
    <row r="104" spans="1:21" ht="12.75">
      <c r="A104" s="284"/>
      <c r="B104" s="287"/>
      <c r="C104" s="232"/>
      <c r="D104" s="21" t="s">
        <v>92</v>
      </c>
      <c r="E104" s="22">
        <f>F104+G104+H104+I104+J104+K104+L104</f>
        <v>0</v>
      </c>
      <c r="F104" s="23"/>
      <c r="G104" s="23"/>
      <c r="H104" s="23"/>
      <c r="I104" s="23"/>
      <c r="J104" s="193"/>
      <c r="K104" s="23"/>
      <c r="L104" s="23"/>
      <c r="M104" s="238"/>
      <c r="N104" s="226"/>
      <c r="O104" s="226"/>
      <c r="P104" s="226"/>
      <c r="Q104" s="226"/>
      <c r="R104" s="226"/>
      <c r="S104" s="226"/>
      <c r="T104" s="226"/>
      <c r="U104" s="281"/>
    </row>
    <row r="105" spans="1:21" ht="12.75" customHeight="1">
      <c r="A105" s="282" t="s">
        <v>150</v>
      </c>
      <c r="B105" s="285" t="s">
        <v>146</v>
      </c>
      <c r="C105" s="230" t="s">
        <v>78</v>
      </c>
      <c r="D105" s="21" t="s">
        <v>93</v>
      </c>
      <c r="E105" s="22">
        <f>E107+E108+E109+E110</f>
        <v>575647</v>
      </c>
      <c r="F105" s="22">
        <f aca="true" t="shared" si="17" ref="F105:L105">F107+F108+F109+F110</f>
        <v>575647</v>
      </c>
      <c r="G105" s="22">
        <f t="shared" si="17"/>
        <v>0</v>
      </c>
      <c r="H105" s="22">
        <f t="shared" si="17"/>
        <v>0</v>
      </c>
      <c r="I105" s="22">
        <f t="shared" si="17"/>
        <v>0</v>
      </c>
      <c r="J105" s="183">
        <f t="shared" si="17"/>
        <v>0</v>
      </c>
      <c r="K105" s="22">
        <f t="shared" si="17"/>
        <v>0</v>
      </c>
      <c r="L105" s="22">
        <f t="shared" si="17"/>
        <v>0</v>
      </c>
      <c r="M105" s="236" t="s">
        <v>3</v>
      </c>
      <c r="N105" s="227">
        <v>1</v>
      </c>
      <c r="O105" s="227">
        <v>1</v>
      </c>
      <c r="P105" s="227">
        <v>1</v>
      </c>
      <c r="Q105" s="227">
        <v>1</v>
      </c>
      <c r="R105" s="227">
        <v>1</v>
      </c>
      <c r="S105" s="227">
        <v>1</v>
      </c>
      <c r="T105" s="227">
        <v>1</v>
      </c>
      <c r="U105" s="279" t="s">
        <v>50</v>
      </c>
    </row>
    <row r="106" spans="1:21" ht="12.75">
      <c r="A106" s="283"/>
      <c r="B106" s="286"/>
      <c r="C106" s="231"/>
      <c r="D106" s="248" t="s">
        <v>113</v>
      </c>
      <c r="E106" s="249"/>
      <c r="F106" s="249"/>
      <c r="G106" s="249"/>
      <c r="H106" s="249"/>
      <c r="I106" s="249"/>
      <c r="J106" s="249"/>
      <c r="K106" s="249"/>
      <c r="L106" s="250"/>
      <c r="M106" s="237"/>
      <c r="N106" s="228"/>
      <c r="O106" s="228"/>
      <c r="P106" s="228"/>
      <c r="Q106" s="228"/>
      <c r="R106" s="228"/>
      <c r="S106" s="228"/>
      <c r="T106" s="228"/>
      <c r="U106" s="280"/>
    </row>
    <row r="107" spans="1:21" ht="12.75">
      <c r="A107" s="283"/>
      <c r="B107" s="286"/>
      <c r="C107" s="231"/>
      <c r="D107" s="21" t="s">
        <v>91</v>
      </c>
      <c r="E107" s="22">
        <f>F107+G107+H107+I107+J107+K107+L107</f>
        <v>575647</v>
      </c>
      <c r="F107" s="23">
        <v>575647</v>
      </c>
      <c r="G107" s="23">
        <v>0</v>
      </c>
      <c r="H107" s="23">
        <v>0</v>
      </c>
      <c r="I107" s="23">
        <v>0</v>
      </c>
      <c r="J107" s="193">
        <v>0</v>
      </c>
      <c r="K107" s="23">
        <v>0</v>
      </c>
      <c r="L107" s="23">
        <v>0</v>
      </c>
      <c r="M107" s="237"/>
      <c r="N107" s="228"/>
      <c r="O107" s="228"/>
      <c r="P107" s="228"/>
      <c r="Q107" s="228"/>
      <c r="R107" s="228"/>
      <c r="S107" s="228"/>
      <c r="T107" s="228"/>
      <c r="U107" s="280"/>
    </row>
    <row r="108" spans="1:21" ht="12.75">
      <c r="A108" s="283"/>
      <c r="B108" s="286"/>
      <c r="C108" s="231"/>
      <c r="D108" s="21" t="s">
        <v>89</v>
      </c>
      <c r="E108" s="22">
        <f>F108+G108+H108+I108+J108+K108+L108</f>
        <v>0</v>
      </c>
      <c r="F108" s="23"/>
      <c r="G108" s="23"/>
      <c r="H108" s="23"/>
      <c r="I108" s="23"/>
      <c r="J108" s="193"/>
      <c r="K108" s="23"/>
      <c r="L108" s="23"/>
      <c r="M108" s="237"/>
      <c r="N108" s="228"/>
      <c r="O108" s="228"/>
      <c r="P108" s="228"/>
      <c r="Q108" s="228"/>
      <c r="R108" s="228"/>
      <c r="S108" s="228"/>
      <c r="T108" s="228"/>
      <c r="U108" s="280"/>
    </row>
    <row r="109" spans="1:21" ht="12.75">
      <c r="A109" s="283"/>
      <c r="B109" s="286"/>
      <c r="C109" s="231"/>
      <c r="D109" s="21" t="s">
        <v>90</v>
      </c>
      <c r="E109" s="22">
        <f>F109+G109+H109+I109+J109+K109+L109</f>
        <v>0</v>
      </c>
      <c r="F109" s="23"/>
      <c r="G109" s="23"/>
      <c r="H109" s="23"/>
      <c r="I109" s="23"/>
      <c r="J109" s="193"/>
      <c r="K109" s="23"/>
      <c r="L109" s="23"/>
      <c r="M109" s="237"/>
      <c r="N109" s="228"/>
      <c r="O109" s="228"/>
      <c r="P109" s="228"/>
      <c r="Q109" s="228"/>
      <c r="R109" s="228"/>
      <c r="S109" s="228"/>
      <c r="T109" s="228"/>
      <c r="U109" s="280"/>
    </row>
    <row r="110" spans="1:21" ht="12.75">
      <c r="A110" s="284"/>
      <c r="B110" s="287"/>
      <c r="C110" s="232"/>
      <c r="D110" s="21" t="s">
        <v>92</v>
      </c>
      <c r="E110" s="22">
        <f>F110+G110+H110+I110+J110+K110+L110</f>
        <v>0</v>
      </c>
      <c r="F110" s="23"/>
      <c r="G110" s="23"/>
      <c r="H110" s="23"/>
      <c r="I110" s="23"/>
      <c r="J110" s="193"/>
      <c r="K110" s="23"/>
      <c r="L110" s="23"/>
      <c r="M110" s="238"/>
      <c r="N110" s="229"/>
      <c r="O110" s="229"/>
      <c r="P110" s="229"/>
      <c r="Q110" s="229"/>
      <c r="R110" s="229"/>
      <c r="S110" s="229"/>
      <c r="T110" s="229"/>
      <c r="U110" s="281"/>
    </row>
    <row r="111" spans="1:21" ht="12.75" customHeight="1">
      <c r="A111" s="282" t="s">
        <v>1</v>
      </c>
      <c r="B111" s="285" t="s">
        <v>147</v>
      </c>
      <c r="C111" s="230" t="s">
        <v>78</v>
      </c>
      <c r="D111" s="21" t="s">
        <v>93</v>
      </c>
      <c r="E111" s="22">
        <f>E113+E114+E115+E116</f>
        <v>8750000</v>
      </c>
      <c r="F111" s="22">
        <f aca="true" t="shared" si="18" ref="F111:L111">F113+F114+F115+F116</f>
        <v>8750000</v>
      </c>
      <c r="G111" s="22">
        <f t="shared" si="18"/>
        <v>0</v>
      </c>
      <c r="H111" s="22">
        <f t="shared" si="18"/>
        <v>0</v>
      </c>
      <c r="I111" s="22">
        <f t="shared" si="18"/>
        <v>0</v>
      </c>
      <c r="J111" s="183">
        <f t="shared" si="18"/>
        <v>0</v>
      </c>
      <c r="K111" s="22">
        <f t="shared" si="18"/>
        <v>0</v>
      </c>
      <c r="L111" s="22">
        <f t="shared" si="18"/>
        <v>0</v>
      </c>
      <c r="M111" s="288" t="s">
        <v>51</v>
      </c>
      <c r="N111" s="227">
        <v>1</v>
      </c>
      <c r="O111" s="227">
        <v>1</v>
      </c>
      <c r="P111" s="227">
        <v>1</v>
      </c>
      <c r="Q111" s="227">
        <v>1</v>
      </c>
      <c r="R111" s="227">
        <v>1</v>
      </c>
      <c r="S111" s="227">
        <v>1</v>
      </c>
      <c r="T111" s="227">
        <v>1</v>
      </c>
      <c r="U111" s="279" t="s">
        <v>50</v>
      </c>
    </row>
    <row r="112" spans="1:21" ht="12.75">
      <c r="A112" s="283"/>
      <c r="B112" s="286"/>
      <c r="C112" s="231"/>
      <c r="D112" s="248" t="s">
        <v>113</v>
      </c>
      <c r="E112" s="249"/>
      <c r="F112" s="249"/>
      <c r="G112" s="249"/>
      <c r="H112" s="249"/>
      <c r="I112" s="249"/>
      <c r="J112" s="249"/>
      <c r="K112" s="249"/>
      <c r="L112" s="250"/>
      <c r="M112" s="289"/>
      <c r="N112" s="228"/>
      <c r="O112" s="228"/>
      <c r="P112" s="228"/>
      <c r="Q112" s="228"/>
      <c r="R112" s="228"/>
      <c r="S112" s="228"/>
      <c r="T112" s="228"/>
      <c r="U112" s="280"/>
    </row>
    <row r="113" spans="1:21" ht="12.75">
      <c r="A113" s="283"/>
      <c r="B113" s="286"/>
      <c r="C113" s="231"/>
      <c r="D113" s="21" t="s">
        <v>91</v>
      </c>
      <c r="E113" s="22">
        <f>F113+G113+H113+I113+J113+K113+L113</f>
        <v>0</v>
      </c>
      <c r="F113" s="23"/>
      <c r="G113" s="23"/>
      <c r="H113" s="23"/>
      <c r="I113" s="23"/>
      <c r="J113" s="193"/>
      <c r="K113" s="23"/>
      <c r="L113" s="23"/>
      <c r="M113" s="289"/>
      <c r="N113" s="228"/>
      <c r="O113" s="228"/>
      <c r="P113" s="228"/>
      <c r="Q113" s="228"/>
      <c r="R113" s="228"/>
      <c r="S113" s="228"/>
      <c r="T113" s="228"/>
      <c r="U113" s="280"/>
    </row>
    <row r="114" spans="1:21" ht="12.75">
      <c r="A114" s="283"/>
      <c r="B114" s="286"/>
      <c r="C114" s="231"/>
      <c r="D114" s="21" t="s">
        <v>89</v>
      </c>
      <c r="E114" s="22">
        <f>F114+G114+H114+I114+J114+K114+L114</f>
        <v>0</v>
      </c>
      <c r="F114" s="23"/>
      <c r="G114" s="23"/>
      <c r="H114" s="23"/>
      <c r="I114" s="23"/>
      <c r="J114" s="193"/>
      <c r="K114" s="23"/>
      <c r="L114" s="23"/>
      <c r="M114" s="289"/>
      <c r="N114" s="228"/>
      <c r="O114" s="228"/>
      <c r="P114" s="228"/>
      <c r="Q114" s="228"/>
      <c r="R114" s="228"/>
      <c r="S114" s="228"/>
      <c r="T114" s="228"/>
      <c r="U114" s="280"/>
    </row>
    <row r="115" spans="1:21" ht="12.75">
      <c r="A115" s="283"/>
      <c r="B115" s="286"/>
      <c r="C115" s="231"/>
      <c r="D115" s="21" t="s">
        <v>90</v>
      </c>
      <c r="E115" s="22">
        <f>F115+G115+H115+I115+J115+K115+L115</f>
        <v>0</v>
      </c>
      <c r="F115" s="23"/>
      <c r="G115" s="23"/>
      <c r="H115" s="23"/>
      <c r="I115" s="23"/>
      <c r="J115" s="193"/>
      <c r="K115" s="23"/>
      <c r="L115" s="23"/>
      <c r="M115" s="289"/>
      <c r="N115" s="228"/>
      <c r="O115" s="228"/>
      <c r="P115" s="228"/>
      <c r="Q115" s="228"/>
      <c r="R115" s="228"/>
      <c r="S115" s="228"/>
      <c r="T115" s="228"/>
      <c r="U115" s="280"/>
    </row>
    <row r="116" spans="1:21" ht="12.75">
      <c r="A116" s="284"/>
      <c r="B116" s="287"/>
      <c r="C116" s="232"/>
      <c r="D116" s="21" t="s">
        <v>92</v>
      </c>
      <c r="E116" s="22">
        <f>F116+G116+H116+I116+J116+K116+L116</f>
        <v>8750000</v>
      </c>
      <c r="F116" s="23">
        <v>8750000</v>
      </c>
      <c r="G116" s="23">
        <v>0</v>
      </c>
      <c r="H116" s="23">
        <v>0</v>
      </c>
      <c r="I116" s="23">
        <v>0</v>
      </c>
      <c r="J116" s="193">
        <v>0</v>
      </c>
      <c r="K116" s="23">
        <v>0</v>
      </c>
      <c r="L116" s="23">
        <v>0</v>
      </c>
      <c r="M116" s="290"/>
      <c r="N116" s="229"/>
      <c r="O116" s="229"/>
      <c r="P116" s="229"/>
      <c r="Q116" s="229"/>
      <c r="R116" s="229"/>
      <c r="S116" s="229"/>
      <c r="T116" s="229"/>
      <c r="U116" s="281"/>
    </row>
    <row r="117" spans="1:21" ht="13.5" customHeight="1">
      <c r="A117" s="302"/>
      <c r="B117" s="305" t="s">
        <v>151</v>
      </c>
      <c r="C117" s="302"/>
      <c r="D117" s="101" t="s">
        <v>93</v>
      </c>
      <c r="E117" s="102">
        <f aca="true" t="shared" si="19" ref="E117:L117">E119+E120+E121+E122</f>
        <v>1619092032.1200001</v>
      </c>
      <c r="F117" s="102">
        <f t="shared" si="19"/>
        <v>222458828.14</v>
      </c>
      <c r="G117" s="102">
        <f t="shared" si="19"/>
        <v>212714311.44</v>
      </c>
      <c r="H117" s="102">
        <f t="shared" si="19"/>
        <v>222798082.33</v>
      </c>
      <c r="I117" s="102">
        <f t="shared" si="19"/>
        <v>231183867.49</v>
      </c>
      <c r="J117" s="191">
        <f t="shared" si="19"/>
        <v>260179068.43999997</v>
      </c>
      <c r="K117" s="102">
        <f t="shared" si="19"/>
        <v>233113115.80999997</v>
      </c>
      <c r="L117" s="102">
        <f t="shared" si="19"/>
        <v>236644758.47</v>
      </c>
      <c r="M117" s="253"/>
      <c r="N117" s="239"/>
      <c r="O117" s="239"/>
      <c r="P117" s="239"/>
      <c r="Q117" s="239"/>
      <c r="R117" s="239"/>
      <c r="S117" s="239"/>
      <c r="T117" s="239"/>
      <c r="U117" s="242"/>
    </row>
    <row r="118" spans="1:21" ht="12.75" customHeight="1">
      <c r="A118" s="303"/>
      <c r="B118" s="306"/>
      <c r="C118" s="303"/>
      <c r="D118" s="256" t="s">
        <v>113</v>
      </c>
      <c r="E118" s="257"/>
      <c r="F118" s="257"/>
      <c r="G118" s="257"/>
      <c r="H118" s="257"/>
      <c r="I118" s="257"/>
      <c r="J118" s="257"/>
      <c r="K118" s="257"/>
      <c r="L118" s="258"/>
      <c r="M118" s="254"/>
      <c r="N118" s="240"/>
      <c r="O118" s="240"/>
      <c r="P118" s="240"/>
      <c r="Q118" s="240"/>
      <c r="R118" s="240"/>
      <c r="S118" s="240"/>
      <c r="T118" s="240"/>
      <c r="U118" s="243"/>
    </row>
    <row r="119" spans="1:21" ht="13.5" customHeight="1">
      <c r="A119" s="303"/>
      <c r="B119" s="306"/>
      <c r="C119" s="303"/>
      <c r="D119" s="103" t="s">
        <v>91</v>
      </c>
      <c r="E119" s="102">
        <f>F119+G119+H119+I119+J119+K119+L119</f>
        <v>1408757159.48</v>
      </c>
      <c r="F119" s="104">
        <f aca="true" t="shared" si="20" ref="F119:L122">F77+F83+F95+F101+F107+F113+F89</f>
        <v>186855783.14</v>
      </c>
      <c r="G119" s="104">
        <f t="shared" si="20"/>
        <v>188442557.08</v>
      </c>
      <c r="H119" s="104">
        <f t="shared" si="20"/>
        <v>198994771.18</v>
      </c>
      <c r="I119" s="104">
        <f t="shared" si="20"/>
        <v>203088364.52</v>
      </c>
      <c r="J119" s="192">
        <f t="shared" si="20"/>
        <v>222170194.36999997</v>
      </c>
      <c r="K119" s="104">
        <f t="shared" si="20"/>
        <v>202991151.42999998</v>
      </c>
      <c r="L119" s="104">
        <f t="shared" si="20"/>
        <v>206214337.76</v>
      </c>
      <c r="M119" s="254"/>
      <c r="N119" s="240"/>
      <c r="O119" s="240"/>
      <c r="P119" s="240"/>
      <c r="Q119" s="240"/>
      <c r="R119" s="240"/>
      <c r="S119" s="240"/>
      <c r="T119" s="240"/>
      <c r="U119" s="243"/>
    </row>
    <row r="120" spans="1:21" ht="13.5" customHeight="1">
      <c r="A120" s="303"/>
      <c r="B120" s="306"/>
      <c r="C120" s="303"/>
      <c r="D120" s="103" t="s">
        <v>89</v>
      </c>
      <c r="E120" s="102">
        <f>F120+G120+H120+I120+J120+K120+L120</f>
        <v>43064639.64</v>
      </c>
      <c r="F120" s="104">
        <f t="shared" si="20"/>
        <v>2487050</v>
      </c>
      <c r="G120" s="104">
        <f t="shared" si="20"/>
        <v>2376010</v>
      </c>
      <c r="H120" s="104">
        <f t="shared" si="20"/>
        <v>2958350</v>
      </c>
      <c r="I120" s="104">
        <f t="shared" si="20"/>
        <v>6535707.4799999995</v>
      </c>
      <c r="J120" s="192">
        <f t="shared" si="20"/>
        <v>14724295.07</v>
      </c>
      <c r="K120" s="104">
        <f t="shared" si="20"/>
        <v>6837385.380000001</v>
      </c>
      <c r="L120" s="104">
        <f t="shared" si="20"/>
        <v>7145841.71</v>
      </c>
      <c r="M120" s="254"/>
      <c r="N120" s="240"/>
      <c r="O120" s="240"/>
      <c r="P120" s="240"/>
      <c r="Q120" s="240"/>
      <c r="R120" s="240"/>
      <c r="S120" s="240"/>
      <c r="T120" s="240"/>
      <c r="U120" s="243"/>
    </row>
    <row r="121" spans="1:21" ht="13.5" customHeight="1">
      <c r="A121" s="303"/>
      <c r="B121" s="306"/>
      <c r="C121" s="303"/>
      <c r="D121" s="103" t="s">
        <v>90</v>
      </c>
      <c r="E121" s="102">
        <f>F121+G121+H121+I121+J121+K121+L121</f>
        <v>0</v>
      </c>
      <c r="F121" s="104">
        <f t="shared" si="20"/>
        <v>0</v>
      </c>
      <c r="G121" s="104">
        <f t="shared" si="20"/>
        <v>0</v>
      </c>
      <c r="H121" s="104">
        <f t="shared" si="20"/>
        <v>0</v>
      </c>
      <c r="I121" s="104">
        <f t="shared" si="20"/>
        <v>0</v>
      </c>
      <c r="J121" s="192">
        <f t="shared" si="20"/>
        <v>0</v>
      </c>
      <c r="K121" s="104">
        <f t="shared" si="20"/>
        <v>0</v>
      </c>
      <c r="L121" s="104">
        <f t="shared" si="20"/>
        <v>0</v>
      </c>
      <c r="M121" s="254"/>
      <c r="N121" s="240"/>
      <c r="O121" s="240"/>
      <c r="P121" s="240"/>
      <c r="Q121" s="240"/>
      <c r="R121" s="240"/>
      <c r="S121" s="240"/>
      <c r="T121" s="240"/>
      <c r="U121" s="243"/>
    </row>
    <row r="122" spans="1:21" ht="13.5" customHeight="1">
      <c r="A122" s="304"/>
      <c r="B122" s="307"/>
      <c r="C122" s="304"/>
      <c r="D122" s="103" t="s">
        <v>92</v>
      </c>
      <c r="E122" s="102">
        <f>F122+G122+H122+I122+J122+K122+L122</f>
        <v>167270233</v>
      </c>
      <c r="F122" s="104">
        <f t="shared" si="20"/>
        <v>33115995</v>
      </c>
      <c r="G122" s="104">
        <f t="shared" si="20"/>
        <v>21895744.36</v>
      </c>
      <c r="H122" s="104">
        <f t="shared" si="20"/>
        <v>20844961.15</v>
      </c>
      <c r="I122" s="104">
        <f t="shared" si="20"/>
        <v>21559795.490000002</v>
      </c>
      <c r="J122" s="192">
        <f t="shared" si="20"/>
        <v>23284579</v>
      </c>
      <c r="K122" s="104">
        <f t="shared" si="20"/>
        <v>23284579</v>
      </c>
      <c r="L122" s="104">
        <f t="shared" si="20"/>
        <v>23284579</v>
      </c>
      <c r="M122" s="255"/>
      <c r="N122" s="241"/>
      <c r="O122" s="241"/>
      <c r="P122" s="241"/>
      <c r="Q122" s="241"/>
      <c r="R122" s="241"/>
      <c r="S122" s="241"/>
      <c r="T122" s="241"/>
      <c r="U122" s="244"/>
    </row>
    <row r="123" spans="1:21" s="78" customFormat="1" ht="13.5" customHeight="1">
      <c r="A123" s="302"/>
      <c r="B123" s="305" t="s">
        <v>74</v>
      </c>
      <c r="C123" s="302"/>
      <c r="D123" s="101" t="s">
        <v>93</v>
      </c>
      <c r="E123" s="102">
        <f>E125+E126+E127+E128</f>
        <v>4910877953.049999</v>
      </c>
      <c r="F123" s="102">
        <f aca="true" t="shared" si="21" ref="F123:L123">F117+F68</f>
        <v>630157257.97</v>
      </c>
      <c r="G123" s="102">
        <f t="shared" si="21"/>
        <v>629509067.48</v>
      </c>
      <c r="H123" s="102">
        <f t="shared" si="21"/>
        <v>659507806.04</v>
      </c>
      <c r="I123" s="102">
        <f t="shared" si="21"/>
        <v>695886728.07</v>
      </c>
      <c r="J123" s="191">
        <f t="shared" si="21"/>
        <v>768610765.91</v>
      </c>
      <c r="K123" s="102">
        <f t="shared" si="21"/>
        <v>751136641.54</v>
      </c>
      <c r="L123" s="102">
        <f t="shared" si="21"/>
        <v>776069686.0400001</v>
      </c>
      <c r="M123" s="253"/>
      <c r="N123" s="239"/>
      <c r="O123" s="239"/>
      <c r="P123" s="239"/>
      <c r="Q123" s="239"/>
      <c r="R123" s="239"/>
      <c r="S123" s="239"/>
      <c r="T123" s="239"/>
      <c r="U123" s="242"/>
    </row>
    <row r="124" spans="1:21" ht="12.75" customHeight="1">
      <c r="A124" s="303"/>
      <c r="B124" s="306"/>
      <c r="C124" s="303"/>
      <c r="D124" s="256" t="s">
        <v>113</v>
      </c>
      <c r="E124" s="257"/>
      <c r="F124" s="257"/>
      <c r="G124" s="257"/>
      <c r="H124" s="257"/>
      <c r="I124" s="257"/>
      <c r="J124" s="257"/>
      <c r="K124" s="257"/>
      <c r="L124" s="258"/>
      <c r="M124" s="254"/>
      <c r="N124" s="240"/>
      <c r="O124" s="240"/>
      <c r="P124" s="240"/>
      <c r="Q124" s="240"/>
      <c r="R124" s="240"/>
      <c r="S124" s="240"/>
      <c r="T124" s="240"/>
      <c r="U124" s="243"/>
    </row>
    <row r="125" spans="1:21" ht="13.5" customHeight="1">
      <c r="A125" s="303"/>
      <c r="B125" s="306"/>
      <c r="C125" s="303"/>
      <c r="D125" s="103" t="s">
        <v>91</v>
      </c>
      <c r="E125" s="102">
        <f>F125+G125+H125+I125+J125+K125+L125</f>
        <v>2166889976.99</v>
      </c>
      <c r="F125" s="104">
        <f aca="true" t="shared" si="22" ref="F125:L128">F70+F119</f>
        <v>288108773.96999997</v>
      </c>
      <c r="G125" s="104">
        <f t="shared" si="22"/>
        <v>288034535.81</v>
      </c>
      <c r="H125" s="104">
        <f t="shared" si="22"/>
        <v>305418423.32</v>
      </c>
      <c r="I125" s="104">
        <f t="shared" si="22"/>
        <v>313261876.9</v>
      </c>
      <c r="J125" s="192">
        <f t="shared" si="22"/>
        <v>341161738.85999995</v>
      </c>
      <c r="K125" s="104">
        <f t="shared" si="22"/>
        <v>312008114.89</v>
      </c>
      <c r="L125" s="104">
        <f t="shared" si="22"/>
        <v>318896513.24</v>
      </c>
      <c r="M125" s="254"/>
      <c r="N125" s="240"/>
      <c r="O125" s="240"/>
      <c r="P125" s="240"/>
      <c r="Q125" s="240"/>
      <c r="R125" s="240"/>
      <c r="S125" s="240"/>
      <c r="T125" s="240"/>
      <c r="U125" s="243"/>
    </row>
    <row r="126" spans="1:21" ht="13.5" customHeight="1">
      <c r="A126" s="303"/>
      <c r="B126" s="306"/>
      <c r="C126" s="303"/>
      <c r="D126" s="103" t="s">
        <v>89</v>
      </c>
      <c r="E126" s="102">
        <f>F126+G126+H126+I126+J126+K126+L126</f>
        <v>2565593781.87</v>
      </c>
      <c r="F126" s="104">
        <f t="shared" si="22"/>
        <v>308069784</v>
      </c>
      <c r="G126" s="104">
        <f t="shared" si="22"/>
        <v>318165579.24</v>
      </c>
      <c r="H126" s="104">
        <f t="shared" si="22"/>
        <v>331671421.57</v>
      </c>
      <c r="I126" s="104">
        <f t="shared" si="22"/>
        <v>359340007.56000006</v>
      </c>
      <c r="J126" s="192">
        <f t="shared" si="22"/>
        <v>402314448.05</v>
      </c>
      <c r="K126" s="104">
        <f t="shared" si="22"/>
        <v>413993947.65000004</v>
      </c>
      <c r="L126" s="104">
        <f t="shared" si="22"/>
        <v>432038593.8</v>
      </c>
      <c r="M126" s="254"/>
      <c r="N126" s="240"/>
      <c r="O126" s="240"/>
      <c r="P126" s="240"/>
      <c r="Q126" s="240"/>
      <c r="R126" s="240"/>
      <c r="S126" s="240"/>
      <c r="T126" s="240"/>
      <c r="U126" s="243"/>
    </row>
    <row r="127" spans="1:21" ht="13.5" customHeight="1">
      <c r="A127" s="303"/>
      <c r="B127" s="306"/>
      <c r="C127" s="303"/>
      <c r="D127" s="103" t="s">
        <v>90</v>
      </c>
      <c r="E127" s="102">
        <f>F127+G127+H127+I127+J127+K127+L127</f>
        <v>0</v>
      </c>
      <c r="F127" s="104">
        <f t="shared" si="22"/>
        <v>0</v>
      </c>
      <c r="G127" s="104">
        <f t="shared" si="22"/>
        <v>0</v>
      </c>
      <c r="H127" s="104">
        <f t="shared" si="22"/>
        <v>0</v>
      </c>
      <c r="I127" s="104">
        <f t="shared" si="22"/>
        <v>0</v>
      </c>
      <c r="J127" s="192">
        <f t="shared" si="22"/>
        <v>0</v>
      </c>
      <c r="K127" s="104">
        <f t="shared" si="22"/>
        <v>0</v>
      </c>
      <c r="L127" s="104">
        <f t="shared" si="22"/>
        <v>0</v>
      </c>
      <c r="M127" s="254"/>
      <c r="N127" s="240"/>
      <c r="O127" s="240"/>
      <c r="P127" s="240"/>
      <c r="Q127" s="240"/>
      <c r="R127" s="240"/>
      <c r="S127" s="240"/>
      <c r="T127" s="240"/>
      <c r="U127" s="243"/>
    </row>
    <row r="128" spans="1:21" ht="13.5" customHeight="1">
      <c r="A128" s="304"/>
      <c r="B128" s="307"/>
      <c r="C128" s="304"/>
      <c r="D128" s="103" t="s">
        <v>92</v>
      </c>
      <c r="E128" s="102">
        <f>F128+G128+H128+I128+J128+K128+L128</f>
        <v>178394194.19</v>
      </c>
      <c r="F128" s="104">
        <f t="shared" si="22"/>
        <v>33978700</v>
      </c>
      <c r="G128" s="104">
        <f t="shared" si="22"/>
        <v>23308952.43</v>
      </c>
      <c r="H128" s="104">
        <f t="shared" si="22"/>
        <v>22417961.15</v>
      </c>
      <c r="I128" s="104">
        <f t="shared" si="22"/>
        <v>23284843.610000003</v>
      </c>
      <c r="J128" s="192">
        <f t="shared" si="22"/>
        <v>25134579</v>
      </c>
      <c r="K128" s="104">
        <f t="shared" si="22"/>
        <v>25134579</v>
      </c>
      <c r="L128" s="104">
        <f t="shared" si="22"/>
        <v>25134579</v>
      </c>
      <c r="M128" s="255"/>
      <c r="N128" s="241"/>
      <c r="O128" s="241"/>
      <c r="P128" s="241"/>
      <c r="Q128" s="241"/>
      <c r="R128" s="241"/>
      <c r="S128" s="241"/>
      <c r="T128" s="241"/>
      <c r="U128" s="244"/>
    </row>
    <row r="130" spans="5:10" s="31" customFormat="1" ht="12.75">
      <c r="E130" s="32"/>
      <c r="G130" s="77"/>
      <c r="H130" s="77"/>
      <c r="J130" s="194"/>
    </row>
    <row r="131" spans="7:9" ht="12.75">
      <c r="G131" s="77"/>
      <c r="H131" s="77"/>
      <c r="I131" s="31"/>
    </row>
    <row r="132" spans="5:9" ht="12.75">
      <c r="E132" s="25"/>
      <c r="G132" s="33"/>
      <c r="H132" s="77"/>
      <c r="I132" s="88"/>
    </row>
    <row r="133" spans="5:9" ht="12.75">
      <c r="E133" s="25"/>
      <c r="F133" s="34"/>
      <c r="G133" s="35"/>
      <c r="H133" s="89"/>
      <c r="I133" s="89"/>
    </row>
    <row r="134" spans="5:9" ht="12.75">
      <c r="E134" s="25"/>
      <c r="F134" s="34"/>
      <c r="G134" s="33"/>
      <c r="H134" s="88"/>
      <c r="I134" s="88"/>
    </row>
    <row r="135" spans="2:9" ht="12.75">
      <c r="B135" s="25"/>
      <c r="E135" s="25"/>
      <c r="F135" s="36"/>
      <c r="G135" s="37"/>
      <c r="H135" s="25"/>
      <c r="I135" s="25"/>
    </row>
    <row r="136" spans="2:9" ht="12.75">
      <c r="B136" s="25"/>
      <c r="E136" s="25"/>
      <c r="F136" s="38"/>
      <c r="G136" s="37"/>
      <c r="H136" s="25"/>
      <c r="I136" s="25"/>
    </row>
    <row r="137" spans="2:9" ht="12.75">
      <c r="B137" s="25"/>
      <c r="E137" s="25"/>
      <c r="F137" s="36"/>
      <c r="G137" s="37"/>
      <c r="H137" s="25"/>
      <c r="I137" s="25"/>
    </row>
    <row r="138" spans="2:9" ht="12.75">
      <c r="B138" s="25"/>
      <c r="E138" s="35"/>
      <c r="F138" s="36"/>
      <c r="G138" s="39"/>
      <c r="H138" s="25"/>
      <c r="I138" s="25"/>
    </row>
    <row r="139" spans="2:9" ht="12.75">
      <c r="B139" s="25"/>
      <c r="C139" s="34"/>
      <c r="E139" s="25"/>
      <c r="F139" s="36"/>
      <c r="G139" s="39"/>
      <c r="H139" s="25"/>
      <c r="I139" s="25"/>
    </row>
    <row r="140" spans="2:9" ht="12.75">
      <c r="B140" s="25"/>
      <c r="C140" s="34"/>
      <c r="E140" s="25"/>
      <c r="F140" s="36"/>
      <c r="G140" s="40"/>
      <c r="H140" s="25"/>
      <c r="I140" s="25"/>
    </row>
    <row r="141" spans="2:9" ht="12.75">
      <c r="B141" s="25"/>
      <c r="C141" s="41"/>
      <c r="E141" s="25"/>
      <c r="F141" s="36"/>
      <c r="G141" s="42"/>
      <c r="H141" s="40"/>
      <c r="I141" s="25"/>
    </row>
    <row r="142" spans="2:9" ht="12.75">
      <c r="B142" s="25"/>
      <c r="C142" s="34"/>
      <c r="E142" s="37"/>
      <c r="F142" s="36"/>
      <c r="G142" s="40"/>
      <c r="H142" s="25"/>
      <c r="I142" s="25"/>
    </row>
    <row r="143" spans="2:9" ht="12.75">
      <c r="B143" s="25"/>
      <c r="C143" s="34"/>
      <c r="E143" s="37"/>
      <c r="F143" s="36"/>
      <c r="G143" s="39"/>
      <c r="H143" s="43"/>
      <c r="I143" s="43"/>
    </row>
    <row r="144" spans="5:9" ht="12.75">
      <c r="E144" s="35"/>
      <c r="F144" s="36"/>
      <c r="G144" s="39"/>
      <c r="H144" s="43"/>
      <c r="I144" s="43"/>
    </row>
    <row r="145" spans="6:9" ht="12.75">
      <c r="F145" s="36"/>
      <c r="G145" s="39"/>
      <c r="H145" s="43"/>
      <c r="I145" s="43"/>
    </row>
    <row r="146" spans="6:9" ht="12.75">
      <c r="F146" s="36"/>
      <c r="G146" s="39"/>
      <c r="H146" s="44"/>
      <c r="I146" s="44"/>
    </row>
    <row r="147" spans="6:9" ht="12.75">
      <c r="F147" s="36"/>
      <c r="G147" s="39"/>
      <c r="H147" s="43"/>
      <c r="I147" s="43"/>
    </row>
    <row r="148" spans="6:9" ht="12.75">
      <c r="F148" s="36"/>
      <c r="G148" s="39"/>
      <c r="H148" s="43"/>
      <c r="I148" s="43"/>
    </row>
    <row r="149" spans="6:9" ht="12.75">
      <c r="F149" s="36"/>
      <c r="G149" s="39"/>
      <c r="H149" s="43"/>
      <c r="I149" s="43"/>
    </row>
    <row r="150" spans="6:9" ht="12.75">
      <c r="F150" s="36"/>
      <c r="G150" s="39"/>
      <c r="H150" s="44"/>
      <c r="I150" s="44"/>
    </row>
    <row r="151" spans="6:9" ht="12.75">
      <c r="F151" s="36"/>
      <c r="G151" s="45"/>
      <c r="H151" s="43"/>
      <c r="I151" s="43"/>
    </row>
    <row r="152" spans="6:9" ht="12.75">
      <c r="F152" s="36"/>
      <c r="G152" s="39"/>
      <c r="H152" s="44"/>
      <c r="I152" s="44"/>
    </row>
    <row r="153" spans="6:9" ht="12.75">
      <c r="F153" s="36"/>
      <c r="G153" s="40"/>
      <c r="H153" s="43"/>
      <c r="I153" s="25"/>
    </row>
    <row r="154" spans="6:9" ht="12.75">
      <c r="F154" s="36"/>
      <c r="G154" s="37"/>
      <c r="H154" s="43"/>
      <c r="I154" s="25"/>
    </row>
    <row r="155" spans="6:9" ht="12.75">
      <c r="F155" s="34"/>
      <c r="G155" s="25"/>
      <c r="H155" s="37"/>
      <c r="I155" s="25"/>
    </row>
    <row r="156" ht="12.75">
      <c r="F156" s="46"/>
    </row>
    <row r="157" spans="6:7" ht="12.75">
      <c r="F157" s="34"/>
      <c r="G157" s="25"/>
    </row>
    <row r="158" spans="6:8" ht="12.75">
      <c r="F158" s="34"/>
      <c r="G158" s="25"/>
      <c r="H158" s="47"/>
    </row>
    <row r="159" spans="6:7" ht="12.75">
      <c r="F159" s="45"/>
      <c r="G159" s="39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spans="6:7" ht="12.75">
      <c r="F166" s="311"/>
      <c r="G166" s="311"/>
    </row>
    <row r="167" ht="12.75">
      <c r="G167" s="25"/>
    </row>
    <row r="168" ht="12.75">
      <c r="G168" s="25"/>
    </row>
    <row r="170" ht="12.75">
      <c r="G170" s="25"/>
    </row>
    <row r="171" ht="12.75">
      <c r="G171" s="25"/>
    </row>
    <row r="173" ht="12.75">
      <c r="F173" s="34"/>
    </row>
    <row r="174" spans="7:9" ht="12.75">
      <c r="G174" s="25"/>
      <c r="H174" s="25"/>
      <c r="I174" s="25"/>
    </row>
    <row r="175" spans="7:9" ht="12.75">
      <c r="G175" s="25"/>
      <c r="H175" s="25"/>
      <c r="I175" s="25"/>
    </row>
    <row r="176" spans="7:9" ht="12.75">
      <c r="G176" s="25"/>
      <c r="H176" s="25"/>
      <c r="I176" s="25"/>
    </row>
  </sheetData>
  <sheetProtection/>
  <mergeCells count="273">
    <mergeCell ref="Q1:U1"/>
    <mergeCell ref="F166:G166"/>
    <mergeCell ref="P123:P128"/>
    <mergeCell ref="Q123:Q128"/>
    <mergeCell ref="R123:R128"/>
    <mergeCell ref="N123:N128"/>
    <mergeCell ref="O123:O128"/>
    <mergeCell ref="Q117:Q122"/>
    <mergeCell ref="R117:R122"/>
    <mergeCell ref="S123:S128"/>
    <mergeCell ref="U123:U128"/>
    <mergeCell ref="S117:S122"/>
    <mergeCell ref="T117:T122"/>
    <mergeCell ref="U117:U122"/>
    <mergeCell ref="T123:T128"/>
    <mergeCell ref="O117:O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B75:B80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M56:M61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O111:O116"/>
    <mergeCell ref="S111:S116"/>
    <mergeCell ref="T111:T116"/>
    <mergeCell ref="P111:P116"/>
    <mergeCell ref="Q111:Q116"/>
    <mergeCell ref="R111:R116"/>
    <mergeCell ref="A111:A116"/>
    <mergeCell ref="B111:B116"/>
    <mergeCell ref="C111:C116"/>
    <mergeCell ref="M111:M116"/>
    <mergeCell ref="D112:L112"/>
    <mergeCell ref="N111:N116"/>
    <mergeCell ref="R44:R49"/>
    <mergeCell ref="S44:S49"/>
    <mergeCell ref="T44:T49"/>
    <mergeCell ref="P50:P55"/>
    <mergeCell ref="Q50:Q55"/>
    <mergeCell ref="R50:R55"/>
    <mergeCell ref="S50:S55"/>
    <mergeCell ref="T50:T55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O38:O43"/>
    <mergeCell ref="S38:S43"/>
    <mergeCell ref="P38:P43"/>
    <mergeCell ref="Q38:Q43"/>
    <mergeCell ref="R38:R43"/>
    <mergeCell ref="T38:T43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R32:R37"/>
    <mergeCell ref="R26:R31"/>
    <mergeCell ref="S26:S31"/>
    <mergeCell ref="U32:U37"/>
    <mergeCell ref="S32:S37"/>
    <mergeCell ref="T32:T37"/>
    <mergeCell ref="A26:A31"/>
    <mergeCell ref="B26:B31"/>
    <mergeCell ref="C26:C31"/>
    <mergeCell ref="M26:M31"/>
    <mergeCell ref="N26:N31"/>
    <mergeCell ref="O26:O31"/>
    <mergeCell ref="D27:L27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0:A25"/>
    <mergeCell ref="B20:B25"/>
    <mergeCell ref="C20:C25"/>
    <mergeCell ref="M20:M25"/>
    <mergeCell ref="S20:S25"/>
    <mergeCell ref="T20:T25"/>
    <mergeCell ref="P14:P19"/>
    <mergeCell ref="R14:R19"/>
    <mergeCell ref="S14:S19"/>
    <mergeCell ref="N20:N25"/>
    <mergeCell ref="O20:O25"/>
    <mergeCell ref="D21:L21"/>
    <mergeCell ref="P20:P25"/>
    <mergeCell ref="A14:A19"/>
    <mergeCell ref="B14:B19"/>
    <mergeCell ref="C14:C19"/>
    <mergeCell ref="M14:M19"/>
    <mergeCell ref="N14:N19"/>
    <mergeCell ref="O14:O19"/>
    <mergeCell ref="D15:L15"/>
    <mergeCell ref="Q8:Q13"/>
    <mergeCell ref="R8:R13"/>
    <mergeCell ref="S8:S13"/>
    <mergeCell ref="T8:T13"/>
    <mergeCell ref="U8:U13"/>
    <mergeCell ref="D9:L9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R87:R92"/>
    <mergeCell ref="Q87:Q92"/>
    <mergeCell ref="N81:N86"/>
    <mergeCell ref="P81:P86"/>
    <mergeCell ref="Q81:Q86"/>
    <mergeCell ref="O81:O86"/>
    <mergeCell ref="R81:R86"/>
    <mergeCell ref="A99:A104"/>
    <mergeCell ref="A87:A92"/>
    <mergeCell ref="B87:B92"/>
    <mergeCell ref="C87:C92"/>
    <mergeCell ref="M87:M92"/>
    <mergeCell ref="O87:O92"/>
    <mergeCell ref="N87:N92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Q99:Q104"/>
    <mergeCell ref="P99:P104"/>
    <mergeCell ref="O75:O80"/>
    <mergeCell ref="O68:O73"/>
    <mergeCell ref="O99:O104"/>
    <mergeCell ref="P87:P92"/>
    <mergeCell ref="P93:P98"/>
    <mergeCell ref="Q93:Q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5" customWidth="1"/>
    <col min="2" max="2" width="18.28125" style="125" customWidth="1"/>
    <col min="3" max="3" width="15.421875" style="125" customWidth="1"/>
    <col min="4" max="4" width="13.00390625" style="125" customWidth="1"/>
    <col min="5" max="9" width="13.7109375" style="125" customWidth="1"/>
    <col min="10" max="16384" width="9.140625" style="125" customWidth="1"/>
  </cols>
  <sheetData>
    <row r="1" spans="6:10" s="91" customFormat="1" ht="79.5" customHeight="1">
      <c r="F1" s="204" t="s">
        <v>280</v>
      </c>
      <c r="G1" s="205"/>
      <c r="H1" s="205"/>
      <c r="I1" s="205"/>
      <c r="J1" s="127"/>
    </row>
    <row r="2" spans="5:10" ht="18.75" customHeight="1">
      <c r="E2" s="122"/>
      <c r="F2" s="144"/>
      <c r="G2" s="130"/>
      <c r="I2" s="141" t="s">
        <v>153</v>
      </c>
      <c r="J2" s="99"/>
    </row>
    <row r="3" ht="15.75">
      <c r="F3" s="130"/>
    </row>
    <row r="4" spans="1:9" ht="36.75" customHeight="1">
      <c r="A4" s="218" t="s">
        <v>75</v>
      </c>
      <c r="B4" s="218"/>
      <c r="C4" s="218"/>
      <c r="D4" s="218"/>
      <c r="E4" s="218"/>
      <c r="F4" s="218"/>
      <c r="G4" s="218"/>
      <c r="H4" s="218"/>
      <c r="I4" s="218"/>
    </row>
    <row r="5" spans="1:9" ht="30" customHeight="1">
      <c r="A5" s="207" t="s">
        <v>99</v>
      </c>
      <c r="B5" s="209" t="s">
        <v>100</v>
      </c>
      <c r="C5" s="211" t="s">
        <v>101</v>
      </c>
      <c r="D5" s="211"/>
      <c r="E5" s="211"/>
      <c r="F5" s="211"/>
      <c r="G5" s="211"/>
      <c r="H5" s="211"/>
      <c r="I5" s="211"/>
    </row>
    <row r="6" spans="1:9" ht="16.5" customHeight="1">
      <c r="A6" s="208"/>
      <c r="B6" s="210"/>
      <c r="C6" s="93">
        <v>2014</v>
      </c>
      <c r="D6" s="93">
        <v>2015</v>
      </c>
      <c r="E6" s="93">
        <v>2016</v>
      </c>
      <c r="F6" s="93">
        <v>2017</v>
      </c>
      <c r="G6" s="93">
        <v>2018</v>
      </c>
      <c r="H6" s="93">
        <v>2019</v>
      </c>
      <c r="I6" s="3">
        <v>2020</v>
      </c>
    </row>
    <row r="7" spans="1:9" ht="16.5" customHeight="1">
      <c r="A7" s="145" t="s">
        <v>59</v>
      </c>
      <c r="B7" s="145" t="s">
        <v>60</v>
      </c>
      <c r="C7" s="145" t="s">
        <v>61</v>
      </c>
      <c r="D7" s="145" t="s">
        <v>62</v>
      </c>
      <c r="E7" s="145" t="s">
        <v>63</v>
      </c>
      <c r="F7" s="145" t="s">
        <v>64</v>
      </c>
      <c r="G7" s="145" t="s">
        <v>65</v>
      </c>
      <c r="H7" s="145" t="s">
        <v>66</v>
      </c>
      <c r="I7" s="145" t="s">
        <v>67</v>
      </c>
    </row>
    <row r="8" spans="1:9" ht="19.5" customHeight="1">
      <c r="A8" s="142" t="s">
        <v>76</v>
      </c>
      <c r="B8" s="124">
        <f>B10+B11+B12+B13</f>
        <v>376050937.57</v>
      </c>
      <c r="C8" s="124">
        <f aca="true" t="shared" si="0" ref="C8:I8">C10+C11+C12+C13</f>
        <v>43291513</v>
      </c>
      <c r="D8" s="124">
        <f t="shared" si="0"/>
        <v>49712022.47</v>
      </c>
      <c r="E8" s="124">
        <f t="shared" si="0"/>
        <v>51860010.43</v>
      </c>
      <c r="F8" s="124">
        <f t="shared" si="0"/>
        <v>55807718.66</v>
      </c>
      <c r="G8" s="124">
        <f t="shared" si="0"/>
        <v>61871502.33</v>
      </c>
      <c r="H8" s="124">
        <f t="shared" si="0"/>
        <v>55837385.34</v>
      </c>
      <c r="I8" s="124">
        <f t="shared" si="0"/>
        <v>57670785.34</v>
      </c>
    </row>
    <row r="9" spans="1:9" ht="16.5" customHeight="1">
      <c r="A9" s="272" t="s">
        <v>102</v>
      </c>
      <c r="B9" s="273"/>
      <c r="C9" s="273"/>
      <c r="D9" s="273"/>
      <c r="E9" s="273"/>
      <c r="F9" s="273"/>
      <c r="G9" s="273"/>
      <c r="H9" s="273"/>
      <c r="I9" s="274"/>
    </row>
    <row r="10" spans="1:9" ht="16.5" customHeight="1">
      <c r="A10" s="86" t="s">
        <v>103</v>
      </c>
      <c r="B10" s="146">
        <f>B17</f>
        <v>97643037.57000001</v>
      </c>
      <c r="C10" s="147">
        <f aca="true" t="shared" si="1" ref="C10:I10">C17</f>
        <v>12523313</v>
      </c>
      <c r="D10" s="147">
        <f t="shared" si="1"/>
        <v>14817822.469999999</v>
      </c>
      <c r="E10" s="147">
        <f t="shared" si="1"/>
        <v>15255210.430000002</v>
      </c>
      <c r="F10" s="147">
        <f t="shared" si="1"/>
        <v>16476318.66</v>
      </c>
      <c r="G10" s="147">
        <f t="shared" si="1"/>
        <v>17759802.33</v>
      </c>
      <c r="H10" s="147">
        <f t="shared" si="1"/>
        <v>10405285.34</v>
      </c>
      <c r="I10" s="147">
        <f t="shared" si="1"/>
        <v>10405285.34</v>
      </c>
    </row>
    <row r="11" spans="1:9" ht="16.5" customHeight="1">
      <c r="A11" s="86" t="s">
        <v>20</v>
      </c>
      <c r="B11" s="146">
        <f aca="true" t="shared" si="2" ref="B11:I13">B18</f>
        <v>278407900</v>
      </c>
      <c r="C11" s="147">
        <f t="shared" si="2"/>
        <v>30768200</v>
      </c>
      <c r="D11" s="147">
        <f t="shared" si="2"/>
        <v>34894200</v>
      </c>
      <c r="E11" s="147">
        <f t="shared" si="2"/>
        <v>36604800</v>
      </c>
      <c r="F11" s="147">
        <f t="shared" si="2"/>
        <v>39331400</v>
      </c>
      <c r="G11" s="147">
        <f t="shared" si="2"/>
        <v>44111700</v>
      </c>
      <c r="H11" s="147">
        <f t="shared" si="2"/>
        <v>45432100</v>
      </c>
      <c r="I11" s="147">
        <f t="shared" si="2"/>
        <v>47265500</v>
      </c>
    </row>
    <row r="12" spans="1:9" ht="16.5" customHeight="1">
      <c r="A12" s="86" t="s">
        <v>21</v>
      </c>
      <c r="B12" s="146">
        <f t="shared" si="2"/>
        <v>0</v>
      </c>
      <c r="C12" s="147">
        <f t="shared" si="2"/>
        <v>0</v>
      </c>
      <c r="D12" s="147">
        <f t="shared" si="2"/>
        <v>0</v>
      </c>
      <c r="E12" s="147">
        <f t="shared" si="2"/>
        <v>0</v>
      </c>
      <c r="F12" s="147">
        <f t="shared" si="2"/>
        <v>0</v>
      </c>
      <c r="G12" s="147">
        <f t="shared" si="2"/>
        <v>0</v>
      </c>
      <c r="H12" s="147">
        <f t="shared" si="2"/>
        <v>0</v>
      </c>
      <c r="I12" s="147">
        <f t="shared" si="2"/>
        <v>0</v>
      </c>
    </row>
    <row r="13" spans="1:9" ht="16.5" customHeight="1">
      <c r="A13" s="86" t="s">
        <v>106</v>
      </c>
      <c r="B13" s="146">
        <f t="shared" si="2"/>
        <v>0</v>
      </c>
      <c r="C13" s="147">
        <f t="shared" si="2"/>
        <v>0</v>
      </c>
      <c r="D13" s="147">
        <f t="shared" si="2"/>
        <v>0</v>
      </c>
      <c r="E13" s="147">
        <f t="shared" si="2"/>
        <v>0</v>
      </c>
      <c r="F13" s="147">
        <f t="shared" si="2"/>
        <v>0</v>
      </c>
      <c r="G13" s="147">
        <f t="shared" si="2"/>
        <v>0</v>
      </c>
      <c r="H13" s="147">
        <f t="shared" si="2"/>
        <v>0</v>
      </c>
      <c r="I13" s="147">
        <f t="shared" si="2"/>
        <v>0</v>
      </c>
    </row>
    <row r="14" spans="1:9" ht="16.5" customHeight="1">
      <c r="A14" s="201" t="s">
        <v>107</v>
      </c>
      <c r="B14" s="202"/>
      <c r="C14" s="202"/>
      <c r="D14" s="202"/>
      <c r="E14" s="202"/>
      <c r="F14" s="202"/>
      <c r="G14" s="202"/>
      <c r="H14" s="202"/>
      <c r="I14" s="203"/>
    </row>
    <row r="15" spans="1:9" ht="39.75" customHeight="1">
      <c r="A15" s="143" t="s">
        <v>114</v>
      </c>
      <c r="B15" s="124">
        <f>B17+B18+B19+B20</f>
        <v>376050937.57</v>
      </c>
      <c r="C15" s="124">
        <f>C17+C18+C19+C20</f>
        <v>43291513</v>
      </c>
      <c r="D15" s="124">
        <f aca="true" t="shared" si="3" ref="D15:I15">D17+D18+D19+D20</f>
        <v>49712022.47</v>
      </c>
      <c r="E15" s="124">
        <f t="shared" si="3"/>
        <v>51860010.43</v>
      </c>
      <c r="F15" s="124">
        <f t="shared" si="3"/>
        <v>55807718.66</v>
      </c>
      <c r="G15" s="124">
        <f t="shared" si="3"/>
        <v>61871502.33</v>
      </c>
      <c r="H15" s="124">
        <f t="shared" si="3"/>
        <v>55837385.34</v>
      </c>
      <c r="I15" s="124">
        <f t="shared" si="3"/>
        <v>57670785.34</v>
      </c>
    </row>
    <row r="16" spans="1:9" ht="16.5" customHeight="1">
      <c r="A16" s="272" t="s">
        <v>102</v>
      </c>
      <c r="B16" s="273"/>
      <c r="C16" s="273"/>
      <c r="D16" s="273"/>
      <c r="E16" s="273"/>
      <c r="F16" s="273"/>
      <c r="G16" s="273"/>
      <c r="H16" s="273"/>
      <c r="I16" s="274"/>
    </row>
    <row r="17" spans="1:9" ht="16.5" customHeight="1">
      <c r="A17" s="86" t="s">
        <v>103</v>
      </c>
      <c r="B17" s="146">
        <f>SUM(C17:I17)</f>
        <v>97643037.57000001</v>
      </c>
      <c r="C17" s="148">
        <v>12523313</v>
      </c>
      <c r="D17" s="148">
        <f>+'таб 3(3)'!G115</f>
        <v>14817822.469999999</v>
      </c>
      <c r="E17" s="148">
        <f>+'таб 3(3)'!H115</f>
        <v>15255210.430000002</v>
      </c>
      <c r="F17" s="148">
        <f>+'таб 3(3)'!I115</f>
        <v>16476318.66</v>
      </c>
      <c r="G17" s="148">
        <f>+'таб 3(3)'!J115</f>
        <v>17759802.33</v>
      </c>
      <c r="H17" s="148">
        <f>+'таб 3(3)'!K115</f>
        <v>10405285.34</v>
      </c>
      <c r="I17" s="148">
        <f>+'таб 3(3)'!L115</f>
        <v>10405285.34</v>
      </c>
    </row>
    <row r="18" spans="1:9" ht="16.5" customHeight="1">
      <c r="A18" s="86" t="s">
        <v>20</v>
      </c>
      <c r="B18" s="146">
        <f>SUM(C18:I18)</f>
        <v>278407900</v>
      </c>
      <c r="C18" s="149">
        <f>'таб 3(3)'!F116</f>
        <v>30768200</v>
      </c>
      <c r="D18" s="148">
        <f>+'таб 3(3)'!G116</f>
        <v>34894200</v>
      </c>
      <c r="E18" s="148">
        <f>+'таб 3(3)'!H116</f>
        <v>36604800</v>
      </c>
      <c r="F18" s="148">
        <f>+'таб 3(3)'!I116</f>
        <v>39331400</v>
      </c>
      <c r="G18" s="148">
        <f>+'таб 3(3)'!J116</f>
        <v>44111700</v>
      </c>
      <c r="H18" s="148">
        <f>+'таб 3(3)'!K116</f>
        <v>45432100</v>
      </c>
      <c r="I18" s="148">
        <f>+'таб 3(3)'!L116</f>
        <v>47265500</v>
      </c>
    </row>
    <row r="19" spans="1:9" ht="16.5" customHeight="1">
      <c r="A19" s="86" t="s">
        <v>21</v>
      </c>
      <c r="B19" s="146">
        <f>SUM(C19:I19)</f>
        <v>0</v>
      </c>
      <c r="C19" s="147"/>
      <c r="D19" s="147"/>
      <c r="E19" s="147"/>
      <c r="F19" s="147"/>
      <c r="G19" s="147"/>
      <c r="H19" s="147"/>
      <c r="I19" s="147"/>
    </row>
    <row r="20" spans="1:9" ht="16.5" customHeight="1">
      <c r="A20" s="86" t="s">
        <v>106</v>
      </c>
      <c r="B20" s="146">
        <f>SUM(C20:I20)</f>
        <v>0</v>
      </c>
      <c r="C20" s="147"/>
      <c r="D20" s="147"/>
      <c r="E20" s="147"/>
      <c r="F20" s="147"/>
      <c r="G20" s="147"/>
      <c r="H20" s="147"/>
      <c r="I20" s="147"/>
    </row>
    <row r="21" spans="1:9" ht="25.5">
      <c r="A21" s="4" t="s">
        <v>108</v>
      </c>
      <c r="B21" s="146">
        <f>SUM(C21:I21)</f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8"/>
  <sheetViews>
    <sheetView zoomScaleSheetLayoutView="115" zoomScalePageLayoutView="0" workbookViewId="0" topLeftCell="A1">
      <pane xSplit="3" ySplit="7" topLeftCell="N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7" width="15.28125" style="18" bestFit="1" customWidth="1"/>
    <col min="8" max="8" width="12.8515625" style="18" bestFit="1" customWidth="1"/>
    <col min="9" max="9" width="13.57421875" style="165" bestFit="1" customWidth="1"/>
    <col min="10" max="12" width="12.8515625" style="18" bestFit="1" customWidth="1"/>
    <col min="13" max="13" width="25.421875" style="18" customWidth="1"/>
    <col min="14" max="14" width="9.8515625" style="18" customWidth="1"/>
    <col min="15" max="15" width="11.7109375" style="18" customWidth="1"/>
    <col min="16" max="16" width="11.00390625" style="18" customWidth="1"/>
    <col min="17" max="17" width="10.28125" style="18" customWidth="1"/>
    <col min="18" max="18" width="9.8515625" style="18" customWidth="1"/>
    <col min="19" max="19" width="12.57421875" style="18" customWidth="1"/>
    <col min="20" max="20" width="12.421875" style="18" customWidth="1"/>
    <col min="21" max="21" width="15.7109375" style="18" customWidth="1"/>
    <col min="22" max="16384" width="9.140625" style="18" customWidth="1"/>
  </cols>
  <sheetData>
    <row r="1" spans="7:21" s="91" customFormat="1" ht="79.5" customHeight="1">
      <c r="G1" s="18"/>
      <c r="H1" s="18"/>
      <c r="I1" s="165"/>
      <c r="J1" s="18"/>
      <c r="K1" s="18"/>
      <c r="L1" s="18"/>
      <c r="Q1" s="204" t="s">
        <v>281</v>
      </c>
      <c r="R1" s="205"/>
      <c r="S1" s="205"/>
      <c r="T1" s="205"/>
      <c r="U1" s="205"/>
    </row>
    <row r="2" spans="1:21" ht="15.75">
      <c r="A2" s="247" t="s">
        <v>154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29.25" customHeight="1">
      <c r="A3" s="211" t="s">
        <v>97</v>
      </c>
      <c r="B3" s="211" t="s">
        <v>109</v>
      </c>
      <c r="C3" s="211" t="s">
        <v>110</v>
      </c>
      <c r="D3" s="211" t="s">
        <v>99</v>
      </c>
      <c r="E3" s="211" t="s">
        <v>111</v>
      </c>
      <c r="F3" s="211"/>
      <c r="G3" s="211"/>
      <c r="H3" s="211"/>
      <c r="I3" s="211"/>
      <c r="J3" s="211"/>
      <c r="K3" s="211"/>
      <c r="L3" s="211"/>
      <c r="M3" s="211" t="s">
        <v>32</v>
      </c>
      <c r="N3" s="211"/>
      <c r="O3" s="211"/>
      <c r="P3" s="211"/>
      <c r="Q3" s="211"/>
      <c r="R3" s="211"/>
      <c r="S3" s="211"/>
      <c r="T3" s="211"/>
      <c r="U3" s="265" t="s">
        <v>112</v>
      </c>
    </row>
    <row r="4" spans="1:21" ht="38.25" customHeight="1">
      <c r="A4" s="211"/>
      <c r="B4" s="211"/>
      <c r="C4" s="211"/>
      <c r="D4" s="211"/>
      <c r="E4" s="19" t="s">
        <v>93</v>
      </c>
      <c r="F4" s="5" t="s">
        <v>82</v>
      </c>
      <c r="G4" s="5" t="s">
        <v>83</v>
      </c>
      <c r="H4" s="5" t="s">
        <v>84</v>
      </c>
      <c r="I4" s="163" t="s">
        <v>85</v>
      </c>
      <c r="J4" s="5" t="s">
        <v>86</v>
      </c>
      <c r="K4" s="5" t="s">
        <v>87</v>
      </c>
      <c r="L4" s="5" t="s">
        <v>88</v>
      </c>
      <c r="M4" s="3" t="s">
        <v>98</v>
      </c>
      <c r="N4" s="5" t="s">
        <v>82</v>
      </c>
      <c r="O4" s="5" t="s">
        <v>83</v>
      </c>
      <c r="P4" s="5" t="s">
        <v>84</v>
      </c>
      <c r="Q4" s="5" t="s">
        <v>85</v>
      </c>
      <c r="R4" s="5" t="s">
        <v>86</v>
      </c>
      <c r="S4" s="5" t="s">
        <v>87</v>
      </c>
      <c r="T4" s="5" t="s">
        <v>88</v>
      </c>
      <c r="U4" s="266"/>
    </row>
    <row r="5" spans="1:21" ht="12.7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166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  <c r="O5" s="50">
        <v>15</v>
      </c>
      <c r="P5" s="50">
        <v>16</v>
      </c>
      <c r="Q5" s="50">
        <v>17</v>
      </c>
      <c r="R5" s="50">
        <v>18</v>
      </c>
      <c r="S5" s="50">
        <v>19</v>
      </c>
      <c r="T5" s="50">
        <v>20</v>
      </c>
      <c r="U5" s="50">
        <v>21</v>
      </c>
    </row>
    <row r="6" spans="1:21" ht="12.75">
      <c r="A6" s="20"/>
      <c r="B6" s="267" t="s">
        <v>155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9"/>
    </row>
    <row r="7" spans="1:21" ht="12.75">
      <c r="A7" s="20">
        <v>1</v>
      </c>
      <c r="B7" s="267" t="s">
        <v>35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2.75">
      <c r="A8" s="245" t="s">
        <v>121</v>
      </c>
      <c r="B8" s="294" t="s">
        <v>5</v>
      </c>
      <c r="C8" s="230" t="s">
        <v>78</v>
      </c>
      <c r="D8" s="21" t="s">
        <v>93</v>
      </c>
      <c r="E8" s="22">
        <f>E10+E11+E12+E13</f>
        <v>10613211.749999998</v>
      </c>
      <c r="F8" s="22">
        <f aca="true" t="shared" si="0" ref="F8:L8">F10+F11+F12+F13</f>
        <v>1951875</v>
      </c>
      <c r="G8" s="22">
        <f t="shared" si="0"/>
        <v>2375630.76</v>
      </c>
      <c r="H8" s="22">
        <f t="shared" si="0"/>
        <v>1116398.92</v>
      </c>
      <c r="I8" s="22">
        <f t="shared" si="0"/>
        <v>484246.31</v>
      </c>
      <c r="J8" s="22">
        <f t="shared" si="0"/>
        <v>1566686.92</v>
      </c>
      <c r="K8" s="22">
        <f t="shared" si="0"/>
        <v>1559186.92</v>
      </c>
      <c r="L8" s="22">
        <f t="shared" si="0"/>
        <v>1559186.92</v>
      </c>
      <c r="M8" s="279" t="s">
        <v>10</v>
      </c>
      <c r="N8" s="227">
        <v>1</v>
      </c>
      <c r="O8" s="227">
        <v>1</v>
      </c>
      <c r="P8" s="227">
        <v>1</v>
      </c>
      <c r="Q8" s="227">
        <v>1</v>
      </c>
      <c r="R8" s="227">
        <v>1</v>
      </c>
      <c r="S8" s="227">
        <v>1</v>
      </c>
      <c r="T8" s="227">
        <v>1</v>
      </c>
      <c r="U8" s="279" t="s">
        <v>77</v>
      </c>
    </row>
    <row r="9" spans="1:21" ht="12.75">
      <c r="A9" s="245"/>
      <c r="B9" s="295"/>
      <c r="C9" s="231"/>
      <c r="D9" s="248" t="s">
        <v>113</v>
      </c>
      <c r="E9" s="249"/>
      <c r="F9" s="249"/>
      <c r="G9" s="249"/>
      <c r="H9" s="249"/>
      <c r="I9" s="249"/>
      <c r="J9" s="249"/>
      <c r="K9" s="249"/>
      <c r="L9" s="250"/>
      <c r="M9" s="280"/>
      <c r="N9" s="228"/>
      <c r="O9" s="228"/>
      <c r="P9" s="228"/>
      <c r="Q9" s="228"/>
      <c r="R9" s="228"/>
      <c r="S9" s="228"/>
      <c r="T9" s="228"/>
      <c r="U9" s="280"/>
    </row>
    <row r="10" spans="1:21" ht="12.75">
      <c r="A10" s="245"/>
      <c r="B10" s="295"/>
      <c r="C10" s="231"/>
      <c r="D10" s="21" t="s">
        <v>91</v>
      </c>
      <c r="E10" s="22">
        <f>F10+G10+H10+I10+J10+K10+L10</f>
        <v>10613211.749999998</v>
      </c>
      <c r="F10" s="22">
        <v>1951875</v>
      </c>
      <c r="G10" s="22">
        <f>2216680-110834+269784.76</f>
        <v>2375630.76</v>
      </c>
      <c r="H10" s="22">
        <f>797662.85+498963.25+150686.9+10663.8-258447.59-83130.29</f>
        <v>1116398.92</v>
      </c>
      <c r="I10" s="22">
        <f>1055130+318649.26-894955.67+5200.38+222.34</f>
        <v>484246.31</v>
      </c>
      <c r="J10" s="22">
        <f>1174490.72+354696.2+37500</f>
        <v>1566686.92</v>
      </c>
      <c r="K10" s="22">
        <f>1174490.72+354696.2+30000</f>
        <v>1559186.92</v>
      </c>
      <c r="L10" s="22">
        <f>1174490.72+354696.2+30000</f>
        <v>1559186.92</v>
      </c>
      <c r="M10" s="280"/>
      <c r="N10" s="228"/>
      <c r="O10" s="228"/>
      <c r="P10" s="228"/>
      <c r="Q10" s="228"/>
      <c r="R10" s="228"/>
      <c r="S10" s="228"/>
      <c r="T10" s="228"/>
      <c r="U10" s="280"/>
    </row>
    <row r="11" spans="1:21" ht="12.75">
      <c r="A11" s="245"/>
      <c r="B11" s="295"/>
      <c r="C11" s="231"/>
      <c r="D11" s="21" t="s">
        <v>89</v>
      </c>
      <c r="E11" s="22">
        <f>F11+G11+H11+I11+J11+K11+L11</f>
        <v>0</v>
      </c>
      <c r="F11" s="22"/>
      <c r="G11" s="22"/>
      <c r="H11" s="22"/>
      <c r="I11" s="22"/>
      <c r="J11" s="22"/>
      <c r="K11" s="22"/>
      <c r="L11" s="22"/>
      <c r="M11" s="280"/>
      <c r="N11" s="228"/>
      <c r="O11" s="228"/>
      <c r="P11" s="228"/>
      <c r="Q11" s="228"/>
      <c r="R11" s="228"/>
      <c r="S11" s="228"/>
      <c r="T11" s="228"/>
      <c r="U11" s="280"/>
    </row>
    <row r="12" spans="1:21" ht="12.75">
      <c r="A12" s="245"/>
      <c r="B12" s="295"/>
      <c r="C12" s="231"/>
      <c r="D12" s="21" t="s">
        <v>90</v>
      </c>
      <c r="E12" s="22">
        <f>F12+G12+H12+I12+J12+K12+L12</f>
        <v>0</v>
      </c>
      <c r="F12" s="22"/>
      <c r="G12" s="22"/>
      <c r="H12" s="22"/>
      <c r="I12" s="22"/>
      <c r="J12" s="22"/>
      <c r="K12" s="22"/>
      <c r="L12" s="22"/>
      <c r="M12" s="280"/>
      <c r="N12" s="228"/>
      <c r="O12" s="228"/>
      <c r="P12" s="228"/>
      <c r="Q12" s="228"/>
      <c r="R12" s="228"/>
      <c r="S12" s="228"/>
      <c r="T12" s="228"/>
      <c r="U12" s="280"/>
    </row>
    <row r="13" spans="1:21" ht="12.75">
      <c r="A13" s="245"/>
      <c r="B13" s="296"/>
      <c r="C13" s="232"/>
      <c r="D13" s="21" t="s">
        <v>92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281"/>
      <c r="N13" s="229"/>
      <c r="O13" s="229"/>
      <c r="P13" s="229"/>
      <c r="Q13" s="229"/>
      <c r="R13" s="229"/>
      <c r="S13" s="229"/>
      <c r="T13" s="229"/>
      <c r="U13" s="281"/>
    </row>
    <row r="14" spans="1:21" ht="12.75" customHeight="1">
      <c r="A14" s="245" t="s">
        <v>122</v>
      </c>
      <c r="B14" s="294" t="s">
        <v>6</v>
      </c>
      <c r="C14" s="230" t="s">
        <v>78</v>
      </c>
      <c r="D14" s="21" t="s">
        <v>93</v>
      </c>
      <c r="E14" s="22">
        <f>E16+E17+E18+E19</f>
        <v>16658679.84</v>
      </c>
      <c r="F14" s="22">
        <f aca="true" t="shared" si="1" ref="F14:L14">F16+F17+F18+F19</f>
        <v>1951875</v>
      </c>
      <c r="G14" s="22">
        <f t="shared" si="1"/>
        <v>2105846</v>
      </c>
      <c r="H14" s="22">
        <f t="shared" si="1"/>
        <v>2741536.32</v>
      </c>
      <c r="I14" s="22">
        <f t="shared" si="1"/>
        <v>2897595.5199999996</v>
      </c>
      <c r="J14" s="22">
        <f t="shared" si="1"/>
        <v>2320609</v>
      </c>
      <c r="K14" s="22">
        <f t="shared" si="1"/>
        <v>2320609</v>
      </c>
      <c r="L14" s="22">
        <f t="shared" si="1"/>
        <v>2320609</v>
      </c>
      <c r="M14" s="279" t="s">
        <v>9</v>
      </c>
      <c r="N14" s="227">
        <v>1</v>
      </c>
      <c r="O14" s="227">
        <v>1</v>
      </c>
      <c r="P14" s="227">
        <v>1</v>
      </c>
      <c r="Q14" s="227">
        <v>1</v>
      </c>
      <c r="R14" s="227">
        <v>1</v>
      </c>
      <c r="S14" s="227">
        <v>1</v>
      </c>
      <c r="T14" s="227">
        <v>1</v>
      </c>
      <c r="U14" s="279" t="s">
        <v>77</v>
      </c>
    </row>
    <row r="15" spans="1:21" ht="12.75">
      <c r="A15" s="245"/>
      <c r="B15" s="295"/>
      <c r="C15" s="231"/>
      <c r="D15" s="248" t="s">
        <v>113</v>
      </c>
      <c r="E15" s="249"/>
      <c r="F15" s="249"/>
      <c r="G15" s="249"/>
      <c r="H15" s="249"/>
      <c r="I15" s="249"/>
      <c r="J15" s="249"/>
      <c r="K15" s="249"/>
      <c r="L15" s="250"/>
      <c r="M15" s="280"/>
      <c r="N15" s="228"/>
      <c r="O15" s="228"/>
      <c r="P15" s="228"/>
      <c r="Q15" s="228"/>
      <c r="R15" s="228"/>
      <c r="S15" s="228"/>
      <c r="T15" s="228"/>
      <c r="U15" s="280"/>
    </row>
    <row r="16" spans="1:21" ht="12.75">
      <c r="A16" s="245"/>
      <c r="B16" s="295"/>
      <c r="C16" s="231"/>
      <c r="D16" s="21" t="s">
        <v>91</v>
      </c>
      <c r="E16" s="22">
        <f>F16+G16+H16+I16+J16+K16+L16</f>
        <v>16658679.84</v>
      </c>
      <c r="F16" s="22">
        <v>1951875</v>
      </c>
      <c r="G16" s="22">
        <f>2216680-110834</f>
        <v>2105846</v>
      </c>
      <c r="H16" s="22">
        <f>955551.47+60000+841416+254107.63+527936.67+132524.55-30000</f>
        <v>2741536.32</v>
      </c>
      <c r="I16" s="22">
        <f>1612208+486886.82+25000+773500.7</f>
        <v>2897595.5199999996</v>
      </c>
      <c r="J16" s="22">
        <f>1766980.8+533628.2+20000</f>
        <v>2320609</v>
      </c>
      <c r="K16" s="22">
        <f>1766980.8+533628.2+20000</f>
        <v>2320609</v>
      </c>
      <c r="L16" s="22">
        <f>1766980.8+533628.2+20000</f>
        <v>2320609</v>
      </c>
      <c r="M16" s="280"/>
      <c r="N16" s="228"/>
      <c r="O16" s="228"/>
      <c r="P16" s="228"/>
      <c r="Q16" s="228"/>
      <c r="R16" s="228"/>
      <c r="S16" s="228"/>
      <c r="T16" s="228"/>
      <c r="U16" s="280"/>
    </row>
    <row r="17" spans="1:21" ht="12.75">
      <c r="A17" s="245"/>
      <c r="B17" s="295"/>
      <c r="C17" s="231"/>
      <c r="D17" s="21" t="s">
        <v>89</v>
      </c>
      <c r="E17" s="22">
        <f>F17+G17+H17+I17+J17+K17+L17</f>
        <v>0</v>
      </c>
      <c r="F17" s="22"/>
      <c r="G17" s="22"/>
      <c r="H17" s="22"/>
      <c r="I17" s="22"/>
      <c r="J17" s="22"/>
      <c r="K17" s="22"/>
      <c r="L17" s="22"/>
      <c r="M17" s="280"/>
      <c r="N17" s="228"/>
      <c r="O17" s="228"/>
      <c r="P17" s="228"/>
      <c r="Q17" s="228"/>
      <c r="R17" s="228"/>
      <c r="S17" s="228"/>
      <c r="T17" s="228"/>
      <c r="U17" s="280"/>
    </row>
    <row r="18" spans="1:21" ht="12.75">
      <c r="A18" s="245"/>
      <c r="B18" s="295"/>
      <c r="C18" s="231"/>
      <c r="D18" s="21" t="s">
        <v>90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0"/>
      <c r="N18" s="228"/>
      <c r="O18" s="228"/>
      <c r="P18" s="228"/>
      <c r="Q18" s="228"/>
      <c r="R18" s="228"/>
      <c r="S18" s="228"/>
      <c r="T18" s="228"/>
      <c r="U18" s="280"/>
    </row>
    <row r="19" spans="1:21" ht="12.75">
      <c r="A19" s="245"/>
      <c r="B19" s="296"/>
      <c r="C19" s="232"/>
      <c r="D19" s="21" t="s">
        <v>92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1"/>
      <c r="N19" s="229"/>
      <c r="O19" s="229"/>
      <c r="P19" s="229"/>
      <c r="Q19" s="229"/>
      <c r="R19" s="229"/>
      <c r="S19" s="229"/>
      <c r="T19" s="229"/>
      <c r="U19" s="281"/>
    </row>
    <row r="20" spans="1:21" ht="13.5">
      <c r="A20" s="251"/>
      <c r="B20" s="305" t="s">
        <v>152</v>
      </c>
      <c r="C20" s="251"/>
      <c r="D20" s="101" t="s">
        <v>93</v>
      </c>
      <c r="E20" s="102">
        <f aca="true" t="shared" si="2" ref="E20:L20">E22+E23+E24+E25</f>
        <v>27271891.590000004</v>
      </c>
      <c r="F20" s="102">
        <f t="shared" si="2"/>
        <v>3903750</v>
      </c>
      <c r="G20" s="102">
        <f t="shared" si="2"/>
        <v>4481476.76</v>
      </c>
      <c r="H20" s="102">
        <f t="shared" si="2"/>
        <v>3857935.2399999998</v>
      </c>
      <c r="I20" s="102">
        <f t="shared" si="2"/>
        <v>3381841.8299999996</v>
      </c>
      <c r="J20" s="102">
        <f t="shared" si="2"/>
        <v>3887295.92</v>
      </c>
      <c r="K20" s="102">
        <f t="shared" si="2"/>
        <v>3879795.92</v>
      </c>
      <c r="L20" s="102">
        <f t="shared" si="2"/>
        <v>3879795.92</v>
      </c>
      <c r="M20" s="253"/>
      <c r="N20" s="239"/>
      <c r="O20" s="239"/>
      <c r="P20" s="239"/>
      <c r="Q20" s="239"/>
      <c r="R20" s="239"/>
      <c r="S20" s="239"/>
      <c r="T20" s="239"/>
      <c r="U20" s="242"/>
    </row>
    <row r="21" spans="1:21" ht="12.75">
      <c r="A21" s="251"/>
      <c r="B21" s="306"/>
      <c r="C21" s="251"/>
      <c r="D21" s="256" t="s">
        <v>113</v>
      </c>
      <c r="E21" s="257"/>
      <c r="F21" s="257"/>
      <c r="G21" s="257"/>
      <c r="H21" s="257"/>
      <c r="I21" s="257"/>
      <c r="J21" s="257"/>
      <c r="K21" s="257"/>
      <c r="L21" s="258"/>
      <c r="M21" s="254"/>
      <c r="N21" s="240"/>
      <c r="O21" s="240"/>
      <c r="P21" s="240"/>
      <c r="Q21" s="240"/>
      <c r="R21" s="240"/>
      <c r="S21" s="240"/>
      <c r="T21" s="240"/>
      <c r="U21" s="243"/>
    </row>
    <row r="22" spans="1:21" ht="13.5">
      <c r="A22" s="251"/>
      <c r="B22" s="306"/>
      <c r="C22" s="251"/>
      <c r="D22" s="103" t="s">
        <v>91</v>
      </c>
      <c r="E22" s="102">
        <f>F22+G22+H22+I22+J22+K22+L22</f>
        <v>27271891.590000004</v>
      </c>
      <c r="F22" s="104">
        <f>F16+F10</f>
        <v>3903750</v>
      </c>
      <c r="G22" s="104">
        <f aca="true" t="shared" si="3" ref="G22:L22">G16+G10</f>
        <v>4481476.76</v>
      </c>
      <c r="H22" s="104">
        <f t="shared" si="3"/>
        <v>3857935.2399999998</v>
      </c>
      <c r="I22" s="104">
        <f t="shared" si="3"/>
        <v>3381841.8299999996</v>
      </c>
      <c r="J22" s="104">
        <f t="shared" si="3"/>
        <v>3887295.92</v>
      </c>
      <c r="K22" s="104">
        <f t="shared" si="3"/>
        <v>3879795.92</v>
      </c>
      <c r="L22" s="104">
        <f t="shared" si="3"/>
        <v>3879795.92</v>
      </c>
      <c r="M22" s="254"/>
      <c r="N22" s="240"/>
      <c r="O22" s="240"/>
      <c r="P22" s="240"/>
      <c r="Q22" s="240"/>
      <c r="R22" s="240"/>
      <c r="S22" s="240"/>
      <c r="T22" s="240"/>
      <c r="U22" s="243"/>
    </row>
    <row r="23" spans="1:21" ht="13.5">
      <c r="A23" s="251"/>
      <c r="B23" s="306"/>
      <c r="C23" s="251"/>
      <c r="D23" s="103" t="s">
        <v>89</v>
      </c>
      <c r="E23" s="102">
        <f>F23+G23+H23+I23+J23+K23+L23</f>
        <v>0</v>
      </c>
      <c r="F23" s="104">
        <f aca="true" t="shared" si="4" ref="F23:L25">F11+F17</f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  <c r="M23" s="254"/>
      <c r="N23" s="240"/>
      <c r="O23" s="240"/>
      <c r="P23" s="240"/>
      <c r="Q23" s="240"/>
      <c r="R23" s="240"/>
      <c r="S23" s="240"/>
      <c r="T23" s="240"/>
      <c r="U23" s="243"/>
    </row>
    <row r="24" spans="1:21" ht="13.5">
      <c r="A24" s="251"/>
      <c r="B24" s="306"/>
      <c r="C24" s="251"/>
      <c r="D24" s="103" t="s">
        <v>90</v>
      </c>
      <c r="E24" s="102">
        <f>F24+G24+H24+I24+J24+K24+L24</f>
        <v>0</v>
      </c>
      <c r="F24" s="104">
        <f aca="true" t="shared" si="5" ref="F24:H25">F12+F18</f>
        <v>0</v>
      </c>
      <c r="G24" s="104">
        <f t="shared" si="5"/>
        <v>0</v>
      </c>
      <c r="H24" s="104">
        <f t="shared" si="5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254"/>
      <c r="N24" s="240"/>
      <c r="O24" s="240"/>
      <c r="P24" s="240"/>
      <c r="Q24" s="240"/>
      <c r="R24" s="240"/>
      <c r="S24" s="240"/>
      <c r="T24" s="240"/>
      <c r="U24" s="243"/>
    </row>
    <row r="25" spans="1:21" ht="13.5">
      <c r="A25" s="251"/>
      <c r="B25" s="307"/>
      <c r="C25" s="251"/>
      <c r="D25" s="103" t="s">
        <v>92</v>
      </c>
      <c r="E25" s="102">
        <f>F25+G25+H25+I25+J25+K25+L25</f>
        <v>0</v>
      </c>
      <c r="F25" s="104">
        <f t="shared" si="5"/>
        <v>0</v>
      </c>
      <c r="G25" s="104">
        <f t="shared" si="5"/>
        <v>0</v>
      </c>
      <c r="H25" s="104">
        <f t="shared" si="5"/>
        <v>0</v>
      </c>
      <c r="I25" s="104">
        <f t="shared" si="4"/>
        <v>0</v>
      </c>
      <c r="J25" s="104">
        <f t="shared" si="4"/>
        <v>0</v>
      </c>
      <c r="K25" s="104">
        <f t="shared" si="4"/>
        <v>0</v>
      </c>
      <c r="L25" s="104">
        <f t="shared" si="4"/>
        <v>0</v>
      </c>
      <c r="M25" s="255"/>
      <c r="N25" s="241"/>
      <c r="O25" s="241"/>
      <c r="P25" s="241"/>
      <c r="Q25" s="241"/>
      <c r="R25" s="241"/>
      <c r="S25" s="241"/>
      <c r="T25" s="241"/>
      <c r="U25" s="244"/>
    </row>
    <row r="26" spans="1:21" ht="12.75">
      <c r="A26" s="20">
        <v>2</v>
      </c>
      <c r="B26" s="267" t="s">
        <v>37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9"/>
    </row>
    <row r="27" spans="1:21" ht="12.75" customHeight="1">
      <c r="A27" s="245" t="s">
        <v>127</v>
      </c>
      <c r="B27" s="294" t="s">
        <v>156</v>
      </c>
      <c r="C27" s="230" t="s">
        <v>78</v>
      </c>
      <c r="D27" s="21" t="s">
        <v>93</v>
      </c>
      <c r="E27" s="22">
        <f>E29+E30+E31+E32</f>
        <v>35239000</v>
      </c>
      <c r="F27" s="22">
        <f aca="true" t="shared" si="6" ref="F27:L27">F29+F30+F31+F32</f>
        <v>4265000</v>
      </c>
      <c r="G27" s="22">
        <f t="shared" si="6"/>
        <v>4405000</v>
      </c>
      <c r="H27" s="22">
        <f t="shared" si="6"/>
        <v>4405000</v>
      </c>
      <c r="I27" s="22">
        <f t="shared" si="6"/>
        <v>5286000</v>
      </c>
      <c r="J27" s="22">
        <f t="shared" si="6"/>
        <v>5406000</v>
      </c>
      <c r="K27" s="22">
        <f t="shared" si="6"/>
        <v>5622000</v>
      </c>
      <c r="L27" s="22">
        <f t="shared" si="6"/>
        <v>5850000</v>
      </c>
      <c r="M27" s="279" t="s">
        <v>15</v>
      </c>
      <c r="N27" s="224">
        <v>100</v>
      </c>
      <c r="O27" s="224">
        <v>100</v>
      </c>
      <c r="P27" s="224">
        <v>100</v>
      </c>
      <c r="Q27" s="224">
        <v>100</v>
      </c>
      <c r="R27" s="224">
        <v>100</v>
      </c>
      <c r="S27" s="224">
        <v>100</v>
      </c>
      <c r="T27" s="224">
        <v>100</v>
      </c>
      <c r="U27" s="279" t="s">
        <v>77</v>
      </c>
    </row>
    <row r="28" spans="1:21" ht="12.75">
      <c r="A28" s="245"/>
      <c r="B28" s="295"/>
      <c r="C28" s="23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280"/>
      <c r="N28" s="225"/>
      <c r="O28" s="225"/>
      <c r="P28" s="225"/>
      <c r="Q28" s="225"/>
      <c r="R28" s="225"/>
      <c r="S28" s="225"/>
      <c r="T28" s="225"/>
      <c r="U28" s="280"/>
    </row>
    <row r="29" spans="1:21" ht="12.75">
      <c r="A29" s="245"/>
      <c r="B29" s="295"/>
      <c r="C29" s="231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0"/>
      <c r="N29" s="225"/>
      <c r="O29" s="225"/>
      <c r="P29" s="225"/>
      <c r="Q29" s="225"/>
      <c r="R29" s="225"/>
      <c r="S29" s="225"/>
      <c r="T29" s="225"/>
      <c r="U29" s="280"/>
    </row>
    <row r="30" spans="1:21" ht="12.75">
      <c r="A30" s="245"/>
      <c r="B30" s="295"/>
      <c r="C30" s="231"/>
      <c r="D30" s="21" t="s">
        <v>89</v>
      </c>
      <c r="E30" s="22">
        <f>F30+G30+H30+I30+J30+K30+L30</f>
        <v>35239000</v>
      </c>
      <c r="F30" s="22">
        <v>4265000</v>
      </c>
      <c r="G30" s="22">
        <v>4405000</v>
      </c>
      <c r="H30" s="22">
        <f>3554115.42+850884.58</f>
        <v>4405000</v>
      </c>
      <c r="I30" s="22">
        <f>2797068.04+132900+844714.55+646414+864903.41</f>
        <v>5286000</v>
      </c>
      <c r="J30" s="22">
        <f>2797068.04+240000+844714.55+1524217.41</f>
        <v>5406000</v>
      </c>
      <c r="K30" s="22">
        <f>2797068.04+240000+844714.55+1740217.41</f>
        <v>5622000</v>
      </c>
      <c r="L30" s="22">
        <f>2797068.04+270000+844714.55+1938217.41</f>
        <v>5850000</v>
      </c>
      <c r="M30" s="280"/>
      <c r="N30" s="225"/>
      <c r="O30" s="225"/>
      <c r="P30" s="225"/>
      <c r="Q30" s="225"/>
      <c r="R30" s="225"/>
      <c r="S30" s="225"/>
      <c r="T30" s="225"/>
      <c r="U30" s="280"/>
    </row>
    <row r="31" spans="1:21" ht="12.75">
      <c r="A31" s="245"/>
      <c r="B31" s="295"/>
      <c r="C31" s="231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0"/>
      <c r="N31" s="225"/>
      <c r="O31" s="225"/>
      <c r="P31" s="225"/>
      <c r="Q31" s="225"/>
      <c r="R31" s="225"/>
      <c r="S31" s="225"/>
      <c r="T31" s="225"/>
      <c r="U31" s="280"/>
    </row>
    <row r="32" spans="1:21" ht="12.75">
      <c r="A32" s="245"/>
      <c r="B32" s="296"/>
      <c r="C32" s="232"/>
      <c r="D32" s="21" t="s">
        <v>92</v>
      </c>
      <c r="E32" s="22">
        <f>F32+G32+H32+I32+J32+K32+L32</f>
        <v>0</v>
      </c>
      <c r="F32" s="22"/>
      <c r="G32" s="22"/>
      <c r="H32" s="22"/>
      <c r="I32" s="22"/>
      <c r="J32" s="22"/>
      <c r="K32" s="22"/>
      <c r="L32" s="22"/>
      <c r="M32" s="281"/>
      <c r="N32" s="226"/>
      <c r="O32" s="226"/>
      <c r="P32" s="226"/>
      <c r="Q32" s="226"/>
      <c r="R32" s="226"/>
      <c r="S32" s="226"/>
      <c r="T32" s="226"/>
      <c r="U32" s="281"/>
    </row>
    <row r="33" spans="1:21" ht="12.75" customHeight="1">
      <c r="A33" s="245" t="s">
        <v>128</v>
      </c>
      <c r="B33" s="285" t="s">
        <v>157</v>
      </c>
      <c r="C33" s="230" t="s">
        <v>78</v>
      </c>
      <c r="D33" s="21" t="s">
        <v>93</v>
      </c>
      <c r="E33" s="22">
        <f>E35+E36+E37+E38</f>
        <v>517500</v>
      </c>
      <c r="F33" s="22">
        <f aca="true" t="shared" si="7" ref="F33:L33">F35+F36+F37+F38</f>
        <v>131600</v>
      </c>
      <c r="G33" s="22">
        <f t="shared" si="7"/>
        <v>0</v>
      </c>
      <c r="H33" s="22">
        <f t="shared" si="7"/>
        <v>147200</v>
      </c>
      <c r="I33" s="22">
        <f t="shared" si="7"/>
        <v>0</v>
      </c>
      <c r="J33" s="22">
        <f t="shared" si="7"/>
        <v>76500</v>
      </c>
      <c r="K33" s="22">
        <f t="shared" si="7"/>
        <v>79500</v>
      </c>
      <c r="L33" s="22">
        <f t="shared" si="7"/>
        <v>82700</v>
      </c>
      <c r="M33" s="279" t="s">
        <v>14</v>
      </c>
      <c r="N33" s="224">
        <v>100</v>
      </c>
      <c r="O33" s="224">
        <v>100</v>
      </c>
      <c r="P33" s="224">
        <v>100</v>
      </c>
      <c r="Q33" s="224">
        <v>100</v>
      </c>
      <c r="R33" s="224">
        <v>100</v>
      </c>
      <c r="S33" s="224">
        <v>100</v>
      </c>
      <c r="T33" s="224">
        <v>100</v>
      </c>
      <c r="U33" s="279" t="s">
        <v>77</v>
      </c>
    </row>
    <row r="34" spans="1:21" ht="12.75">
      <c r="A34" s="245"/>
      <c r="B34" s="286"/>
      <c r="C34" s="231"/>
      <c r="D34" s="248" t="s">
        <v>113</v>
      </c>
      <c r="E34" s="249"/>
      <c r="F34" s="249"/>
      <c r="G34" s="249"/>
      <c r="H34" s="249"/>
      <c r="I34" s="249"/>
      <c r="J34" s="249"/>
      <c r="K34" s="249"/>
      <c r="L34" s="250"/>
      <c r="M34" s="280"/>
      <c r="N34" s="225"/>
      <c r="O34" s="225"/>
      <c r="P34" s="225"/>
      <c r="Q34" s="225"/>
      <c r="R34" s="225"/>
      <c r="S34" s="225"/>
      <c r="T34" s="225"/>
      <c r="U34" s="280"/>
    </row>
    <row r="35" spans="1:21" ht="12.75">
      <c r="A35" s="245"/>
      <c r="B35" s="286"/>
      <c r="C35" s="231"/>
      <c r="D35" s="21" t="s">
        <v>91</v>
      </c>
      <c r="E35" s="22">
        <f>F35+G35+H35+I35+J35+K35+L35</f>
        <v>0</v>
      </c>
      <c r="F35" s="23"/>
      <c r="G35" s="22"/>
      <c r="H35" s="22"/>
      <c r="I35" s="22"/>
      <c r="J35" s="22"/>
      <c r="K35" s="22"/>
      <c r="L35" s="22"/>
      <c r="M35" s="280"/>
      <c r="N35" s="225"/>
      <c r="O35" s="225"/>
      <c r="P35" s="225"/>
      <c r="Q35" s="225"/>
      <c r="R35" s="225"/>
      <c r="S35" s="225"/>
      <c r="T35" s="225"/>
      <c r="U35" s="280"/>
    </row>
    <row r="36" spans="1:21" ht="12.75">
      <c r="A36" s="245"/>
      <c r="B36" s="286"/>
      <c r="C36" s="231"/>
      <c r="D36" s="21" t="s">
        <v>89</v>
      </c>
      <c r="E36" s="22">
        <f>F36+G36+H36+I36+J36+K36+L36</f>
        <v>517500</v>
      </c>
      <c r="F36" s="22">
        <v>131600</v>
      </c>
      <c r="G36" s="22">
        <v>0</v>
      </c>
      <c r="H36" s="22">
        <f>73600+73600</f>
        <v>147200</v>
      </c>
      <c r="I36" s="22">
        <f>147100-147100</f>
        <v>0</v>
      </c>
      <c r="J36" s="22">
        <v>76500</v>
      </c>
      <c r="K36" s="22">
        <v>79500</v>
      </c>
      <c r="L36" s="22">
        <v>82700</v>
      </c>
      <c r="M36" s="280"/>
      <c r="N36" s="225"/>
      <c r="O36" s="225"/>
      <c r="P36" s="225"/>
      <c r="Q36" s="225"/>
      <c r="R36" s="225"/>
      <c r="S36" s="225"/>
      <c r="T36" s="225"/>
      <c r="U36" s="280"/>
    </row>
    <row r="37" spans="1:21" ht="12.75">
      <c r="A37" s="245"/>
      <c r="B37" s="286"/>
      <c r="C37" s="231"/>
      <c r="D37" s="21" t="s">
        <v>90</v>
      </c>
      <c r="E37" s="22">
        <f>F37+G37+H37+I37+J37+K37+L37</f>
        <v>0</v>
      </c>
      <c r="F37" s="23"/>
      <c r="G37" s="22"/>
      <c r="H37" s="22"/>
      <c r="I37" s="22"/>
      <c r="J37" s="22"/>
      <c r="K37" s="22"/>
      <c r="L37" s="22"/>
      <c r="M37" s="280"/>
      <c r="N37" s="225"/>
      <c r="O37" s="225"/>
      <c r="P37" s="225"/>
      <c r="Q37" s="225"/>
      <c r="R37" s="225"/>
      <c r="S37" s="225"/>
      <c r="T37" s="225"/>
      <c r="U37" s="280"/>
    </row>
    <row r="38" spans="1:21" ht="12.75">
      <c r="A38" s="245"/>
      <c r="B38" s="287"/>
      <c r="C38" s="232"/>
      <c r="D38" s="21" t="s">
        <v>92</v>
      </c>
      <c r="E38" s="22">
        <f>F38+G38+H38+I38+J38+K38+L38</f>
        <v>0</v>
      </c>
      <c r="F38" s="23"/>
      <c r="G38" s="22"/>
      <c r="H38" s="22"/>
      <c r="I38" s="22"/>
      <c r="J38" s="22"/>
      <c r="K38" s="22"/>
      <c r="L38" s="22"/>
      <c r="M38" s="281"/>
      <c r="N38" s="226"/>
      <c r="O38" s="226"/>
      <c r="P38" s="226"/>
      <c r="Q38" s="226"/>
      <c r="R38" s="226"/>
      <c r="S38" s="226"/>
      <c r="T38" s="226"/>
      <c r="U38" s="281"/>
    </row>
    <row r="39" spans="1:21" ht="12.75" customHeight="1">
      <c r="A39" s="245" t="s">
        <v>129</v>
      </c>
      <c r="B39" s="285" t="s">
        <v>158</v>
      </c>
      <c r="C39" s="230" t="s">
        <v>78</v>
      </c>
      <c r="D39" s="21" t="s">
        <v>93</v>
      </c>
      <c r="E39" s="22">
        <f>E41+E42+E43+E44</f>
        <v>13146200</v>
      </c>
      <c r="F39" s="22">
        <f aca="true" t="shared" si="8" ref="F39:L39">F41+F42+F43+F44</f>
        <v>1876300</v>
      </c>
      <c r="G39" s="22">
        <f t="shared" si="8"/>
        <v>1698600</v>
      </c>
      <c r="H39" s="22">
        <f t="shared" si="8"/>
        <v>1563700</v>
      </c>
      <c r="I39" s="22">
        <f t="shared" si="8"/>
        <v>1947800</v>
      </c>
      <c r="J39" s="22">
        <f t="shared" si="8"/>
        <v>1941200</v>
      </c>
      <c r="K39" s="22">
        <f t="shared" si="8"/>
        <v>2018900</v>
      </c>
      <c r="L39" s="22">
        <f t="shared" si="8"/>
        <v>2099700</v>
      </c>
      <c r="M39" s="279" t="s">
        <v>12</v>
      </c>
      <c r="N39" s="224">
        <v>100</v>
      </c>
      <c r="O39" s="224">
        <v>100</v>
      </c>
      <c r="P39" s="224">
        <v>100</v>
      </c>
      <c r="Q39" s="224">
        <v>100</v>
      </c>
      <c r="R39" s="224">
        <v>100</v>
      </c>
      <c r="S39" s="224">
        <v>100</v>
      </c>
      <c r="T39" s="224">
        <v>100</v>
      </c>
      <c r="U39" s="279" t="s">
        <v>77</v>
      </c>
    </row>
    <row r="40" spans="1:21" ht="12.75">
      <c r="A40" s="245"/>
      <c r="B40" s="286"/>
      <c r="C40" s="231"/>
      <c r="D40" s="248" t="s">
        <v>113</v>
      </c>
      <c r="E40" s="249"/>
      <c r="F40" s="249"/>
      <c r="G40" s="249"/>
      <c r="H40" s="249"/>
      <c r="I40" s="249"/>
      <c r="J40" s="249"/>
      <c r="K40" s="249"/>
      <c r="L40" s="250"/>
      <c r="M40" s="280"/>
      <c r="N40" s="225"/>
      <c r="O40" s="225"/>
      <c r="P40" s="225"/>
      <c r="Q40" s="225"/>
      <c r="R40" s="225"/>
      <c r="S40" s="225"/>
      <c r="T40" s="225"/>
      <c r="U40" s="280"/>
    </row>
    <row r="41" spans="1:21" ht="12.75">
      <c r="A41" s="245"/>
      <c r="B41" s="286"/>
      <c r="C41" s="231"/>
      <c r="D41" s="21" t="s">
        <v>91</v>
      </c>
      <c r="E41" s="22">
        <f>F41+G41+H41+I41+J41+K41+L41</f>
        <v>0</v>
      </c>
      <c r="F41" s="23"/>
      <c r="G41" s="23"/>
      <c r="H41" s="23"/>
      <c r="I41" s="22"/>
      <c r="J41" s="23"/>
      <c r="K41" s="23"/>
      <c r="L41" s="23"/>
      <c r="M41" s="280"/>
      <c r="N41" s="225"/>
      <c r="O41" s="225"/>
      <c r="P41" s="225"/>
      <c r="Q41" s="225"/>
      <c r="R41" s="225"/>
      <c r="S41" s="225"/>
      <c r="T41" s="225"/>
      <c r="U41" s="280"/>
    </row>
    <row r="42" spans="1:21" ht="12.75">
      <c r="A42" s="245"/>
      <c r="B42" s="286"/>
      <c r="C42" s="231"/>
      <c r="D42" s="21" t="s">
        <v>89</v>
      </c>
      <c r="E42" s="22">
        <f>F42+G42+H42+I42+J42+K42+L42</f>
        <v>13146200</v>
      </c>
      <c r="F42" s="23">
        <v>1876300</v>
      </c>
      <c r="G42" s="23">
        <f>1675100+18049.15+5450.85</f>
        <v>1698600</v>
      </c>
      <c r="H42" s="23">
        <f>1594000+22400-52000-4301.09-1298.91+4900</f>
        <v>1563700</v>
      </c>
      <c r="I42" s="22">
        <f>1847600+16743.47+5056.53+78400</f>
        <v>1947800</v>
      </c>
      <c r="J42" s="23">
        <f>17127.5+5172.5+1918900</f>
        <v>1941200</v>
      </c>
      <c r="K42" s="23">
        <f>17818.74+5381.26+1995700</f>
        <v>2018900</v>
      </c>
      <c r="L42" s="23">
        <f>5613.21+18586.79+2075500</f>
        <v>2099700</v>
      </c>
      <c r="M42" s="280"/>
      <c r="N42" s="225"/>
      <c r="O42" s="225"/>
      <c r="P42" s="225"/>
      <c r="Q42" s="225"/>
      <c r="R42" s="225"/>
      <c r="S42" s="225"/>
      <c r="T42" s="225"/>
      <c r="U42" s="280"/>
    </row>
    <row r="43" spans="1:21" ht="12.75">
      <c r="A43" s="245"/>
      <c r="B43" s="286"/>
      <c r="C43" s="231"/>
      <c r="D43" s="21" t="s">
        <v>90</v>
      </c>
      <c r="E43" s="22">
        <f>F43+G43+H43+I43+J43+K43+L43</f>
        <v>0</v>
      </c>
      <c r="F43" s="23">
        <v>0</v>
      </c>
      <c r="G43" s="23">
        <v>0</v>
      </c>
      <c r="H43" s="23">
        <v>0</v>
      </c>
      <c r="I43" s="22">
        <v>0</v>
      </c>
      <c r="J43" s="23">
        <v>0</v>
      </c>
      <c r="K43" s="23">
        <v>0</v>
      </c>
      <c r="L43" s="23">
        <v>0</v>
      </c>
      <c r="M43" s="280"/>
      <c r="N43" s="225"/>
      <c r="O43" s="225"/>
      <c r="P43" s="225"/>
      <c r="Q43" s="225"/>
      <c r="R43" s="225"/>
      <c r="S43" s="225"/>
      <c r="T43" s="225"/>
      <c r="U43" s="280"/>
    </row>
    <row r="44" spans="1:21" ht="12.75">
      <c r="A44" s="245"/>
      <c r="B44" s="287"/>
      <c r="C44" s="232"/>
      <c r="D44" s="21" t="s">
        <v>92</v>
      </c>
      <c r="E44" s="22">
        <f>F44+G44+H44+I44+J44+K44+L44</f>
        <v>0</v>
      </c>
      <c r="F44" s="23">
        <v>0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3">
        <v>0</v>
      </c>
      <c r="M44" s="281"/>
      <c r="N44" s="226"/>
      <c r="O44" s="226"/>
      <c r="P44" s="226"/>
      <c r="Q44" s="226"/>
      <c r="R44" s="226"/>
      <c r="S44" s="226"/>
      <c r="T44" s="226"/>
      <c r="U44" s="281"/>
    </row>
    <row r="45" spans="1:21" ht="12.75" customHeight="1">
      <c r="A45" s="245" t="s">
        <v>148</v>
      </c>
      <c r="B45" s="285" t="s">
        <v>159</v>
      </c>
      <c r="C45" s="230" t="s">
        <v>78</v>
      </c>
      <c r="D45" s="21" t="s">
        <v>93</v>
      </c>
      <c r="E45" s="22">
        <f>E47+E48+E49+E50</f>
        <v>2189000</v>
      </c>
      <c r="F45" s="22">
        <f aca="true" t="shared" si="9" ref="F45:L45">F47+F48+F49+F50</f>
        <v>418700</v>
      </c>
      <c r="G45" s="22">
        <f t="shared" si="9"/>
        <v>209400</v>
      </c>
      <c r="H45" s="22">
        <f t="shared" si="9"/>
        <v>200000</v>
      </c>
      <c r="I45" s="22">
        <f t="shared" si="9"/>
        <v>314000</v>
      </c>
      <c r="J45" s="22">
        <f t="shared" si="9"/>
        <v>628100</v>
      </c>
      <c r="K45" s="22">
        <f t="shared" si="9"/>
        <v>209400</v>
      </c>
      <c r="L45" s="22">
        <f t="shared" si="9"/>
        <v>209400</v>
      </c>
      <c r="M45" s="279" t="s">
        <v>40</v>
      </c>
      <c r="N45" s="224">
        <v>100</v>
      </c>
      <c r="O45" s="224">
        <v>100</v>
      </c>
      <c r="P45" s="224">
        <v>100</v>
      </c>
      <c r="Q45" s="224">
        <v>100</v>
      </c>
      <c r="R45" s="224">
        <v>100</v>
      </c>
      <c r="S45" s="224">
        <v>100</v>
      </c>
      <c r="T45" s="224">
        <v>100</v>
      </c>
      <c r="U45" s="279" t="s">
        <v>77</v>
      </c>
    </row>
    <row r="46" spans="1:21" ht="12.75">
      <c r="A46" s="245"/>
      <c r="B46" s="286"/>
      <c r="C46" s="231"/>
      <c r="D46" s="248" t="s">
        <v>113</v>
      </c>
      <c r="E46" s="249"/>
      <c r="F46" s="249"/>
      <c r="G46" s="249"/>
      <c r="H46" s="249"/>
      <c r="I46" s="249"/>
      <c r="J46" s="249"/>
      <c r="K46" s="249"/>
      <c r="L46" s="250"/>
      <c r="M46" s="280"/>
      <c r="N46" s="225"/>
      <c r="O46" s="225"/>
      <c r="P46" s="225"/>
      <c r="Q46" s="225"/>
      <c r="R46" s="225"/>
      <c r="S46" s="225"/>
      <c r="T46" s="225"/>
      <c r="U46" s="280"/>
    </row>
    <row r="47" spans="1:21" ht="12.75">
      <c r="A47" s="245"/>
      <c r="B47" s="286"/>
      <c r="C47" s="231"/>
      <c r="D47" s="21" t="s">
        <v>91</v>
      </c>
      <c r="E47" s="22">
        <f>F47+G47+H47+I47+J47+K47+L47</f>
        <v>0</v>
      </c>
      <c r="F47" s="23"/>
      <c r="G47" s="23"/>
      <c r="H47" s="23"/>
      <c r="I47" s="22"/>
      <c r="J47" s="23"/>
      <c r="K47" s="23"/>
      <c r="L47" s="23"/>
      <c r="M47" s="280"/>
      <c r="N47" s="225"/>
      <c r="O47" s="225"/>
      <c r="P47" s="225"/>
      <c r="Q47" s="225"/>
      <c r="R47" s="225"/>
      <c r="S47" s="225"/>
      <c r="T47" s="225"/>
      <c r="U47" s="280"/>
    </row>
    <row r="48" spans="1:21" ht="12.75">
      <c r="A48" s="245"/>
      <c r="B48" s="286"/>
      <c r="C48" s="231"/>
      <c r="D48" s="21" t="s">
        <v>89</v>
      </c>
      <c r="E48" s="22">
        <f>F48+G48+H48+I48+J48+K48+L48</f>
        <v>2189000</v>
      </c>
      <c r="F48" s="23">
        <v>418700</v>
      </c>
      <c r="G48" s="23">
        <v>209400</v>
      </c>
      <c r="H48" s="23">
        <f>209400-9400</f>
        <v>200000</v>
      </c>
      <c r="I48" s="22">
        <v>314000</v>
      </c>
      <c r="J48" s="23">
        <v>628100</v>
      </c>
      <c r="K48" s="23">
        <v>209400</v>
      </c>
      <c r="L48" s="23">
        <v>209400</v>
      </c>
      <c r="M48" s="280"/>
      <c r="N48" s="225"/>
      <c r="O48" s="225"/>
      <c r="P48" s="225"/>
      <c r="Q48" s="225"/>
      <c r="R48" s="225"/>
      <c r="S48" s="225"/>
      <c r="T48" s="225"/>
      <c r="U48" s="280"/>
    </row>
    <row r="49" spans="1:21" ht="12.75">
      <c r="A49" s="245"/>
      <c r="B49" s="286"/>
      <c r="C49" s="231"/>
      <c r="D49" s="21" t="s">
        <v>90</v>
      </c>
      <c r="E49" s="22">
        <f>F49+G49+H49+I49+J49+K49+L49</f>
        <v>0</v>
      </c>
      <c r="F49" s="23"/>
      <c r="G49" s="23"/>
      <c r="H49" s="23"/>
      <c r="I49" s="22"/>
      <c r="J49" s="23"/>
      <c r="K49" s="23"/>
      <c r="L49" s="23"/>
      <c r="M49" s="280"/>
      <c r="N49" s="225"/>
      <c r="O49" s="225"/>
      <c r="P49" s="225"/>
      <c r="Q49" s="225"/>
      <c r="R49" s="225"/>
      <c r="S49" s="225"/>
      <c r="T49" s="225"/>
      <c r="U49" s="280"/>
    </row>
    <row r="50" spans="1:21" ht="12.75">
      <c r="A50" s="245"/>
      <c r="B50" s="287"/>
      <c r="C50" s="232"/>
      <c r="D50" s="21" t="s">
        <v>92</v>
      </c>
      <c r="E50" s="22">
        <f>F50+G50+H50+I50+J50+K50+L50</f>
        <v>0</v>
      </c>
      <c r="F50" s="23"/>
      <c r="G50" s="23"/>
      <c r="H50" s="23"/>
      <c r="I50" s="22"/>
      <c r="J50" s="23"/>
      <c r="K50" s="23"/>
      <c r="L50" s="23"/>
      <c r="M50" s="281"/>
      <c r="N50" s="226"/>
      <c r="O50" s="226"/>
      <c r="P50" s="226"/>
      <c r="Q50" s="226"/>
      <c r="R50" s="226"/>
      <c r="S50" s="226"/>
      <c r="T50" s="226"/>
      <c r="U50" s="281"/>
    </row>
    <row r="51" spans="1:21" ht="12.75" customHeight="1">
      <c r="A51" s="245" t="s">
        <v>149</v>
      </c>
      <c r="B51" s="285" t="s">
        <v>160</v>
      </c>
      <c r="C51" s="230" t="s">
        <v>78</v>
      </c>
      <c r="D51" s="21" t="s">
        <v>93</v>
      </c>
      <c r="E51" s="22">
        <f>E53+E54+E55+E56</f>
        <v>3297500</v>
      </c>
      <c r="F51" s="22">
        <f aca="true" t="shared" si="10" ref="F51:L51">F53+F54+F55+F56</f>
        <v>409000</v>
      </c>
      <c r="G51" s="22">
        <f>G53+G54+G55+G56</f>
        <v>338000</v>
      </c>
      <c r="H51" s="22">
        <f t="shared" si="10"/>
        <v>619300</v>
      </c>
      <c r="I51" s="22">
        <f t="shared" si="10"/>
        <v>397000</v>
      </c>
      <c r="J51" s="22">
        <f t="shared" si="10"/>
        <v>491500</v>
      </c>
      <c r="K51" s="22">
        <f t="shared" si="10"/>
        <v>511100</v>
      </c>
      <c r="L51" s="22">
        <f t="shared" si="10"/>
        <v>531600</v>
      </c>
      <c r="M51" s="279" t="s">
        <v>13</v>
      </c>
      <c r="N51" s="224">
        <v>100</v>
      </c>
      <c r="O51" s="224">
        <v>100</v>
      </c>
      <c r="P51" s="224">
        <v>100</v>
      </c>
      <c r="Q51" s="224">
        <v>100</v>
      </c>
      <c r="R51" s="224">
        <v>100</v>
      </c>
      <c r="S51" s="224">
        <v>100</v>
      </c>
      <c r="T51" s="224">
        <v>100</v>
      </c>
      <c r="U51" s="279" t="s">
        <v>77</v>
      </c>
    </row>
    <row r="52" spans="1:21" ht="12.75">
      <c r="A52" s="245"/>
      <c r="B52" s="286"/>
      <c r="C52" s="231"/>
      <c r="D52" s="248" t="s">
        <v>113</v>
      </c>
      <c r="E52" s="249"/>
      <c r="F52" s="249"/>
      <c r="G52" s="249"/>
      <c r="H52" s="249"/>
      <c r="I52" s="249"/>
      <c r="J52" s="249"/>
      <c r="K52" s="249"/>
      <c r="L52" s="250"/>
      <c r="M52" s="280"/>
      <c r="N52" s="225"/>
      <c r="O52" s="225"/>
      <c r="P52" s="225"/>
      <c r="Q52" s="225"/>
      <c r="R52" s="225"/>
      <c r="S52" s="225"/>
      <c r="T52" s="225"/>
      <c r="U52" s="280"/>
    </row>
    <row r="53" spans="1:21" ht="12.75">
      <c r="A53" s="245"/>
      <c r="B53" s="286"/>
      <c r="C53" s="231"/>
      <c r="D53" s="21" t="s">
        <v>91</v>
      </c>
      <c r="E53" s="22">
        <f>F53+G53+H53+I53+J53+K53+L53</f>
        <v>0</v>
      </c>
      <c r="F53" s="23"/>
      <c r="G53" s="23"/>
      <c r="H53" s="23"/>
      <c r="I53" s="22"/>
      <c r="J53" s="23"/>
      <c r="K53" s="23"/>
      <c r="L53" s="23"/>
      <c r="M53" s="280"/>
      <c r="N53" s="225"/>
      <c r="O53" s="225"/>
      <c r="P53" s="225"/>
      <c r="Q53" s="225"/>
      <c r="R53" s="225"/>
      <c r="S53" s="225"/>
      <c r="T53" s="225"/>
      <c r="U53" s="280"/>
    </row>
    <row r="54" spans="1:21" ht="12.75">
      <c r="A54" s="245"/>
      <c r="B54" s="286"/>
      <c r="C54" s="231"/>
      <c r="D54" s="21" t="s">
        <v>89</v>
      </c>
      <c r="E54" s="22">
        <f>F54+G54+H54+I54+J54+K54+L54</f>
        <v>3297500</v>
      </c>
      <c r="F54" s="23">
        <v>409000</v>
      </c>
      <c r="G54" s="23">
        <v>338000</v>
      </c>
      <c r="H54" s="23">
        <f>491500+127800</f>
        <v>619300</v>
      </c>
      <c r="I54" s="22">
        <f>756100-359100</f>
        <v>397000</v>
      </c>
      <c r="J54" s="23">
        <v>491500</v>
      </c>
      <c r="K54" s="23">
        <v>511100</v>
      </c>
      <c r="L54" s="23">
        <v>531600</v>
      </c>
      <c r="M54" s="280"/>
      <c r="N54" s="225"/>
      <c r="O54" s="225"/>
      <c r="P54" s="225"/>
      <c r="Q54" s="225"/>
      <c r="R54" s="225"/>
      <c r="S54" s="225"/>
      <c r="T54" s="225"/>
      <c r="U54" s="280"/>
    </row>
    <row r="55" spans="1:21" ht="12.75">
      <c r="A55" s="245"/>
      <c r="B55" s="286"/>
      <c r="C55" s="231"/>
      <c r="D55" s="21" t="s">
        <v>90</v>
      </c>
      <c r="E55" s="22">
        <f>F55+G55+H55+I55+J55+K55+L55</f>
        <v>0</v>
      </c>
      <c r="F55" s="23"/>
      <c r="G55" s="23"/>
      <c r="H55" s="23"/>
      <c r="I55" s="22"/>
      <c r="J55" s="23"/>
      <c r="K55" s="23"/>
      <c r="L55" s="23"/>
      <c r="M55" s="280"/>
      <c r="N55" s="225"/>
      <c r="O55" s="225"/>
      <c r="P55" s="225"/>
      <c r="Q55" s="225"/>
      <c r="R55" s="225"/>
      <c r="S55" s="225"/>
      <c r="T55" s="225"/>
      <c r="U55" s="280"/>
    </row>
    <row r="56" spans="1:21" ht="12.75">
      <c r="A56" s="245"/>
      <c r="B56" s="287"/>
      <c r="C56" s="232"/>
      <c r="D56" s="21" t="s">
        <v>92</v>
      </c>
      <c r="E56" s="22">
        <f>F56+G56+H56+I56+J56+K56+L56</f>
        <v>0</v>
      </c>
      <c r="F56" s="23"/>
      <c r="G56" s="23"/>
      <c r="H56" s="23"/>
      <c r="I56" s="22"/>
      <c r="J56" s="23"/>
      <c r="K56" s="23"/>
      <c r="L56" s="23"/>
      <c r="M56" s="281"/>
      <c r="N56" s="226"/>
      <c r="O56" s="226"/>
      <c r="P56" s="226"/>
      <c r="Q56" s="226"/>
      <c r="R56" s="226"/>
      <c r="S56" s="226"/>
      <c r="T56" s="226"/>
      <c r="U56" s="281"/>
    </row>
    <row r="57" spans="1:21" ht="12.75" customHeight="1">
      <c r="A57" s="245" t="s">
        <v>150</v>
      </c>
      <c r="B57" s="285" t="s">
        <v>161</v>
      </c>
      <c r="C57" s="230" t="s">
        <v>78</v>
      </c>
      <c r="D57" s="21" t="s">
        <v>93</v>
      </c>
      <c r="E57" s="22">
        <f>E59+E60+E61+E62</f>
        <v>224018700</v>
      </c>
      <c r="F57" s="22">
        <f aca="true" t="shared" si="11" ref="F57:L57">F59+F60+F61+F62</f>
        <v>23667600</v>
      </c>
      <c r="G57" s="22">
        <f t="shared" si="11"/>
        <v>28243200</v>
      </c>
      <c r="H57" s="22">
        <f t="shared" si="11"/>
        <v>29669600</v>
      </c>
      <c r="I57" s="22">
        <f t="shared" si="11"/>
        <v>31386600</v>
      </c>
      <c r="J57" s="22">
        <f t="shared" si="11"/>
        <v>35568400</v>
      </c>
      <c r="K57" s="22">
        <f t="shared" si="11"/>
        <v>36991200</v>
      </c>
      <c r="L57" s="22">
        <f t="shared" si="11"/>
        <v>38492100</v>
      </c>
      <c r="M57" s="279" t="s">
        <v>11</v>
      </c>
      <c r="N57" s="224">
        <v>100</v>
      </c>
      <c r="O57" s="224">
        <v>100</v>
      </c>
      <c r="P57" s="224">
        <v>100</v>
      </c>
      <c r="Q57" s="224">
        <v>100</v>
      </c>
      <c r="R57" s="224">
        <v>100</v>
      </c>
      <c r="S57" s="224">
        <v>100</v>
      </c>
      <c r="T57" s="224">
        <v>100</v>
      </c>
      <c r="U57" s="279" t="s">
        <v>77</v>
      </c>
    </row>
    <row r="58" spans="1:21" ht="12.75">
      <c r="A58" s="245"/>
      <c r="B58" s="286"/>
      <c r="C58" s="231"/>
      <c r="D58" s="248" t="s">
        <v>113</v>
      </c>
      <c r="E58" s="249"/>
      <c r="F58" s="249"/>
      <c r="G58" s="249"/>
      <c r="H58" s="249"/>
      <c r="I58" s="249"/>
      <c r="J58" s="249"/>
      <c r="K58" s="249"/>
      <c r="L58" s="250"/>
      <c r="M58" s="280"/>
      <c r="N58" s="225"/>
      <c r="O58" s="225"/>
      <c r="P58" s="225"/>
      <c r="Q58" s="225"/>
      <c r="R58" s="225"/>
      <c r="S58" s="225"/>
      <c r="T58" s="225"/>
      <c r="U58" s="280"/>
    </row>
    <row r="59" spans="1:21" ht="12.75">
      <c r="A59" s="245"/>
      <c r="B59" s="286"/>
      <c r="C59" s="231"/>
      <c r="D59" s="21" t="s">
        <v>91</v>
      </c>
      <c r="E59" s="22">
        <f>F59+G59+H59+I59+J59+K59+L59</f>
        <v>0</v>
      </c>
      <c r="F59" s="23"/>
      <c r="G59" s="23"/>
      <c r="H59" s="23"/>
      <c r="I59" s="22"/>
      <c r="J59" s="23"/>
      <c r="K59" s="23"/>
      <c r="L59" s="23"/>
      <c r="M59" s="280"/>
      <c r="N59" s="225"/>
      <c r="O59" s="225"/>
      <c r="P59" s="225"/>
      <c r="Q59" s="225"/>
      <c r="R59" s="225"/>
      <c r="S59" s="225"/>
      <c r="T59" s="225"/>
      <c r="U59" s="280"/>
    </row>
    <row r="60" spans="1:21" ht="12.75">
      <c r="A60" s="245"/>
      <c r="B60" s="286"/>
      <c r="C60" s="231"/>
      <c r="D60" s="21" t="s">
        <v>89</v>
      </c>
      <c r="E60" s="22">
        <f>F60+G60+H60+I60+J60+K60+L60</f>
        <v>224018700</v>
      </c>
      <c r="F60" s="23">
        <v>23667600</v>
      </c>
      <c r="G60" s="23">
        <f>13070900+15172300</f>
        <v>28243200</v>
      </c>
      <c r="H60" s="23">
        <f>12275000+21905300-5160700+650000</f>
        <v>29669600</v>
      </c>
      <c r="I60" s="22">
        <f>17297200+500000+15600000-1000000-1010600</f>
        <v>31386600</v>
      </c>
      <c r="J60" s="23">
        <f>17768400+800000+17000000</f>
        <v>35568400</v>
      </c>
      <c r="K60" s="23">
        <f>18191200+800000+18000000</f>
        <v>36991200</v>
      </c>
      <c r="L60" s="23">
        <f>18692100+800000+19000000</f>
        <v>38492100</v>
      </c>
      <c r="M60" s="280"/>
      <c r="N60" s="225"/>
      <c r="O60" s="225"/>
      <c r="P60" s="225"/>
      <c r="Q60" s="225"/>
      <c r="R60" s="225"/>
      <c r="S60" s="225"/>
      <c r="T60" s="225"/>
      <c r="U60" s="280"/>
    </row>
    <row r="61" spans="1:21" ht="12.75">
      <c r="A61" s="245"/>
      <c r="B61" s="286"/>
      <c r="C61" s="231"/>
      <c r="D61" s="21" t="s">
        <v>90</v>
      </c>
      <c r="E61" s="22">
        <f>F61+G61+H61+I61+J61+K61+L61</f>
        <v>0</v>
      </c>
      <c r="F61" s="23"/>
      <c r="G61" s="23"/>
      <c r="H61" s="23"/>
      <c r="I61" s="22"/>
      <c r="J61" s="23"/>
      <c r="K61" s="23"/>
      <c r="L61" s="23"/>
      <c r="M61" s="280"/>
      <c r="N61" s="225"/>
      <c r="O61" s="225"/>
      <c r="P61" s="225"/>
      <c r="Q61" s="225"/>
      <c r="R61" s="225"/>
      <c r="S61" s="225"/>
      <c r="T61" s="225"/>
      <c r="U61" s="280"/>
    </row>
    <row r="62" spans="1:21" ht="12.75">
      <c r="A62" s="245"/>
      <c r="B62" s="287"/>
      <c r="C62" s="232"/>
      <c r="D62" s="21" t="s">
        <v>92</v>
      </c>
      <c r="E62" s="22">
        <f>F62+G62+H62+I62+J62+K62+L62</f>
        <v>0</v>
      </c>
      <c r="F62" s="23"/>
      <c r="G62" s="23"/>
      <c r="H62" s="23"/>
      <c r="I62" s="22"/>
      <c r="J62" s="23"/>
      <c r="K62" s="23"/>
      <c r="L62" s="23"/>
      <c r="M62" s="281"/>
      <c r="N62" s="226"/>
      <c r="O62" s="226"/>
      <c r="P62" s="226"/>
      <c r="Q62" s="226"/>
      <c r="R62" s="226"/>
      <c r="S62" s="226"/>
      <c r="T62" s="226"/>
      <c r="U62" s="281"/>
    </row>
    <row r="63" spans="1:21" ht="13.5">
      <c r="A63" s="251"/>
      <c r="B63" s="305" t="s">
        <v>151</v>
      </c>
      <c r="C63" s="251"/>
      <c r="D63" s="101" t="s">
        <v>93</v>
      </c>
      <c r="E63" s="102">
        <f aca="true" t="shared" si="12" ref="E63:L63">E65+E66+E67+E68</f>
        <v>278407900</v>
      </c>
      <c r="F63" s="102">
        <f t="shared" si="12"/>
        <v>30768200</v>
      </c>
      <c r="G63" s="102">
        <f t="shared" si="12"/>
        <v>34894200</v>
      </c>
      <c r="H63" s="102">
        <f t="shared" si="12"/>
        <v>36604800</v>
      </c>
      <c r="I63" s="102">
        <f t="shared" si="12"/>
        <v>39331400</v>
      </c>
      <c r="J63" s="102">
        <f t="shared" si="12"/>
        <v>44111700</v>
      </c>
      <c r="K63" s="102">
        <f t="shared" si="12"/>
        <v>45432100</v>
      </c>
      <c r="L63" s="102">
        <f t="shared" si="12"/>
        <v>47265500</v>
      </c>
      <c r="M63" s="253"/>
      <c r="N63" s="239"/>
      <c r="O63" s="239"/>
      <c r="P63" s="239"/>
      <c r="Q63" s="239"/>
      <c r="R63" s="239"/>
      <c r="S63" s="239"/>
      <c r="T63" s="239"/>
      <c r="U63" s="242"/>
    </row>
    <row r="64" spans="1:21" ht="12.75">
      <c r="A64" s="251"/>
      <c r="B64" s="306"/>
      <c r="C64" s="251"/>
      <c r="D64" s="256" t="s">
        <v>113</v>
      </c>
      <c r="E64" s="257"/>
      <c r="F64" s="257"/>
      <c r="G64" s="257"/>
      <c r="H64" s="257"/>
      <c r="I64" s="257"/>
      <c r="J64" s="257"/>
      <c r="K64" s="257"/>
      <c r="L64" s="258"/>
      <c r="M64" s="254"/>
      <c r="N64" s="240"/>
      <c r="O64" s="240"/>
      <c r="P64" s="240"/>
      <c r="Q64" s="240"/>
      <c r="R64" s="240"/>
      <c r="S64" s="240"/>
      <c r="T64" s="240"/>
      <c r="U64" s="243"/>
    </row>
    <row r="65" spans="1:21" ht="13.5">
      <c r="A65" s="251"/>
      <c r="B65" s="306"/>
      <c r="C65" s="251"/>
      <c r="D65" s="103" t="s">
        <v>91</v>
      </c>
      <c r="E65" s="102">
        <f>F65+G65+H65+I65+J65+K65+L65</f>
        <v>0</v>
      </c>
      <c r="F65" s="104">
        <f>F29+F35+F41+F47+F53+F59</f>
        <v>0</v>
      </c>
      <c r="G65" s="104">
        <f aca="true" t="shared" si="13" ref="G65:L68">G29+G35+G41+G47+G53+G59</f>
        <v>0</v>
      </c>
      <c r="H65" s="104">
        <f t="shared" si="13"/>
        <v>0</v>
      </c>
      <c r="I65" s="104">
        <f t="shared" si="13"/>
        <v>0</v>
      </c>
      <c r="J65" s="104">
        <f t="shared" si="13"/>
        <v>0</v>
      </c>
      <c r="K65" s="104">
        <f t="shared" si="13"/>
        <v>0</v>
      </c>
      <c r="L65" s="104">
        <f t="shared" si="13"/>
        <v>0</v>
      </c>
      <c r="M65" s="254"/>
      <c r="N65" s="240"/>
      <c r="O65" s="240"/>
      <c r="P65" s="240"/>
      <c r="Q65" s="240"/>
      <c r="R65" s="240"/>
      <c r="S65" s="240"/>
      <c r="T65" s="240"/>
      <c r="U65" s="243"/>
    </row>
    <row r="66" spans="1:21" ht="13.5">
      <c r="A66" s="251"/>
      <c r="B66" s="306"/>
      <c r="C66" s="251"/>
      <c r="D66" s="103" t="s">
        <v>89</v>
      </c>
      <c r="E66" s="102">
        <f>F66+G66+H66+I66+J66+K66+L66</f>
        <v>278407900</v>
      </c>
      <c r="F66" s="104">
        <f>F30+F36+F42+F48+F54+F60</f>
        <v>30768200</v>
      </c>
      <c r="G66" s="104">
        <f aca="true" t="shared" si="14" ref="G66:H68">G30+G36+G42+G48+G54+G60</f>
        <v>34894200</v>
      </c>
      <c r="H66" s="104">
        <f t="shared" si="14"/>
        <v>36604800</v>
      </c>
      <c r="I66" s="104">
        <f t="shared" si="13"/>
        <v>39331400</v>
      </c>
      <c r="J66" s="104">
        <f t="shared" si="13"/>
        <v>44111700</v>
      </c>
      <c r="K66" s="104">
        <f t="shared" si="13"/>
        <v>45432100</v>
      </c>
      <c r="L66" s="104">
        <f t="shared" si="13"/>
        <v>47265500</v>
      </c>
      <c r="M66" s="254"/>
      <c r="N66" s="240"/>
      <c r="O66" s="240"/>
      <c r="P66" s="240"/>
      <c r="Q66" s="240"/>
      <c r="R66" s="240"/>
      <c r="S66" s="240"/>
      <c r="T66" s="240"/>
      <c r="U66" s="243"/>
    </row>
    <row r="67" spans="1:21" ht="13.5">
      <c r="A67" s="251"/>
      <c r="B67" s="306"/>
      <c r="C67" s="251"/>
      <c r="D67" s="103" t="s">
        <v>90</v>
      </c>
      <c r="E67" s="102">
        <f>F67+G67+H67+I67+J67+K67+L67</f>
        <v>0</v>
      </c>
      <c r="F67" s="104">
        <f>F31+F37+F43+F49+F55+F61</f>
        <v>0</v>
      </c>
      <c r="G67" s="104">
        <f t="shared" si="14"/>
        <v>0</v>
      </c>
      <c r="H67" s="104">
        <f t="shared" si="14"/>
        <v>0</v>
      </c>
      <c r="I67" s="104">
        <f t="shared" si="13"/>
        <v>0</v>
      </c>
      <c r="J67" s="104">
        <f t="shared" si="13"/>
        <v>0</v>
      </c>
      <c r="K67" s="104">
        <f t="shared" si="13"/>
        <v>0</v>
      </c>
      <c r="L67" s="104">
        <f t="shared" si="13"/>
        <v>0</v>
      </c>
      <c r="M67" s="254"/>
      <c r="N67" s="240"/>
      <c r="O67" s="240"/>
      <c r="P67" s="240"/>
      <c r="Q67" s="240"/>
      <c r="R67" s="240"/>
      <c r="S67" s="240"/>
      <c r="T67" s="240"/>
      <c r="U67" s="243"/>
    </row>
    <row r="68" spans="1:21" ht="13.5">
      <c r="A68" s="251"/>
      <c r="B68" s="307"/>
      <c r="C68" s="251"/>
      <c r="D68" s="103" t="s">
        <v>92</v>
      </c>
      <c r="E68" s="102">
        <f>F68+G68+H68+I68+J68+K68+L68</f>
        <v>0</v>
      </c>
      <c r="F68" s="104">
        <f>F32+F38+F44+F50+F56+F62</f>
        <v>0</v>
      </c>
      <c r="G68" s="104">
        <f t="shared" si="14"/>
        <v>0</v>
      </c>
      <c r="H68" s="104">
        <f t="shared" si="14"/>
        <v>0</v>
      </c>
      <c r="I68" s="104">
        <f t="shared" si="13"/>
        <v>0</v>
      </c>
      <c r="J68" s="104">
        <f t="shared" si="13"/>
        <v>0</v>
      </c>
      <c r="K68" s="104">
        <f t="shared" si="13"/>
        <v>0</v>
      </c>
      <c r="L68" s="104">
        <f t="shared" si="13"/>
        <v>0</v>
      </c>
      <c r="M68" s="255"/>
      <c r="N68" s="241"/>
      <c r="O68" s="241"/>
      <c r="P68" s="241"/>
      <c r="Q68" s="241"/>
      <c r="R68" s="241"/>
      <c r="S68" s="241"/>
      <c r="T68" s="241"/>
      <c r="U68" s="244"/>
    </row>
    <row r="69" spans="1:21" ht="12.75">
      <c r="A69" s="20">
        <v>3</v>
      </c>
      <c r="B69" s="267" t="s">
        <v>38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9"/>
    </row>
    <row r="70" spans="1:21" ht="12.75" customHeight="1">
      <c r="A70" s="312" t="s">
        <v>181</v>
      </c>
      <c r="B70" s="285" t="s">
        <v>162</v>
      </c>
      <c r="C70" s="230" t="s">
        <v>78</v>
      </c>
      <c r="D70" s="21" t="s">
        <v>93</v>
      </c>
      <c r="E70" s="22">
        <f>E72+E73+E74+E75</f>
        <v>1954132.8399999999</v>
      </c>
      <c r="F70" s="22">
        <f aca="true" t="shared" si="15" ref="F70:L70">F72+F73+F74+F75</f>
        <v>952526</v>
      </c>
      <c r="G70" s="22">
        <f t="shared" si="15"/>
        <v>1001606.84</v>
      </c>
      <c r="H70" s="22">
        <f t="shared" si="15"/>
        <v>0</v>
      </c>
      <c r="I70" s="22">
        <f t="shared" si="15"/>
        <v>0</v>
      </c>
      <c r="J70" s="22">
        <f t="shared" si="15"/>
        <v>0</v>
      </c>
      <c r="K70" s="22">
        <f t="shared" si="15"/>
        <v>0</v>
      </c>
      <c r="L70" s="22">
        <f t="shared" si="15"/>
        <v>0</v>
      </c>
      <c r="M70" s="279" t="s">
        <v>16</v>
      </c>
      <c r="N70" s="227">
        <v>1</v>
      </c>
      <c r="O70" s="227">
        <v>1</v>
      </c>
      <c r="P70" s="227">
        <v>1</v>
      </c>
      <c r="Q70" s="227">
        <v>1</v>
      </c>
      <c r="R70" s="227">
        <v>1</v>
      </c>
      <c r="S70" s="227">
        <v>1</v>
      </c>
      <c r="T70" s="227">
        <v>1</v>
      </c>
      <c r="U70" s="236" t="s">
        <v>55</v>
      </c>
    </row>
    <row r="71" spans="1:21" ht="12.75">
      <c r="A71" s="312"/>
      <c r="B71" s="286"/>
      <c r="C71" s="231"/>
      <c r="D71" s="248" t="s">
        <v>113</v>
      </c>
      <c r="E71" s="249"/>
      <c r="F71" s="249"/>
      <c r="G71" s="249"/>
      <c r="H71" s="249"/>
      <c r="I71" s="249"/>
      <c r="J71" s="249"/>
      <c r="K71" s="249"/>
      <c r="L71" s="250"/>
      <c r="M71" s="280"/>
      <c r="N71" s="228"/>
      <c r="O71" s="228"/>
      <c r="P71" s="228"/>
      <c r="Q71" s="228"/>
      <c r="R71" s="228"/>
      <c r="S71" s="228"/>
      <c r="T71" s="228"/>
      <c r="U71" s="237"/>
    </row>
    <row r="72" spans="1:21" ht="12.75">
      <c r="A72" s="312"/>
      <c r="B72" s="286"/>
      <c r="C72" s="231"/>
      <c r="D72" s="21" t="s">
        <v>91</v>
      </c>
      <c r="E72" s="22">
        <f>F72+G72+H72+I72+J72+K72+L72</f>
        <v>1954132.8399999999</v>
      </c>
      <c r="F72" s="23">
        <v>952526</v>
      </c>
      <c r="G72" s="23">
        <f>1054322.98-52716.14</f>
        <v>1001606.84</v>
      </c>
      <c r="H72" s="23">
        <v>0</v>
      </c>
      <c r="I72" s="22">
        <v>0</v>
      </c>
      <c r="J72" s="23">
        <v>0</v>
      </c>
      <c r="K72" s="23">
        <v>0</v>
      </c>
      <c r="L72" s="23">
        <v>0</v>
      </c>
      <c r="M72" s="280"/>
      <c r="N72" s="228"/>
      <c r="O72" s="228"/>
      <c r="P72" s="228"/>
      <c r="Q72" s="228"/>
      <c r="R72" s="228"/>
      <c r="S72" s="228"/>
      <c r="T72" s="228"/>
      <c r="U72" s="237"/>
    </row>
    <row r="73" spans="1:21" ht="12.75">
      <c r="A73" s="312"/>
      <c r="B73" s="286"/>
      <c r="C73" s="231"/>
      <c r="D73" s="21" t="s">
        <v>89</v>
      </c>
      <c r="E73" s="22">
        <f>F73+G73+H73+I73+J73+K73+L73</f>
        <v>0</v>
      </c>
      <c r="F73" s="23"/>
      <c r="G73" s="23"/>
      <c r="H73" s="23"/>
      <c r="I73" s="22"/>
      <c r="J73" s="23"/>
      <c r="K73" s="23"/>
      <c r="L73" s="23"/>
      <c r="M73" s="280"/>
      <c r="N73" s="228"/>
      <c r="O73" s="228"/>
      <c r="P73" s="228"/>
      <c r="Q73" s="228"/>
      <c r="R73" s="228"/>
      <c r="S73" s="228"/>
      <c r="T73" s="228"/>
      <c r="U73" s="237"/>
    </row>
    <row r="74" spans="1:21" ht="12.75">
      <c r="A74" s="312"/>
      <c r="B74" s="286"/>
      <c r="C74" s="231"/>
      <c r="D74" s="21" t="s">
        <v>90</v>
      </c>
      <c r="E74" s="22">
        <f>F74+G74+H74+I74+J74+K74+L74</f>
        <v>0</v>
      </c>
      <c r="F74" s="23"/>
      <c r="G74" s="23"/>
      <c r="H74" s="23"/>
      <c r="I74" s="22"/>
      <c r="J74" s="23"/>
      <c r="K74" s="23"/>
      <c r="L74" s="23"/>
      <c r="M74" s="280"/>
      <c r="N74" s="228"/>
      <c r="O74" s="228"/>
      <c r="P74" s="228"/>
      <c r="Q74" s="228"/>
      <c r="R74" s="228"/>
      <c r="S74" s="228"/>
      <c r="T74" s="228"/>
      <c r="U74" s="237"/>
    </row>
    <row r="75" spans="1:21" ht="12.75">
      <c r="A75" s="312"/>
      <c r="B75" s="287"/>
      <c r="C75" s="232"/>
      <c r="D75" s="21" t="s">
        <v>92</v>
      </c>
      <c r="E75" s="22">
        <f>F75+G75+H75+I75+J75+K75+L75</f>
        <v>0</v>
      </c>
      <c r="F75" s="23"/>
      <c r="G75" s="23"/>
      <c r="H75" s="23"/>
      <c r="I75" s="22"/>
      <c r="J75" s="23"/>
      <c r="K75" s="23"/>
      <c r="L75" s="23"/>
      <c r="M75" s="281"/>
      <c r="N75" s="229"/>
      <c r="O75" s="229"/>
      <c r="P75" s="229"/>
      <c r="Q75" s="229"/>
      <c r="R75" s="229"/>
      <c r="S75" s="229"/>
      <c r="T75" s="229"/>
      <c r="U75" s="238"/>
    </row>
    <row r="76" spans="1:21" ht="13.5">
      <c r="A76" s="251"/>
      <c r="B76" s="305" t="s">
        <v>165</v>
      </c>
      <c r="C76" s="251"/>
      <c r="D76" s="101" t="s">
        <v>93</v>
      </c>
      <c r="E76" s="102">
        <f aca="true" t="shared" si="16" ref="E76:L76">E78+E79+E80+E81</f>
        <v>1954132.8399999999</v>
      </c>
      <c r="F76" s="102">
        <f t="shared" si="16"/>
        <v>952526</v>
      </c>
      <c r="G76" s="102">
        <f t="shared" si="16"/>
        <v>1001606.84</v>
      </c>
      <c r="H76" s="102">
        <f t="shared" si="16"/>
        <v>0</v>
      </c>
      <c r="I76" s="102">
        <f t="shared" si="16"/>
        <v>0</v>
      </c>
      <c r="J76" s="102">
        <f t="shared" si="16"/>
        <v>0</v>
      </c>
      <c r="K76" s="102">
        <f t="shared" si="16"/>
        <v>0</v>
      </c>
      <c r="L76" s="102">
        <f t="shared" si="16"/>
        <v>0</v>
      </c>
      <c r="M76" s="253"/>
      <c r="N76" s="239"/>
      <c r="O76" s="239"/>
      <c r="P76" s="239"/>
      <c r="Q76" s="239"/>
      <c r="R76" s="239"/>
      <c r="S76" s="239"/>
      <c r="T76" s="239"/>
      <c r="U76" s="242"/>
    </row>
    <row r="77" spans="1:21" ht="12.75">
      <c r="A77" s="251"/>
      <c r="B77" s="306"/>
      <c r="C77" s="251"/>
      <c r="D77" s="256" t="s">
        <v>113</v>
      </c>
      <c r="E77" s="257"/>
      <c r="F77" s="257"/>
      <c r="G77" s="257"/>
      <c r="H77" s="257"/>
      <c r="I77" s="257"/>
      <c r="J77" s="257"/>
      <c r="K77" s="257"/>
      <c r="L77" s="258"/>
      <c r="M77" s="254"/>
      <c r="N77" s="240"/>
      <c r="O77" s="240"/>
      <c r="P77" s="240"/>
      <c r="Q77" s="240"/>
      <c r="R77" s="240"/>
      <c r="S77" s="240"/>
      <c r="T77" s="240"/>
      <c r="U77" s="243"/>
    </row>
    <row r="78" spans="1:21" ht="13.5">
      <c r="A78" s="251"/>
      <c r="B78" s="306"/>
      <c r="C78" s="251"/>
      <c r="D78" s="103" t="s">
        <v>91</v>
      </c>
      <c r="E78" s="102">
        <f>F78+G78+H78+I78+J78+K78+L78</f>
        <v>1954132.8399999999</v>
      </c>
      <c r="F78" s="104">
        <f>F72</f>
        <v>952526</v>
      </c>
      <c r="G78" s="104">
        <f aca="true" t="shared" si="17" ref="G78:L81">G72</f>
        <v>1001606.84</v>
      </c>
      <c r="H78" s="104">
        <f t="shared" si="17"/>
        <v>0</v>
      </c>
      <c r="I78" s="104">
        <f t="shared" si="17"/>
        <v>0</v>
      </c>
      <c r="J78" s="104">
        <f t="shared" si="17"/>
        <v>0</v>
      </c>
      <c r="K78" s="104">
        <f t="shared" si="17"/>
        <v>0</v>
      </c>
      <c r="L78" s="104">
        <f t="shared" si="17"/>
        <v>0</v>
      </c>
      <c r="M78" s="254"/>
      <c r="N78" s="240"/>
      <c r="O78" s="240"/>
      <c r="P78" s="240"/>
      <c r="Q78" s="240"/>
      <c r="R78" s="240"/>
      <c r="S78" s="240"/>
      <c r="T78" s="240"/>
      <c r="U78" s="243"/>
    </row>
    <row r="79" spans="1:21" ht="13.5">
      <c r="A79" s="251"/>
      <c r="B79" s="306"/>
      <c r="C79" s="251"/>
      <c r="D79" s="103" t="s">
        <v>89</v>
      </c>
      <c r="E79" s="102">
        <f>F79+G79+H79+I79+J79+K79+L79</f>
        <v>0</v>
      </c>
      <c r="F79" s="104">
        <f>F73</f>
        <v>0</v>
      </c>
      <c r="G79" s="104">
        <f aca="true" t="shared" si="18" ref="G79:H81">G73</f>
        <v>0</v>
      </c>
      <c r="H79" s="104">
        <f t="shared" si="18"/>
        <v>0</v>
      </c>
      <c r="I79" s="104">
        <f t="shared" si="17"/>
        <v>0</v>
      </c>
      <c r="J79" s="104">
        <f t="shared" si="17"/>
        <v>0</v>
      </c>
      <c r="K79" s="104">
        <f t="shared" si="17"/>
        <v>0</v>
      </c>
      <c r="L79" s="104">
        <f t="shared" si="17"/>
        <v>0</v>
      </c>
      <c r="M79" s="254"/>
      <c r="N79" s="240"/>
      <c r="O79" s="240"/>
      <c r="P79" s="240"/>
      <c r="Q79" s="240"/>
      <c r="R79" s="240"/>
      <c r="S79" s="240"/>
      <c r="T79" s="240"/>
      <c r="U79" s="243"/>
    </row>
    <row r="80" spans="1:21" ht="13.5">
      <c r="A80" s="251"/>
      <c r="B80" s="306"/>
      <c r="C80" s="251"/>
      <c r="D80" s="103" t="s">
        <v>90</v>
      </c>
      <c r="E80" s="102">
        <f>F80+G80+H80+I80+J80+K80+L80</f>
        <v>0</v>
      </c>
      <c r="F80" s="104">
        <f>F74</f>
        <v>0</v>
      </c>
      <c r="G80" s="104">
        <f t="shared" si="18"/>
        <v>0</v>
      </c>
      <c r="H80" s="104">
        <f t="shared" si="18"/>
        <v>0</v>
      </c>
      <c r="I80" s="104">
        <f t="shared" si="17"/>
        <v>0</v>
      </c>
      <c r="J80" s="104">
        <f t="shared" si="17"/>
        <v>0</v>
      </c>
      <c r="K80" s="104">
        <f t="shared" si="17"/>
        <v>0</v>
      </c>
      <c r="L80" s="104">
        <f t="shared" si="17"/>
        <v>0</v>
      </c>
      <c r="M80" s="254"/>
      <c r="N80" s="240"/>
      <c r="O80" s="240"/>
      <c r="P80" s="240"/>
      <c r="Q80" s="240"/>
      <c r="R80" s="240"/>
      <c r="S80" s="240"/>
      <c r="T80" s="240"/>
      <c r="U80" s="243"/>
    </row>
    <row r="81" spans="1:21" ht="13.5">
      <c r="A81" s="251"/>
      <c r="B81" s="307"/>
      <c r="C81" s="251"/>
      <c r="D81" s="103" t="s">
        <v>92</v>
      </c>
      <c r="E81" s="102">
        <f>F81+G81+H81+I81+J81+K81+L81</f>
        <v>0</v>
      </c>
      <c r="F81" s="104">
        <f>F75</f>
        <v>0</v>
      </c>
      <c r="G81" s="104">
        <f t="shared" si="18"/>
        <v>0</v>
      </c>
      <c r="H81" s="104">
        <f t="shared" si="18"/>
        <v>0</v>
      </c>
      <c r="I81" s="104">
        <f t="shared" si="17"/>
        <v>0</v>
      </c>
      <c r="J81" s="104">
        <f t="shared" si="17"/>
        <v>0</v>
      </c>
      <c r="K81" s="104">
        <f t="shared" si="17"/>
        <v>0</v>
      </c>
      <c r="L81" s="104">
        <f t="shared" si="17"/>
        <v>0</v>
      </c>
      <c r="M81" s="255"/>
      <c r="N81" s="241"/>
      <c r="O81" s="241"/>
      <c r="P81" s="241"/>
      <c r="Q81" s="241"/>
      <c r="R81" s="241"/>
      <c r="S81" s="241"/>
      <c r="T81" s="241"/>
      <c r="U81" s="244"/>
    </row>
    <row r="82" spans="1:21" ht="12.75">
      <c r="A82" s="20">
        <v>4</v>
      </c>
      <c r="B82" s="267" t="s">
        <v>36</v>
      </c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9"/>
    </row>
    <row r="83" spans="1:21" ht="12.75" customHeight="1">
      <c r="A83" s="312" t="s">
        <v>182</v>
      </c>
      <c r="B83" s="285" t="s">
        <v>163</v>
      </c>
      <c r="C83" s="230" t="s">
        <v>78</v>
      </c>
      <c r="D83" s="21" t="s">
        <v>93</v>
      </c>
      <c r="E83" s="22">
        <f>E85+E86+E87+E88</f>
        <v>3908260</v>
      </c>
      <c r="F83" s="22">
        <f aca="true" t="shared" si="19" ref="F83:L83">F85+F86+F87+F88</f>
        <v>1905052</v>
      </c>
      <c r="G83" s="22">
        <f t="shared" si="19"/>
        <v>2003208</v>
      </c>
      <c r="H83" s="22">
        <f t="shared" si="19"/>
        <v>0</v>
      </c>
      <c r="I83" s="22">
        <f t="shared" si="19"/>
        <v>0</v>
      </c>
      <c r="J83" s="22">
        <f t="shared" si="19"/>
        <v>0</v>
      </c>
      <c r="K83" s="22">
        <f t="shared" si="19"/>
        <v>0</v>
      </c>
      <c r="L83" s="22">
        <f t="shared" si="19"/>
        <v>0</v>
      </c>
      <c r="M83" s="279" t="s">
        <v>79</v>
      </c>
      <c r="N83" s="227">
        <v>1</v>
      </c>
      <c r="O83" s="227">
        <v>1</v>
      </c>
      <c r="P83" s="227">
        <v>1</v>
      </c>
      <c r="Q83" s="227">
        <v>1</v>
      </c>
      <c r="R83" s="227">
        <v>1</v>
      </c>
      <c r="S83" s="227">
        <v>1</v>
      </c>
      <c r="T83" s="227">
        <v>1</v>
      </c>
      <c r="U83" s="236" t="s">
        <v>55</v>
      </c>
    </row>
    <row r="84" spans="1:21" ht="12.75">
      <c r="A84" s="312"/>
      <c r="B84" s="286"/>
      <c r="C84" s="231"/>
      <c r="D84" s="248" t="s">
        <v>113</v>
      </c>
      <c r="E84" s="249"/>
      <c r="F84" s="249"/>
      <c r="G84" s="249"/>
      <c r="H84" s="249"/>
      <c r="I84" s="249"/>
      <c r="J84" s="249"/>
      <c r="K84" s="249"/>
      <c r="L84" s="250"/>
      <c r="M84" s="280"/>
      <c r="N84" s="228"/>
      <c r="O84" s="228"/>
      <c r="P84" s="228"/>
      <c r="Q84" s="228"/>
      <c r="R84" s="228"/>
      <c r="S84" s="228"/>
      <c r="T84" s="228"/>
      <c r="U84" s="237"/>
    </row>
    <row r="85" spans="1:21" ht="12.75">
      <c r="A85" s="312"/>
      <c r="B85" s="286"/>
      <c r="C85" s="231"/>
      <c r="D85" s="21" t="s">
        <v>91</v>
      </c>
      <c r="E85" s="22">
        <f>F85+G85+H85+I85+J85+K85+L85</f>
        <v>3908260</v>
      </c>
      <c r="F85" s="23">
        <v>1905052</v>
      </c>
      <c r="G85" s="23">
        <f>2108640-105432</f>
        <v>2003208</v>
      </c>
      <c r="H85" s="23">
        <v>0</v>
      </c>
      <c r="I85" s="22">
        <v>0</v>
      </c>
      <c r="J85" s="23">
        <v>0</v>
      </c>
      <c r="K85" s="23">
        <v>0</v>
      </c>
      <c r="L85" s="23">
        <v>0</v>
      </c>
      <c r="M85" s="280"/>
      <c r="N85" s="228"/>
      <c r="O85" s="228"/>
      <c r="P85" s="228"/>
      <c r="Q85" s="228"/>
      <c r="R85" s="228"/>
      <c r="S85" s="228"/>
      <c r="T85" s="228"/>
      <c r="U85" s="237"/>
    </row>
    <row r="86" spans="1:21" ht="12.75">
      <c r="A86" s="312"/>
      <c r="B86" s="286"/>
      <c r="C86" s="231"/>
      <c r="D86" s="21" t="s">
        <v>89</v>
      </c>
      <c r="E86" s="22">
        <f>F86+G86+H86+I86+J86+K86+L86</f>
        <v>0</v>
      </c>
      <c r="F86" s="23"/>
      <c r="G86" s="23"/>
      <c r="H86" s="23"/>
      <c r="I86" s="22"/>
      <c r="J86" s="23"/>
      <c r="K86" s="23"/>
      <c r="L86" s="23"/>
      <c r="M86" s="280"/>
      <c r="N86" s="228"/>
      <c r="O86" s="228"/>
      <c r="P86" s="228"/>
      <c r="Q86" s="228"/>
      <c r="R86" s="228"/>
      <c r="S86" s="228"/>
      <c r="T86" s="228"/>
      <c r="U86" s="237"/>
    </row>
    <row r="87" spans="1:21" ht="12.75">
      <c r="A87" s="312"/>
      <c r="B87" s="286"/>
      <c r="C87" s="231"/>
      <c r="D87" s="21" t="s">
        <v>90</v>
      </c>
      <c r="E87" s="22">
        <f>F87+G87+H87+I87+J87+K87+L87</f>
        <v>0</v>
      </c>
      <c r="F87" s="23"/>
      <c r="G87" s="23"/>
      <c r="H87" s="23"/>
      <c r="I87" s="22"/>
      <c r="J87" s="23"/>
      <c r="K87" s="23"/>
      <c r="L87" s="23"/>
      <c r="M87" s="280"/>
      <c r="N87" s="228"/>
      <c r="O87" s="228"/>
      <c r="P87" s="228"/>
      <c r="Q87" s="228"/>
      <c r="R87" s="228"/>
      <c r="S87" s="228"/>
      <c r="T87" s="228"/>
      <c r="U87" s="237"/>
    </row>
    <row r="88" spans="1:21" ht="12.75">
      <c r="A88" s="312"/>
      <c r="B88" s="287"/>
      <c r="C88" s="232"/>
      <c r="D88" s="21" t="s">
        <v>92</v>
      </c>
      <c r="E88" s="22">
        <f>F88+G88+H88+I88+J88+K88+L88</f>
        <v>0</v>
      </c>
      <c r="F88" s="23"/>
      <c r="G88" s="23"/>
      <c r="H88" s="23"/>
      <c r="I88" s="22"/>
      <c r="J88" s="23"/>
      <c r="K88" s="23"/>
      <c r="L88" s="23"/>
      <c r="M88" s="281"/>
      <c r="N88" s="229"/>
      <c r="O88" s="229"/>
      <c r="P88" s="229"/>
      <c r="Q88" s="229"/>
      <c r="R88" s="229"/>
      <c r="S88" s="229"/>
      <c r="T88" s="229"/>
      <c r="U88" s="238"/>
    </row>
    <row r="89" spans="1:21" ht="12.75" customHeight="1">
      <c r="A89" s="312" t="s">
        <v>183</v>
      </c>
      <c r="B89" s="285" t="s">
        <v>7</v>
      </c>
      <c r="C89" s="230" t="s">
        <v>78</v>
      </c>
      <c r="D89" s="21" t="s">
        <v>93</v>
      </c>
      <c r="E89" s="22">
        <f>E91+E92+E93+E94</f>
        <v>3908260</v>
      </c>
      <c r="F89" s="22">
        <f aca="true" t="shared" si="20" ref="F89:L89">F91+F92+F93+F94</f>
        <v>1905052</v>
      </c>
      <c r="G89" s="22">
        <f t="shared" si="20"/>
        <v>2003208</v>
      </c>
      <c r="H89" s="22">
        <f t="shared" si="20"/>
        <v>0</v>
      </c>
      <c r="I89" s="22">
        <f t="shared" si="20"/>
        <v>0</v>
      </c>
      <c r="J89" s="22">
        <f t="shared" si="20"/>
        <v>0</v>
      </c>
      <c r="K89" s="22">
        <f t="shared" si="20"/>
        <v>0</v>
      </c>
      <c r="L89" s="22">
        <f t="shared" si="20"/>
        <v>0</v>
      </c>
      <c r="M89" s="279" t="s">
        <v>41</v>
      </c>
      <c r="N89" s="227">
        <v>1</v>
      </c>
      <c r="O89" s="227">
        <v>1</v>
      </c>
      <c r="P89" s="227">
        <v>1</v>
      </c>
      <c r="Q89" s="227">
        <v>1</v>
      </c>
      <c r="R89" s="227">
        <v>1</v>
      </c>
      <c r="S89" s="227">
        <v>1</v>
      </c>
      <c r="T89" s="227">
        <v>1</v>
      </c>
      <c r="U89" s="236" t="s">
        <v>55</v>
      </c>
    </row>
    <row r="90" spans="1:21" ht="12.75">
      <c r="A90" s="312"/>
      <c r="B90" s="286"/>
      <c r="C90" s="231"/>
      <c r="D90" s="248" t="s">
        <v>113</v>
      </c>
      <c r="E90" s="249"/>
      <c r="F90" s="249"/>
      <c r="G90" s="249"/>
      <c r="H90" s="249"/>
      <c r="I90" s="249"/>
      <c r="J90" s="249"/>
      <c r="K90" s="249"/>
      <c r="L90" s="250"/>
      <c r="M90" s="280"/>
      <c r="N90" s="228"/>
      <c r="O90" s="228"/>
      <c r="P90" s="228"/>
      <c r="Q90" s="228"/>
      <c r="R90" s="228"/>
      <c r="S90" s="228"/>
      <c r="T90" s="228"/>
      <c r="U90" s="237"/>
    </row>
    <row r="91" spans="1:21" ht="12.75">
      <c r="A91" s="312"/>
      <c r="B91" s="286"/>
      <c r="C91" s="231"/>
      <c r="D91" s="21" t="s">
        <v>91</v>
      </c>
      <c r="E91" s="22">
        <f>F91+G91+H91+I91+J91+K91+L91</f>
        <v>3908260</v>
      </c>
      <c r="F91" s="23">
        <v>1905052</v>
      </c>
      <c r="G91" s="23">
        <f>2108640-105432</f>
        <v>2003208</v>
      </c>
      <c r="H91" s="23">
        <v>0</v>
      </c>
      <c r="I91" s="22">
        <v>0</v>
      </c>
      <c r="J91" s="23">
        <v>0</v>
      </c>
      <c r="K91" s="23">
        <v>0</v>
      </c>
      <c r="L91" s="23">
        <v>0</v>
      </c>
      <c r="M91" s="280"/>
      <c r="N91" s="228"/>
      <c r="O91" s="228"/>
      <c r="P91" s="228"/>
      <c r="Q91" s="228"/>
      <c r="R91" s="228"/>
      <c r="S91" s="228"/>
      <c r="T91" s="228"/>
      <c r="U91" s="237"/>
    </row>
    <row r="92" spans="1:21" ht="12.75">
      <c r="A92" s="312"/>
      <c r="B92" s="286"/>
      <c r="C92" s="231"/>
      <c r="D92" s="21" t="s">
        <v>89</v>
      </c>
      <c r="E92" s="22">
        <f>F92+G92+H92+I92+J92+K92+L92</f>
        <v>0</v>
      </c>
      <c r="F92" s="23"/>
      <c r="G92" s="23"/>
      <c r="H92" s="23"/>
      <c r="I92" s="22"/>
      <c r="J92" s="23"/>
      <c r="K92" s="23"/>
      <c r="L92" s="23"/>
      <c r="M92" s="280"/>
      <c r="N92" s="228"/>
      <c r="O92" s="228"/>
      <c r="P92" s="228"/>
      <c r="Q92" s="228"/>
      <c r="R92" s="228"/>
      <c r="S92" s="228"/>
      <c r="T92" s="228"/>
      <c r="U92" s="237"/>
    </row>
    <row r="93" spans="1:21" ht="12.75">
      <c r="A93" s="312"/>
      <c r="B93" s="286"/>
      <c r="C93" s="231"/>
      <c r="D93" s="21" t="s">
        <v>90</v>
      </c>
      <c r="E93" s="22">
        <f>F93+G93+H93+I93+J93+K93+L93</f>
        <v>0</v>
      </c>
      <c r="F93" s="23"/>
      <c r="G93" s="23"/>
      <c r="H93" s="23"/>
      <c r="I93" s="22"/>
      <c r="J93" s="23"/>
      <c r="K93" s="23"/>
      <c r="L93" s="23"/>
      <c r="M93" s="280"/>
      <c r="N93" s="228"/>
      <c r="O93" s="228"/>
      <c r="P93" s="228"/>
      <c r="Q93" s="228"/>
      <c r="R93" s="228"/>
      <c r="S93" s="228"/>
      <c r="T93" s="228"/>
      <c r="U93" s="237"/>
    </row>
    <row r="94" spans="1:21" ht="12.75">
      <c r="A94" s="312"/>
      <c r="B94" s="287"/>
      <c r="C94" s="232"/>
      <c r="D94" s="21" t="s">
        <v>92</v>
      </c>
      <c r="E94" s="22">
        <f>F94+G94+H94+I94+J94+K94+L94</f>
        <v>0</v>
      </c>
      <c r="F94" s="23"/>
      <c r="G94" s="23"/>
      <c r="H94" s="23"/>
      <c r="I94" s="22"/>
      <c r="J94" s="23"/>
      <c r="K94" s="23"/>
      <c r="L94" s="23"/>
      <c r="M94" s="281"/>
      <c r="N94" s="229"/>
      <c r="O94" s="229"/>
      <c r="P94" s="229"/>
      <c r="Q94" s="229"/>
      <c r="R94" s="229"/>
      <c r="S94" s="229"/>
      <c r="T94" s="229"/>
      <c r="U94" s="238"/>
    </row>
    <row r="95" spans="1:21" ht="12.75" customHeight="1">
      <c r="A95" s="312" t="s">
        <v>184</v>
      </c>
      <c r="B95" s="285" t="s">
        <v>164</v>
      </c>
      <c r="C95" s="230" t="s">
        <v>78</v>
      </c>
      <c r="D95" s="21" t="s">
        <v>93</v>
      </c>
      <c r="E95" s="22">
        <f>E97+E98+E99+E100</f>
        <v>34542425.870000005</v>
      </c>
      <c r="F95" s="22">
        <f aca="true" t="shared" si="21" ref="F95:L95">F97+F98+F99+F100</f>
        <v>1905052</v>
      </c>
      <c r="G95" s="22">
        <f t="shared" si="21"/>
        <v>2366532.1</v>
      </c>
      <c r="H95" s="22">
        <f t="shared" si="21"/>
        <v>4606452.909999999</v>
      </c>
      <c r="I95" s="22">
        <f t="shared" si="21"/>
        <v>6074534.600000001</v>
      </c>
      <c r="J95" s="22">
        <f t="shared" si="21"/>
        <v>6538875.42</v>
      </c>
      <c r="K95" s="22">
        <f t="shared" si="21"/>
        <v>6525489.42</v>
      </c>
      <c r="L95" s="22">
        <f t="shared" si="21"/>
        <v>6525489.42</v>
      </c>
      <c r="M95" s="279" t="s">
        <v>42</v>
      </c>
      <c r="N95" s="227">
        <v>1</v>
      </c>
      <c r="O95" s="227">
        <v>1</v>
      </c>
      <c r="P95" s="227">
        <v>1</v>
      </c>
      <c r="Q95" s="227">
        <v>1</v>
      </c>
      <c r="R95" s="227">
        <v>1</v>
      </c>
      <c r="S95" s="227">
        <v>1</v>
      </c>
      <c r="T95" s="227">
        <v>1</v>
      </c>
      <c r="U95" s="236" t="s">
        <v>55</v>
      </c>
    </row>
    <row r="96" spans="1:21" ht="12.75">
      <c r="A96" s="312"/>
      <c r="B96" s="286"/>
      <c r="C96" s="231"/>
      <c r="D96" s="248" t="s">
        <v>113</v>
      </c>
      <c r="E96" s="249"/>
      <c r="F96" s="249"/>
      <c r="G96" s="249"/>
      <c r="H96" s="249"/>
      <c r="I96" s="249"/>
      <c r="J96" s="249"/>
      <c r="K96" s="249"/>
      <c r="L96" s="250"/>
      <c r="M96" s="280"/>
      <c r="N96" s="228"/>
      <c r="O96" s="228"/>
      <c r="P96" s="228"/>
      <c r="Q96" s="228"/>
      <c r="R96" s="228"/>
      <c r="S96" s="228"/>
      <c r="T96" s="228"/>
      <c r="U96" s="237"/>
    </row>
    <row r="97" spans="1:21" ht="12.75">
      <c r="A97" s="312"/>
      <c r="B97" s="286"/>
      <c r="C97" s="231"/>
      <c r="D97" s="21" t="s">
        <v>91</v>
      </c>
      <c r="E97" s="22">
        <f>F97+G97+H97+I97+J97+K97+L97</f>
        <v>34542425.870000005</v>
      </c>
      <c r="F97" s="23">
        <v>1905052</v>
      </c>
      <c r="G97" s="23">
        <f>2108640-105432+363324.1</f>
        <v>2366532.1</v>
      </c>
      <c r="H97" s="23">
        <f>3901605.13+87764+553547.23+73076.55+122.5-9662.5</f>
        <v>4606452.909999999</v>
      </c>
      <c r="I97" s="22">
        <f>4486326.66+1354870.65+61382+171955.29</f>
        <v>6074534.600000001</v>
      </c>
      <c r="J97" s="23">
        <f>4935080.97+1490394.45+900+112500</f>
        <v>6538875.42</v>
      </c>
      <c r="K97" s="23">
        <f>4935080.97+1490394.45+3150+96864</f>
        <v>6525489.42</v>
      </c>
      <c r="L97" s="23">
        <f>4935080.97+1490394.45+3150+96864</f>
        <v>6525489.42</v>
      </c>
      <c r="M97" s="280"/>
      <c r="N97" s="228"/>
      <c r="O97" s="228"/>
      <c r="P97" s="228"/>
      <c r="Q97" s="228"/>
      <c r="R97" s="228"/>
      <c r="S97" s="228"/>
      <c r="T97" s="228"/>
      <c r="U97" s="237"/>
    </row>
    <row r="98" spans="1:21" ht="12.75">
      <c r="A98" s="312"/>
      <c r="B98" s="286"/>
      <c r="C98" s="231"/>
      <c r="D98" s="21" t="s">
        <v>89</v>
      </c>
      <c r="E98" s="22">
        <f>F98+G98+H98+I98+J98+K98+L98</f>
        <v>0</v>
      </c>
      <c r="F98" s="23"/>
      <c r="G98" s="23"/>
      <c r="H98" s="23"/>
      <c r="I98" s="22"/>
      <c r="J98" s="23"/>
      <c r="K98" s="23"/>
      <c r="L98" s="23"/>
      <c r="M98" s="280"/>
      <c r="N98" s="228"/>
      <c r="O98" s="228"/>
      <c r="P98" s="228"/>
      <c r="Q98" s="228"/>
      <c r="R98" s="228"/>
      <c r="S98" s="228"/>
      <c r="T98" s="228"/>
      <c r="U98" s="237"/>
    </row>
    <row r="99" spans="1:21" ht="12.75">
      <c r="A99" s="312"/>
      <c r="B99" s="286"/>
      <c r="C99" s="231"/>
      <c r="D99" s="21" t="s">
        <v>90</v>
      </c>
      <c r="E99" s="22">
        <f>F99+G99+H99+I99+J99+K99+L99</f>
        <v>0</v>
      </c>
      <c r="F99" s="23"/>
      <c r="G99" s="23"/>
      <c r="H99" s="23"/>
      <c r="I99" s="22"/>
      <c r="J99" s="23"/>
      <c r="K99" s="23"/>
      <c r="L99" s="23"/>
      <c r="M99" s="280"/>
      <c r="N99" s="228"/>
      <c r="O99" s="228"/>
      <c r="P99" s="228"/>
      <c r="Q99" s="228"/>
      <c r="R99" s="228"/>
      <c r="S99" s="228"/>
      <c r="T99" s="228"/>
      <c r="U99" s="237"/>
    </row>
    <row r="100" spans="1:21" ht="12.75">
      <c r="A100" s="312"/>
      <c r="B100" s="287"/>
      <c r="C100" s="232"/>
      <c r="D100" s="21" t="s">
        <v>92</v>
      </c>
      <c r="E100" s="22">
        <f>F100+G100+H100+I100+J100+K100+L100</f>
        <v>0</v>
      </c>
      <c r="F100" s="23"/>
      <c r="G100" s="23"/>
      <c r="H100" s="23"/>
      <c r="I100" s="22"/>
      <c r="J100" s="23"/>
      <c r="K100" s="23"/>
      <c r="L100" s="23"/>
      <c r="M100" s="281"/>
      <c r="N100" s="229"/>
      <c r="O100" s="229"/>
      <c r="P100" s="229"/>
      <c r="Q100" s="229"/>
      <c r="R100" s="229"/>
      <c r="S100" s="229"/>
      <c r="T100" s="229"/>
      <c r="U100" s="238"/>
    </row>
    <row r="101" spans="1:21" ht="12.75" customHeight="1">
      <c r="A101" s="312" t="s">
        <v>185</v>
      </c>
      <c r="B101" s="285" t="s">
        <v>8</v>
      </c>
      <c r="C101" s="230" t="s">
        <v>78</v>
      </c>
      <c r="D101" s="21" t="s">
        <v>93</v>
      </c>
      <c r="E101" s="22">
        <f>E103+E104+E105+E106</f>
        <v>26058067.270000003</v>
      </c>
      <c r="F101" s="22">
        <f aca="true" t="shared" si="22" ref="F101:L101">F103+F104+F105+F106</f>
        <v>1951881</v>
      </c>
      <c r="G101" s="22">
        <f t="shared" si="22"/>
        <v>2961790.7699999996</v>
      </c>
      <c r="H101" s="22">
        <f t="shared" si="22"/>
        <v>6790822.280000002</v>
      </c>
      <c r="I101" s="22">
        <f t="shared" si="22"/>
        <v>7019942.2299999995</v>
      </c>
      <c r="J101" s="22">
        <f t="shared" si="22"/>
        <v>7333630.99</v>
      </c>
      <c r="K101" s="22">
        <f t="shared" si="22"/>
        <v>0</v>
      </c>
      <c r="L101" s="22">
        <f t="shared" si="22"/>
        <v>0</v>
      </c>
      <c r="M101" s="279" t="s">
        <v>80</v>
      </c>
      <c r="N101" s="227">
        <v>1</v>
      </c>
      <c r="O101" s="227">
        <v>1</v>
      </c>
      <c r="P101" s="227">
        <v>1</v>
      </c>
      <c r="Q101" s="227">
        <v>1</v>
      </c>
      <c r="R101" s="227">
        <v>1</v>
      </c>
      <c r="S101" s="227">
        <v>1</v>
      </c>
      <c r="T101" s="227">
        <v>1</v>
      </c>
      <c r="U101" s="236" t="s">
        <v>55</v>
      </c>
    </row>
    <row r="102" spans="1:21" ht="12.75">
      <c r="A102" s="312"/>
      <c r="B102" s="286"/>
      <c r="C102" s="231"/>
      <c r="D102" s="248" t="s">
        <v>113</v>
      </c>
      <c r="E102" s="249"/>
      <c r="F102" s="249"/>
      <c r="G102" s="249"/>
      <c r="H102" s="249"/>
      <c r="I102" s="249"/>
      <c r="J102" s="249"/>
      <c r="K102" s="249"/>
      <c r="L102" s="250"/>
      <c r="M102" s="280"/>
      <c r="N102" s="228"/>
      <c r="O102" s="228"/>
      <c r="P102" s="228"/>
      <c r="Q102" s="228"/>
      <c r="R102" s="228"/>
      <c r="S102" s="228"/>
      <c r="T102" s="228"/>
      <c r="U102" s="237"/>
    </row>
    <row r="103" spans="1:21" ht="12.75">
      <c r="A103" s="312"/>
      <c r="B103" s="286"/>
      <c r="C103" s="231"/>
      <c r="D103" s="21" t="s">
        <v>91</v>
      </c>
      <c r="E103" s="22">
        <f>F103+G103+H103+I103+J103+K103+L103</f>
        <v>26058067.270000003</v>
      </c>
      <c r="F103" s="23">
        <v>1951881</v>
      </c>
      <c r="G103" s="23">
        <f>2048080-102404+821842.97+194271.8</f>
        <v>2961790.7699999996</v>
      </c>
      <c r="H103" s="23">
        <f>9947626.98+1800+103200-1850787.39-494386.39-10663.8-792668.31-113298.81</f>
        <v>6790822.280000002</v>
      </c>
      <c r="I103" s="22">
        <f>5385739.84+1626493.43+2250+61382-50500.32-5422.72</f>
        <v>7019942.2299999995</v>
      </c>
      <c r="J103" s="23">
        <f>5517386.72+1666250.79+149993.48</f>
        <v>7333630.99</v>
      </c>
      <c r="K103" s="23">
        <v>0</v>
      </c>
      <c r="L103" s="23">
        <v>0</v>
      </c>
      <c r="M103" s="280"/>
      <c r="N103" s="228"/>
      <c r="O103" s="228"/>
      <c r="P103" s="228"/>
      <c r="Q103" s="228"/>
      <c r="R103" s="228"/>
      <c r="S103" s="228"/>
      <c r="T103" s="228"/>
      <c r="U103" s="237"/>
    </row>
    <row r="104" spans="1:21" ht="12.75">
      <c r="A104" s="312"/>
      <c r="B104" s="286"/>
      <c r="C104" s="231"/>
      <c r="D104" s="21" t="s">
        <v>89</v>
      </c>
      <c r="E104" s="22">
        <f>F104+G104+H104+I104+J104+K104+L104</f>
        <v>0</v>
      </c>
      <c r="F104" s="23"/>
      <c r="G104" s="23"/>
      <c r="H104" s="23"/>
      <c r="I104" s="22"/>
      <c r="J104" s="23"/>
      <c r="K104" s="23"/>
      <c r="L104" s="23"/>
      <c r="M104" s="280"/>
      <c r="N104" s="228"/>
      <c r="O104" s="228"/>
      <c r="P104" s="228"/>
      <c r="Q104" s="228"/>
      <c r="R104" s="228"/>
      <c r="S104" s="228"/>
      <c r="T104" s="228"/>
      <c r="U104" s="237"/>
    </row>
    <row r="105" spans="1:21" ht="12.75">
      <c r="A105" s="312"/>
      <c r="B105" s="286"/>
      <c r="C105" s="231"/>
      <c r="D105" s="21" t="s">
        <v>90</v>
      </c>
      <c r="E105" s="22">
        <f>F105+G105+H105+I105+J105+K105+L105</f>
        <v>0</v>
      </c>
      <c r="F105" s="23"/>
      <c r="G105" s="23"/>
      <c r="H105" s="23"/>
      <c r="I105" s="22"/>
      <c r="J105" s="23"/>
      <c r="K105" s="23"/>
      <c r="L105" s="23"/>
      <c r="M105" s="280"/>
      <c r="N105" s="228"/>
      <c r="O105" s="228"/>
      <c r="P105" s="228"/>
      <c r="Q105" s="228"/>
      <c r="R105" s="228"/>
      <c r="S105" s="228"/>
      <c r="T105" s="228"/>
      <c r="U105" s="237"/>
    </row>
    <row r="106" spans="1:21" ht="12.75">
      <c r="A106" s="312"/>
      <c r="B106" s="287"/>
      <c r="C106" s="232"/>
      <c r="D106" s="21" t="s">
        <v>92</v>
      </c>
      <c r="E106" s="22">
        <f>F106+G106+H106+I106+J106+K106+L106</f>
        <v>0</v>
      </c>
      <c r="F106" s="23"/>
      <c r="G106" s="23"/>
      <c r="H106" s="23"/>
      <c r="I106" s="22"/>
      <c r="J106" s="23"/>
      <c r="K106" s="23"/>
      <c r="L106" s="23"/>
      <c r="M106" s="281"/>
      <c r="N106" s="229"/>
      <c r="O106" s="229"/>
      <c r="P106" s="229"/>
      <c r="Q106" s="229"/>
      <c r="R106" s="229"/>
      <c r="S106" s="229"/>
      <c r="T106" s="229"/>
      <c r="U106" s="238"/>
    </row>
    <row r="107" spans="1:21" ht="13.5">
      <c r="A107" s="251"/>
      <c r="B107" s="305" t="s">
        <v>166</v>
      </c>
      <c r="C107" s="251"/>
      <c r="D107" s="101" t="s">
        <v>93</v>
      </c>
      <c r="E107" s="102">
        <f>E109+E110+E111+E112</f>
        <v>68417013.14</v>
      </c>
      <c r="F107" s="102">
        <f>F109+F110+F111+F112</f>
        <v>7667037</v>
      </c>
      <c r="G107" s="102">
        <f aca="true" t="shared" si="23" ref="G107:L107">G109+G110+G111+G112</f>
        <v>9334738.87</v>
      </c>
      <c r="H107" s="102">
        <f t="shared" si="23"/>
        <v>11397275.190000001</v>
      </c>
      <c r="I107" s="102">
        <f t="shared" si="23"/>
        <v>13094476.83</v>
      </c>
      <c r="J107" s="102">
        <f t="shared" si="23"/>
        <v>13872506.41</v>
      </c>
      <c r="K107" s="102">
        <f t="shared" si="23"/>
        <v>6525489.42</v>
      </c>
      <c r="L107" s="102">
        <f t="shared" si="23"/>
        <v>6525489.42</v>
      </c>
      <c r="M107" s="253"/>
      <c r="N107" s="239"/>
      <c r="O107" s="239"/>
      <c r="P107" s="239"/>
      <c r="Q107" s="239"/>
      <c r="R107" s="239"/>
      <c r="S107" s="239"/>
      <c r="T107" s="239"/>
      <c r="U107" s="242"/>
    </row>
    <row r="108" spans="1:21" ht="12.75">
      <c r="A108" s="251"/>
      <c r="B108" s="306"/>
      <c r="C108" s="251"/>
      <c r="D108" s="256" t="s">
        <v>113</v>
      </c>
      <c r="E108" s="257"/>
      <c r="F108" s="257"/>
      <c r="G108" s="257"/>
      <c r="H108" s="257"/>
      <c r="I108" s="257"/>
      <c r="J108" s="257"/>
      <c r="K108" s="257"/>
      <c r="L108" s="258"/>
      <c r="M108" s="254"/>
      <c r="N108" s="240"/>
      <c r="O108" s="240"/>
      <c r="P108" s="240"/>
      <c r="Q108" s="240"/>
      <c r="R108" s="240"/>
      <c r="S108" s="240"/>
      <c r="T108" s="240"/>
      <c r="U108" s="243"/>
    </row>
    <row r="109" spans="1:21" ht="13.5">
      <c r="A109" s="251"/>
      <c r="B109" s="306"/>
      <c r="C109" s="251"/>
      <c r="D109" s="103" t="s">
        <v>91</v>
      </c>
      <c r="E109" s="102">
        <f>SUM(F109:L109)</f>
        <v>68417013.14</v>
      </c>
      <c r="F109" s="104">
        <f>F85+F91+F97+F103</f>
        <v>7667037</v>
      </c>
      <c r="G109" s="104">
        <f aca="true" t="shared" si="24" ref="G109:L112">G85+G91+G97+G103</f>
        <v>9334738.87</v>
      </c>
      <c r="H109" s="104">
        <f t="shared" si="24"/>
        <v>11397275.190000001</v>
      </c>
      <c r="I109" s="104">
        <f t="shared" si="24"/>
        <v>13094476.83</v>
      </c>
      <c r="J109" s="104">
        <f t="shared" si="24"/>
        <v>13872506.41</v>
      </c>
      <c r="K109" s="104">
        <f t="shared" si="24"/>
        <v>6525489.42</v>
      </c>
      <c r="L109" s="104">
        <f t="shared" si="24"/>
        <v>6525489.42</v>
      </c>
      <c r="M109" s="254"/>
      <c r="N109" s="240"/>
      <c r="O109" s="240"/>
      <c r="P109" s="240"/>
      <c r="Q109" s="240"/>
      <c r="R109" s="240"/>
      <c r="S109" s="240"/>
      <c r="T109" s="240"/>
      <c r="U109" s="243"/>
    </row>
    <row r="110" spans="1:21" ht="13.5">
      <c r="A110" s="251"/>
      <c r="B110" s="306"/>
      <c r="C110" s="251"/>
      <c r="D110" s="103" t="s">
        <v>89</v>
      </c>
      <c r="E110" s="102">
        <f>SUM(F110:L110)</f>
        <v>0</v>
      </c>
      <c r="F110" s="104">
        <f>F86+F92+F98+F104</f>
        <v>0</v>
      </c>
      <c r="G110" s="104">
        <f aca="true" t="shared" si="25" ref="G110:H112">G86+G92+G98+G104</f>
        <v>0</v>
      </c>
      <c r="H110" s="104">
        <f t="shared" si="25"/>
        <v>0</v>
      </c>
      <c r="I110" s="104">
        <f t="shared" si="24"/>
        <v>0</v>
      </c>
      <c r="J110" s="104">
        <f t="shared" si="24"/>
        <v>0</v>
      </c>
      <c r="K110" s="104">
        <f t="shared" si="24"/>
        <v>0</v>
      </c>
      <c r="L110" s="104">
        <f t="shared" si="24"/>
        <v>0</v>
      </c>
      <c r="M110" s="254"/>
      <c r="N110" s="240"/>
      <c r="O110" s="240"/>
      <c r="P110" s="240"/>
      <c r="Q110" s="240"/>
      <c r="R110" s="240"/>
      <c r="S110" s="240"/>
      <c r="T110" s="240"/>
      <c r="U110" s="243"/>
    </row>
    <row r="111" spans="1:21" ht="13.5">
      <c r="A111" s="251"/>
      <c r="B111" s="306"/>
      <c r="C111" s="251"/>
      <c r="D111" s="103" t="s">
        <v>90</v>
      </c>
      <c r="E111" s="102">
        <f>SUM(F111:L111)</f>
        <v>0</v>
      </c>
      <c r="F111" s="104">
        <f>F87+F93+F99+F105</f>
        <v>0</v>
      </c>
      <c r="G111" s="104">
        <f t="shared" si="25"/>
        <v>0</v>
      </c>
      <c r="H111" s="104">
        <f t="shared" si="25"/>
        <v>0</v>
      </c>
      <c r="I111" s="104">
        <f t="shared" si="24"/>
        <v>0</v>
      </c>
      <c r="J111" s="104">
        <f t="shared" si="24"/>
        <v>0</v>
      </c>
      <c r="K111" s="104">
        <f t="shared" si="24"/>
        <v>0</v>
      </c>
      <c r="L111" s="104">
        <f t="shared" si="24"/>
        <v>0</v>
      </c>
      <c r="M111" s="254"/>
      <c r="N111" s="240"/>
      <c r="O111" s="240"/>
      <c r="P111" s="240"/>
      <c r="Q111" s="240"/>
      <c r="R111" s="240"/>
      <c r="S111" s="240"/>
      <c r="T111" s="240"/>
      <c r="U111" s="243"/>
    </row>
    <row r="112" spans="1:21" ht="13.5">
      <c r="A112" s="251"/>
      <c r="B112" s="307"/>
      <c r="C112" s="251"/>
      <c r="D112" s="103" t="s">
        <v>92</v>
      </c>
      <c r="E112" s="102">
        <f>SUM(F112:L112)</f>
        <v>0</v>
      </c>
      <c r="F112" s="104">
        <f>F88+F94+F100+F106</f>
        <v>0</v>
      </c>
      <c r="G112" s="104">
        <f t="shared" si="25"/>
        <v>0</v>
      </c>
      <c r="H112" s="104">
        <f t="shared" si="25"/>
        <v>0</v>
      </c>
      <c r="I112" s="104">
        <f t="shared" si="24"/>
        <v>0</v>
      </c>
      <c r="J112" s="104">
        <f t="shared" si="24"/>
        <v>0</v>
      </c>
      <c r="K112" s="104">
        <f t="shared" si="24"/>
        <v>0</v>
      </c>
      <c r="L112" s="104">
        <f t="shared" si="24"/>
        <v>0</v>
      </c>
      <c r="M112" s="255"/>
      <c r="N112" s="241"/>
      <c r="O112" s="241"/>
      <c r="P112" s="241"/>
      <c r="Q112" s="241"/>
      <c r="R112" s="241"/>
      <c r="S112" s="241"/>
      <c r="T112" s="241"/>
      <c r="U112" s="244"/>
    </row>
    <row r="113" spans="1:21" ht="13.5">
      <c r="A113" s="251"/>
      <c r="B113" s="305" t="s">
        <v>81</v>
      </c>
      <c r="C113" s="251"/>
      <c r="D113" s="101" t="s">
        <v>93</v>
      </c>
      <c r="E113" s="102">
        <f aca="true" t="shared" si="26" ref="E113:L113">E115+E116+E117+E118</f>
        <v>376050937.57</v>
      </c>
      <c r="F113" s="102">
        <f t="shared" si="26"/>
        <v>43291513</v>
      </c>
      <c r="G113" s="102">
        <f t="shared" si="26"/>
        <v>49712022.47</v>
      </c>
      <c r="H113" s="102">
        <f t="shared" si="26"/>
        <v>51860010.43</v>
      </c>
      <c r="I113" s="102">
        <f t="shared" si="26"/>
        <v>55807718.66</v>
      </c>
      <c r="J113" s="102">
        <f t="shared" si="26"/>
        <v>61871502.33</v>
      </c>
      <c r="K113" s="102">
        <f t="shared" si="26"/>
        <v>55837385.34</v>
      </c>
      <c r="L113" s="102">
        <f t="shared" si="26"/>
        <v>57670785.34</v>
      </c>
      <c r="M113" s="253"/>
      <c r="N113" s="239"/>
      <c r="O113" s="239"/>
      <c r="P113" s="239"/>
      <c r="Q113" s="239"/>
      <c r="R113" s="239"/>
      <c r="S113" s="239"/>
      <c r="T113" s="239"/>
      <c r="U113" s="242"/>
    </row>
    <row r="114" spans="1:21" ht="12.75">
      <c r="A114" s="251"/>
      <c r="B114" s="306"/>
      <c r="C114" s="251"/>
      <c r="D114" s="256" t="s">
        <v>113</v>
      </c>
      <c r="E114" s="257"/>
      <c r="F114" s="257"/>
      <c r="G114" s="257"/>
      <c r="H114" s="257"/>
      <c r="I114" s="257"/>
      <c r="J114" s="257"/>
      <c r="K114" s="257"/>
      <c r="L114" s="258"/>
      <c r="M114" s="254"/>
      <c r="N114" s="240"/>
      <c r="O114" s="240"/>
      <c r="P114" s="240"/>
      <c r="Q114" s="240"/>
      <c r="R114" s="240"/>
      <c r="S114" s="240"/>
      <c r="T114" s="240"/>
      <c r="U114" s="243"/>
    </row>
    <row r="115" spans="1:21" ht="13.5">
      <c r="A115" s="251"/>
      <c r="B115" s="306"/>
      <c r="C115" s="251"/>
      <c r="D115" s="103" t="s">
        <v>91</v>
      </c>
      <c r="E115" s="102">
        <f>SUM(F115:L115)</f>
        <v>97643037.57000001</v>
      </c>
      <c r="F115" s="104">
        <f aca="true" t="shared" si="27" ref="F115:L118">F22+F65+F78+F109</f>
        <v>12523313</v>
      </c>
      <c r="G115" s="104">
        <f t="shared" si="27"/>
        <v>14817822.469999999</v>
      </c>
      <c r="H115" s="104">
        <f t="shared" si="27"/>
        <v>15255210.430000002</v>
      </c>
      <c r="I115" s="104">
        <f t="shared" si="27"/>
        <v>16476318.66</v>
      </c>
      <c r="J115" s="104">
        <f t="shared" si="27"/>
        <v>17759802.33</v>
      </c>
      <c r="K115" s="104">
        <f t="shared" si="27"/>
        <v>10405285.34</v>
      </c>
      <c r="L115" s="104">
        <f t="shared" si="27"/>
        <v>10405285.34</v>
      </c>
      <c r="M115" s="254"/>
      <c r="N115" s="240"/>
      <c r="O115" s="240"/>
      <c r="P115" s="240"/>
      <c r="Q115" s="240"/>
      <c r="R115" s="240"/>
      <c r="S115" s="240"/>
      <c r="T115" s="240"/>
      <c r="U115" s="243"/>
    </row>
    <row r="116" spans="1:21" ht="13.5">
      <c r="A116" s="251"/>
      <c r="B116" s="306"/>
      <c r="C116" s="251"/>
      <c r="D116" s="103" t="s">
        <v>89</v>
      </c>
      <c r="E116" s="102">
        <f>SUM(F116:L116)</f>
        <v>278407900</v>
      </c>
      <c r="F116" s="104">
        <f t="shared" si="27"/>
        <v>30768200</v>
      </c>
      <c r="G116" s="104">
        <f t="shared" si="27"/>
        <v>34894200</v>
      </c>
      <c r="H116" s="104">
        <f t="shared" si="27"/>
        <v>36604800</v>
      </c>
      <c r="I116" s="104">
        <f t="shared" si="27"/>
        <v>39331400</v>
      </c>
      <c r="J116" s="104">
        <f t="shared" si="27"/>
        <v>44111700</v>
      </c>
      <c r="K116" s="104">
        <f t="shared" si="27"/>
        <v>45432100</v>
      </c>
      <c r="L116" s="104">
        <f t="shared" si="27"/>
        <v>47265500</v>
      </c>
      <c r="M116" s="254"/>
      <c r="N116" s="240"/>
      <c r="O116" s="240"/>
      <c r="P116" s="240"/>
      <c r="Q116" s="240"/>
      <c r="R116" s="240"/>
      <c r="S116" s="240"/>
      <c r="T116" s="240"/>
      <c r="U116" s="243"/>
    </row>
    <row r="117" spans="1:21" ht="13.5">
      <c r="A117" s="251"/>
      <c r="B117" s="306"/>
      <c r="C117" s="251"/>
      <c r="D117" s="103" t="s">
        <v>90</v>
      </c>
      <c r="E117" s="102">
        <f>SUM(F117:L117)</f>
        <v>0</v>
      </c>
      <c r="F117" s="104">
        <f t="shared" si="27"/>
        <v>0</v>
      </c>
      <c r="G117" s="104">
        <f t="shared" si="27"/>
        <v>0</v>
      </c>
      <c r="H117" s="104">
        <f t="shared" si="27"/>
        <v>0</v>
      </c>
      <c r="I117" s="104">
        <f t="shared" si="27"/>
        <v>0</v>
      </c>
      <c r="J117" s="104">
        <f t="shared" si="27"/>
        <v>0</v>
      </c>
      <c r="K117" s="104">
        <f t="shared" si="27"/>
        <v>0</v>
      </c>
      <c r="L117" s="104">
        <f t="shared" si="27"/>
        <v>0</v>
      </c>
      <c r="M117" s="254"/>
      <c r="N117" s="240"/>
      <c r="O117" s="240"/>
      <c r="P117" s="240"/>
      <c r="Q117" s="240"/>
      <c r="R117" s="240"/>
      <c r="S117" s="240"/>
      <c r="T117" s="240"/>
      <c r="U117" s="243"/>
    </row>
    <row r="118" spans="1:21" ht="13.5">
      <c r="A118" s="251"/>
      <c r="B118" s="307"/>
      <c r="C118" s="251"/>
      <c r="D118" s="103" t="s">
        <v>92</v>
      </c>
      <c r="E118" s="102">
        <f>SUM(F118:L118)</f>
        <v>0</v>
      </c>
      <c r="F118" s="104">
        <f t="shared" si="27"/>
        <v>0</v>
      </c>
      <c r="G118" s="104">
        <f t="shared" si="27"/>
        <v>0</v>
      </c>
      <c r="H118" s="104">
        <f t="shared" si="27"/>
        <v>0</v>
      </c>
      <c r="I118" s="104">
        <f t="shared" si="27"/>
        <v>0</v>
      </c>
      <c r="J118" s="104">
        <f t="shared" si="27"/>
        <v>0</v>
      </c>
      <c r="K118" s="104">
        <f t="shared" si="27"/>
        <v>0</v>
      </c>
      <c r="L118" s="104">
        <f t="shared" si="27"/>
        <v>0</v>
      </c>
      <c r="M118" s="255"/>
      <c r="N118" s="241"/>
      <c r="O118" s="241"/>
      <c r="P118" s="241"/>
      <c r="Q118" s="241"/>
      <c r="R118" s="241"/>
      <c r="S118" s="241"/>
      <c r="T118" s="241"/>
      <c r="U118" s="244"/>
    </row>
    <row r="120" spans="6:9" ht="12.75">
      <c r="F120" s="24"/>
      <c r="G120" s="24"/>
      <c r="H120" s="25"/>
      <c r="I120" s="167"/>
    </row>
    <row r="121" spans="5:9" ht="12.75">
      <c r="E121" s="48"/>
      <c r="F121" s="24"/>
      <c r="G121" s="49"/>
      <c r="H121" s="25"/>
      <c r="I121" s="167"/>
    </row>
    <row r="122" spans="5:9" ht="12.75">
      <c r="E122" s="26"/>
      <c r="F122" s="24"/>
      <c r="G122" s="24"/>
      <c r="H122" s="25"/>
      <c r="I122" s="167"/>
    </row>
    <row r="123" spans="5:9" ht="12.75">
      <c r="E123" s="26"/>
      <c r="F123" s="24"/>
      <c r="G123" s="24"/>
      <c r="H123" s="25"/>
      <c r="I123" s="167"/>
    </row>
    <row r="124" spans="6:8" ht="12.75">
      <c r="F124" s="24"/>
      <c r="G124" s="24"/>
      <c r="H124" s="25"/>
    </row>
    <row r="125" spans="6:7" ht="12.75">
      <c r="F125" s="24"/>
      <c r="G125" s="24">
        <f>+G121-G123</f>
        <v>0</v>
      </c>
    </row>
    <row r="126" spans="6:7" ht="12.75">
      <c r="F126" s="24"/>
      <c r="G126" s="24"/>
    </row>
    <row r="127" spans="6:7" ht="12.75">
      <c r="F127" s="24"/>
      <c r="G127" s="24"/>
    </row>
    <row r="128" spans="6:7" ht="12.75">
      <c r="F128" s="24"/>
      <c r="G128" s="24"/>
    </row>
  </sheetData>
  <sheetProtection/>
  <mergeCells count="248">
    <mergeCell ref="Q1:U1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  <mergeCell ref="B6:U6"/>
    <mergeCell ref="B26:U26"/>
    <mergeCell ref="Q70:Q75"/>
    <mergeCell ref="R70:R75"/>
    <mergeCell ref="P8:P13"/>
    <mergeCell ref="Q8:Q13"/>
    <mergeCell ref="T14:T19"/>
    <mergeCell ref="R8:R13"/>
    <mergeCell ref="P33:P38"/>
    <mergeCell ref="Q33:Q38"/>
    <mergeCell ref="A2:U2"/>
    <mergeCell ref="A3:A4"/>
    <mergeCell ref="B3:B4"/>
    <mergeCell ref="C3:C4"/>
    <mergeCell ref="D3:D4"/>
    <mergeCell ref="E3:L3"/>
    <mergeCell ref="M3:T3"/>
    <mergeCell ref="U3:U4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U8:U13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M27:M32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S33:S38"/>
    <mergeCell ref="R39:R44"/>
    <mergeCell ref="S39:S44"/>
    <mergeCell ref="T33:T38"/>
    <mergeCell ref="P45:P50"/>
    <mergeCell ref="Q45:Q50"/>
    <mergeCell ref="R45:R50"/>
    <mergeCell ref="S45:S50"/>
    <mergeCell ref="R33:R38"/>
    <mergeCell ref="Q39:Q44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T39:T44"/>
    <mergeCell ref="A45:A50"/>
    <mergeCell ref="B45:B50"/>
    <mergeCell ref="C45:C50"/>
    <mergeCell ref="M45:M50"/>
    <mergeCell ref="N45:N50"/>
    <mergeCell ref="O45:O50"/>
    <mergeCell ref="D46:L46"/>
    <mergeCell ref="U51:U56"/>
    <mergeCell ref="Q51:Q56"/>
    <mergeCell ref="R51:R56"/>
    <mergeCell ref="S51:S56"/>
    <mergeCell ref="T45:T50"/>
    <mergeCell ref="U45:U50"/>
    <mergeCell ref="T51:T56"/>
    <mergeCell ref="N51:N56"/>
    <mergeCell ref="O51:O56"/>
    <mergeCell ref="D52:L52"/>
    <mergeCell ref="P51:P56"/>
    <mergeCell ref="A51:A56"/>
    <mergeCell ref="B51:B56"/>
    <mergeCell ref="C51:C56"/>
    <mergeCell ref="M51:M56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A70:A75"/>
    <mergeCell ref="B70:B75"/>
    <mergeCell ref="C70:C75"/>
    <mergeCell ref="M70:M75"/>
    <mergeCell ref="N70:N75"/>
    <mergeCell ref="O70:O75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S83:S88"/>
    <mergeCell ref="T83:T88"/>
    <mergeCell ref="O89:O94"/>
    <mergeCell ref="P89:P94"/>
    <mergeCell ref="Q89:Q94"/>
    <mergeCell ref="R89:R94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D96:L96"/>
    <mergeCell ref="A107:A112"/>
    <mergeCell ref="B107:B112"/>
    <mergeCell ref="C107:C112"/>
    <mergeCell ref="M107:M112"/>
    <mergeCell ref="N107:N112"/>
    <mergeCell ref="C101:C106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Q107:Q112"/>
    <mergeCell ref="R107:R112"/>
    <mergeCell ref="M101:M106"/>
    <mergeCell ref="N101:N106"/>
    <mergeCell ref="O101:O106"/>
    <mergeCell ref="R95:R100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C57:C62"/>
    <mergeCell ref="R63:R68"/>
    <mergeCell ref="S63:S68"/>
    <mergeCell ref="Q57:Q62"/>
    <mergeCell ref="R57:R62"/>
    <mergeCell ref="S57:S62"/>
    <mergeCell ref="P63:P68"/>
    <mergeCell ref="Q63:Q68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5" customWidth="1"/>
    <col min="2" max="2" width="18.28125" style="125" customWidth="1"/>
    <col min="3" max="3" width="15.421875" style="125" customWidth="1"/>
    <col min="4" max="4" width="15.8515625" style="125" customWidth="1"/>
    <col min="5" max="5" width="12.7109375" style="125" customWidth="1"/>
    <col min="6" max="9" width="12.28125" style="125" bestFit="1" customWidth="1"/>
    <col min="10" max="16384" width="9.140625" style="125" customWidth="1"/>
  </cols>
  <sheetData>
    <row r="1" spans="6:10" ht="70.5" customHeight="1">
      <c r="F1" s="313" t="s">
        <v>282</v>
      </c>
      <c r="G1" s="313"/>
      <c r="H1" s="313"/>
      <c r="I1" s="313"/>
      <c r="J1" s="162"/>
    </row>
    <row r="2" spans="5:10" ht="18.75" customHeight="1">
      <c r="E2" s="122"/>
      <c r="G2" s="99"/>
      <c r="H2" s="99"/>
      <c r="I2" s="141" t="s">
        <v>211</v>
      </c>
      <c r="J2" s="99"/>
    </row>
    <row r="4" spans="1:9" ht="36.75" customHeight="1">
      <c r="A4" s="218" t="s">
        <v>212</v>
      </c>
      <c r="B4" s="218"/>
      <c r="C4" s="218"/>
      <c r="D4" s="218"/>
      <c r="E4" s="218"/>
      <c r="F4" s="218"/>
      <c r="G4" s="218"/>
      <c r="H4" s="218"/>
      <c r="I4" s="218"/>
    </row>
    <row r="5" spans="1:9" ht="30" customHeight="1">
      <c r="A5" s="207" t="s">
        <v>99</v>
      </c>
      <c r="B5" s="209" t="s">
        <v>100</v>
      </c>
      <c r="C5" s="211" t="s">
        <v>101</v>
      </c>
      <c r="D5" s="211"/>
      <c r="E5" s="211"/>
      <c r="F5" s="211"/>
      <c r="G5" s="211"/>
      <c r="H5" s="211"/>
      <c r="I5" s="211"/>
    </row>
    <row r="6" spans="1:9" ht="16.5" customHeight="1">
      <c r="A6" s="208"/>
      <c r="B6" s="210"/>
      <c r="C6" s="93">
        <v>2014</v>
      </c>
      <c r="D6" s="93">
        <v>2015</v>
      </c>
      <c r="E6" s="93">
        <v>2016</v>
      </c>
      <c r="F6" s="93">
        <v>2017</v>
      </c>
      <c r="G6" s="93">
        <v>2018</v>
      </c>
      <c r="H6" s="93">
        <v>2019</v>
      </c>
      <c r="I6" s="3">
        <v>2020</v>
      </c>
    </row>
    <row r="7" spans="1:9" ht="16.5" customHeight="1">
      <c r="A7" s="113">
        <v>1</v>
      </c>
      <c r="B7" s="140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13">
        <v>9</v>
      </c>
    </row>
    <row r="8" spans="1:9" ht="19.5" customHeight="1">
      <c r="A8" s="142" t="s">
        <v>213</v>
      </c>
      <c r="B8" s="124">
        <f>B10+B11+B12+B13</f>
        <v>145454130.30999997</v>
      </c>
      <c r="C8" s="124">
        <f aca="true" t="shared" si="0" ref="C8:I8">C10+C11+C12+C13</f>
        <v>23456977</v>
      </c>
      <c r="D8" s="124">
        <f t="shared" si="0"/>
        <v>23253823.41</v>
      </c>
      <c r="E8" s="124">
        <f t="shared" si="0"/>
        <v>20404100.630000003</v>
      </c>
      <c r="F8" s="124">
        <f t="shared" si="0"/>
        <v>21449180.680000003</v>
      </c>
      <c r="G8" s="124">
        <f t="shared" si="0"/>
        <v>20245479.950000003</v>
      </c>
      <c r="H8" s="124">
        <f t="shared" si="0"/>
        <v>18046700.52</v>
      </c>
      <c r="I8" s="124">
        <f t="shared" si="0"/>
        <v>18597868.12</v>
      </c>
    </row>
    <row r="9" spans="1:9" ht="16.5" customHeight="1">
      <c r="A9" s="272" t="s">
        <v>102</v>
      </c>
      <c r="B9" s="273"/>
      <c r="C9" s="273"/>
      <c r="D9" s="273"/>
      <c r="E9" s="273"/>
      <c r="F9" s="273"/>
      <c r="G9" s="273"/>
      <c r="H9" s="273"/>
      <c r="I9" s="274"/>
    </row>
    <row r="10" spans="1:9" ht="16.5" customHeight="1">
      <c r="A10" s="86" t="s">
        <v>103</v>
      </c>
      <c r="B10" s="124">
        <f>C10+D10+E10+F10+G10+H10+I10</f>
        <v>144799549.14</v>
      </c>
      <c r="C10" s="83">
        <f>C17</f>
        <v>23399977</v>
      </c>
      <c r="D10" s="83">
        <f aca="true" t="shared" si="1" ref="D10:I10">D17</f>
        <v>23253823.41</v>
      </c>
      <c r="E10" s="83">
        <f t="shared" si="1"/>
        <v>20404100.630000003</v>
      </c>
      <c r="F10" s="83">
        <f t="shared" si="1"/>
        <v>21301599.51</v>
      </c>
      <c r="G10" s="83">
        <f t="shared" si="1"/>
        <v>20095479.950000003</v>
      </c>
      <c r="H10" s="83">
        <f t="shared" si="1"/>
        <v>17896700.52</v>
      </c>
      <c r="I10" s="83">
        <f t="shared" si="1"/>
        <v>18447868.12</v>
      </c>
    </row>
    <row r="11" spans="1:9" ht="16.5" customHeight="1">
      <c r="A11" s="86" t="s">
        <v>20</v>
      </c>
      <c r="B11" s="124">
        <f>C11+D11+E11+F11+G11+H11+I11</f>
        <v>0</v>
      </c>
      <c r="C11" s="83">
        <f aca="true" t="shared" si="2" ref="C11:I13">C18</f>
        <v>0</v>
      </c>
      <c r="D11" s="83">
        <f t="shared" si="2"/>
        <v>0</v>
      </c>
      <c r="E11" s="83">
        <f t="shared" si="2"/>
        <v>0</v>
      </c>
      <c r="F11" s="83">
        <f t="shared" si="2"/>
        <v>0</v>
      </c>
      <c r="G11" s="83">
        <f t="shared" si="2"/>
        <v>0</v>
      </c>
      <c r="H11" s="83">
        <f t="shared" si="2"/>
        <v>0</v>
      </c>
      <c r="I11" s="83">
        <f t="shared" si="2"/>
        <v>0</v>
      </c>
    </row>
    <row r="12" spans="1:9" ht="16.5" customHeight="1">
      <c r="A12" s="86" t="s">
        <v>21</v>
      </c>
      <c r="B12" s="124">
        <f>C12+D12+E12+F12+G12+H12+I12</f>
        <v>0</v>
      </c>
      <c r="C12" s="83">
        <f t="shared" si="2"/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f t="shared" si="2"/>
        <v>0</v>
      </c>
      <c r="H12" s="83">
        <f t="shared" si="2"/>
        <v>0</v>
      </c>
      <c r="I12" s="83">
        <f t="shared" si="2"/>
        <v>0</v>
      </c>
    </row>
    <row r="13" spans="1:9" ht="16.5" customHeight="1">
      <c r="A13" s="86" t="s">
        <v>106</v>
      </c>
      <c r="B13" s="124">
        <f>C13+D13+E13+F13+G13+H13+I13</f>
        <v>654581.17</v>
      </c>
      <c r="C13" s="83">
        <f t="shared" si="2"/>
        <v>57000</v>
      </c>
      <c r="D13" s="83">
        <f t="shared" si="2"/>
        <v>0</v>
      </c>
      <c r="E13" s="83">
        <f t="shared" si="2"/>
        <v>0</v>
      </c>
      <c r="F13" s="83">
        <f t="shared" si="2"/>
        <v>147581.17</v>
      </c>
      <c r="G13" s="83">
        <f t="shared" si="2"/>
        <v>150000</v>
      </c>
      <c r="H13" s="83">
        <f t="shared" si="2"/>
        <v>150000</v>
      </c>
      <c r="I13" s="83">
        <f t="shared" si="2"/>
        <v>150000</v>
      </c>
    </row>
    <row r="14" spans="1:9" ht="16.5" customHeight="1">
      <c r="A14" s="201" t="s">
        <v>107</v>
      </c>
      <c r="B14" s="202"/>
      <c r="C14" s="202"/>
      <c r="D14" s="202"/>
      <c r="E14" s="202"/>
      <c r="F14" s="202"/>
      <c r="G14" s="202"/>
      <c r="H14" s="202"/>
      <c r="I14" s="203"/>
    </row>
    <row r="15" spans="1:9" ht="39.75" customHeight="1">
      <c r="A15" s="143" t="s">
        <v>114</v>
      </c>
      <c r="B15" s="124">
        <f>B17+B18+B19+B20</f>
        <v>145454130.30999997</v>
      </c>
      <c r="C15" s="124">
        <f>C17+C18+C19+C20</f>
        <v>23456977</v>
      </c>
      <c r="D15" s="124">
        <f aca="true" t="shared" si="3" ref="D15:I15">D17+D18+D19+D20</f>
        <v>23253823.41</v>
      </c>
      <c r="E15" s="124">
        <f t="shared" si="3"/>
        <v>20404100.630000003</v>
      </c>
      <c r="F15" s="124">
        <f t="shared" si="3"/>
        <v>21449180.680000003</v>
      </c>
      <c r="G15" s="124">
        <f t="shared" si="3"/>
        <v>20245479.950000003</v>
      </c>
      <c r="H15" s="124">
        <f t="shared" si="3"/>
        <v>18046700.52</v>
      </c>
      <c r="I15" s="124">
        <f t="shared" si="3"/>
        <v>18597868.12</v>
      </c>
    </row>
    <row r="16" spans="1:9" ht="16.5" customHeight="1">
      <c r="A16" s="272" t="s">
        <v>102</v>
      </c>
      <c r="B16" s="273"/>
      <c r="C16" s="273"/>
      <c r="D16" s="273"/>
      <c r="E16" s="273"/>
      <c r="F16" s="273"/>
      <c r="G16" s="273"/>
      <c r="H16" s="273"/>
      <c r="I16" s="274"/>
    </row>
    <row r="17" spans="1:9" ht="16.5" customHeight="1">
      <c r="A17" s="86" t="s">
        <v>103</v>
      </c>
      <c r="B17" s="124">
        <f>C17+D17+E17+F17+G17+H17+I17</f>
        <v>144799549.14</v>
      </c>
      <c r="C17" s="83">
        <f>'[2]таб 3(4)'!F34</f>
        <v>23399977</v>
      </c>
      <c r="D17" s="83">
        <f>+'[2]таб 3(4)'!G40</f>
        <v>23253823.41</v>
      </c>
      <c r="E17" s="83">
        <f>'таб 3(4)'!H41</f>
        <v>20404100.630000003</v>
      </c>
      <c r="F17" s="83">
        <f>'таб 3(4)'!I41</f>
        <v>21301599.51</v>
      </c>
      <c r="G17" s="83">
        <f>'таб 3(4)'!J41</f>
        <v>20095479.950000003</v>
      </c>
      <c r="H17" s="83">
        <f>'таб 3(4)'!K41</f>
        <v>17896700.52</v>
      </c>
      <c r="I17" s="83">
        <f>'таб 3(4)'!L41</f>
        <v>18447868.12</v>
      </c>
    </row>
    <row r="18" spans="1:9" ht="16.5" customHeight="1">
      <c r="A18" s="86" t="s">
        <v>20</v>
      </c>
      <c r="B18" s="124">
        <f>C18+D18+E18+F18+G18+H18+I18</f>
        <v>0</v>
      </c>
      <c r="C18" s="83">
        <f aca="true" t="shared" si="4" ref="C18:I19">C25</f>
        <v>0</v>
      </c>
      <c r="D18" s="83">
        <f t="shared" si="4"/>
        <v>0</v>
      </c>
      <c r="E18" s="83">
        <f>E25</f>
        <v>0</v>
      </c>
      <c r="F18" s="83">
        <f t="shared" si="4"/>
        <v>0</v>
      </c>
      <c r="G18" s="83">
        <f t="shared" si="4"/>
        <v>0</v>
      </c>
      <c r="H18" s="83">
        <f t="shared" si="4"/>
        <v>0</v>
      </c>
      <c r="I18" s="83">
        <f t="shared" si="4"/>
        <v>0</v>
      </c>
    </row>
    <row r="19" spans="1:9" ht="16.5" customHeight="1">
      <c r="A19" s="86" t="s">
        <v>21</v>
      </c>
      <c r="B19" s="124">
        <f>C19+D19+E19+F19+G19+H19+I19</f>
        <v>0</v>
      </c>
      <c r="C19" s="83">
        <f t="shared" si="4"/>
        <v>0</v>
      </c>
      <c r="D19" s="83">
        <f t="shared" si="4"/>
        <v>0</v>
      </c>
      <c r="E19" s="83">
        <f t="shared" si="4"/>
        <v>0</v>
      </c>
      <c r="F19" s="83">
        <f t="shared" si="4"/>
        <v>0</v>
      </c>
      <c r="G19" s="83">
        <f t="shared" si="4"/>
        <v>0</v>
      </c>
      <c r="H19" s="83">
        <f t="shared" si="4"/>
        <v>0</v>
      </c>
      <c r="I19" s="83">
        <f t="shared" si="4"/>
        <v>0</v>
      </c>
    </row>
    <row r="20" spans="1:9" ht="16.5" customHeight="1">
      <c r="A20" s="86" t="s">
        <v>106</v>
      </c>
      <c r="B20" s="124">
        <f>C20+D20+E20+F20+G20+H20+I20</f>
        <v>654581.17</v>
      </c>
      <c r="C20" s="83">
        <v>57000</v>
      </c>
      <c r="D20" s="83">
        <f>+'[2]таб 3(4)'!G43</f>
        <v>0</v>
      </c>
      <c r="E20" s="83">
        <f>+'[2]таб 3(4)'!H43</f>
        <v>0</v>
      </c>
      <c r="F20" s="83">
        <f>'таб 3(4)'!I38</f>
        <v>147581.17</v>
      </c>
      <c r="G20" s="83">
        <f>'таб 3(4)'!J38</f>
        <v>150000</v>
      </c>
      <c r="H20" s="83">
        <f>'таб 3(4)'!K38</f>
        <v>150000</v>
      </c>
      <c r="I20" s="83">
        <f>'таб 3(4)'!L38</f>
        <v>150000</v>
      </c>
    </row>
    <row r="21" spans="1:9" ht="25.5">
      <c r="A21" s="4" t="s">
        <v>108</v>
      </c>
      <c r="B21" s="124">
        <f>C21+D21+E21+F21+G21+H21+I21</f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8" bestFit="1" customWidth="1"/>
    <col min="2" max="2" width="48.421875" style="18" customWidth="1"/>
    <col min="3" max="3" width="10.8515625" style="18" customWidth="1"/>
    <col min="4" max="4" width="10.00390625" style="18" customWidth="1"/>
    <col min="5" max="5" width="14.00390625" style="18" customWidth="1"/>
    <col min="6" max="6" width="12.8515625" style="18" customWidth="1"/>
    <col min="7" max="12" width="12.8515625" style="18" bestFit="1" customWidth="1"/>
    <col min="13" max="13" width="25.421875" style="18" customWidth="1"/>
    <col min="14" max="20" width="4.421875" style="18" bestFit="1" customWidth="1"/>
    <col min="21" max="21" width="16.00390625" style="18" customWidth="1"/>
    <col min="22" max="16384" width="9.140625" style="18" customWidth="1"/>
  </cols>
  <sheetData>
    <row r="1" spans="15:21" ht="65.25" customHeight="1">
      <c r="O1" s="313" t="s">
        <v>283</v>
      </c>
      <c r="P1" s="313"/>
      <c r="Q1" s="313"/>
      <c r="R1" s="313"/>
      <c r="S1" s="313"/>
      <c r="T1" s="313"/>
      <c r="U1" s="313"/>
    </row>
    <row r="2" spans="20:21" ht="12.75">
      <c r="T2" s="99"/>
      <c r="U2" s="99" t="s">
        <v>214</v>
      </c>
    </row>
    <row r="3" spans="1:21" ht="47.25" customHeight="1">
      <c r="A3" s="247" t="s">
        <v>215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ht="31.5" customHeight="1">
      <c r="A4" s="211" t="s">
        <v>97</v>
      </c>
      <c r="B4" s="211" t="s">
        <v>109</v>
      </c>
      <c r="C4" s="211" t="s">
        <v>110</v>
      </c>
      <c r="D4" s="211" t="s">
        <v>99</v>
      </c>
      <c r="E4" s="211" t="s">
        <v>111</v>
      </c>
      <c r="F4" s="211"/>
      <c r="G4" s="211"/>
      <c r="H4" s="211"/>
      <c r="I4" s="211"/>
      <c r="J4" s="211"/>
      <c r="K4" s="211"/>
      <c r="L4" s="211"/>
      <c r="M4" s="211" t="s">
        <v>32</v>
      </c>
      <c r="N4" s="211"/>
      <c r="O4" s="211"/>
      <c r="P4" s="211"/>
      <c r="Q4" s="211"/>
      <c r="R4" s="211"/>
      <c r="S4" s="211"/>
      <c r="T4" s="211"/>
      <c r="U4" s="265" t="s">
        <v>112</v>
      </c>
    </row>
    <row r="5" spans="1:21" ht="33" customHeight="1">
      <c r="A5" s="211"/>
      <c r="B5" s="211"/>
      <c r="C5" s="211"/>
      <c r="D5" s="211"/>
      <c r="E5" s="19" t="s">
        <v>93</v>
      </c>
      <c r="F5" s="5" t="s">
        <v>82</v>
      </c>
      <c r="G5" s="5" t="s">
        <v>83</v>
      </c>
      <c r="H5" s="5" t="s">
        <v>84</v>
      </c>
      <c r="I5" s="5" t="s">
        <v>85</v>
      </c>
      <c r="J5" s="5" t="s">
        <v>86</v>
      </c>
      <c r="K5" s="5" t="s">
        <v>87</v>
      </c>
      <c r="L5" s="5" t="s">
        <v>88</v>
      </c>
      <c r="M5" s="3" t="s">
        <v>98</v>
      </c>
      <c r="N5" s="5" t="s">
        <v>82</v>
      </c>
      <c r="O5" s="5" t="s">
        <v>83</v>
      </c>
      <c r="P5" s="5" t="s">
        <v>84</v>
      </c>
      <c r="Q5" s="5" t="s">
        <v>85</v>
      </c>
      <c r="R5" s="5" t="s">
        <v>86</v>
      </c>
      <c r="S5" s="5" t="s">
        <v>87</v>
      </c>
      <c r="T5" s="5" t="s">
        <v>88</v>
      </c>
      <c r="U5" s="266"/>
    </row>
    <row r="6" spans="1:2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  <c r="S6" s="50">
        <v>19</v>
      </c>
      <c r="T6" s="50">
        <v>20</v>
      </c>
      <c r="U6" s="50">
        <v>21</v>
      </c>
    </row>
    <row r="7" spans="1:21" ht="12.75">
      <c r="A7" s="20"/>
      <c r="B7" s="267" t="s">
        <v>216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</row>
    <row r="8" spans="1:21" ht="12.75">
      <c r="A8" s="20">
        <v>1</v>
      </c>
      <c r="B8" s="267" t="s">
        <v>217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</row>
    <row r="9" spans="1:21" ht="16.5" customHeight="1">
      <c r="A9" s="245" t="s">
        <v>121</v>
      </c>
      <c r="B9" s="294" t="s">
        <v>218</v>
      </c>
      <c r="C9" s="230" t="s">
        <v>78</v>
      </c>
      <c r="D9" s="21" t="s">
        <v>93</v>
      </c>
      <c r="E9" s="22">
        <f>E11+E12+E13+E14</f>
        <v>142238574.82</v>
      </c>
      <c r="F9" s="22">
        <f aca="true" t="shared" si="0" ref="F9:L9">F11+F12+F13+F14</f>
        <v>22989063</v>
      </c>
      <c r="G9" s="22">
        <f t="shared" si="0"/>
        <v>22480517.52</v>
      </c>
      <c r="H9" s="22">
        <f t="shared" si="0"/>
        <v>20167769.71</v>
      </c>
      <c r="I9" s="22">
        <f t="shared" si="0"/>
        <v>20966181</v>
      </c>
      <c r="J9" s="22">
        <f t="shared" si="0"/>
        <v>19827144.950000003</v>
      </c>
      <c r="K9" s="22">
        <f t="shared" si="0"/>
        <v>17628365.52</v>
      </c>
      <c r="L9" s="22">
        <f t="shared" si="0"/>
        <v>18179533.12</v>
      </c>
      <c r="M9" s="279" t="s">
        <v>265</v>
      </c>
      <c r="N9" s="314">
        <v>35</v>
      </c>
      <c r="O9" s="314">
        <v>35</v>
      </c>
      <c r="P9" s="314">
        <v>35</v>
      </c>
      <c r="Q9" s="314">
        <v>100</v>
      </c>
      <c r="R9" s="314">
        <v>100</v>
      </c>
      <c r="S9" s="314">
        <v>100</v>
      </c>
      <c r="T9" s="314">
        <v>100</v>
      </c>
      <c r="U9" s="279" t="s">
        <v>219</v>
      </c>
    </row>
    <row r="10" spans="1:21" ht="16.5" customHeight="1">
      <c r="A10" s="245"/>
      <c r="B10" s="295"/>
      <c r="C10" s="231"/>
      <c r="D10" s="248" t="s">
        <v>113</v>
      </c>
      <c r="E10" s="249"/>
      <c r="F10" s="249"/>
      <c r="G10" s="249"/>
      <c r="H10" s="249"/>
      <c r="I10" s="249"/>
      <c r="J10" s="249"/>
      <c r="K10" s="249"/>
      <c r="L10" s="250"/>
      <c r="M10" s="317"/>
      <c r="N10" s="315"/>
      <c r="O10" s="315"/>
      <c r="P10" s="315"/>
      <c r="Q10" s="315"/>
      <c r="R10" s="315"/>
      <c r="S10" s="315"/>
      <c r="T10" s="315"/>
      <c r="U10" s="280"/>
    </row>
    <row r="11" spans="1:21" ht="12.75">
      <c r="A11" s="245"/>
      <c r="B11" s="295"/>
      <c r="C11" s="231"/>
      <c r="D11" s="21" t="s">
        <v>91</v>
      </c>
      <c r="E11" s="22">
        <f>F11+G11+H11+I11+J11+K11+L11</f>
        <v>142238574.82</v>
      </c>
      <c r="F11" s="22">
        <f>23429063-440000</f>
        <v>22989063</v>
      </c>
      <c r="G11" s="22">
        <v>22480517.52</v>
      </c>
      <c r="H11" s="22">
        <f>20043880+54889.71+69000</f>
        <v>20167769.71</v>
      </c>
      <c r="I11" s="22">
        <v>20966181</v>
      </c>
      <c r="J11" s="22">
        <f>1607330.07+12945433.47+3909520.91+1330497+34363.5</f>
        <v>19827144.950000003</v>
      </c>
      <c r="K11" s="22">
        <f>1579616.36+11263438.17+3401558.33+1383752.66</f>
        <v>17628365.52</v>
      </c>
      <c r="L11" s="22">
        <f>1928775.59+11376072.55+3435573.91+1439111.07</f>
        <v>18179533.12</v>
      </c>
      <c r="M11" s="317"/>
      <c r="N11" s="315"/>
      <c r="O11" s="315"/>
      <c r="P11" s="315"/>
      <c r="Q11" s="315"/>
      <c r="R11" s="315"/>
      <c r="S11" s="315"/>
      <c r="T11" s="315"/>
      <c r="U11" s="280"/>
    </row>
    <row r="12" spans="1:21" ht="12.75">
      <c r="A12" s="245"/>
      <c r="B12" s="295"/>
      <c r="C12" s="231"/>
      <c r="D12" s="21" t="s">
        <v>89</v>
      </c>
      <c r="E12" s="22">
        <f>F12+G12+H12+I12+J12+K12+L12</f>
        <v>0</v>
      </c>
      <c r="F12" s="22"/>
      <c r="G12" s="22"/>
      <c r="H12" s="22"/>
      <c r="I12" s="22"/>
      <c r="J12" s="22"/>
      <c r="K12" s="22"/>
      <c r="L12" s="22"/>
      <c r="M12" s="317"/>
      <c r="N12" s="315"/>
      <c r="O12" s="315"/>
      <c r="P12" s="315"/>
      <c r="Q12" s="315"/>
      <c r="R12" s="315"/>
      <c r="S12" s="315"/>
      <c r="T12" s="315"/>
      <c r="U12" s="280"/>
    </row>
    <row r="13" spans="1:21" ht="12.75" customHeight="1">
      <c r="A13" s="245"/>
      <c r="B13" s="295"/>
      <c r="C13" s="231"/>
      <c r="D13" s="21" t="s">
        <v>90</v>
      </c>
      <c r="E13" s="22">
        <f>F13+G13+H13+I13+J13+K13+L13</f>
        <v>0</v>
      </c>
      <c r="F13" s="22"/>
      <c r="G13" s="22"/>
      <c r="H13" s="22"/>
      <c r="I13" s="22"/>
      <c r="J13" s="22"/>
      <c r="K13" s="22"/>
      <c r="L13" s="22"/>
      <c r="M13" s="317"/>
      <c r="N13" s="315"/>
      <c r="O13" s="315"/>
      <c r="P13" s="315"/>
      <c r="Q13" s="315"/>
      <c r="R13" s="315"/>
      <c r="S13" s="315"/>
      <c r="T13" s="315"/>
      <c r="U13" s="280"/>
    </row>
    <row r="14" spans="1:21" ht="60.75" customHeight="1">
      <c r="A14" s="245"/>
      <c r="B14" s="296"/>
      <c r="C14" s="232"/>
      <c r="D14" s="21" t="s">
        <v>92</v>
      </c>
      <c r="E14" s="22">
        <f>F14+G14+H14+I14+J14+K14+L14</f>
        <v>0</v>
      </c>
      <c r="F14" s="22"/>
      <c r="G14" s="22"/>
      <c r="H14" s="22"/>
      <c r="I14" s="22"/>
      <c r="J14" s="22"/>
      <c r="K14" s="22"/>
      <c r="L14" s="22"/>
      <c r="M14" s="318"/>
      <c r="N14" s="316"/>
      <c r="O14" s="316"/>
      <c r="P14" s="316"/>
      <c r="Q14" s="316"/>
      <c r="R14" s="316"/>
      <c r="S14" s="316"/>
      <c r="T14" s="316"/>
      <c r="U14" s="281"/>
    </row>
    <row r="15" spans="1:21" ht="24" customHeight="1">
      <c r="A15" s="245" t="s">
        <v>122</v>
      </c>
      <c r="B15" s="294" t="s">
        <v>220</v>
      </c>
      <c r="C15" s="230" t="s">
        <v>78</v>
      </c>
      <c r="D15" s="21" t="s">
        <v>93</v>
      </c>
      <c r="E15" s="22">
        <f>E17+E18+E19+E20</f>
        <v>851493.52</v>
      </c>
      <c r="F15" s="22">
        <f aca="true" t="shared" si="1" ref="F15:L15">F17+F18+F19+F20</f>
        <v>410914</v>
      </c>
      <c r="G15" s="22">
        <f t="shared" si="1"/>
        <v>440579.52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79" t="s">
        <v>3</v>
      </c>
      <c r="N15" s="227">
        <v>1</v>
      </c>
      <c r="O15" s="227">
        <v>1</v>
      </c>
      <c r="P15" s="227">
        <v>1</v>
      </c>
      <c r="Q15" s="227">
        <v>1</v>
      </c>
      <c r="R15" s="227">
        <v>1</v>
      </c>
      <c r="S15" s="227">
        <v>1</v>
      </c>
      <c r="T15" s="227">
        <v>1</v>
      </c>
      <c r="U15" s="279" t="s">
        <v>219</v>
      </c>
    </row>
    <row r="16" spans="1:21" ht="16.5" customHeight="1">
      <c r="A16" s="245"/>
      <c r="B16" s="295"/>
      <c r="C16" s="231"/>
      <c r="D16" s="248" t="s">
        <v>113</v>
      </c>
      <c r="E16" s="249"/>
      <c r="F16" s="249"/>
      <c r="G16" s="249"/>
      <c r="H16" s="249"/>
      <c r="I16" s="249"/>
      <c r="J16" s="249"/>
      <c r="K16" s="249"/>
      <c r="L16" s="250"/>
      <c r="M16" s="280"/>
      <c r="N16" s="228"/>
      <c r="O16" s="228"/>
      <c r="P16" s="228"/>
      <c r="Q16" s="228"/>
      <c r="R16" s="228"/>
      <c r="S16" s="228"/>
      <c r="T16" s="228"/>
      <c r="U16" s="280"/>
    </row>
    <row r="17" spans="1:21" ht="18" customHeight="1">
      <c r="A17" s="245"/>
      <c r="B17" s="295"/>
      <c r="C17" s="231"/>
      <c r="D17" s="21" t="s">
        <v>91</v>
      </c>
      <c r="E17" s="22">
        <f>F17+G17+H17+I17+J17+K17+L17</f>
        <v>851493.52</v>
      </c>
      <c r="F17" s="22">
        <v>410914</v>
      </c>
      <c r="G17" s="22">
        <f>465321-24741.1-0.38</f>
        <v>440579.52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80"/>
      <c r="N17" s="228"/>
      <c r="O17" s="228"/>
      <c r="P17" s="228"/>
      <c r="Q17" s="228"/>
      <c r="R17" s="228"/>
      <c r="S17" s="228"/>
      <c r="T17" s="228"/>
      <c r="U17" s="280"/>
    </row>
    <row r="18" spans="1:21" ht="12.75" customHeight="1">
      <c r="A18" s="245"/>
      <c r="B18" s="295"/>
      <c r="C18" s="231"/>
      <c r="D18" s="21" t="s">
        <v>89</v>
      </c>
      <c r="E18" s="22">
        <f>F18+G18+H18+I18+J18+K18+L18</f>
        <v>0</v>
      </c>
      <c r="F18" s="22"/>
      <c r="G18" s="22"/>
      <c r="H18" s="22"/>
      <c r="I18" s="22"/>
      <c r="J18" s="22"/>
      <c r="K18" s="22"/>
      <c r="L18" s="22"/>
      <c r="M18" s="280"/>
      <c r="N18" s="228"/>
      <c r="O18" s="228"/>
      <c r="P18" s="228"/>
      <c r="Q18" s="228"/>
      <c r="R18" s="228"/>
      <c r="S18" s="228"/>
      <c r="T18" s="228"/>
      <c r="U18" s="280"/>
    </row>
    <row r="19" spans="1:21" ht="12.75" customHeight="1">
      <c r="A19" s="245"/>
      <c r="B19" s="295"/>
      <c r="C19" s="231"/>
      <c r="D19" s="21" t="s">
        <v>90</v>
      </c>
      <c r="E19" s="22">
        <f>F19+G19+H19+I19+J19+K19+L19</f>
        <v>0</v>
      </c>
      <c r="F19" s="22"/>
      <c r="G19" s="22"/>
      <c r="H19" s="22"/>
      <c r="I19" s="22"/>
      <c r="J19" s="22"/>
      <c r="K19" s="22"/>
      <c r="L19" s="22"/>
      <c r="M19" s="280"/>
      <c r="N19" s="228"/>
      <c r="O19" s="228"/>
      <c r="P19" s="228"/>
      <c r="Q19" s="228"/>
      <c r="R19" s="228"/>
      <c r="S19" s="228"/>
      <c r="T19" s="228"/>
      <c r="U19" s="280"/>
    </row>
    <row r="20" spans="1:21" ht="24" customHeight="1">
      <c r="A20" s="245"/>
      <c r="B20" s="296"/>
      <c r="C20" s="232"/>
      <c r="D20" s="21" t="s">
        <v>92</v>
      </c>
      <c r="E20" s="22">
        <f>F20+G20+H20+I20+J20+K20+L20</f>
        <v>0</v>
      </c>
      <c r="F20" s="22"/>
      <c r="G20" s="22"/>
      <c r="H20" s="22"/>
      <c r="I20" s="22"/>
      <c r="J20" s="22"/>
      <c r="K20" s="22"/>
      <c r="L20" s="22"/>
      <c r="M20" s="281"/>
      <c r="N20" s="229"/>
      <c r="O20" s="229"/>
      <c r="P20" s="229"/>
      <c r="Q20" s="229"/>
      <c r="R20" s="229"/>
      <c r="S20" s="229"/>
      <c r="T20" s="229"/>
      <c r="U20" s="281"/>
    </row>
    <row r="21" spans="1:21" ht="19.5" customHeight="1">
      <c r="A21" s="251" t="s">
        <v>96</v>
      </c>
      <c r="B21" s="259" t="s">
        <v>180</v>
      </c>
      <c r="C21" s="230" t="s">
        <v>78</v>
      </c>
      <c r="D21" s="21" t="s">
        <v>93</v>
      </c>
      <c r="E21" s="22">
        <f>E23+E24+E25+E26</f>
        <v>1709480.8</v>
      </c>
      <c r="F21" s="22">
        <f aca="true" t="shared" si="2" ref="F21:L21">F23+F24+F25+F26</f>
        <v>0</v>
      </c>
      <c r="G21" s="22">
        <f t="shared" si="2"/>
        <v>332726.37</v>
      </c>
      <c r="H21" s="22">
        <f t="shared" si="2"/>
        <v>236330.91999999998</v>
      </c>
      <c r="I21" s="22">
        <f t="shared" si="2"/>
        <v>335418.51</v>
      </c>
      <c r="J21" s="22">
        <f t="shared" si="2"/>
        <v>268335</v>
      </c>
      <c r="K21" s="22">
        <f t="shared" si="2"/>
        <v>268335</v>
      </c>
      <c r="L21" s="22">
        <f t="shared" si="2"/>
        <v>268335</v>
      </c>
      <c r="M21" s="279" t="s">
        <v>264</v>
      </c>
      <c r="N21" s="227">
        <v>1</v>
      </c>
      <c r="O21" s="227">
        <v>1</v>
      </c>
      <c r="P21" s="227">
        <v>1</v>
      </c>
      <c r="Q21" s="227">
        <v>100</v>
      </c>
      <c r="R21" s="227">
        <v>100</v>
      </c>
      <c r="S21" s="227">
        <v>100</v>
      </c>
      <c r="T21" s="227">
        <v>100</v>
      </c>
      <c r="U21" s="279" t="s">
        <v>219</v>
      </c>
    </row>
    <row r="22" spans="1:21" ht="16.5" customHeight="1">
      <c r="A22" s="251"/>
      <c r="B22" s="259"/>
      <c r="C22" s="231"/>
      <c r="D22" s="248" t="s">
        <v>113</v>
      </c>
      <c r="E22" s="249"/>
      <c r="F22" s="249"/>
      <c r="G22" s="249"/>
      <c r="H22" s="249"/>
      <c r="I22" s="249"/>
      <c r="J22" s="249"/>
      <c r="K22" s="249"/>
      <c r="L22" s="250"/>
      <c r="M22" s="280"/>
      <c r="N22" s="228"/>
      <c r="O22" s="228"/>
      <c r="P22" s="228"/>
      <c r="Q22" s="228"/>
      <c r="R22" s="228"/>
      <c r="S22" s="228"/>
      <c r="T22" s="228"/>
      <c r="U22" s="280"/>
    </row>
    <row r="23" spans="1:21" ht="23.25" customHeight="1">
      <c r="A23" s="251"/>
      <c r="B23" s="259"/>
      <c r="C23" s="231"/>
      <c r="D23" s="21" t="s">
        <v>91</v>
      </c>
      <c r="E23" s="22">
        <f>F23+G23+H23+I23+J23+K23+L23</f>
        <v>1709480.8</v>
      </c>
      <c r="F23" s="22"/>
      <c r="G23" s="22">
        <v>332726.37</v>
      </c>
      <c r="H23" s="22">
        <f>295072.75-88472.01+29730.18</f>
        <v>236330.91999999998</v>
      </c>
      <c r="I23" s="22">
        <f>295072.48+40346.03</f>
        <v>335418.51</v>
      </c>
      <c r="J23" s="22">
        <v>268335</v>
      </c>
      <c r="K23" s="22">
        <v>268335</v>
      </c>
      <c r="L23" s="22">
        <v>268335</v>
      </c>
      <c r="M23" s="280"/>
      <c r="N23" s="228"/>
      <c r="O23" s="228"/>
      <c r="P23" s="228"/>
      <c r="Q23" s="228"/>
      <c r="R23" s="228"/>
      <c r="S23" s="228"/>
      <c r="T23" s="228"/>
      <c r="U23" s="280"/>
    </row>
    <row r="24" spans="1:21" ht="12.75">
      <c r="A24" s="251"/>
      <c r="B24" s="259"/>
      <c r="C24" s="231"/>
      <c r="D24" s="21" t="s">
        <v>89</v>
      </c>
      <c r="E24" s="22">
        <f>F24+G24+H24+I24+J24+K24+L24</f>
        <v>0</v>
      </c>
      <c r="F24" s="22"/>
      <c r="G24" s="22"/>
      <c r="H24" s="22"/>
      <c r="I24" s="22"/>
      <c r="J24" s="22"/>
      <c r="K24" s="22"/>
      <c r="L24" s="22"/>
      <c r="M24" s="280"/>
      <c r="N24" s="228"/>
      <c r="O24" s="228"/>
      <c r="P24" s="228"/>
      <c r="Q24" s="228"/>
      <c r="R24" s="228"/>
      <c r="S24" s="228"/>
      <c r="T24" s="228"/>
      <c r="U24" s="280"/>
    </row>
    <row r="25" spans="1:21" ht="12.75">
      <c r="A25" s="251"/>
      <c r="B25" s="259"/>
      <c r="C25" s="231"/>
      <c r="D25" s="21" t="s">
        <v>90</v>
      </c>
      <c r="E25" s="22">
        <f>F25+G25+H25+I25+J25+K25+L25</f>
        <v>0</v>
      </c>
      <c r="F25" s="22"/>
      <c r="G25" s="22"/>
      <c r="H25" s="22"/>
      <c r="I25" s="22"/>
      <c r="J25" s="22"/>
      <c r="K25" s="22"/>
      <c r="L25" s="22"/>
      <c r="M25" s="280"/>
      <c r="N25" s="228"/>
      <c r="O25" s="228"/>
      <c r="P25" s="228"/>
      <c r="Q25" s="228"/>
      <c r="R25" s="228"/>
      <c r="S25" s="228"/>
      <c r="T25" s="228"/>
      <c r="U25" s="280"/>
    </row>
    <row r="26" spans="1:21" ht="12.75">
      <c r="A26" s="251"/>
      <c r="B26" s="259"/>
      <c r="C26" s="232"/>
      <c r="D26" s="21" t="s">
        <v>92</v>
      </c>
      <c r="E26" s="22">
        <f>F26+G26+H26+I26+J26+K26+L26</f>
        <v>0</v>
      </c>
      <c r="F26" s="22"/>
      <c r="G26" s="22"/>
      <c r="H26" s="22"/>
      <c r="I26" s="22"/>
      <c r="J26" s="22"/>
      <c r="K26" s="22"/>
      <c r="L26" s="22"/>
      <c r="M26" s="281"/>
      <c r="N26" s="229"/>
      <c r="O26" s="229"/>
      <c r="P26" s="229"/>
      <c r="Q26" s="229"/>
      <c r="R26" s="229"/>
      <c r="S26" s="229"/>
      <c r="T26" s="229"/>
      <c r="U26" s="281"/>
    </row>
    <row r="27" spans="1:21" ht="15" customHeight="1">
      <c r="A27" s="245" t="s">
        <v>124</v>
      </c>
      <c r="B27" s="294" t="s">
        <v>119</v>
      </c>
      <c r="C27" s="230" t="s">
        <v>78</v>
      </c>
      <c r="D27" s="21" t="s">
        <v>93</v>
      </c>
      <c r="E27" s="22">
        <f>E29+E30+E31+E32</f>
        <v>654581.17</v>
      </c>
      <c r="F27" s="22">
        <f aca="true" t="shared" si="3" ref="F27:L27">F29+F30+F31+F32</f>
        <v>57000</v>
      </c>
      <c r="G27" s="22">
        <f t="shared" si="3"/>
        <v>0</v>
      </c>
      <c r="H27" s="22">
        <f t="shared" si="3"/>
        <v>0</v>
      </c>
      <c r="I27" s="22">
        <f t="shared" si="3"/>
        <v>147581.17</v>
      </c>
      <c r="J27" s="22">
        <f t="shared" si="3"/>
        <v>150000</v>
      </c>
      <c r="K27" s="22">
        <f t="shared" si="3"/>
        <v>150000</v>
      </c>
      <c r="L27" s="22">
        <f t="shared" si="3"/>
        <v>150000</v>
      </c>
      <c r="M27" s="279" t="s">
        <v>221</v>
      </c>
      <c r="N27" s="227">
        <v>1</v>
      </c>
      <c r="O27" s="227">
        <v>1</v>
      </c>
      <c r="P27" s="227">
        <v>1</v>
      </c>
      <c r="Q27" s="227">
        <v>1</v>
      </c>
      <c r="R27" s="227">
        <v>1</v>
      </c>
      <c r="S27" s="227">
        <v>1</v>
      </c>
      <c r="T27" s="227">
        <v>1</v>
      </c>
      <c r="U27" s="279" t="s">
        <v>219</v>
      </c>
    </row>
    <row r="28" spans="1:21" ht="16.5" customHeight="1">
      <c r="A28" s="245"/>
      <c r="B28" s="295"/>
      <c r="C28" s="231"/>
      <c r="D28" s="248" t="s">
        <v>113</v>
      </c>
      <c r="E28" s="249"/>
      <c r="F28" s="249"/>
      <c r="G28" s="249"/>
      <c r="H28" s="249"/>
      <c r="I28" s="249"/>
      <c r="J28" s="249"/>
      <c r="K28" s="249"/>
      <c r="L28" s="250"/>
      <c r="M28" s="280"/>
      <c r="N28" s="228"/>
      <c r="O28" s="228"/>
      <c r="P28" s="228"/>
      <c r="Q28" s="228"/>
      <c r="R28" s="228"/>
      <c r="S28" s="228"/>
      <c r="T28" s="228"/>
      <c r="U28" s="280"/>
    </row>
    <row r="29" spans="1:21" ht="12.75" customHeight="1">
      <c r="A29" s="245"/>
      <c r="B29" s="295"/>
      <c r="C29" s="231"/>
      <c r="D29" s="21" t="s">
        <v>91</v>
      </c>
      <c r="E29" s="22">
        <f>F29+G29+H29+I29+J29+K29+L29</f>
        <v>0</v>
      </c>
      <c r="F29" s="22"/>
      <c r="G29" s="22"/>
      <c r="H29" s="22"/>
      <c r="I29" s="22"/>
      <c r="J29" s="22"/>
      <c r="K29" s="22"/>
      <c r="L29" s="22"/>
      <c r="M29" s="280"/>
      <c r="N29" s="228"/>
      <c r="O29" s="228"/>
      <c r="P29" s="228"/>
      <c r="Q29" s="228"/>
      <c r="R29" s="228"/>
      <c r="S29" s="228"/>
      <c r="T29" s="228"/>
      <c r="U29" s="280"/>
    </row>
    <row r="30" spans="1:21" ht="12.75" customHeight="1">
      <c r="A30" s="245"/>
      <c r="B30" s="295"/>
      <c r="C30" s="231"/>
      <c r="D30" s="21" t="s">
        <v>89</v>
      </c>
      <c r="E30" s="22">
        <f>F30+G30+H30+I30+J30+K30+L30</f>
        <v>0</v>
      </c>
      <c r="F30" s="22"/>
      <c r="G30" s="22"/>
      <c r="H30" s="22"/>
      <c r="I30" s="22"/>
      <c r="J30" s="22"/>
      <c r="K30" s="22"/>
      <c r="L30" s="22"/>
      <c r="M30" s="280"/>
      <c r="N30" s="228"/>
      <c r="O30" s="228"/>
      <c r="P30" s="228"/>
      <c r="Q30" s="228"/>
      <c r="R30" s="228"/>
      <c r="S30" s="228"/>
      <c r="T30" s="228"/>
      <c r="U30" s="280"/>
    </row>
    <row r="31" spans="1:21" ht="12.75" customHeight="1">
      <c r="A31" s="245"/>
      <c r="B31" s="295"/>
      <c r="C31" s="231"/>
      <c r="D31" s="21" t="s">
        <v>90</v>
      </c>
      <c r="E31" s="22">
        <f>F31+G31+H31+I31+J31+K31+L31</f>
        <v>0</v>
      </c>
      <c r="F31" s="22"/>
      <c r="G31" s="22"/>
      <c r="H31" s="22"/>
      <c r="I31" s="22"/>
      <c r="J31" s="22"/>
      <c r="K31" s="22"/>
      <c r="L31" s="22"/>
      <c r="M31" s="280"/>
      <c r="N31" s="228"/>
      <c r="O31" s="228"/>
      <c r="P31" s="228"/>
      <c r="Q31" s="228"/>
      <c r="R31" s="228"/>
      <c r="S31" s="228"/>
      <c r="T31" s="228"/>
      <c r="U31" s="280"/>
    </row>
    <row r="32" spans="1:21" ht="12.75" customHeight="1">
      <c r="A32" s="245"/>
      <c r="B32" s="296"/>
      <c r="C32" s="232"/>
      <c r="D32" s="21" t="s">
        <v>92</v>
      </c>
      <c r="E32" s="22">
        <f>F32+G32+H32+I32+J32+K32+L32</f>
        <v>654581.17</v>
      </c>
      <c r="F32" s="22">
        <v>57000</v>
      </c>
      <c r="G32" s="22">
        <v>0</v>
      </c>
      <c r="H32" s="83">
        <v>0</v>
      </c>
      <c r="I32" s="83">
        <v>147581.17</v>
      </c>
      <c r="J32" s="83">
        <v>150000</v>
      </c>
      <c r="K32" s="83">
        <v>150000</v>
      </c>
      <c r="L32" s="83">
        <v>150000</v>
      </c>
      <c r="M32" s="281"/>
      <c r="N32" s="229"/>
      <c r="O32" s="229"/>
      <c r="P32" s="229"/>
      <c r="Q32" s="229"/>
      <c r="R32" s="229"/>
      <c r="S32" s="229"/>
      <c r="T32" s="229"/>
      <c r="U32" s="281"/>
    </row>
    <row r="33" spans="1:21" ht="13.5" customHeight="1">
      <c r="A33" s="251"/>
      <c r="B33" s="305" t="s">
        <v>152</v>
      </c>
      <c r="C33" s="251"/>
      <c r="D33" s="101" t="s">
        <v>93</v>
      </c>
      <c r="E33" s="102">
        <f aca="true" t="shared" si="4" ref="E33:L33">E35+E36+E37+E38</f>
        <v>145454130.30999997</v>
      </c>
      <c r="F33" s="102">
        <f t="shared" si="4"/>
        <v>23456977</v>
      </c>
      <c r="G33" s="102">
        <f t="shared" si="4"/>
        <v>23253823.41</v>
      </c>
      <c r="H33" s="102">
        <f t="shared" si="4"/>
        <v>20404100.630000003</v>
      </c>
      <c r="I33" s="102">
        <f t="shared" si="4"/>
        <v>21449180.680000003</v>
      </c>
      <c r="J33" s="102">
        <f t="shared" si="4"/>
        <v>20245479.950000003</v>
      </c>
      <c r="K33" s="102">
        <f t="shared" si="4"/>
        <v>18046700.52</v>
      </c>
      <c r="L33" s="102">
        <f t="shared" si="4"/>
        <v>18597868.12</v>
      </c>
      <c r="M33" s="253"/>
      <c r="N33" s="239"/>
      <c r="O33" s="239"/>
      <c r="P33" s="239"/>
      <c r="Q33" s="239"/>
      <c r="R33" s="239"/>
      <c r="S33" s="239"/>
      <c r="T33" s="239"/>
      <c r="U33" s="242"/>
    </row>
    <row r="34" spans="1:21" ht="12.75" customHeight="1">
      <c r="A34" s="251"/>
      <c r="B34" s="306"/>
      <c r="C34" s="251"/>
      <c r="D34" s="256" t="s">
        <v>113</v>
      </c>
      <c r="E34" s="257"/>
      <c r="F34" s="257"/>
      <c r="G34" s="257"/>
      <c r="H34" s="257"/>
      <c r="I34" s="257"/>
      <c r="J34" s="257"/>
      <c r="K34" s="257"/>
      <c r="L34" s="258"/>
      <c r="M34" s="254"/>
      <c r="N34" s="240"/>
      <c r="O34" s="240"/>
      <c r="P34" s="240"/>
      <c r="Q34" s="240"/>
      <c r="R34" s="240"/>
      <c r="S34" s="240"/>
      <c r="T34" s="240"/>
      <c r="U34" s="243"/>
    </row>
    <row r="35" spans="1:21" ht="13.5" customHeight="1">
      <c r="A35" s="251"/>
      <c r="B35" s="306"/>
      <c r="C35" s="251"/>
      <c r="D35" s="103" t="s">
        <v>91</v>
      </c>
      <c r="E35" s="102">
        <f>F35+G35+H35+I35+J35+K35+L35</f>
        <v>144799549.14</v>
      </c>
      <c r="F35" s="104">
        <f>F11+F17+F29</f>
        <v>23399977</v>
      </c>
      <c r="G35" s="104">
        <f aca="true" t="shared" si="5" ref="G35:L35">G11+G17+G29+G23</f>
        <v>23253823.41</v>
      </c>
      <c r="H35" s="104">
        <f t="shared" si="5"/>
        <v>20404100.630000003</v>
      </c>
      <c r="I35" s="104">
        <f t="shared" si="5"/>
        <v>21301599.51</v>
      </c>
      <c r="J35" s="104">
        <f t="shared" si="5"/>
        <v>20095479.950000003</v>
      </c>
      <c r="K35" s="104">
        <f t="shared" si="5"/>
        <v>17896700.52</v>
      </c>
      <c r="L35" s="104">
        <f t="shared" si="5"/>
        <v>18447868.12</v>
      </c>
      <c r="M35" s="254"/>
      <c r="N35" s="240"/>
      <c r="O35" s="240"/>
      <c r="P35" s="240"/>
      <c r="Q35" s="240"/>
      <c r="R35" s="240"/>
      <c r="S35" s="240"/>
      <c r="T35" s="240"/>
      <c r="U35" s="243"/>
    </row>
    <row r="36" spans="1:21" ht="13.5" customHeight="1">
      <c r="A36" s="251"/>
      <c r="B36" s="306"/>
      <c r="C36" s="251"/>
      <c r="D36" s="103" t="s">
        <v>89</v>
      </c>
      <c r="E36" s="102">
        <f>F36+G36+H36+I36+J36+K36+L36</f>
        <v>0</v>
      </c>
      <c r="F36" s="104">
        <f>F12+F18+F30</f>
        <v>0</v>
      </c>
      <c r="G36" s="104">
        <f aca="true" t="shared" si="6" ref="G36:L38">G12+G18+G30</f>
        <v>0</v>
      </c>
      <c r="H36" s="104">
        <f t="shared" si="6"/>
        <v>0</v>
      </c>
      <c r="I36" s="104">
        <f t="shared" si="6"/>
        <v>0</v>
      </c>
      <c r="J36" s="104">
        <f t="shared" si="6"/>
        <v>0</v>
      </c>
      <c r="K36" s="104">
        <f t="shared" si="6"/>
        <v>0</v>
      </c>
      <c r="L36" s="104">
        <f t="shared" si="6"/>
        <v>0</v>
      </c>
      <c r="M36" s="254"/>
      <c r="N36" s="240"/>
      <c r="O36" s="240"/>
      <c r="P36" s="240"/>
      <c r="Q36" s="240"/>
      <c r="R36" s="240"/>
      <c r="S36" s="240"/>
      <c r="T36" s="240"/>
      <c r="U36" s="243"/>
    </row>
    <row r="37" spans="1:21" ht="13.5" customHeight="1">
      <c r="A37" s="251"/>
      <c r="B37" s="306"/>
      <c r="C37" s="251"/>
      <c r="D37" s="103" t="s">
        <v>90</v>
      </c>
      <c r="E37" s="102">
        <f>F37+G37+H37+I37+J37+K37+L37</f>
        <v>0</v>
      </c>
      <c r="F37" s="104">
        <f>F13+F19+F31</f>
        <v>0</v>
      </c>
      <c r="G37" s="104">
        <f t="shared" si="6"/>
        <v>0</v>
      </c>
      <c r="H37" s="104">
        <f t="shared" si="6"/>
        <v>0</v>
      </c>
      <c r="I37" s="104">
        <f t="shared" si="6"/>
        <v>0</v>
      </c>
      <c r="J37" s="104">
        <f t="shared" si="6"/>
        <v>0</v>
      </c>
      <c r="K37" s="104">
        <f t="shared" si="6"/>
        <v>0</v>
      </c>
      <c r="L37" s="104">
        <f t="shared" si="6"/>
        <v>0</v>
      </c>
      <c r="M37" s="254"/>
      <c r="N37" s="240"/>
      <c r="O37" s="240"/>
      <c r="P37" s="240"/>
      <c r="Q37" s="240"/>
      <c r="R37" s="240"/>
      <c r="S37" s="240"/>
      <c r="T37" s="240"/>
      <c r="U37" s="243"/>
    </row>
    <row r="38" spans="1:21" ht="13.5" customHeight="1">
      <c r="A38" s="251"/>
      <c r="B38" s="307"/>
      <c r="C38" s="251"/>
      <c r="D38" s="103" t="s">
        <v>92</v>
      </c>
      <c r="E38" s="102">
        <f>F38+G38+H38+I38+J38+K38+L38</f>
        <v>654581.17</v>
      </c>
      <c r="F38" s="104">
        <f>F14+F20+F32</f>
        <v>57000</v>
      </c>
      <c r="G38" s="104">
        <f t="shared" si="6"/>
        <v>0</v>
      </c>
      <c r="H38" s="104">
        <f t="shared" si="6"/>
        <v>0</v>
      </c>
      <c r="I38" s="104">
        <f t="shared" si="6"/>
        <v>147581.17</v>
      </c>
      <c r="J38" s="104">
        <f t="shared" si="6"/>
        <v>150000</v>
      </c>
      <c r="K38" s="104">
        <f t="shared" si="6"/>
        <v>150000</v>
      </c>
      <c r="L38" s="104">
        <f t="shared" si="6"/>
        <v>150000</v>
      </c>
      <c r="M38" s="255"/>
      <c r="N38" s="241"/>
      <c r="O38" s="241"/>
      <c r="P38" s="241"/>
      <c r="Q38" s="241"/>
      <c r="R38" s="241"/>
      <c r="S38" s="241"/>
      <c r="T38" s="241"/>
      <c r="U38" s="244"/>
    </row>
    <row r="39" spans="1:21" ht="13.5" customHeight="1">
      <c r="A39" s="251"/>
      <c r="B39" s="305" t="s">
        <v>222</v>
      </c>
      <c r="C39" s="251"/>
      <c r="D39" s="101" t="s">
        <v>93</v>
      </c>
      <c r="E39" s="102">
        <f aca="true" t="shared" si="7" ref="E39:L39">E41+E42+E43+E44</f>
        <v>145454130.30999997</v>
      </c>
      <c r="F39" s="102">
        <f t="shared" si="7"/>
        <v>23456977</v>
      </c>
      <c r="G39" s="102">
        <f t="shared" si="7"/>
        <v>23253823.41</v>
      </c>
      <c r="H39" s="102">
        <f t="shared" si="7"/>
        <v>20404100.630000003</v>
      </c>
      <c r="I39" s="102">
        <f t="shared" si="7"/>
        <v>21449180.680000003</v>
      </c>
      <c r="J39" s="102">
        <f t="shared" si="7"/>
        <v>20245479.950000003</v>
      </c>
      <c r="K39" s="102">
        <f t="shared" si="7"/>
        <v>18046700.52</v>
      </c>
      <c r="L39" s="102">
        <f t="shared" si="7"/>
        <v>18597868.12</v>
      </c>
      <c r="M39" s="253"/>
      <c r="N39" s="239"/>
      <c r="O39" s="239"/>
      <c r="P39" s="239"/>
      <c r="Q39" s="239"/>
      <c r="R39" s="239"/>
      <c r="S39" s="239"/>
      <c r="T39" s="239"/>
      <c r="U39" s="242"/>
    </row>
    <row r="40" spans="1:21" ht="12.75" customHeight="1">
      <c r="A40" s="251"/>
      <c r="B40" s="306"/>
      <c r="C40" s="251"/>
      <c r="D40" s="256" t="s">
        <v>113</v>
      </c>
      <c r="E40" s="257"/>
      <c r="F40" s="257"/>
      <c r="G40" s="257"/>
      <c r="H40" s="257"/>
      <c r="I40" s="257"/>
      <c r="J40" s="257"/>
      <c r="K40" s="257"/>
      <c r="L40" s="258"/>
      <c r="M40" s="254"/>
      <c r="N40" s="240"/>
      <c r="O40" s="240"/>
      <c r="P40" s="240"/>
      <c r="Q40" s="240"/>
      <c r="R40" s="240"/>
      <c r="S40" s="240"/>
      <c r="T40" s="240"/>
      <c r="U40" s="243"/>
    </row>
    <row r="41" spans="1:21" ht="13.5" customHeight="1">
      <c r="A41" s="251"/>
      <c r="B41" s="306"/>
      <c r="C41" s="251"/>
      <c r="D41" s="103" t="s">
        <v>91</v>
      </c>
      <c r="E41" s="102">
        <f>F41+G41+H41+I41+J41+K41+L41</f>
        <v>144799549.14</v>
      </c>
      <c r="F41" s="104">
        <f>F35</f>
        <v>23399977</v>
      </c>
      <c r="G41" s="104">
        <f aca="true" t="shared" si="8" ref="G41:L44">G35</f>
        <v>23253823.41</v>
      </c>
      <c r="H41" s="104">
        <f t="shared" si="8"/>
        <v>20404100.630000003</v>
      </c>
      <c r="I41" s="104">
        <f t="shared" si="8"/>
        <v>21301599.51</v>
      </c>
      <c r="J41" s="104">
        <f t="shared" si="8"/>
        <v>20095479.950000003</v>
      </c>
      <c r="K41" s="104">
        <f t="shared" si="8"/>
        <v>17896700.52</v>
      </c>
      <c r="L41" s="104">
        <f t="shared" si="8"/>
        <v>18447868.12</v>
      </c>
      <c r="M41" s="254"/>
      <c r="N41" s="240"/>
      <c r="O41" s="240"/>
      <c r="P41" s="240"/>
      <c r="Q41" s="240"/>
      <c r="R41" s="240"/>
      <c r="S41" s="240"/>
      <c r="T41" s="240"/>
      <c r="U41" s="243"/>
    </row>
    <row r="42" spans="1:21" ht="13.5" customHeight="1">
      <c r="A42" s="251"/>
      <c r="B42" s="306"/>
      <c r="C42" s="251"/>
      <c r="D42" s="103" t="s">
        <v>89</v>
      </c>
      <c r="E42" s="102">
        <f>F42+G42+H42+I42+J42+K42+L42</f>
        <v>0</v>
      </c>
      <c r="F42" s="104">
        <f>F36</f>
        <v>0</v>
      </c>
      <c r="G42" s="104">
        <f aca="true" t="shared" si="9" ref="G42:H44">G36</f>
        <v>0</v>
      </c>
      <c r="H42" s="104">
        <f t="shared" si="9"/>
        <v>0</v>
      </c>
      <c r="I42" s="104">
        <f t="shared" si="8"/>
        <v>0</v>
      </c>
      <c r="J42" s="104">
        <f t="shared" si="8"/>
        <v>0</v>
      </c>
      <c r="K42" s="104">
        <f t="shared" si="8"/>
        <v>0</v>
      </c>
      <c r="L42" s="104">
        <f t="shared" si="8"/>
        <v>0</v>
      </c>
      <c r="M42" s="254"/>
      <c r="N42" s="240"/>
      <c r="O42" s="240"/>
      <c r="P42" s="240"/>
      <c r="Q42" s="240"/>
      <c r="R42" s="240"/>
      <c r="S42" s="240"/>
      <c r="T42" s="240"/>
      <c r="U42" s="243"/>
    </row>
    <row r="43" spans="1:21" ht="13.5" customHeight="1">
      <c r="A43" s="251"/>
      <c r="B43" s="306"/>
      <c r="C43" s="251"/>
      <c r="D43" s="103" t="s">
        <v>90</v>
      </c>
      <c r="E43" s="102">
        <f>F43+G43+H43+I43+J43+K43+L43</f>
        <v>0</v>
      </c>
      <c r="F43" s="104">
        <f>F37</f>
        <v>0</v>
      </c>
      <c r="G43" s="104">
        <f t="shared" si="9"/>
        <v>0</v>
      </c>
      <c r="H43" s="104">
        <f t="shared" si="9"/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254"/>
      <c r="N43" s="240"/>
      <c r="O43" s="240"/>
      <c r="P43" s="240"/>
      <c r="Q43" s="240"/>
      <c r="R43" s="240"/>
      <c r="S43" s="240"/>
      <c r="T43" s="240"/>
      <c r="U43" s="243"/>
    </row>
    <row r="44" spans="1:21" ht="13.5" customHeight="1">
      <c r="A44" s="251"/>
      <c r="B44" s="307"/>
      <c r="C44" s="251"/>
      <c r="D44" s="103" t="s">
        <v>92</v>
      </c>
      <c r="E44" s="102">
        <f>F44+G44+H44+I44+J44+K44+L44</f>
        <v>654581.17</v>
      </c>
      <c r="F44" s="104">
        <f>F38</f>
        <v>57000</v>
      </c>
      <c r="G44" s="104">
        <f t="shared" si="9"/>
        <v>0</v>
      </c>
      <c r="H44" s="104">
        <f t="shared" si="9"/>
        <v>0</v>
      </c>
      <c r="I44" s="104">
        <f t="shared" si="8"/>
        <v>147581.17</v>
      </c>
      <c r="J44" s="104">
        <f t="shared" si="8"/>
        <v>150000</v>
      </c>
      <c r="K44" s="104">
        <f t="shared" si="8"/>
        <v>150000</v>
      </c>
      <c r="L44" s="104">
        <f t="shared" si="8"/>
        <v>150000</v>
      </c>
      <c r="M44" s="255"/>
      <c r="N44" s="241"/>
      <c r="O44" s="241"/>
      <c r="P44" s="241"/>
      <c r="Q44" s="241"/>
      <c r="R44" s="241"/>
      <c r="S44" s="241"/>
      <c r="T44" s="241"/>
      <c r="U44" s="244"/>
    </row>
    <row r="48" ht="12.75">
      <c r="G48" s="25"/>
    </row>
  </sheetData>
  <sheetProtection/>
  <mergeCells count="89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2018-09-26T14:29:14Z</cp:lastPrinted>
  <dcterms:created xsi:type="dcterms:W3CDTF">2013-06-06T11:09:14Z</dcterms:created>
  <dcterms:modified xsi:type="dcterms:W3CDTF">2018-11-15T12:35:46Z</dcterms:modified>
  <cp:category/>
  <cp:version/>
  <cp:contentType/>
  <cp:contentStatus/>
</cp:coreProperties>
</file>