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9320" windowHeight="11760" activeTab="0"/>
  </bookViews>
  <sheets>
    <sheet name="Прил 1" sheetId="1" r:id="rId1"/>
    <sheet name="Прил 2" sheetId="2" r:id="rId2"/>
  </sheets>
  <definedNames>
    <definedName name="_xlnm.Print_Area" localSheetId="0">'Прил 1'!$A$1:$X$84</definedName>
  </definedNames>
  <calcPr fullCalcOnLoad="1"/>
</workbook>
</file>

<file path=xl/sharedStrings.xml><?xml version="1.0" encoding="utf-8"?>
<sst xmlns="http://schemas.openxmlformats.org/spreadsheetml/2006/main" count="414" uniqueCount="162">
  <si>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</si>
  <si>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</si>
  <si>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</si>
  <si>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</si>
  <si>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</si>
  <si>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</si>
  <si>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</si>
  <si>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</si>
  <si>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</si>
  <si>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</si>
  <si>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</si>
  <si>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</si>
  <si>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</si>
  <si>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</si>
  <si>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</si>
  <si>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</si>
  <si>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</si>
  <si>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</si>
  <si>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</si>
  <si>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</si>
  <si>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</si>
  <si>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</si>
  <si>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</si>
  <si>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Итого по субъекту:</t>
  </si>
  <si>
    <t>Х</t>
  </si>
  <si>
    <t>Плановый год  начала выполнения работ</t>
  </si>
  <si>
    <t>Плановый год  завершения выполнения работ</t>
  </si>
  <si>
    <t xml:space="preserve">за счет средств областного бюджета </t>
  </si>
  <si>
    <r>
      <t xml:space="preserve">Способ управления МКД </t>
    </r>
    <r>
      <rPr>
        <vertAlign val="superscript"/>
        <sz val="10"/>
        <color indexed="8"/>
        <rFont val="Times New Roman"/>
        <family val="1"/>
      </rPr>
      <t>2</t>
    </r>
  </si>
  <si>
    <r>
      <t xml:space="preserve">Способ формирования фонда капитального ремонта </t>
    </r>
    <r>
      <rPr>
        <vertAlign val="superscript"/>
        <sz val="10"/>
        <color indexed="8"/>
        <rFont val="Times New Roman"/>
        <family val="1"/>
      </rPr>
      <t>1</t>
    </r>
  </si>
  <si>
    <r>
      <t xml:space="preserve">Объекты культурного наследия </t>
    </r>
    <r>
      <rPr>
        <vertAlign val="superscript"/>
        <sz val="10"/>
        <color indexed="8"/>
        <rFont val="Times New Roman"/>
        <family val="1"/>
      </rPr>
      <t>3</t>
    </r>
  </si>
  <si>
    <r>
      <t xml:space="preserve">за счет привлеченных кредитных/заемных средств </t>
    </r>
    <r>
      <rPr>
        <vertAlign val="superscript"/>
        <sz val="10"/>
        <color indexed="8"/>
        <rFont val="Times New Roman"/>
        <family val="1"/>
      </rPr>
      <t>5</t>
    </r>
  </si>
  <si>
    <t>"Форма 1. Адресный перечень многоквартирных домов</t>
  </si>
  <si>
    <r>
      <t xml:space="preserve">за счет средств федерального бюджета </t>
    </r>
    <r>
      <rPr>
        <vertAlign val="superscript"/>
        <sz val="10"/>
        <color indexed="8"/>
        <rFont val="Times New Roman"/>
        <family val="1"/>
      </rPr>
      <t>4</t>
    </r>
  </si>
  <si>
    <r>
      <t xml:space="preserve">       Утверждена приказом                                                                                                                                                   Минэнерго и ЖКХ Мурманской области                                                                                                                                       от </t>
    </r>
    <r>
      <rPr>
        <u val="single"/>
        <sz val="10"/>
        <color indexed="8"/>
        <rFont val="Times New Roman"/>
        <family val="1"/>
      </rPr>
      <t xml:space="preserve">10.08.2017 </t>
    </r>
    <r>
      <rPr>
        <sz val="10"/>
        <color indexed="8"/>
        <rFont val="Times New Roman"/>
        <family val="1"/>
      </rPr>
      <t xml:space="preserve"> №  </t>
    </r>
    <r>
      <rPr>
        <u val="single"/>
        <sz val="10"/>
        <color indexed="8"/>
        <rFont val="Times New Roman"/>
        <family val="1"/>
      </rPr>
      <t>163</t>
    </r>
  </si>
  <si>
    <r>
      <t xml:space="preserve">      Приложение к приказу                                                                                                         Минэнерго и ЖКХ Мурманской области                                                                                                                                       от </t>
    </r>
    <r>
      <rPr>
        <sz val="10"/>
        <color indexed="8"/>
        <rFont val="Times New Roman"/>
        <family val="1"/>
      </rPr>
      <t>10.07.2017 № 133</t>
    </r>
  </si>
  <si>
    <t>"Форма 2. Планируемые виды работ (услуг) по каждому конкретному многоквартирному дому</t>
  </si>
  <si>
    <t>№ п\п</t>
  </si>
  <si>
    <t>Стоимость капитального ремонта ВСЕГО</t>
  </si>
  <si>
    <t>Виды работ, установленные ч.1 ст.166 Жилищного Кодекса РФ</t>
  </si>
  <si>
    <t>Виды работ, установленные нормативным правовым актом субъекта РФ</t>
  </si>
  <si>
    <t>ремонт внутридомовых инженерных систем</t>
  </si>
  <si>
    <t xml:space="preserve">ремонт или замена лифтового оборудования, признанного непригодным для эксплуатации, ремонт лифтовых шахт
</t>
  </si>
  <si>
    <t>ремонт крыши</t>
  </si>
  <si>
    <t xml:space="preserve"> ремонт подвальных помещений, относящихся к общему имуществу в многоквартирном доме
</t>
  </si>
  <si>
    <t>ремонт фасада</t>
  </si>
  <si>
    <t>ремонт фундамента</t>
  </si>
  <si>
    <t>строительный контроль*</t>
  </si>
  <si>
    <t xml:space="preserve">переустройство невентилируемой крыши на вентилируемую крышу, устройство выходов на кровлю
</t>
  </si>
  <si>
    <t xml:space="preserve">утепление фасада
</t>
  </si>
  <si>
    <t xml:space="preserve">энергетическое обследование
</t>
  </si>
  <si>
    <t xml:space="preserve">оценка технического состояния и проектирование капитального ремонта </t>
  </si>
  <si>
    <t>проведение негосударственной экспертизы проектной документации</t>
  </si>
  <si>
    <t>Всего, в том числе:</t>
  </si>
  <si>
    <t>горячего водоснабжения</t>
  </si>
  <si>
    <t>холодного водоснабжения</t>
  </si>
  <si>
    <t>водоотведения</t>
  </si>
  <si>
    <t>теплоснабжения</t>
  </si>
  <si>
    <t>модернизация  теплообменника</t>
  </si>
  <si>
    <t>электроснабженя</t>
  </si>
  <si>
    <t>газоснабжения</t>
  </si>
  <si>
    <t>ед.</t>
  </si>
  <si>
    <t>кв.м.</t>
  </si>
  <si>
    <t>куб.м.</t>
  </si>
  <si>
    <t xml:space="preserve">руб. </t>
  </si>
  <si>
    <t>Итого  по субъекту:</t>
  </si>
  <si>
    <t>* не более 1,5 % от стоимости строительно-монтажных работ".</t>
  </si>
  <si>
    <t>ЗАТО Александровск</t>
  </si>
  <si>
    <t>УК</t>
  </si>
  <si>
    <t>РО</t>
  </si>
  <si>
    <t>крупнопанельные</t>
  </si>
  <si>
    <t>кирпичные</t>
  </si>
  <si>
    <t>крупнопанельный</t>
  </si>
  <si>
    <t>г. Полярный, ул. Видяева, д. 12</t>
  </si>
  <si>
    <t>г. Снежногорск, ул. Октябрьская, д. 13</t>
  </si>
  <si>
    <t>г. Снежногорск, ул. Октябрьская, д. 17</t>
  </si>
  <si>
    <t>г. Полярный, ул. Героев "Тумана", д. 2</t>
  </si>
  <si>
    <t>1986/1987</t>
  </si>
  <si>
    <t>г. Полярный, ул. Душенова, д. 7</t>
  </si>
  <si>
    <t>г. Полярный, ул. Видяева, д. 3</t>
  </si>
  <si>
    <t>г. Полярный, ул. Видяева, д. 5</t>
  </si>
  <si>
    <t>г. Полярный, ул. Красный Горн, 12</t>
  </si>
  <si>
    <t>Итого по МО на 2019 год</t>
  </si>
  <si>
    <t>Итого по МО на 2020 год:</t>
  </si>
  <si>
    <t>г. Полярный, ул. Героев  Североморцев, д. 15</t>
  </si>
  <si>
    <t>г. Полярный, ул. Героев "Тумана", д. 8</t>
  </si>
  <si>
    <t>г. Полярный, ул. Сивко, д. 9</t>
  </si>
  <si>
    <t>г. Полярный, ул. Гагарина, д. 3</t>
  </si>
  <si>
    <t>Итого по МО на 2021 год:</t>
  </si>
  <si>
    <t>г. Полярный, ул. Красный Горн, д. 15</t>
  </si>
  <si>
    <t>г. Полярный, ул. Героев Североморцев, д. 17</t>
  </si>
  <si>
    <t>г. Полярный, ул. Видяева, д. 2</t>
  </si>
  <si>
    <t>г. Полярный, ул. Гаджиева, д. 6</t>
  </si>
  <si>
    <t>г. Полярный, ул. Гагарина, д. 7</t>
  </si>
  <si>
    <t>г. Полярный, ул. Сивко, д. 10</t>
  </si>
  <si>
    <t>г. Полярный, ул. Гагарина, д. 5</t>
  </si>
  <si>
    <t>1993/1996</t>
  </si>
  <si>
    <t>9</t>
  </si>
  <si>
    <t>1</t>
  </si>
  <si>
    <t>крупнопанельные+кирпичные</t>
  </si>
  <si>
    <t>1971, 74, 76</t>
  </si>
  <si>
    <t>г. Снежногорск, ул. Октябрьская, д. 32</t>
  </si>
  <si>
    <t>г. Снежногорск, ул. Октябрьская, д. 28</t>
  </si>
  <si>
    <t>г. Снежногорск, ул. Октябрьская, д. 18</t>
  </si>
  <si>
    <t>г. Снежногорск, ул. Октябрьская, д. 11</t>
  </si>
  <si>
    <t>г. Снежногорск, ул. Флотская, д. 1</t>
  </si>
  <si>
    <t>1983-1987</t>
  </si>
  <si>
    <t>1981-1983</t>
  </si>
  <si>
    <t>н. п. Оленья Губа, ул. Строителей, д. 27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</si>
  <si>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</si>
  <si>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г. Гаджиево, ул. Мира, д. 81</t>
  </si>
  <si>
    <t>керамзито-бетон</t>
  </si>
  <si>
    <t>г. Гаджиево,ул. Душенова, д. 97</t>
  </si>
  <si>
    <t>г. Гаджиево, ул. Колышкина, д. 113</t>
  </si>
  <si>
    <t>г. Гаджиево, наб. Сергея Преминина, д. 122</t>
  </si>
  <si>
    <t>г. Гаджиево, наб. Сергея Преминина, д. 121</t>
  </si>
  <si>
    <t>г. Гаджиево, ул. Душенова, д. 91</t>
  </si>
  <si>
    <t xml:space="preserve">Итого по МО </t>
  </si>
  <si>
    <t>ИТОГО на 2019 год</t>
  </si>
  <si>
    <t>г. Снежногорск, ул. Флотская, д. 3</t>
  </si>
  <si>
    <t>г. Снежногорск, ул. П. Стеблина, д. 14</t>
  </si>
  <si>
    <t>г. Снежногорск, ул. П. Стебдина, д. 21</t>
  </si>
  <si>
    <t>г. Снежногорск, ул. Мира, д. 10</t>
  </si>
  <si>
    <t>г. Снежногорск, у. Победы, д. 2</t>
  </si>
  <si>
    <t>г. Снежногорск, у. Победы, д. 3</t>
  </si>
  <si>
    <t>н. п. Оленья Губа, ул. Строителей, д. 33</t>
  </si>
  <si>
    <t>н. п. Оленья Губа, ул. Строителей, д. 37</t>
  </si>
  <si>
    <t>н. п. Оленья Губа, ул. Строителей, д. 36</t>
  </si>
  <si>
    <t>г. Гаджиево, наб. Сергея Преминина, д. 108</t>
  </si>
  <si>
    <t>г. Гаджиево, ул. Гаджиева, д. 42</t>
  </si>
  <si>
    <t>г. Гаджиево, ул. Душенова, д. 97</t>
  </si>
  <si>
    <t>г. Гаджиево, ул. Душенова, д. 89</t>
  </si>
  <si>
    <t>г. Гаджиево, ул. Советская, д. 64</t>
  </si>
  <si>
    <t>г. Гаджиево, ул. Гаджиева, д. 40</t>
  </si>
  <si>
    <t>г. Гаджиево, ул. Гаджиева, д. 41</t>
  </si>
  <si>
    <t>г. Снежногорск, ул. П. Стеблина, д. 20</t>
  </si>
  <si>
    <t>г. Снежногорск, ул. П. Стеблина, д. 6</t>
  </si>
  <si>
    <t xml:space="preserve">г. Снежногорск, ул. Флотская, д. 13 </t>
  </si>
  <si>
    <t>г. Снежногорск, ул. Флотская, д. 7</t>
  </si>
  <si>
    <t>г. Снежногорск, ул. Флотская, д. 8</t>
  </si>
  <si>
    <t>г. Снежногорск, ул. Бирюкова, д. 17</t>
  </si>
  <si>
    <t>г. Снежногоск, ул. П. Стеблина, д. 18</t>
  </si>
  <si>
    <t>г. Снежногорск, ул. Октябрьская, д. 7</t>
  </si>
  <si>
    <t>н. п. Оленья Губа, ул. Строителей, д. 29</t>
  </si>
  <si>
    <t>г. Полярный, ул. Красный Горн, д. 20</t>
  </si>
  <si>
    <t>г. Полярный, ул. Гаджиева, д. 2</t>
  </si>
  <si>
    <t>г. Полярный, ул. Лунина. Д. 10</t>
  </si>
  <si>
    <t>г. Полярный, ул. Гандюхина, д. 12</t>
  </si>
  <si>
    <t>г. Полярный, ул. Гандюхина, д. 6</t>
  </si>
  <si>
    <t>г. Полярный, ул Героев Североморцев, д. 14</t>
  </si>
  <si>
    <t>г. Гаджиево, ул. Душенова, д 105</t>
  </si>
  <si>
    <t>г. Гаджиево, ул. Душенова, д 104</t>
  </si>
  <si>
    <t>г. Гаджиево, ул. Мира, д. 71</t>
  </si>
  <si>
    <t>г. Гаджиево, ул. Мира, д. 72</t>
  </si>
  <si>
    <t>г. Гаджиево, ул. Мира, д. 83</t>
  </si>
  <si>
    <t>г. Гаджиево, ул. Гаджиева, д. 44</t>
  </si>
  <si>
    <t>г. Гаджиево, ул. Гаджиева, д. 61</t>
  </si>
  <si>
    <t>керамзито-бетонные</t>
  </si>
  <si>
    <t>1976-1977</t>
  </si>
  <si>
    <t>1987-1988</t>
  </si>
  <si>
    <t>ИТОГО 2020 год</t>
  </si>
  <si>
    <t>ИТОГО 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</si>
</sst>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_р_._-;\-* #,##0_р_._-;_-* &quot;-&quot;??_р_._-;_-@_-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Border="0" applyProtection="0">
      <alignment horizontal="left" vertical="center" wrapText="1"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11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 vertical="center" textRotation="90" wrapText="1"/>
    </xf>
    <xf numFmtId="0" fontId="47" fillId="0" borderId="12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73" fontId="48" fillId="0" borderId="10" xfId="61" applyNumberFormat="1" applyFont="1" applyFill="1" applyBorder="1" applyAlignment="1">
      <alignment/>
    </xf>
    <xf numFmtId="173" fontId="5" fillId="0" borderId="10" xfId="61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1" fontId="2" fillId="0" borderId="10" xfId="0" applyNumberFormat="1" applyFont="1" applyFill="1" applyBorder="1" applyAlignment="1">
      <alignment horizontal="center" vertical="center"/>
    </xf>
    <xf numFmtId="171" fontId="2" fillId="0" borderId="10" xfId="61" applyFont="1" applyFill="1" applyBorder="1" applyAlignment="1">
      <alignment horizontal="center" vertical="center"/>
    </xf>
    <xf numFmtId="3" fontId="2" fillId="0" borderId="10" xfId="61" applyNumberFormat="1" applyFont="1" applyFill="1" applyBorder="1" applyAlignment="1">
      <alignment horizontal="center" vertical="center"/>
    </xf>
    <xf numFmtId="172" fontId="2" fillId="0" borderId="10" xfId="61" applyNumberFormat="1" applyFont="1" applyFill="1" applyBorder="1" applyAlignment="1">
      <alignment horizontal="center" vertical="center"/>
    </xf>
    <xf numFmtId="171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171" fontId="7" fillId="0" borderId="10" xfId="6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171" fontId="47" fillId="0" borderId="10" xfId="61" applyFont="1" applyFill="1" applyBorder="1" applyAlignment="1">
      <alignment horizontal="center" vertical="center"/>
    </xf>
    <xf numFmtId="173" fontId="47" fillId="0" borderId="0" xfId="61" applyNumberFormat="1" applyFont="1" applyAlignment="1">
      <alignment/>
    </xf>
    <xf numFmtId="173" fontId="47" fillId="0" borderId="10" xfId="61" applyNumberFormat="1" applyFont="1" applyFill="1" applyBorder="1" applyAlignment="1">
      <alignment horizontal="center" vertical="center" wrapText="1"/>
    </xf>
    <xf numFmtId="173" fontId="47" fillId="0" borderId="10" xfId="61" applyNumberFormat="1" applyFont="1" applyFill="1" applyBorder="1" applyAlignment="1">
      <alignment horizontal="center" vertical="center"/>
    </xf>
    <xf numFmtId="173" fontId="0" fillId="0" borderId="10" xfId="61" applyNumberFormat="1" applyFont="1" applyFill="1" applyBorder="1" applyAlignment="1">
      <alignment/>
    </xf>
    <xf numFmtId="0" fontId="47" fillId="0" borderId="12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173" fontId="49" fillId="0" borderId="10" xfId="61" applyNumberFormat="1" applyFont="1" applyFill="1" applyBorder="1" applyAlignment="1">
      <alignment horizontal="center" vertical="center"/>
    </xf>
    <xf numFmtId="171" fontId="49" fillId="0" borderId="10" xfId="61" applyFont="1" applyFill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0" fontId="50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173" fontId="37" fillId="0" borderId="10" xfId="61" applyNumberFormat="1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47" fillId="0" borderId="12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0" fillId="0" borderId="10" xfId="61" applyNumberFormat="1" applyFont="1" applyFill="1" applyBorder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175" fontId="0" fillId="0" borderId="10" xfId="0" applyNumberFormat="1" applyFill="1" applyBorder="1" applyAlignment="1">
      <alignment/>
    </xf>
    <xf numFmtId="0" fontId="47" fillId="0" borderId="11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1" fontId="7" fillId="0" borderId="0" xfId="0" applyNumberFormat="1" applyFont="1" applyFill="1" applyBorder="1" applyAlignment="1">
      <alignment horizontal="center" vertical="center"/>
    </xf>
    <xf numFmtId="171" fontId="7" fillId="0" borderId="0" xfId="61" applyFont="1" applyFill="1" applyBorder="1" applyAlignment="1">
      <alignment horizontal="center" vertical="center"/>
    </xf>
    <xf numFmtId="3" fontId="7" fillId="0" borderId="0" xfId="61" applyNumberFormat="1" applyFont="1" applyFill="1" applyBorder="1" applyAlignment="1">
      <alignment horizontal="center" vertical="center"/>
    </xf>
    <xf numFmtId="172" fontId="7" fillId="0" borderId="0" xfId="61" applyNumberFormat="1" applyFont="1" applyFill="1" applyBorder="1" applyAlignment="1">
      <alignment horizontal="center" vertical="center"/>
    </xf>
    <xf numFmtId="171" fontId="37" fillId="0" borderId="10" xfId="61" applyFont="1" applyFill="1" applyBorder="1" applyAlignment="1">
      <alignment/>
    </xf>
    <xf numFmtId="0" fontId="47" fillId="0" borderId="14" xfId="0" applyFont="1" applyFill="1" applyBorder="1" applyAlignment="1">
      <alignment horizontal="center" vertical="center" textRotation="90" wrapText="1"/>
    </xf>
    <xf numFmtId="0" fontId="47" fillId="0" borderId="15" xfId="0" applyFont="1" applyFill="1" applyBorder="1" applyAlignment="1">
      <alignment horizontal="center" vertical="center" textRotation="90" wrapText="1"/>
    </xf>
    <xf numFmtId="0" fontId="47" fillId="0" borderId="16" xfId="0" applyFont="1" applyFill="1" applyBorder="1" applyAlignment="1">
      <alignment horizontal="center" vertical="center" textRotation="90" wrapText="1"/>
    </xf>
    <xf numFmtId="173" fontId="47" fillId="0" borderId="14" xfId="61" applyNumberFormat="1" applyFont="1" applyFill="1" applyBorder="1" applyAlignment="1">
      <alignment horizontal="center" vertical="center" textRotation="90" wrapText="1"/>
    </xf>
    <xf numFmtId="173" fontId="47" fillId="0" borderId="15" xfId="61" applyNumberFormat="1" applyFont="1" applyFill="1" applyBorder="1" applyAlignment="1">
      <alignment horizontal="center" vertical="center" textRotation="90" wrapText="1"/>
    </xf>
    <xf numFmtId="173" fontId="47" fillId="0" borderId="16" xfId="61" applyNumberFormat="1" applyFont="1" applyFill="1" applyBorder="1" applyAlignment="1">
      <alignment horizontal="center" vertical="center" textRotation="90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textRotation="90" wrapText="1"/>
    </xf>
    <xf numFmtId="0" fontId="49" fillId="0" borderId="13" xfId="0" applyFont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47" fillId="0" borderId="0" xfId="0" applyFont="1" applyAlignment="1">
      <alignment horizontal="right" vertical="top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textRotation="90"/>
    </xf>
    <xf numFmtId="0" fontId="47" fillId="0" borderId="15" xfId="0" applyFont="1" applyFill="1" applyBorder="1" applyAlignment="1">
      <alignment horizontal="center" vertical="center" textRotation="90"/>
    </xf>
    <xf numFmtId="0" fontId="47" fillId="0" borderId="16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left"/>
    </xf>
    <xf numFmtId="0" fontId="2" fillId="0" borderId="10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2" fillId="0" borderId="0" xfId="0" applyFont="1" applyFill="1" applyAlignment="1">
      <alignment horizontal="right" vertical="top" wrapText="1"/>
    </xf>
    <xf numFmtId="0" fontId="7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аткосрочный план 201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tabSelected="1" view="pageBreakPreview" zoomScale="110" zoomScaleSheetLayoutView="110" zoomScalePageLayoutView="0" workbookViewId="0" topLeftCell="A3">
      <pane xSplit="2" ySplit="5" topLeftCell="C8" activePane="bottomRight" state="frozen"/>
      <selection pane="topLeft" activeCell="A3" sqref="A3"/>
      <selection pane="topRight" activeCell="C3" sqref="C3"/>
      <selection pane="bottomLeft" activeCell="A8" sqref="A8"/>
      <selection pane="bottomRight" activeCell="O76" sqref="O76"/>
    </sheetView>
  </sheetViews>
  <sheetFormatPr defaultColWidth="9.140625" defaultRowHeight="15"/>
  <cols>
    <col min="1" max="1" width="3.57421875" style="3" customWidth="1"/>
    <col min="2" max="2" width="39.140625" style="3" customWidth="1"/>
    <col min="3" max="4" width="5.421875" style="3" customWidth="1"/>
    <col min="5" max="5" width="4.8515625" style="3" customWidth="1"/>
    <col min="6" max="6" width="9.57421875" style="3" customWidth="1"/>
    <col min="7" max="7" width="6.00390625" style="3" customWidth="1"/>
    <col min="8" max="8" width="15.7109375" style="3" customWidth="1"/>
    <col min="9" max="9" width="4.7109375" style="3" customWidth="1"/>
    <col min="10" max="10" width="4.57421875" style="3" customWidth="1"/>
    <col min="11" max="11" width="13.28125" style="37" customWidth="1"/>
    <col min="12" max="12" width="11.8515625" style="3" customWidth="1"/>
    <col min="13" max="13" width="12.00390625" style="3" customWidth="1"/>
    <col min="14" max="14" width="10.140625" style="3" customWidth="1"/>
    <col min="15" max="15" width="15.7109375" style="3" customWidth="1"/>
    <col min="16" max="16" width="6.421875" style="3" customWidth="1"/>
    <col min="17" max="17" width="7.57421875" style="3" customWidth="1"/>
    <col min="18" max="18" width="7.28125" style="3" customWidth="1"/>
    <col min="19" max="19" width="16.140625" style="3" customWidth="1"/>
    <col min="20" max="20" width="8.140625" style="3" customWidth="1"/>
    <col min="21" max="21" width="13.00390625" style="3" customWidth="1"/>
    <col min="22" max="22" width="9.28125" style="3" customWidth="1"/>
    <col min="23" max="23" width="5.00390625" style="3" customWidth="1"/>
    <col min="24" max="24" width="4.421875" style="3" customWidth="1"/>
    <col min="25" max="16384" width="9.140625" style="3" customWidth="1"/>
  </cols>
  <sheetData>
    <row r="1" spans="12:23" ht="45" customHeight="1">
      <c r="L1" s="92" t="s">
        <v>34</v>
      </c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4" ht="21" customHeight="1">
      <c r="A2" s="86" t="s">
        <v>32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4" ht="30" customHeight="1">
      <c r="A3" s="93" t="s">
        <v>0</v>
      </c>
      <c r="B3" s="93" t="s">
        <v>1</v>
      </c>
      <c r="C3" s="77" t="s">
        <v>29</v>
      </c>
      <c r="D3" s="77" t="s">
        <v>28</v>
      </c>
      <c r="E3" s="77" t="s">
        <v>30</v>
      </c>
      <c r="F3" s="96" t="s">
        <v>2</v>
      </c>
      <c r="G3" s="97"/>
      <c r="H3" s="98" t="s">
        <v>3</v>
      </c>
      <c r="I3" s="98" t="s">
        <v>4</v>
      </c>
      <c r="J3" s="98" t="s">
        <v>5</v>
      </c>
      <c r="K3" s="80" t="s">
        <v>6</v>
      </c>
      <c r="L3" s="83" t="s">
        <v>7</v>
      </c>
      <c r="M3" s="84"/>
      <c r="N3" s="77" t="s">
        <v>8</v>
      </c>
      <c r="O3" s="87" t="s">
        <v>9</v>
      </c>
      <c r="P3" s="87"/>
      <c r="Q3" s="87"/>
      <c r="R3" s="87"/>
      <c r="S3" s="87"/>
      <c r="T3" s="87"/>
      <c r="U3" s="77" t="s">
        <v>10</v>
      </c>
      <c r="V3" s="77" t="s">
        <v>11</v>
      </c>
      <c r="W3" s="77" t="s">
        <v>25</v>
      </c>
      <c r="X3" s="85" t="s">
        <v>26</v>
      </c>
    </row>
    <row r="4" spans="1:24" ht="15" customHeight="1">
      <c r="A4" s="94"/>
      <c r="B4" s="94"/>
      <c r="C4" s="78"/>
      <c r="D4" s="78"/>
      <c r="E4" s="78"/>
      <c r="F4" s="77" t="s">
        <v>12</v>
      </c>
      <c r="G4" s="77" t="s">
        <v>13</v>
      </c>
      <c r="H4" s="99"/>
      <c r="I4" s="99"/>
      <c r="J4" s="99"/>
      <c r="K4" s="81"/>
      <c r="L4" s="77" t="s">
        <v>14</v>
      </c>
      <c r="M4" s="77" t="s">
        <v>15</v>
      </c>
      <c r="N4" s="78"/>
      <c r="O4" s="85" t="s">
        <v>14</v>
      </c>
      <c r="P4" s="87" t="s">
        <v>16</v>
      </c>
      <c r="Q4" s="87"/>
      <c r="R4" s="87"/>
      <c r="S4" s="87"/>
      <c r="T4" s="87"/>
      <c r="U4" s="78"/>
      <c r="V4" s="78"/>
      <c r="W4" s="78"/>
      <c r="X4" s="85"/>
    </row>
    <row r="5" spans="1:24" ht="171" customHeight="1">
      <c r="A5" s="94"/>
      <c r="B5" s="94"/>
      <c r="C5" s="78"/>
      <c r="D5" s="78"/>
      <c r="E5" s="78"/>
      <c r="F5" s="78"/>
      <c r="G5" s="78"/>
      <c r="H5" s="99"/>
      <c r="I5" s="99"/>
      <c r="J5" s="99"/>
      <c r="K5" s="82"/>
      <c r="L5" s="79"/>
      <c r="M5" s="79"/>
      <c r="N5" s="79"/>
      <c r="O5" s="85"/>
      <c r="P5" s="8" t="s">
        <v>33</v>
      </c>
      <c r="Q5" s="8" t="s">
        <v>27</v>
      </c>
      <c r="R5" s="8" t="s">
        <v>17</v>
      </c>
      <c r="S5" s="8" t="s">
        <v>18</v>
      </c>
      <c r="T5" s="8" t="s">
        <v>31</v>
      </c>
      <c r="U5" s="79"/>
      <c r="V5" s="79"/>
      <c r="W5" s="78"/>
      <c r="X5" s="85"/>
    </row>
    <row r="6" spans="1:24" ht="48" customHeight="1">
      <c r="A6" s="95"/>
      <c r="B6" s="95"/>
      <c r="C6" s="79"/>
      <c r="D6" s="79"/>
      <c r="E6" s="79"/>
      <c r="F6" s="79"/>
      <c r="G6" s="79"/>
      <c r="H6" s="100"/>
      <c r="I6" s="100"/>
      <c r="J6" s="100"/>
      <c r="K6" s="38" t="s">
        <v>19</v>
      </c>
      <c r="L6" s="1" t="s">
        <v>19</v>
      </c>
      <c r="M6" s="1" t="s">
        <v>19</v>
      </c>
      <c r="N6" s="1" t="s">
        <v>20</v>
      </c>
      <c r="O6" s="1" t="s">
        <v>21</v>
      </c>
      <c r="P6" s="1" t="s">
        <v>21</v>
      </c>
      <c r="Q6" s="1" t="s">
        <v>21</v>
      </c>
      <c r="R6" s="1" t="s">
        <v>21</v>
      </c>
      <c r="S6" s="1" t="s">
        <v>21</v>
      </c>
      <c r="T6" s="1" t="s">
        <v>21</v>
      </c>
      <c r="U6" s="1" t="s">
        <v>22</v>
      </c>
      <c r="V6" s="1" t="s">
        <v>22</v>
      </c>
      <c r="W6" s="79"/>
      <c r="X6" s="85"/>
    </row>
    <row r="7" spans="1:24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39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  <c r="U7" s="2">
        <v>21</v>
      </c>
      <c r="V7" s="2">
        <v>22</v>
      </c>
      <c r="W7" s="2">
        <v>23</v>
      </c>
      <c r="X7" s="7">
        <v>24</v>
      </c>
    </row>
    <row r="8" spans="1:24" ht="12.75">
      <c r="A8" s="88" t="s">
        <v>23</v>
      </c>
      <c r="B8" s="89"/>
      <c r="C8" s="5" t="s">
        <v>24</v>
      </c>
      <c r="D8" s="5" t="s">
        <v>24</v>
      </c>
      <c r="E8" s="5" t="s">
        <v>24</v>
      </c>
      <c r="F8" s="2" t="s">
        <v>24</v>
      </c>
      <c r="G8" s="2" t="s">
        <v>24</v>
      </c>
      <c r="H8" s="2" t="s">
        <v>24</v>
      </c>
      <c r="I8" s="2" t="s">
        <v>24</v>
      </c>
      <c r="J8" s="2" t="s">
        <v>24</v>
      </c>
      <c r="K8" s="3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6"/>
    </row>
    <row r="9" spans="1:24" ht="12.75">
      <c r="A9" s="88" t="s">
        <v>67</v>
      </c>
      <c r="B9" s="89"/>
      <c r="C9" s="4"/>
      <c r="D9" s="4"/>
      <c r="E9" s="4"/>
      <c r="F9" s="2"/>
      <c r="G9" s="2"/>
      <c r="H9" s="2"/>
      <c r="I9" s="2"/>
      <c r="J9" s="2"/>
      <c r="K9" s="3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6"/>
    </row>
    <row r="10" spans="1:24" s="49" customFormat="1" ht="12.75">
      <c r="A10" s="90" t="s">
        <v>82</v>
      </c>
      <c r="B10" s="91"/>
      <c r="C10" s="44"/>
      <c r="D10" s="44"/>
      <c r="E10" s="44"/>
      <c r="F10" s="45"/>
      <c r="G10" s="45"/>
      <c r="H10" s="45"/>
      <c r="I10" s="45"/>
      <c r="J10" s="45"/>
      <c r="K10" s="46">
        <f aca="true" t="shared" si="0" ref="K10:U10">SUM(K11:K32)</f>
        <v>106258.00000000001</v>
      </c>
      <c r="L10" s="46">
        <f t="shared" si="0"/>
        <v>94965.99999999999</v>
      </c>
      <c r="M10" s="46">
        <f t="shared" si="0"/>
        <v>38236.92300000001</v>
      </c>
      <c r="N10" s="46">
        <f t="shared" si="0"/>
        <v>4071.1</v>
      </c>
      <c r="O10" s="46">
        <f t="shared" si="0"/>
        <v>57825559.39999999</v>
      </c>
      <c r="P10" s="46">
        <f t="shared" si="0"/>
        <v>0</v>
      </c>
      <c r="Q10" s="46">
        <f t="shared" si="0"/>
        <v>0</v>
      </c>
      <c r="R10" s="46">
        <f t="shared" si="0"/>
        <v>0</v>
      </c>
      <c r="S10" s="46">
        <f t="shared" si="0"/>
        <v>57825559.39999999</v>
      </c>
      <c r="T10" s="46">
        <f t="shared" si="0"/>
        <v>0</v>
      </c>
      <c r="U10" s="46">
        <f t="shared" si="0"/>
        <v>15828.55514793764</v>
      </c>
      <c r="V10" s="47"/>
      <c r="W10" s="45"/>
      <c r="X10" s="48"/>
    </row>
    <row r="11" spans="1:24" ht="25.5">
      <c r="A11" s="9">
        <v>1</v>
      </c>
      <c r="B11" s="50" t="s">
        <v>101</v>
      </c>
      <c r="C11" s="10" t="s">
        <v>69</v>
      </c>
      <c r="D11" s="10" t="s">
        <v>68</v>
      </c>
      <c r="E11" s="10"/>
      <c r="F11" s="2">
        <v>1983</v>
      </c>
      <c r="G11" s="2"/>
      <c r="H11" s="13" t="s">
        <v>99</v>
      </c>
      <c r="I11" s="2">
        <v>5</v>
      </c>
      <c r="J11" s="2">
        <v>9</v>
      </c>
      <c r="K11" s="15">
        <v>10725.7</v>
      </c>
      <c r="L11" s="15">
        <v>9574.7</v>
      </c>
      <c r="M11" s="16">
        <v>6574.25</v>
      </c>
      <c r="N11" s="17">
        <v>338</v>
      </c>
      <c r="O11" s="36">
        <f>SUM(P11:T11)</f>
        <v>4821000.000000001</v>
      </c>
      <c r="P11" s="36"/>
      <c r="Q11" s="36"/>
      <c r="R11" s="36"/>
      <c r="S11" s="36">
        <f>'Прил 2'!C10</f>
        <v>4821000.000000001</v>
      </c>
      <c r="T11" s="36"/>
      <c r="U11" s="36">
        <f>O11/L11</f>
        <v>503.51447042727193</v>
      </c>
      <c r="V11" s="36"/>
      <c r="W11" s="2">
        <v>2019</v>
      </c>
      <c r="X11" s="6">
        <v>2019</v>
      </c>
    </row>
    <row r="12" spans="1:24" ht="25.5">
      <c r="A12" s="18">
        <v>2</v>
      </c>
      <c r="B12" s="50" t="s">
        <v>102</v>
      </c>
      <c r="C12" s="43" t="s">
        <v>69</v>
      </c>
      <c r="D12" s="43" t="s">
        <v>68</v>
      </c>
      <c r="E12" s="10"/>
      <c r="F12" s="11" t="s">
        <v>106</v>
      </c>
      <c r="G12" s="2"/>
      <c r="H12" s="13" t="s">
        <v>99</v>
      </c>
      <c r="I12" s="14">
        <v>5</v>
      </c>
      <c r="J12" s="14">
        <v>10</v>
      </c>
      <c r="K12" s="39">
        <v>9738</v>
      </c>
      <c r="L12" s="2">
        <v>8738.8</v>
      </c>
      <c r="M12" s="2">
        <v>5825.4</v>
      </c>
      <c r="N12" s="2">
        <v>360</v>
      </c>
      <c r="O12" s="36">
        <f>SUM(P12:T12)</f>
        <v>9295000</v>
      </c>
      <c r="P12" s="36"/>
      <c r="Q12" s="36"/>
      <c r="R12" s="36"/>
      <c r="S12" s="36">
        <f>'Прил 2'!C11</f>
        <v>9295000</v>
      </c>
      <c r="T12" s="36"/>
      <c r="U12" s="36">
        <f>O12/L12</f>
        <v>1063.6471826795441</v>
      </c>
      <c r="V12" s="36"/>
      <c r="W12" s="2">
        <v>2019</v>
      </c>
      <c r="X12" s="6">
        <v>2019</v>
      </c>
    </row>
    <row r="13" spans="1:24" ht="12.75">
      <c r="A13" s="18">
        <v>3</v>
      </c>
      <c r="B13" s="50" t="s">
        <v>103</v>
      </c>
      <c r="C13" s="43" t="s">
        <v>69</v>
      </c>
      <c r="D13" s="43" t="s">
        <v>68</v>
      </c>
      <c r="E13" s="10"/>
      <c r="F13" s="11" t="s">
        <v>107</v>
      </c>
      <c r="G13" s="2"/>
      <c r="H13" s="13" t="s">
        <v>70</v>
      </c>
      <c r="I13" s="14">
        <v>5</v>
      </c>
      <c r="J13" s="14">
        <v>3</v>
      </c>
      <c r="K13" s="39">
        <v>2425.9</v>
      </c>
      <c r="L13" s="2">
        <v>2153.3</v>
      </c>
      <c r="M13" s="2">
        <v>1435.6</v>
      </c>
      <c r="N13" s="2">
        <v>72</v>
      </c>
      <c r="O13" s="36">
        <f aca="true" t="shared" si="1" ref="O13:O32">SUM(P13:T13)</f>
        <v>455000.00000000006</v>
      </c>
      <c r="P13" s="36"/>
      <c r="Q13" s="36"/>
      <c r="R13" s="36"/>
      <c r="S13" s="36">
        <f>'Прил 2'!C12</f>
        <v>455000.00000000006</v>
      </c>
      <c r="T13" s="36"/>
      <c r="U13" s="36">
        <f aca="true" t="shared" si="2" ref="U13:U32">O13/L13</f>
        <v>211.30358055078253</v>
      </c>
      <c r="V13" s="36"/>
      <c r="W13" s="2">
        <v>2019</v>
      </c>
      <c r="X13" s="6">
        <v>2019</v>
      </c>
    </row>
    <row r="14" spans="1:24" ht="12.75">
      <c r="A14" s="18">
        <v>4</v>
      </c>
      <c r="B14" s="50" t="s">
        <v>104</v>
      </c>
      <c r="C14" s="43" t="s">
        <v>69</v>
      </c>
      <c r="D14" s="43" t="s">
        <v>68</v>
      </c>
      <c r="E14" s="10"/>
      <c r="F14" s="11">
        <v>1987</v>
      </c>
      <c r="G14" s="2"/>
      <c r="H14" s="13" t="s">
        <v>70</v>
      </c>
      <c r="I14" s="14">
        <v>9</v>
      </c>
      <c r="J14" s="14">
        <v>2</v>
      </c>
      <c r="K14" s="39">
        <v>3879.7</v>
      </c>
      <c r="L14" s="2">
        <v>3352.9</v>
      </c>
      <c r="M14" s="2">
        <v>22.353</v>
      </c>
      <c r="N14" s="2">
        <v>151</v>
      </c>
      <c r="O14" s="36">
        <f t="shared" si="1"/>
        <v>578000</v>
      </c>
      <c r="P14" s="36"/>
      <c r="Q14" s="36"/>
      <c r="R14" s="36"/>
      <c r="S14" s="36">
        <f>'Прил 2'!C13</f>
        <v>578000</v>
      </c>
      <c r="T14" s="36"/>
      <c r="U14" s="36">
        <f t="shared" si="2"/>
        <v>172.38808195890124</v>
      </c>
      <c r="V14" s="36"/>
      <c r="W14" s="2">
        <v>2019</v>
      </c>
      <c r="X14" s="6">
        <v>2019</v>
      </c>
    </row>
    <row r="15" spans="1:24" ht="12.75">
      <c r="A15" s="18">
        <v>5</v>
      </c>
      <c r="B15" s="11" t="s">
        <v>105</v>
      </c>
      <c r="C15" s="10" t="s">
        <v>69</v>
      </c>
      <c r="D15" s="10" t="s">
        <v>68</v>
      </c>
      <c r="E15" s="10"/>
      <c r="F15" s="11">
        <v>1974</v>
      </c>
      <c r="G15" s="2"/>
      <c r="H15" s="13" t="s">
        <v>71</v>
      </c>
      <c r="I15" s="14">
        <v>5</v>
      </c>
      <c r="J15" s="14">
        <v>2</v>
      </c>
      <c r="K15" s="39">
        <v>1933.9</v>
      </c>
      <c r="L15" s="2">
        <v>1718.2</v>
      </c>
      <c r="M15" s="2">
        <v>1145.5</v>
      </c>
      <c r="N15" s="2">
        <v>81</v>
      </c>
      <c r="O15" s="36">
        <f t="shared" si="1"/>
        <v>1814676.9300000004</v>
      </c>
      <c r="P15" s="36"/>
      <c r="Q15" s="36"/>
      <c r="R15" s="36"/>
      <c r="S15" s="36">
        <f>'Прил 2'!C14</f>
        <v>1814676.9300000004</v>
      </c>
      <c r="T15" s="36"/>
      <c r="U15" s="36">
        <f t="shared" si="2"/>
        <v>1056.1500000000003</v>
      </c>
      <c r="V15" s="36"/>
      <c r="W15" s="2">
        <v>2019</v>
      </c>
      <c r="X15" s="6">
        <v>2019</v>
      </c>
    </row>
    <row r="16" spans="1:24" ht="15">
      <c r="A16" s="18">
        <v>6</v>
      </c>
      <c r="B16" s="11" t="s">
        <v>74</v>
      </c>
      <c r="C16" s="43" t="s">
        <v>69</v>
      </c>
      <c r="D16" s="43" t="s">
        <v>68</v>
      </c>
      <c r="E16" s="43"/>
      <c r="F16" s="11">
        <v>1986</v>
      </c>
      <c r="G16" s="2"/>
      <c r="H16" s="13" t="s">
        <v>70</v>
      </c>
      <c r="I16" s="14">
        <v>9</v>
      </c>
      <c r="J16" s="14">
        <v>4</v>
      </c>
      <c r="K16" s="40">
        <v>7735.7</v>
      </c>
      <c r="L16" s="12">
        <f>SUM(M16:N16)</f>
        <v>6737.900000000001</v>
      </c>
      <c r="M16" s="12">
        <v>6603.8</v>
      </c>
      <c r="N16" s="12">
        <v>134.1</v>
      </c>
      <c r="O16" s="36">
        <f t="shared" si="1"/>
        <v>5923713.235000001</v>
      </c>
      <c r="P16" s="36"/>
      <c r="Q16" s="36"/>
      <c r="R16" s="36"/>
      <c r="S16" s="36">
        <f>'Прил 2'!C15</f>
        <v>5923713.235000001</v>
      </c>
      <c r="T16" s="36"/>
      <c r="U16" s="36">
        <f t="shared" si="2"/>
        <v>879.1631272354889</v>
      </c>
      <c r="V16" s="36"/>
      <c r="W16" s="2">
        <v>2018</v>
      </c>
      <c r="X16" s="6">
        <v>2019</v>
      </c>
    </row>
    <row r="17" spans="1:24" ht="15">
      <c r="A17" s="18">
        <v>8</v>
      </c>
      <c r="B17" s="11" t="s">
        <v>108</v>
      </c>
      <c r="C17" s="10" t="s">
        <v>69</v>
      </c>
      <c r="D17" s="10" t="s">
        <v>68</v>
      </c>
      <c r="E17" s="10"/>
      <c r="F17" s="11">
        <v>1960</v>
      </c>
      <c r="G17" s="2"/>
      <c r="H17" s="13" t="s">
        <v>71</v>
      </c>
      <c r="I17" s="14">
        <v>5</v>
      </c>
      <c r="J17" s="14">
        <v>2</v>
      </c>
      <c r="K17" s="40">
        <v>1388.9</v>
      </c>
      <c r="L17" s="12">
        <v>1294.2</v>
      </c>
      <c r="M17" s="12"/>
      <c r="N17" s="12">
        <v>54</v>
      </c>
      <c r="O17" s="36">
        <f t="shared" si="1"/>
        <v>3568911.8000000003</v>
      </c>
      <c r="P17" s="36"/>
      <c r="Q17" s="36"/>
      <c r="R17" s="36"/>
      <c r="S17" s="36">
        <f>'Прил 2'!C16</f>
        <v>3568911.8000000003</v>
      </c>
      <c r="T17" s="36"/>
      <c r="U17" s="36">
        <f t="shared" si="2"/>
        <v>2757.6199969092877</v>
      </c>
      <c r="V17" s="36"/>
      <c r="W17" s="2">
        <v>2019</v>
      </c>
      <c r="X17" s="6">
        <v>2019</v>
      </c>
    </row>
    <row r="18" spans="1:24" ht="26.25">
      <c r="A18" s="18">
        <v>9</v>
      </c>
      <c r="B18" s="11" t="s">
        <v>78</v>
      </c>
      <c r="C18" s="58" t="s">
        <v>69</v>
      </c>
      <c r="D18" s="58" t="s">
        <v>68</v>
      </c>
      <c r="E18" s="58"/>
      <c r="F18" s="11">
        <v>1981</v>
      </c>
      <c r="G18" s="2"/>
      <c r="H18" s="13" t="s">
        <v>99</v>
      </c>
      <c r="I18" s="14">
        <v>9</v>
      </c>
      <c r="J18" s="14">
        <v>7</v>
      </c>
      <c r="K18" s="40">
        <v>14067.3</v>
      </c>
      <c r="L18" s="12">
        <f>11758.7+557.3</f>
        <v>12316</v>
      </c>
      <c r="M18" s="12">
        <v>4556.9</v>
      </c>
      <c r="N18" s="12">
        <v>563</v>
      </c>
      <c r="O18" s="36">
        <f t="shared" si="1"/>
        <v>1000000.0000000001</v>
      </c>
      <c r="P18" s="36"/>
      <c r="Q18" s="36"/>
      <c r="R18" s="36"/>
      <c r="S18" s="36">
        <f>'Прил 2'!C17</f>
        <v>1000000.0000000001</v>
      </c>
      <c r="T18" s="36"/>
      <c r="U18" s="36">
        <f t="shared" si="2"/>
        <v>81.19519324455993</v>
      </c>
      <c r="V18" s="36"/>
      <c r="W18" s="2">
        <v>2019</v>
      </c>
      <c r="X18" s="2">
        <v>2019</v>
      </c>
    </row>
    <row r="19" spans="1:24" ht="15">
      <c r="A19" s="41">
        <v>10</v>
      </c>
      <c r="B19" s="11" t="s">
        <v>79</v>
      </c>
      <c r="C19" s="58" t="s">
        <v>69</v>
      </c>
      <c r="D19" s="58" t="s">
        <v>68</v>
      </c>
      <c r="E19" s="58"/>
      <c r="F19" s="11">
        <v>1970</v>
      </c>
      <c r="G19" s="2"/>
      <c r="H19" s="13" t="s">
        <v>71</v>
      </c>
      <c r="I19" s="14">
        <v>5</v>
      </c>
      <c r="J19" s="14">
        <v>5</v>
      </c>
      <c r="K19" s="40">
        <v>3919.9</v>
      </c>
      <c r="L19" s="12">
        <f>3374.9+62.8</f>
        <v>3437.7000000000003</v>
      </c>
      <c r="M19" s="12">
        <v>1271.9</v>
      </c>
      <c r="N19" s="12">
        <v>167</v>
      </c>
      <c r="O19" s="36">
        <f t="shared" si="1"/>
        <v>600000</v>
      </c>
      <c r="P19" s="36"/>
      <c r="Q19" s="36"/>
      <c r="R19" s="36"/>
      <c r="S19" s="36">
        <f>'Прил 2'!C18</f>
        <v>600000</v>
      </c>
      <c r="T19" s="36"/>
      <c r="U19" s="36">
        <f t="shared" si="2"/>
        <v>174.53529976437733</v>
      </c>
      <c r="V19" s="36"/>
      <c r="W19" s="2">
        <v>2019</v>
      </c>
      <c r="X19" s="2">
        <v>2019</v>
      </c>
    </row>
    <row r="20" spans="1:24" ht="15">
      <c r="A20" s="41">
        <v>11</v>
      </c>
      <c r="B20" s="11" t="s">
        <v>80</v>
      </c>
      <c r="C20" s="58" t="s">
        <v>69</v>
      </c>
      <c r="D20" s="58" t="s">
        <v>68</v>
      </c>
      <c r="E20" s="58"/>
      <c r="F20" s="11">
        <v>1976</v>
      </c>
      <c r="G20" s="2"/>
      <c r="H20" s="13" t="s">
        <v>72</v>
      </c>
      <c r="I20" s="14">
        <v>5</v>
      </c>
      <c r="J20" s="14">
        <v>5</v>
      </c>
      <c r="K20" s="40">
        <v>3934.8</v>
      </c>
      <c r="L20" s="12">
        <f>3359.2+45.7</f>
        <v>3404.8999999999996</v>
      </c>
      <c r="M20" s="12">
        <f>L20*0.3</f>
        <v>1021.4699999999998</v>
      </c>
      <c r="N20" s="12">
        <v>149</v>
      </c>
      <c r="O20" s="36">
        <f t="shared" si="1"/>
        <v>600000</v>
      </c>
      <c r="P20" s="36"/>
      <c r="Q20" s="36"/>
      <c r="R20" s="36"/>
      <c r="S20" s="36">
        <f>'Прил 2'!C19</f>
        <v>600000</v>
      </c>
      <c r="T20" s="36"/>
      <c r="U20" s="36">
        <f t="shared" si="2"/>
        <v>176.21662897588772</v>
      </c>
      <c r="V20" s="36"/>
      <c r="W20" s="2">
        <v>2019</v>
      </c>
      <c r="X20" s="2">
        <v>2019</v>
      </c>
    </row>
    <row r="21" spans="1:24" ht="15">
      <c r="A21" s="41">
        <v>12</v>
      </c>
      <c r="B21" s="11" t="s">
        <v>81</v>
      </c>
      <c r="C21" s="58" t="s">
        <v>69</v>
      </c>
      <c r="D21" s="58" t="s">
        <v>68</v>
      </c>
      <c r="E21" s="58"/>
      <c r="F21" s="11">
        <v>1977</v>
      </c>
      <c r="G21" s="2"/>
      <c r="H21" s="13" t="s">
        <v>70</v>
      </c>
      <c r="I21" s="14">
        <v>5</v>
      </c>
      <c r="J21" s="14">
        <v>5</v>
      </c>
      <c r="K21" s="40">
        <v>4299.5</v>
      </c>
      <c r="L21" s="12">
        <v>3739.8</v>
      </c>
      <c r="M21" s="12">
        <v>821.4</v>
      </c>
      <c r="N21" s="12">
        <v>165</v>
      </c>
      <c r="O21" s="36">
        <f t="shared" si="1"/>
        <v>2000000.0000000002</v>
      </c>
      <c r="P21" s="36"/>
      <c r="Q21" s="36"/>
      <c r="R21" s="36"/>
      <c r="S21" s="36">
        <f>'Прил 2'!C20</f>
        <v>2000000.0000000002</v>
      </c>
      <c r="T21" s="36"/>
      <c r="U21" s="36">
        <f t="shared" si="2"/>
        <v>534.787956575218</v>
      </c>
      <c r="V21" s="36"/>
      <c r="W21" s="2">
        <v>2019</v>
      </c>
      <c r="X21" s="2">
        <v>2019</v>
      </c>
    </row>
    <row r="22" spans="1:24" ht="15">
      <c r="A22" s="41">
        <v>13</v>
      </c>
      <c r="B22" s="11" t="s">
        <v>84</v>
      </c>
      <c r="C22" s="42" t="s">
        <v>69</v>
      </c>
      <c r="D22" s="42" t="s">
        <v>68</v>
      </c>
      <c r="E22" s="42"/>
      <c r="F22" s="11">
        <v>1991</v>
      </c>
      <c r="G22" s="2"/>
      <c r="H22" s="13" t="s">
        <v>70</v>
      </c>
      <c r="I22" s="14">
        <v>5</v>
      </c>
      <c r="J22" s="14">
        <v>4</v>
      </c>
      <c r="K22" s="40">
        <v>3551.9</v>
      </c>
      <c r="L22" s="12">
        <v>3176.2</v>
      </c>
      <c r="M22" s="12">
        <f>L22*0.25</f>
        <v>794.05</v>
      </c>
      <c r="N22" s="12">
        <v>187</v>
      </c>
      <c r="O22" s="36">
        <f t="shared" si="1"/>
        <v>1083375.0000000002</v>
      </c>
      <c r="P22" s="36"/>
      <c r="Q22" s="36"/>
      <c r="R22" s="36"/>
      <c r="S22" s="36">
        <f>'Прил 2'!C21</f>
        <v>1083375.0000000002</v>
      </c>
      <c r="T22" s="36"/>
      <c r="U22" s="36">
        <f t="shared" si="2"/>
        <v>341.0915559473586</v>
      </c>
      <c r="V22" s="36"/>
      <c r="W22" s="2">
        <v>2019</v>
      </c>
      <c r="X22" s="2">
        <v>2019</v>
      </c>
    </row>
    <row r="23" spans="1:24" ht="15">
      <c r="A23" s="41">
        <v>14</v>
      </c>
      <c r="B23" s="11" t="s">
        <v>85</v>
      </c>
      <c r="C23" s="42" t="s">
        <v>69</v>
      </c>
      <c r="D23" s="42" t="s">
        <v>68</v>
      </c>
      <c r="E23" s="42"/>
      <c r="F23" s="11">
        <v>1967</v>
      </c>
      <c r="G23" s="2"/>
      <c r="H23" s="13" t="s">
        <v>71</v>
      </c>
      <c r="I23" s="14">
        <v>5</v>
      </c>
      <c r="J23" s="14">
        <v>4</v>
      </c>
      <c r="K23" s="40">
        <v>4001.4</v>
      </c>
      <c r="L23" s="12">
        <f>3011.7+715.9</f>
        <v>3727.6</v>
      </c>
      <c r="M23" s="12">
        <f>L23*0.25</f>
        <v>931.9</v>
      </c>
      <c r="N23" s="12">
        <v>154</v>
      </c>
      <c r="O23" s="36">
        <f t="shared" si="1"/>
        <v>2600000.0000000005</v>
      </c>
      <c r="P23" s="36"/>
      <c r="Q23" s="36"/>
      <c r="R23" s="36"/>
      <c r="S23" s="36">
        <f>'Прил 2'!C22</f>
        <v>2600000.0000000005</v>
      </c>
      <c r="T23" s="36"/>
      <c r="U23" s="36">
        <f t="shared" si="2"/>
        <v>697.4997317308726</v>
      </c>
      <c r="V23" s="36"/>
      <c r="W23" s="2">
        <v>2019</v>
      </c>
      <c r="X23" s="2">
        <v>2019</v>
      </c>
    </row>
    <row r="24" spans="1:24" ht="15">
      <c r="A24" s="41">
        <v>15</v>
      </c>
      <c r="B24" s="11" t="s">
        <v>86</v>
      </c>
      <c r="C24" s="42" t="s">
        <v>69</v>
      </c>
      <c r="D24" s="42" t="s">
        <v>68</v>
      </c>
      <c r="E24" s="42"/>
      <c r="F24" s="11">
        <v>1989</v>
      </c>
      <c r="G24" s="2"/>
      <c r="H24" s="13" t="s">
        <v>70</v>
      </c>
      <c r="I24" s="14">
        <v>5</v>
      </c>
      <c r="J24" s="14">
        <v>2</v>
      </c>
      <c r="K24" s="40">
        <v>3949.4</v>
      </c>
      <c r="L24" s="12">
        <f>3337.3+124.1</f>
        <v>3461.4</v>
      </c>
      <c r="M24" s="12">
        <f>L24*0.25</f>
        <v>865.35</v>
      </c>
      <c r="N24" s="12">
        <v>155</v>
      </c>
      <c r="O24" s="36">
        <f t="shared" si="1"/>
        <v>2800000</v>
      </c>
      <c r="P24" s="36"/>
      <c r="Q24" s="36"/>
      <c r="R24" s="36"/>
      <c r="S24" s="36">
        <f>'Прил 2'!C23</f>
        <v>2800000</v>
      </c>
      <c r="T24" s="36"/>
      <c r="U24" s="36">
        <f t="shared" si="2"/>
        <v>808.9212457387184</v>
      </c>
      <c r="V24" s="36"/>
      <c r="W24" s="2">
        <v>2019</v>
      </c>
      <c r="X24" s="2">
        <v>2019</v>
      </c>
    </row>
    <row r="25" spans="1:24" ht="15">
      <c r="A25" s="41">
        <v>16</v>
      </c>
      <c r="B25" s="11" t="s">
        <v>87</v>
      </c>
      <c r="C25" s="42" t="s">
        <v>69</v>
      </c>
      <c r="D25" s="42" t="s">
        <v>68</v>
      </c>
      <c r="E25" s="42"/>
      <c r="F25" s="11">
        <v>1966</v>
      </c>
      <c r="G25" s="2"/>
      <c r="H25" s="13" t="s">
        <v>71</v>
      </c>
      <c r="I25" s="14">
        <v>5</v>
      </c>
      <c r="J25" s="14">
        <v>4</v>
      </c>
      <c r="K25" s="40">
        <v>3912.9</v>
      </c>
      <c r="L25" s="12">
        <f>2898.6+746.4</f>
        <v>3645</v>
      </c>
      <c r="M25" s="12">
        <f>L25*0.25</f>
        <v>911.25</v>
      </c>
      <c r="N25" s="12">
        <v>137</v>
      </c>
      <c r="O25" s="36">
        <f t="shared" si="1"/>
        <v>2600000.0000000005</v>
      </c>
      <c r="P25" s="36"/>
      <c r="Q25" s="36"/>
      <c r="R25" s="36"/>
      <c r="S25" s="36">
        <f>'Прил 2'!C24</f>
        <v>2600000.0000000005</v>
      </c>
      <c r="T25" s="36"/>
      <c r="U25" s="36">
        <f t="shared" si="2"/>
        <v>713.3058984910838</v>
      </c>
      <c r="V25" s="36"/>
      <c r="W25" s="2">
        <v>2019</v>
      </c>
      <c r="X25" s="2">
        <v>2019</v>
      </c>
    </row>
    <row r="26" spans="1:24" ht="15">
      <c r="A26" s="41">
        <v>17</v>
      </c>
      <c r="B26" s="11" t="s">
        <v>76</v>
      </c>
      <c r="C26" s="42" t="s">
        <v>69</v>
      </c>
      <c r="D26" s="42" t="s">
        <v>68</v>
      </c>
      <c r="E26" s="42"/>
      <c r="F26" s="11" t="s">
        <v>77</v>
      </c>
      <c r="G26" s="2"/>
      <c r="H26" s="13" t="s">
        <v>70</v>
      </c>
      <c r="I26" s="14">
        <v>9</v>
      </c>
      <c r="J26" s="14">
        <v>7</v>
      </c>
      <c r="K26" s="40">
        <v>13038.6</v>
      </c>
      <c r="L26" s="12">
        <v>12124</v>
      </c>
      <c r="M26" s="12">
        <f>L26*0.45</f>
        <v>5455.8</v>
      </c>
      <c r="N26" s="12">
        <v>567</v>
      </c>
      <c r="O26" s="36">
        <f t="shared" si="1"/>
        <v>8885569.860000001</v>
      </c>
      <c r="P26" s="36"/>
      <c r="Q26" s="36"/>
      <c r="R26" s="36"/>
      <c r="S26" s="36">
        <f>'Прил 2'!C25</f>
        <v>8885569.860000001</v>
      </c>
      <c r="T26" s="36"/>
      <c r="U26" s="36">
        <f t="shared" si="2"/>
        <v>732.8909485318378</v>
      </c>
      <c r="V26" s="36"/>
      <c r="W26" s="2">
        <v>2018</v>
      </c>
      <c r="X26" s="2">
        <v>2019</v>
      </c>
    </row>
    <row r="27" spans="1:24" ht="15">
      <c r="A27" s="41">
        <v>18</v>
      </c>
      <c r="B27" s="11" t="s">
        <v>110</v>
      </c>
      <c r="C27" s="58" t="s">
        <v>69</v>
      </c>
      <c r="D27" s="58" t="s">
        <v>68</v>
      </c>
      <c r="E27" s="42"/>
      <c r="F27" s="11">
        <v>1978</v>
      </c>
      <c r="G27" s="2"/>
      <c r="H27" s="13" t="s">
        <v>111</v>
      </c>
      <c r="I27" s="14">
        <v>5</v>
      </c>
      <c r="J27" s="14">
        <v>3</v>
      </c>
      <c r="K27" s="40">
        <v>2345</v>
      </c>
      <c r="L27" s="12">
        <v>2057.8</v>
      </c>
      <c r="M27" s="12"/>
      <c r="N27" s="12">
        <v>80</v>
      </c>
      <c r="O27" s="36">
        <f t="shared" si="1"/>
        <v>3213784.6400000006</v>
      </c>
      <c r="P27" s="36"/>
      <c r="Q27" s="36"/>
      <c r="R27" s="36"/>
      <c r="S27" s="36">
        <f>'Прил 2'!C26</f>
        <v>3213784.6400000006</v>
      </c>
      <c r="T27" s="36"/>
      <c r="U27" s="36">
        <f t="shared" si="2"/>
        <v>1561.7575274565072</v>
      </c>
      <c r="V27" s="36"/>
      <c r="W27" s="2">
        <v>2019</v>
      </c>
      <c r="X27" s="2">
        <v>2019</v>
      </c>
    </row>
    <row r="28" spans="1:24" ht="15">
      <c r="A28" s="41">
        <v>19</v>
      </c>
      <c r="B28" s="11" t="s">
        <v>112</v>
      </c>
      <c r="C28" s="58" t="s">
        <v>69</v>
      </c>
      <c r="D28" s="58" t="s">
        <v>68</v>
      </c>
      <c r="E28" s="42"/>
      <c r="F28" s="11">
        <v>1983</v>
      </c>
      <c r="G28" s="2"/>
      <c r="H28" s="13" t="s">
        <v>70</v>
      </c>
      <c r="I28" s="14">
        <v>5</v>
      </c>
      <c r="J28" s="14">
        <v>5</v>
      </c>
      <c r="K28" s="40">
        <v>3434.8</v>
      </c>
      <c r="L28" s="12">
        <v>3297.4</v>
      </c>
      <c r="M28" s="12"/>
      <c r="N28" s="12">
        <v>170</v>
      </c>
      <c r="O28" s="36">
        <f t="shared" si="1"/>
        <v>947117.9400000001</v>
      </c>
      <c r="P28" s="36"/>
      <c r="Q28" s="36"/>
      <c r="R28" s="36"/>
      <c r="S28" s="36">
        <f>'Прил 2'!C27</f>
        <v>947117.9400000001</v>
      </c>
      <c r="T28" s="36"/>
      <c r="U28" s="36">
        <f t="shared" si="2"/>
        <v>287.2317401589131</v>
      </c>
      <c r="V28" s="36"/>
      <c r="W28" s="2">
        <v>2019</v>
      </c>
      <c r="X28" s="2">
        <v>2019</v>
      </c>
    </row>
    <row r="29" spans="1:24" ht="15">
      <c r="A29" s="41">
        <v>20</v>
      </c>
      <c r="B29" s="11" t="s">
        <v>113</v>
      </c>
      <c r="C29" s="58" t="s">
        <v>69</v>
      </c>
      <c r="D29" s="58" t="s">
        <v>68</v>
      </c>
      <c r="E29" s="42"/>
      <c r="F29" s="11">
        <v>1985</v>
      </c>
      <c r="G29" s="2"/>
      <c r="H29" s="13" t="s">
        <v>70</v>
      </c>
      <c r="I29" s="14">
        <v>5</v>
      </c>
      <c r="J29" s="14">
        <v>3</v>
      </c>
      <c r="K29" s="40">
        <v>2328.8</v>
      </c>
      <c r="L29" s="12">
        <v>2035.4</v>
      </c>
      <c r="M29" s="12"/>
      <c r="N29" s="12">
        <v>106</v>
      </c>
      <c r="O29" s="36">
        <f t="shared" si="1"/>
        <v>947117.9400000001</v>
      </c>
      <c r="P29" s="36"/>
      <c r="Q29" s="36"/>
      <c r="R29" s="36"/>
      <c r="S29" s="36">
        <f>'Прил 2'!C28</f>
        <v>947117.9400000001</v>
      </c>
      <c r="T29" s="36"/>
      <c r="U29" s="36">
        <f t="shared" si="2"/>
        <v>465.32275719760247</v>
      </c>
      <c r="V29" s="36"/>
      <c r="W29" s="2">
        <v>2019</v>
      </c>
      <c r="X29" s="2">
        <v>2019</v>
      </c>
    </row>
    <row r="30" spans="1:24" ht="15">
      <c r="A30" s="41">
        <v>21</v>
      </c>
      <c r="B30" s="11" t="s">
        <v>114</v>
      </c>
      <c r="C30" s="58" t="s">
        <v>69</v>
      </c>
      <c r="D30" s="58" t="s">
        <v>68</v>
      </c>
      <c r="E30" s="42"/>
      <c r="F30" s="11">
        <v>1988</v>
      </c>
      <c r="G30" s="2"/>
      <c r="H30" s="13" t="s">
        <v>70</v>
      </c>
      <c r="I30" s="14">
        <v>5</v>
      </c>
      <c r="J30" s="14">
        <v>3</v>
      </c>
      <c r="K30" s="40">
        <v>2328.6</v>
      </c>
      <c r="L30" s="12">
        <v>2043.1</v>
      </c>
      <c r="M30" s="12"/>
      <c r="N30" s="12">
        <v>121</v>
      </c>
      <c r="O30" s="36">
        <f t="shared" si="1"/>
        <v>947117.9400000001</v>
      </c>
      <c r="P30" s="36"/>
      <c r="Q30" s="36"/>
      <c r="R30" s="36"/>
      <c r="S30" s="36">
        <f>'Прил 2'!C29</f>
        <v>947117.9400000001</v>
      </c>
      <c r="T30" s="36"/>
      <c r="U30" s="36">
        <f t="shared" si="2"/>
        <v>463.5690568254124</v>
      </c>
      <c r="V30" s="36"/>
      <c r="W30" s="2">
        <v>2019</v>
      </c>
      <c r="X30" s="2">
        <v>2019</v>
      </c>
    </row>
    <row r="31" spans="1:24" ht="15">
      <c r="A31" s="41">
        <v>22</v>
      </c>
      <c r="B31" s="11" t="s">
        <v>115</v>
      </c>
      <c r="C31" s="58" t="s">
        <v>69</v>
      </c>
      <c r="D31" s="58" t="s">
        <v>68</v>
      </c>
      <c r="E31" s="42"/>
      <c r="F31" s="11">
        <v>1988</v>
      </c>
      <c r="G31" s="2"/>
      <c r="H31" s="13" t="s">
        <v>70</v>
      </c>
      <c r="I31" s="14">
        <v>5</v>
      </c>
      <c r="J31" s="14">
        <v>1</v>
      </c>
      <c r="K31" s="40">
        <v>937.2</v>
      </c>
      <c r="L31" s="12">
        <v>844.8</v>
      </c>
      <c r="M31" s="12"/>
      <c r="N31" s="12">
        <v>51</v>
      </c>
      <c r="O31" s="36">
        <f t="shared" si="1"/>
        <v>906005.7600000001</v>
      </c>
      <c r="P31" s="36"/>
      <c r="Q31" s="36"/>
      <c r="R31" s="36"/>
      <c r="S31" s="36">
        <f>'Прил 2'!C30</f>
        <v>906005.7600000001</v>
      </c>
      <c r="T31" s="36"/>
      <c r="U31" s="36">
        <f t="shared" si="2"/>
        <v>1072.4500000000003</v>
      </c>
      <c r="V31" s="36"/>
      <c r="W31" s="2">
        <v>2019</v>
      </c>
      <c r="X31" s="2">
        <v>2019</v>
      </c>
    </row>
    <row r="32" spans="1:24" ht="15">
      <c r="A32" s="41">
        <v>23</v>
      </c>
      <c r="B32" s="11" t="s">
        <v>116</v>
      </c>
      <c r="C32" s="58" t="s">
        <v>69</v>
      </c>
      <c r="D32" s="58" t="s">
        <v>68</v>
      </c>
      <c r="E32" s="42"/>
      <c r="F32" s="11">
        <v>1982</v>
      </c>
      <c r="G32" s="2"/>
      <c r="H32" s="13" t="s">
        <v>70</v>
      </c>
      <c r="I32" s="14">
        <v>5</v>
      </c>
      <c r="J32" s="14">
        <v>3</v>
      </c>
      <c r="K32" s="60">
        <v>2380.1</v>
      </c>
      <c r="L32" s="12">
        <v>2084.9</v>
      </c>
      <c r="M32" s="12"/>
      <c r="N32" s="12">
        <v>109</v>
      </c>
      <c r="O32" s="36">
        <f t="shared" si="1"/>
        <v>2239168.3550000004</v>
      </c>
      <c r="P32" s="36"/>
      <c r="Q32" s="36"/>
      <c r="R32" s="36"/>
      <c r="S32" s="36">
        <f>'Прил 2'!C31</f>
        <v>2239168.3550000004</v>
      </c>
      <c r="T32" s="36"/>
      <c r="U32" s="36">
        <f t="shared" si="2"/>
        <v>1073.9931675380117</v>
      </c>
      <c r="V32" s="36"/>
      <c r="W32" s="2">
        <v>2019</v>
      </c>
      <c r="X32" s="2">
        <v>2019</v>
      </c>
    </row>
    <row r="33" spans="1:24" s="49" customFormat="1" ht="15">
      <c r="A33" s="51" t="s">
        <v>83</v>
      </c>
      <c r="B33" s="52"/>
      <c r="C33" s="44"/>
      <c r="D33" s="44"/>
      <c r="E33" s="44"/>
      <c r="F33" s="52"/>
      <c r="G33" s="45"/>
      <c r="H33" s="53"/>
      <c r="I33" s="54"/>
      <c r="J33" s="54"/>
      <c r="K33" s="55">
        <f>SUM(K34:K58)</f>
        <v>98538.26000000001</v>
      </c>
      <c r="L33" s="56">
        <f>SUM(L34:L58)</f>
        <v>87092.85999999999</v>
      </c>
      <c r="M33" s="56">
        <f>SUM(M34:M58)</f>
        <v>23050.689999999995</v>
      </c>
      <c r="N33" s="56">
        <f>SUM(N34:N58)</f>
        <v>4082.4</v>
      </c>
      <c r="O33" s="76">
        <f aca="true" t="shared" si="3" ref="O33:U33">SUM(O34:O58)</f>
        <v>64436409.02700002</v>
      </c>
      <c r="P33" s="56">
        <f t="shared" si="3"/>
        <v>0</v>
      </c>
      <c r="Q33" s="56">
        <f t="shared" si="3"/>
        <v>0</v>
      </c>
      <c r="R33" s="56">
        <f t="shared" si="3"/>
        <v>0</v>
      </c>
      <c r="S33" s="76">
        <f t="shared" si="3"/>
        <v>64436409.02700002</v>
      </c>
      <c r="T33" s="56">
        <f t="shared" si="3"/>
        <v>0</v>
      </c>
      <c r="U33" s="76">
        <f t="shared" si="3"/>
        <v>20658.593795538553</v>
      </c>
      <c r="V33" s="47"/>
      <c r="W33" s="45"/>
      <c r="X33" s="45"/>
    </row>
    <row r="34" spans="1:24" ht="15">
      <c r="A34" s="41">
        <v>1</v>
      </c>
      <c r="B34" s="11" t="s">
        <v>119</v>
      </c>
      <c r="C34" s="58" t="s">
        <v>69</v>
      </c>
      <c r="D34" s="58" t="s">
        <v>68</v>
      </c>
      <c r="E34" s="42"/>
      <c r="F34" s="11">
        <v>1973</v>
      </c>
      <c r="G34" s="2"/>
      <c r="H34" s="13" t="s">
        <v>71</v>
      </c>
      <c r="I34" s="14">
        <v>5</v>
      </c>
      <c r="J34" s="14">
        <v>4</v>
      </c>
      <c r="K34" s="40">
        <v>3645.6</v>
      </c>
      <c r="L34" s="12">
        <v>3345</v>
      </c>
      <c r="M34" s="12">
        <v>2230</v>
      </c>
      <c r="N34" s="12">
        <v>135</v>
      </c>
      <c r="O34" s="36">
        <f>SUM(P34:T34)</f>
        <v>6000000.000000001</v>
      </c>
      <c r="P34" s="36"/>
      <c r="Q34" s="36"/>
      <c r="R34" s="36"/>
      <c r="S34" s="36">
        <f>'Прил 2'!C33</f>
        <v>6000000.000000001</v>
      </c>
      <c r="T34" s="36"/>
      <c r="U34" s="36">
        <f>O34/L34</f>
        <v>1793.7219730941706</v>
      </c>
      <c r="V34" s="36"/>
      <c r="W34" s="2">
        <v>2020</v>
      </c>
      <c r="X34" s="2">
        <v>2020</v>
      </c>
    </row>
    <row r="35" spans="1:24" ht="15">
      <c r="A35" s="41">
        <v>2</v>
      </c>
      <c r="B35" s="11" t="s">
        <v>120</v>
      </c>
      <c r="C35" s="58" t="s">
        <v>69</v>
      </c>
      <c r="D35" s="58" t="s">
        <v>68</v>
      </c>
      <c r="E35" s="42"/>
      <c r="F35" s="11">
        <v>1972</v>
      </c>
      <c r="G35" s="2"/>
      <c r="H35" s="13" t="s">
        <v>71</v>
      </c>
      <c r="I35" s="14">
        <v>5</v>
      </c>
      <c r="J35" s="14">
        <v>2</v>
      </c>
      <c r="K35" s="40">
        <v>1939.4</v>
      </c>
      <c r="L35" s="12">
        <v>1777.7</v>
      </c>
      <c r="M35" s="12">
        <v>1185.5</v>
      </c>
      <c r="N35" s="12">
        <v>70</v>
      </c>
      <c r="O35" s="36">
        <f aca="true" t="shared" si="4" ref="O35:O84">SUM(P35:T35)</f>
        <v>3500000.0000000005</v>
      </c>
      <c r="P35" s="36"/>
      <c r="Q35" s="36"/>
      <c r="R35" s="36"/>
      <c r="S35" s="36">
        <f>'Прил 2'!C34</f>
        <v>3500000.0000000005</v>
      </c>
      <c r="T35" s="36"/>
      <c r="U35" s="36">
        <f>O35/L35</f>
        <v>1968.8361365809756</v>
      </c>
      <c r="V35" s="36"/>
      <c r="W35" s="2">
        <v>2020</v>
      </c>
      <c r="X35" s="2">
        <v>2020</v>
      </c>
    </row>
    <row r="36" spans="1:24" ht="15">
      <c r="A36" s="41">
        <v>3</v>
      </c>
      <c r="B36" s="11" t="s">
        <v>121</v>
      </c>
      <c r="C36" s="58" t="s">
        <v>69</v>
      </c>
      <c r="D36" s="58" t="s">
        <v>68</v>
      </c>
      <c r="E36" s="42"/>
      <c r="F36" s="11">
        <v>1984</v>
      </c>
      <c r="G36" s="2"/>
      <c r="H36" s="13" t="s">
        <v>70</v>
      </c>
      <c r="I36" s="14">
        <v>9</v>
      </c>
      <c r="J36" s="14">
        <v>2</v>
      </c>
      <c r="K36" s="40">
        <v>4075.1</v>
      </c>
      <c r="L36" s="12">
        <v>3385.8</v>
      </c>
      <c r="M36" s="12">
        <v>2257.2</v>
      </c>
      <c r="N36" s="12">
        <v>141</v>
      </c>
      <c r="O36" s="36">
        <f t="shared" si="4"/>
        <v>4300000.000000001</v>
      </c>
      <c r="P36" s="36"/>
      <c r="Q36" s="36"/>
      <c r="R36" s="36"/>
      <c r="S36" s="36">
        <f>'Прил 2'!C35</f>
        <v>4300000.000000001</v>
      </c>
      <c r="T36" s="36"/>
      <c r="U36" s="36">
        <f aca="true" t="shared" si="5" ref="U36:U58">O36/L36</f>
        <v>1270.0100419398666</v>
      </c>
      <c r="V36" s="36"/>
      <c r="W36" s="2">
        <v>2020</v>
      </c>
      <c r="X36" s="2">
        <v>2020</v>
      </c>
    </row>
    <row r="37" spans="1:24" ht="15">
      <c r="A37" s="41">
        <v>4</v>
      </c>
      <c r="B37" s="11" t="s">
        <v>122</v>
      </c>
      <c r="C37" s="58" t="s">
        <v>69</v>
      </c>
      <c r="D37" s="58" t="s">
        <v>68</v>
      </c>
      <c r="E37" s="42"/>
      <c r="F37" s="11">
        <v>1991</v>
      </c>
      <c r="G37" s="2"/>
      <c r="H37" s="13" t="s">
        <v>70</v>
      </c>
      <c r="I37" s="14">
        <v>9</v>
      </c>
      <c r="J37" s="14">
        <v>2</v>
      </c>
      <c r="K37" s="40">
        <v>4123.8</v>
      </c>
      <c r="L37" s="12">
        <v>3430.7</v>
      </c>
      <c r="M37" s="12">
        <v>2215.4</v>
      </c>
      <c r="N37" s="12">
        <v>155</v>
      </c>
      <c r="O37" s="36">
        <f t="shared" si="4"/>
        <v>4778587.720000001</v>
      </c>
      <c r="P37" s="36"/>
      <c r="Q37" s="36"/>
      <c r="R37" s="36"/>
      <c r="S37" s="36">
        <f>'Прил 2'!C36</f>
        <v>4778587.720000001</v>
      </c>
      <c r="T37" s="36"/>
      <c r="U37" s="36">
        <f t="shared" si="5"/>
        <v>1392.8899991255432</v>
      </c>
      <c r="V37" s="36"/>
      <c r="W37" s="2">
        <v>2020</v>
      </c>
      <c r="X37" s="2">
        <v>2020</v>
      </c>
    </row>
    <row r="38" spans="1:24" ht="15">
      <c r="A38" s="41">
        <v>5</v>
      </c>
      <c r="B38" s="11" t="s">
        <v>123</v>
      </c>
      <c r="C38" s="58" t="s">
        <v>69</v>
      </c>
      <c r="D38" s="58" t="s">
        <v>68</v>
      </c>
      <c r="E38" s="42"/>
      <c r="F38" s="11">
        <v>1977</v>
      </c>
      <c r="G38" s="2"/>
      <c r="H38" s="13" t="s">
        <v>70</v>
      </c>
      <c r="I38" s="14">
        <v>9</v>
      </c>
      <c r="J38" s="14">
        <v>6</v>
      </c>
      <c r="K38" s="40">
        <v>12927.26</v>
      </c>
      <c r="L38" s="63">
        <v>11057.96</v>
      </c>
      <c r="M38" s="12">
        <v>6023.4</v>
      </c>
      <c r="N38" s="12">
        <v>478</v>
      </c>
      <c r="O38" s="36">
        <f t="shared" si="4"/>
        <v>1538000.0000000002</v>
      </c>
      <c r="P38" s="36"/>
      <c r="Q38" s="36"/>
      <c r="R38" s="36"/>
      <c r="S38" s="36">
        <f>'Прил 2'!C37</f>
        <v>1538000.0000000002</v>
      </c>
      <c r="T38" s="36"/>
      <c r="U38" s="36">
        <f t="shared" si="5"/>
        <v>139.08532857778474</v>
      </c>
      <c r="V38" s="36"/>
      <c r="W38" s="2">
        <v>2020</v>
      </c>
      <c r="X38" s="2">
        <v>2020</v>
      </c>
    </row>
    <row r="39" spans="1:24" ht="15">
      <c r="A39" s="41">
        <v>6</v>
      </c>
      <c r="B39" s="11" t="s">
        <v>124</v>
      </c>
      <c r="C39" s="58" t="s">
        <v>69</v>
      </c>
      <c r="D39" s="58" t="s">
        <v>68</v>
      </c>
      <c r="E39" s="42"/>
      <c r="F39" s="11">
        <v>1975</v>
      </c>
      <c r="G39" s="2"/>
      <c r="H39" s="13" t="s">
        <v>71</v>
      </c>
      <c r="I39" s="14">
        <v>5</v>
      </c>
      <c r="J39" s="14">
        <v>5</v>
      </c>
      <c r="K39" s="40">
        <v>4014.9</v>
      </c>
      <c r="L39" s="12">
        <v>3480.8</v>
      </c>
      <c r="M39" s="12">
        <v>2320.5</v>
      </c>
      <c r="N39" s="12">
        <v>278</v>
      </c>
      <c r="O39" s="36">
        <f t="shared" si="4"/>
        <v>875000.0000000001</v>
      </c>
      <c r="P39" s="36"/>
      <c r="Q39" s="36"/>
      <c r="R39" s="36"/>
      <c r="S39" s="36">
        <f>'Прил 2'!C38</f>
        <v>875000.0000000001</v>
      </c>
      <c r="T39" s="36"/>
      <c r="U39" s="36">
        <f t="shared" si="5"/>
        <v>251.37899333486556</v>
      </c>
      <c r="V39" s="36"/>
      <c r="W39" s="2">
        <v>2020</v>
      </c>
      <c r="X39" s="2">
        <v>2020</v>
      </c>
    </row>
    <row r="40" spans="1:24" ht="15">
      <c r="A40" s="66">
        <v>7</v>
      </c>
      <c r="B40" s="11" t="s">
        <v>75</v>
      </c>
      <c r="C40" s="67" t="s">
        <v>69</v>
      </c>
      <c r="D40" s="67" t="s">
        <v>68</v>
      </c>
      <c r="E40" s="67"/>
      <c r="F40" s="11">
        <v>1986</v>
      </c>
      <c r="G40" s="2"/>
      <c r="H40" s="13" t="s">
        <v>70</v>
      </c>
      <c r="I40" s="14">
        <v>9</v>
      </c>
      <c r="J40" s="14">
        <v>1</v>
      </c>
      <c r="K40" s="60">
        <v>1929.7</v>
      </c>
      <c r="L40" s="12">
        <f>SUM(M40:N40)</f>
        <v>1687</v>
      </c>
      <c r="M40" s="12">
        <v>1470.6</v>
      </c>
      <c r="N40" s="12">
        <v>216.4</v>
      </c>
      <c r="O40" s="36">
        <f t="shared" si="4"/>
        <v>2961856.62</v>
      </c>
      <c r="P40" s="36"/>
      <c r="Q40" s="36"/>
      <c r="R40" s="36"/>
      <c r="S40" s="36">
        <f>'Прил 2'!C39</f>
        <v>2961856.62</v>
      </c>
      <c r="T40" s="36"/>
      <c r="U40" s="36">
        <f t="shared" si="5"/>
        <v>1755.6944991108478</v>
      </c>
      <c r="V40" s="36"/>
      <c r="W40" s="2">
        <v>2018</v>
      </c>
      <c r="X40" s="6">
        <v>2019</v>
      </c>
    </row>
    <row r="41" spans="1:24" ht="15">
      <c r="A41" s="66">
        <v>8</v>
      </c>
      <c r="B41" s="11" t="s">
        <v>125</v>
      </c>
      <c r="C41" s="58" t="s">
        <v>69</v>
      </c>
      <c r="D41" s="58" t="s">
        <v>68</v>
      </c>
      <c r="E41" s="42"/>
      <c r="F41" s="11">
        <v>1969</v>
      </c>
      <c r="G41" s="2"/>
      <c r="H41" s="13" t="s">
        <v>71</v>
      </c>
      <c r="I41" s="14">
        <v>5</v>
      </c>
      <c r="J41" s="14">
        <v>4</v>
      </c>
      <c r="K41" s="40">
        <v>3979.1</v>
      </c>
      <c r="L41" s="12">
        <v>3044.4</v>
      </c>
      <c r="M41" s="12"/>
      <c r="N41" s="12">
        <v>84</v>
      </c>
      <c r="O41" s="36">
        <f t="shared" si="4"/>
        <v>714000</v>
      </c>
      <c r="P41" s="36"/>
      <c r="Q41" s="36"/>
      <c r="R41" s="36"/>
      <c r="S41" s="36">
        <f>'Прил 2'!C40</f>
        <v>714000</v>
      </c>
      <c r="T41" s="36"/>
      <c r="U41" s="36">
        <f t="shared" si="5"/>
        <v>234.5289712258573</v>
      </c>
      <c r="V41" s="36"/>
      <c r="W41" s="2">
        <v>2020</v>
      </c>
      <c r="X41" s="2">
        <v>2020</v>
      </c>
    </row>
    <row r="42" spans="1:24" ht="15">
      <c r="A42" s="66">
        <v>9</v>
      </c>
      <c r="B42" s="11" t="s">
        <v>126</v>
      </c>
      <c r="C42" s="58" t="s">
        <v>69</v>
      </c>
      <c r="D42" s="58" t="s">
        <v>68</v>
      </c>
      <c r="E42" s="42"/>
      <c r="F42" s="11">
        <v>1979</v>
      </c>
      <c r="G42" s="2"/>
      <c r="H42" s="13" t="s">
        <v>111</v>
      </c>
      <c r="I42" s="14">
        <v>5</v>
      </c>
      <c r="J42" s="14">
        <v>3</v>
      </c>
      <c r="K42" s="40">
        <v>2400.2</v>
      </c>
      <c r="L42" s="12">
        <v>2072.4</v>
      </c>
      <c r="M42" s="12"/>
      <c r="N42" s="12">
        <v>108</v>
      </c>
      <c r="O42" s="36">
        <f t="shared" si="4"/>
        <v>605000</v>
      </c>
      <c r="P42" s="36"/>
      <c r="Q42" s="36"/>
      <c r="R42" s="36"/>
      <c r="S42" s="36">
        <f>'Прил 2'!C41</f>
        <v>605000</v>
      </c>
      <c r="T42" s="36"/>
      <c r="U42" s="36">
        <f t="shared" si="5"/>
        <v>291.932059447983</v>
      </c>
      <c r="V42" s="36"/>
      <c r="W42" s="2">
        <v>2020</v>
      </c>
      <c r="X42" s="2">
        <v>2020</v>
      </c>
    </row>
    <row r="43" spans="1:24" ht="15">
      <c r="A43" s="66">
        <v>10</v>
      </c>
      <c r="B43" s="11" t="s">
        <v>127</v>
      </c>
      <c r="C43" s="58" t="s">
        <v>69</v>
      </c>
      <c r="D43" s="58" t="s">
        <v>68</v>
      </c>
      <c r="E43" s="42"/>
      <c r="F43" s="11">
        <v>1982</v>
      </c>
      <c r="G43" s="2"/>
      <c r="H43" s="13" t="s">
        <v>70</v>
      </c>
      <c r="I43" s="14">
        <v>5</v>
      </c>
      <c r="J43" s="14">
        <v>3</v>
      </c>
      <c r="K43" s="40">
        <v>2360.9</v>
      </c>
      <c r="L43" s="12">
        <v>2069</v>
      </c>
      <c r="M43" s="12"/>
      <c r="N43" s="12">
        <v>94</v>
      </c>
      <c r="O43" s="36">
        <f t="shared" si="4"/>
        <v>531000.0000000001</v>
      </c>
      <c r="P43" s="36"/>
      <c r="Q43" s="36"/>
      <c r="R43" s="36"/>
      <c r="S43" s="36">
        <f>'Прил 2'!C42</f>
        <v>531000.0000000001</v>
      </c>
      <c r="T43" s="36"/>
      <c r="U43" s="36">
        <f t="shared" si="5"/>
        <v>256.64572257129055</v>
      </c>
      <c r="V43" s="36"/>
      <c r="W43" s="2">
        <v>2020</v>
      </c>
      <c r="X43" s="2">
        <v>2020</v>
      </c>
    </row>
    <row r="44" spans="1:24" ht="15">
      <c r="A44" s="66">
        <v>11</v>
      </c>
      <c r="B44" s="11" t="s">
        <v>89</v>
      </c>
      <c r="C44" s="58" t="s">
        <v>69</v>
      </c>
      <c r="D44" s="58" t="s">
        <v>68</v>
      </c>
      <c r="E44" s="58"/>
      <c r="F44" s="11">
        <v>1977</v>
      </c>
      <c r="G44" s="2"/>
      <c r="H44" s="13" t="s">
        <v>70</v>
      </c>
      <c r="I44" s="14">
        <v>5</v>
      </c>
      <c r="J44" s="14">
        <v>6</v>
      </c>
      <c r="K44" s="40">
        <v>5187.4</v>
      </c>
      <c r="L44" s="12">
        <v>4512.6</v>
      </c>
      <c r="M44" s="12">
        <v>1181.7</v>
      </c>
      <c r="N44" s="12">
        <v>261</v>
      </c>
      <c r="O44" s="36">
        <f t="shared" si="4"/>
        <v>2500000</v>
      </c>
      <c r="P44" s="36"/>
      <c r="Q44" s="36"/>
      <c r="R44" s="36"/>
      <c r="S44" s="36">
        <f>'Прил 2'!C43</f>
        <v>2500000</v>
      </c>
      <c r="T44" s="36"/>
      <c r="U44" s="36">
        <f t="shared" si="5"/>
        <v>554.0043433940522</v>
      </c>
      <c r="V44" s="36"/>
      <c r="W44" s="2">
        <v>2020</v>
      </c>
      <c r="X44" s="2">
        <v>2020</v>
      </c>
    </row>
    <row r="45" spans="1:24" ht="15">
      <c r="A45" s="66">
        <v>12</v>
      </c>
      <c r="B45" s="11" t="s">
        <v>90</v>
      </c>
      <c r="C45" s="58" t="s">
        <v>69</v>
      </c>
      <c r="D45" s="58" t="s">
        <v>68</v>
      </c>
      <c r="E45" s="58"/>
      <c r="F45" s="11" t="s">
        <v>96</v>
      </c>
      <c r="G45" s="2"/>
      <c r="H45" s="13" t="s">
        <v>70</v>
      </c>
      <c r="I45" s="14">
        <v>9</v>
      </c>
      <c r="J45" s="14">
        <v>3</v>
      </c>
      <c r="K45" s="40">
        <v>6382.3</v>
      </c>
      <c r="L45" s="12">
        <v>5613.3</v>
      </c>
      <c r="M45" s="12">
        <v>380.6</v>
      </c>
      <c r="N45" s="12">
        <v>188</v>
      </c>
      <c r="O45" s="36">
        <f t="shared" si="4"/>
        <v>500000.00000000006</v>
      </c>
      <c r="P45" s="36"/>
      <c r="Q45" s="36"/>
      <c r="R45" s="36"/>
      <c r="S45" s="36">
        <f>'Прил 2'!C44</f>
        <v>500000.00000000006</v>
      </c>
      <c r="T45" s="36"/>
      <c r="U45" s="36">
        <f t="shared" si="5"/>
        <v>89.07416314823723</v>
      </c>
      <c r="V45" s="36"/>
      <c r="W45" s="2">
        <v>2020</v>
      </c>
      <c r="X45" s="2">
        <v>2020</v>
      </c>
    </row>
    <row r="46" spans="1:24" ht="15">
      <c r="A46" s="66">
        <v>13</v>
      </c>
      <c r="B46" s="11" t="s">
        <v>91</v>
      </c>
      <c r="C46" s="58" t="s">
        <v>69</v>
      </c>
      <c r="D46" s="58" t="s">
        <v>68</v>
      </c>
      <c r="E46" s="58"/>
      <c r="F46" s="11">
        <v>1970</v>
      </c>
      <c r="G46" s="2"/>
      <c r="H46" s="13" t="s">
        <v>71</v>
      </c>
      <c r="I46" s="14" t="s">
        <v>97</v>
      </c>
      <c r="J46" s="14" t="s">
        <v>98</v>
      </c>
      <c r="K46" s="40">
        <v>2588</v>
      </c>
      <c r="L46" s="12">
        <v>2311.3</v>
      </c>
      <c r="M46" s="12">
        <f>L46*0.1</f>
        <v>231.13000000000002</v>
      </c>
      <c r="N46" s="12">
        <v>88</v>
      </c>
      <c r="O46" s="36">
        <f t="shared" si="4"/>
        <v>600000</v>
      </c>
      <c r="P46" s="36"/>
      <c r="Q46" s="36"/>
      <c r="R46" s="36"/>
      <c r="S46" s="36">
        <f>'Прил 2'!C45</f>
        <v>600000</v>
      </c>
      <c r="T46" s="36"/>
      <c r="U46" s="36">
        <f t="shared" si="5"/>
        <v>259.5941677843638</v>
      </c>
      <c r="V46" s="36"/>
      <c r="W46" s="2">
        <v>2020</v>
      </c>
      <c r="X46" s="2">
        <v>2020</v>
      </c>
    </row>
    <row r="47" spans="1:24" ht="15">
      <c r="A47" s="66">
        <v>14</v>
      </c>
      <c r="B47" s="11" t="s">
        <v>92</v>
      </c>
      <c r="C47" s="58" t="s">
        <v>69</v>
      </c>
      <c r="D47" s="58" t="s">
        <v>68</v>
      </c>
      <c r="E47" s="58"/>
      <c r="F47" s="11">
        <v>1989</v>
      </c>
      <c r="G47" s="2"/>
      <c r="H47" s="13" t="s">
        <v>70</v>
      </c>
      <c r="I47" s="14">
        <v>5</v>
      </c>
      <c r="J47" s="14">
        <v>3</v>
      </c>
      <c r="K47" s="40">
        <v>2397.2</v>
      </c>
      <c r="L47" s="12">
        <f>2081.2+64.3</f>
        <v>2145.5</v>
      </c>
      <c r="M47" s="12">
        <f>L47*0.1</f>
        <v>214.55</v>
      </c>
      <c r="N47" s="12">
        <v>112</v>
      </c>
      <c r="O47" s="36">
        <f t="shared" si="4"/>
        <v>800000.0000000001</v>
      </c>
      <c r="P47" s="36"/>
      <c r="Q47" s="36"/>
      <c r="R47" s="36"/>
      <c r="S47" s="36">
        <f>'Прил 2'!C46</f>
        <v>800000.0000000001</v>
      </c>
      <c r="T47" s="36"/>
      <c r="U47" s="36">
        <f t="shared" si="5"/>
        <v>372.87345607084603</v>
      </c>
      <c r="V47" s="36"/>
      <c r="W47" s="2">
        <v>2020</v>
      </c>
      <c r="X47" s="2">
        <v>2020</v>
      </c>
    </row>
    <row r="48" spans="1:24" ht="15">
      <c r="A48" s="66">
        <v>15</v>
      </c>
      <c r="B48" s="11" t="s">
        <v>73</v>
      </c>
      <c r="C48" s="58" t="s">
        <v>69</v>
      </c>
      <c r="D48" s="58" t="s">
        <v>68</v>
      </c>
      <c r="E48" s="58"/>
      <c r="F48" s="11" t="s">
        <v>100</v>
      </c>
      <c r="G48" s="2"/>
      <c r="H48" s="13" t="s">
        <v>71</v>
      </c>
      <c r="I48" s="14">
        <v>5</v>
      </c>
      <c r="J48" s="14">
        <v>4</v>
      </c>
      <c r="K48" s="40">
        <v>6453.3</v>
      </c>
      <c r="L48" s="12">
        <f>5421.5+511.6</f>
        <v>5933.1</v>
      </c>
      <c r="M48" s="12">
        <f>L48*0.1</f>
        <v>593.3100000000001</v>
      </c>
      <c r="N48" s="12">
        <v>231</v>
      </c>
      <c r="O48" s="36">
        <f t="shared" si="4"/>
        <v>6500000.000000001</v>
      </c>
      <c r="P48" s="36"/>
      <c r="Q48" s="36"/>
      <c r="R48" s="36"/>
      <c r="S48" s="36">
        <f>'Прил 2'!C47</f>
        <v>6500000.000000001</v>
      </c>
      <c r="T48" s="36"/>
      <c r="U48" s="36">
        <f t="shared" si="5"/>
        <v>1095.5487013534241</v>
      </c>
      <c r="V48" s="36"/>
      <c r="W48" s="2">
        <v>2020</v>
      </c>
      <c r="X48" s="2">
        <v>2020</v>
      </c>
    </row>
    <row r="49" spans="1:24" ht="15">
      <c r="A49" s="66">
        <v>16</v>
      </c>
      <c r="B49" s="11" t="s">
        <v>93</v>
      </c>
      <c r="C49" s="58" t="s">
        <v>69</v>
      </c>
      <c r="D49" s="58" t="s">
        <v>68</v>
      </c>
      <c r="E49" s="58"/>
      <c r="F49" s="11">
        <v>1974</v>
      </c>
      <c r="G49" s="2"/>
      <c r="H49" s="13" t="s">
        <v>70</v>
      </c>
      <c r="I49" s="14">
        <v>5</v>
      </c>
      <c r="J49" s="14">
        <v>4</v>
      </c>
      <c r="K49" s="40">
        <v>3321</v>
      </c>
      <c r="L49" s="12">
        <v>3000.7</v>
      </c>
      <c r="M49" s="12">
        <v>802.1</v>
      </c>
      <c r="N49" s="12">
        <v>132</v>
      </c>
      <c r="O49" s="36">
        <f t="shared" si="4"/>
        <v>3000000.0000000005</v>
      </c>
      <c r="P49" s="36"/>
      <c r="Q49" s="36"/>
      <c r="R49" s="36"/>
      <c r="S49" s="36">
        <f>'Прил 2'!C48</f>
        <v>3000000.0000000005</v>
      </c>
      <c r="T49" s="36"/>
      <c r="U49" s="36">
        <f t="shared" si="5"/>
        <v>999.7667210984106</v>
      </c>
      <c r="V49" s="36"/>
      <c r="W49" s="2">
        <v>2020</v>
      </c>
      <c r="X49" s="2">
        <v>2020</v>
      </c>
    </row>
    <row r="50" spans="1:24" ht="15">
      <c r="A50" s="66">
        <v>17</v>
      </c>
      <c r="B50" s="11" t="s">
        <v>95</v>
      </c>
      <c r="C50" s="58" t="s">
        <v>69</v>
      </c>
      <c r="D50" s="58" t="s">
        <v>68</v>
      </c>
      <c r="E50" s="58"/>
      <c r="F50" s="11">
        <v>1965</v>
      </c>
      <c r="G50" s="2"/>
      <c r="H50" s="13" t="s">
        <v>71</v>
      </c>
      <c r="I50" s="14">
        <v>5</v>
      </c>
      <c r="J50" s="14">
        <v>4</v>
      </c>
      <c r="K50" s="40">
        <v>4097.3</v>
      </c>
      <c r="L50" s="12">
        <v>3808.1</v>
      </c>
      <c r="M50" s="12">
        <v>703.6</v>
      </c>
      <c r="N50" s="12">
        <v>150</v>
      </c>
      <c r="O50" s="36">
        <f t="shared" si="4"/>
        <v>2600000.0000000005</v>
      </c>
      <c r="P50" s="36"/>
      <c r="Q50" s="36"/>
      <c r="R50" s="36"/>
      <c r="S50" s="36">
        <f>'Прил 2'!C49</f>
        <v>2600000.0000000005</v>
      </c>
      <c r="T50" s="36"/>
      <c r="U50" s="36">
        <f t="shared" si="5"/>
        <v>682.7551797484311</v>
      </c>
      <c r="V50" s="36"/>
      <c r="W50" s="2">
        <v>2020</v>
      </c>
      <c r="X50" s="2">
        <v>2020</v>
      </c>
    </row>
    <row r="51" spans="1:24" ht="15">
      <c r="A51" s="66">
        <v>18</v>
      </c>
      <c r="B51" s="11" t="s">
        <v>94</v>
      </c>
      <c r="C51" s="58" t="s">
        <v>69</v>
      </c>
      <c r="D51" s="58" t="s">
        <v>68</v>
      </c>
      <c r="E51" s="58"/>
      <c r="F51" s="11">
        <v>1981</v>
      </c>
      <c r="G51" s="2"/>
      <c r="H51" s="13" t="s">
        <v>70</v>
      </c>
      <c r="I51" s="14">
        <v>5</v>
      </c>
      <c r="J51" s="14">
        <v>3</v>
      </c>
      <c r="K51" s="40">
        <v>2575.9</v>
      </c>
      <c r="L51" s="12">
        <f>2250.6+214.1</f>
        <v>2464.7</v>
      </c>
      <c r="M51" s="12">
        <v>1158.5</v>
      </c>
      <c r="N51" s="12">
        <v>105</v>
      </c>
      <c r="O51" s="36">
        <f t="shared" si="4"/>
        <v>1500000.0000000002</v>
      </c>
      <c r="P51" s="36"/>
      <c r="Q51" s="36"/>
      <c r="R51" s="36"/>
      <c r="S51" s="36">
        <f>'Прил 2'!C50</f>
        <v>1500000.0000000002</v>
      </c>
      <c r="T51" s="36"/>
      <c r="U51" s="36">
        <f t="shared" si="5"/>
        <v>608.5933379315942</v>
      </c>
      <c r="V51" s="36"/>
      <c r="W51" s="2">
        <v>2020</v>
      </c>
      <c r="X51" s="2">
        <v>2020</v>
      </c>
    </row>
    <row r="52" spans="1:24" ht="15">
      <c r="A52" s="66">
        <v>19</v>
      </c>
      <c r="B52" s="11" t="s">
        <v>128</v>
      </c>
      <c r="C52" s="58" t="s">
        <v>69</v>
      </c>
      <c r="D52" s="58" t="s">
        <v>68</v>
      </c>
      <c r="E52" s="42"/>
      <c r="F52" s="11">
        <v>1985</v>
      </c>
      <c r="G52" s="2"/>
      <c r="H52" s="13" t="s">
        <v>71</v>
      </c>
      <c r="I52" s="14">
        <v>5</v>
      </c>
      <c r="J52" s="14">
        <v>1</v>
      </c>
      <c r="K52" s="40">
        <v>1295.6</v>
      </c>
      <c r="L52" s="12">
        <v>1177.1</v>
      </c>
      <c r="M52" s="12"/>
      <c r="N52" s="12">
        <v>51</v>
      </c>
      <c r="O52" s="36">
        <f t="shared" si="4"/>
        <v>1243194.1650000003</v>
      </c>
      <c r="P52" s="36"/>
      <c r="Q52" s="36"/>
      <c r="R52" s="36"/>
      <c r="S52" s="36">
        <f>'Прил 2'!C51</f>
        <v>1243194.1650000003</v>
      </c>
      <c r="T52" s="36"/>
      <c r="U52" s="36">
        <f t="shared" si="5"/>
        <v>1056.1500000000003</v>
      </c>
      <c r="V52" s="36"/>
      <c r="W52" s="2">
        <v>2020</v>
      </c>
      <c r="X52" s="2">
        <v>2020</v>
      </c>
    </row>
    <row r="53" spans="1:24" ht="15">
      <c r="A53" s="66">
        <v>20</v>
      </c>
      <c r="B53" s="11" t="s">
        <v>129</v>
      </c>
      <c r="C53" s="58" t="s">
        <v>69</v>
      </c>
      <c r="D53" s="58" t="s">
        <v>68</v>
      </c>
      <c r="E53" s="42"/>
      <c r="F53" s="11">
        <v>1966</v>
      </c>
      <c r="G53" s="2"/>
      <c r="H53" s="13" t="s">
        <v>71</v>
      </c>
      <c r="I53" s="14">
        <v>5</v>
      </c>
      <c r="J53" s="14">
        <v>4</v>
      </c>
      <c r="K53" s="40">
        <v>3917</v>
      </c>
      <c r="L53" s="12">
        <v>3654.7</v>
      </c>
      <c r="M53" s="12">
        <v>82.6</v>
      </c>
      <c r="N53" s="12">
        <v>180</v>
      </c>
      <c r="O53" s="36">
        <f t="shared" si="4"/>
        <v>4183754.3720000004</v>
      </c>
      <c r="P53" s="36"/>
      <c r="Q53" s="36"/>
      <c r="R53" s="36"/>
      <c r="S53" s="36">
        <f>'Прил 2'!C52</f>
        <v>4183754.3720000004</v>
      </c>
      <c r="T53" s="36"/>
      <c r="U53" s="36">
        <f t="shared" si="5"/>
        <v>1144.7600000000002</v>
      </c>
      <c r="V53" s="36"/>
      <c r="W53" s="2">
        <v>2020</v>
      </c>
      <c r="X53" s="2">
        <v>2020</v>
      </c>
    </row>
    <row r="54" spans="1:24" ht="15">
      <c r="A54" s="66">
        <v>21</v>
      </c>
      <c r="B54" s="11" t="s">
        <v>130</v>
      </c>
      <c r="C54" s="58" t="s">
        <v>69</v>
      </c>
      <c r="D54" s="58" t="s">
        <v>68</v>
      </c>
      <c r="E54" s="42"/>
      <c r="F54" s="11">
        <v>1983</v>
      </c>
      <c r="G54" s="2"/>
      <c r="H54" s="13" t="s">
        <v>70</v>
      </c>
      <c r="I54" s="14">
        <v>5</v>
      </c>
      <c r="J54" s="14">
        <v>5</v>
      </c>
      <c r="K54" s="40">
        <v>3434.8</v>
      </c>
      <c r="L54" s="12">
        <v>3297.4</v>
      </c>
      <c r="M54" s="12"/>
      <c r="N54" s="12">
        <v>170</v>
      </c>
      <c r="O54" s="36">
        <f t="shared" si="4"/>
        <v>2928585.8100000005</v>
      </c>
      <c r="P54" s="36"/>
      <c r="Q54" s="36"/>
      <c r="R54" s="36"/>
      <c r="S54" s="36">
        <f>'Прил 2'!C53</f>
        <v>2928585.8100000005</v>
      </c>
      <c r="T54" s="36"/>
      <c r="U54" s="36">
        <f t="shared" si="5"/>
        <v>888.1500000000001</v>
      </c>
      <c r="V54" s="36"/>
      <c r="W54" s="2">
        <v>2020</v>
      </c>
      <c r="X54" s="2">
        <v>2020</v>
      </c>
    </row>
    <row r="55" spans="1:24" ht="15">
      <c r="A55" s="66">
        <v>22</v>
      </c>
      <c r="B55" s="11" t="s">
        <v>131</v>
      </c>
      <c r="C55" s="58" t="s">
        <v>69</v>
      </c>
      <c r="D55" s="58" t="s">
        <v>68</v>
      </c>
      <c r="E55" s="42"/>
      <c r="F55" s="11">
        <v>1981</v>
      </c>
      <c r="G55" s="2"/>
      <c r="H55" s="13" t="s">
        <v>70</v>
      </c>
      <c r="I55" s="14">
        <v>5</v>
      </c>
      <c r="J55" s="14">
        <v>5</v>
      </c>
      <c r="K55" s="40">
        <v>4023.3</v>
      </c>
      <c r="L55" s="12">
        <v>3532.5</v>
      </c>
      <c r="M55" s="12"/>
      <c r="N55" s="12">
        <v>179</v>
      </c>
      <c r="O55" s="36">
        <f t="shared" si="4"/>
        <v>3137389.8750000005</v>
      </c>
      <c r="P55" s="36"/>
      <c r="Q55" s="36"/>
      <c r="R55" s="36"/>
      <c r="S55" s="36">
        <f>'Прил 2'!C54</f>
        <v>3137389.8750000005</v>
      </c>
      <c r="T55" s="36"/>
      <c r="U55" s="36">
        <f t="shared" si="5"/>
        <v>888.1500000000001</v>
      </c>
      <c r="V55" s="36"/>
      <c r="W55" s="2">
        <v>2020</v>
      </c>
      <c r="X55" s="2">
        <v>2020</v>
      </c>
    </row>
    <row r="56" spans="1:24" ht="26.25">
      <c r="A56" s="66">
        <v>23</v>
      </c>
      <c r="B56" s="11" t="s">
        <v>132</v>
      </c>
      <c r="C56" s="58" t="s">
        <v>69</v>
      </c>
      <c r="D56" s="58" t="s">
        <v>68</v>
      </c>
      <c r="E56" s="42"/>
      <c r="F56" s="11">
        <v>1972</v>
      </c>
      <c r="G56" s="2"/>
      <c r="H56" s="13" t="s">
        <v>157</v>
      </c>
      <c r="I56" s="14">
        <v>5</v>
      </c>
      <c r="J56" s="14">
        <v>5</v>
      </c>
      <c r="K56" s="40">
        <v>3467.7</v>
      </c>
      <c r="L56" s="12">
        <v>3135.4</v>
      </c>
      <c r="M56" s="12"/>
      <c r="N56" s="12">
        <v>185</v>
      </c>
      <c r="O56" s="36">
        <f t="shared" si="4"/>
        <v>2784705.5100000007</v>
      </c>
      <c r="P56" s="36"/>
      <c r="Q56" s="36"/>
      <c r="R56" s="36"/>
      <c r="S56" s="36">
        <f>'Прил 2'!C55</f>
        <v>2784705.5100000007</v>
      </c>
      <c r="T56" s="36"/>
      <c r="U56" s="36">
        <f t="shared" si="5"/>
        <v>888.1500000000002</v>
      </c>
      <c r="V56" s="36"/>
      <c r="W56" s="2">
        <v>2020</v>
      </c>
      <c r="X56" s="2">
        <v>2020</v>
      </c>
    </row>
    <row r="57" spans="1:24" ht="15">
      <c r="A57" s="66">
        <v>24</v>
      </c>
      <c r="B57" s="11" t="s">
        <v>133</v>
      </c>
      <c r="C57" s="58" t="s">
        <v>69</v>
      </c>
      <c r="D57" s="58" t="s">
        <v>68</v>
      </c>
      <c r="E57" s="42"/>
      <c r="F57" s="11">
        <v>1965</v>
      </c>
      <c r="G57" s="2"/>
      <c r="H57" s="13" t="s">
        <v>71</v>
      </c>
      <c r="I57" s="14">
        <v>5</v>
      </c>
      <c r="J57" s="14">
        <v>4</v>
      </c>
      <c r="K57" s="40">
        <v>3895.8</v>
      </c>
      <c r="L57" s="12">
        <v>3646.4</v>
      </c>
      <c r="M57" s="12"/>
      <c r="N57" s="12">
        <v>143</v>
      </c>
      <c r="O57" s="36">
        <f t="shared" si="4"/>
        <v>3238550.1600000006</v>
      </c>
      <c r="P57" s="36"/>
      <c r="Q57" s="36"/>
      <c r="R57" s="36"/>
      <c r="S57" s="36">
        <f>'Прил 2'!C56</f>
        <v>3238550.1600000006</v>
      </c>
      <c r="T57" s="36"/>
      <c r="U57" s="36">
        <f t="shared" si="5"/>
        <v>888.1500000000001</v>
      </c>
      <c r="V57" s="36"/>
      <c r="W57" s="2">
        <v>2020</v>
      </c>
      <c r="X57" s="2">
        <v>2020</v>
      </c>
    </row>
    <row r="58" spans="1:24" ht="15">
      <c r="A58" s="66">
        <v>25</v>
      </c>
      <c r="B58" s="11" t="s">
        <v>134</v>
      </c>
      <c r="C58" s="58" t="s">
        <v>69</v>
      </c>
      <c r="D58" s="58" t="s">
        <v>68</v>
      </c>
      <c r="E58" s="42"/>
      <c r="F58" s="11">
        <v>1966</v>
      </c>
      <c r="G58" s="2"/>
      <c r="H58" s="13" t="s">
        <v>71</v>
      </c>
      <c r="I58" s="14">
        <v>5</v>
      </c>
      <c r="J58" s="14">
        <v>4</v>
      </c>
      <c r="K58" s="40">
        <v>4105.7</v>
      </c>
      <c r="L58" s="12">
        <v>3509.3</v>
      </c>
      <c r="M58" s="12"/>
      <c r="N58" s="12">
        <v>148</v>
      </c>
      <c r="O58" s="36">
        <f t="shared" si="4"/>
        <v>3116784.795000001</v>
      </c>
      <c r="P58" s="36"/>
      <c r="Q58" s="36"/>
      <c r="R58" s="36"/>
      <c r="S58" s="36">
        <f>'Прил 2'!C57</f>
        <v>3116784.795000001</v>
      </c>
      <c r="T58" s="36"/>
      <c r="U58" s="36">
        <f t="shared" si="5"/>
        <v>888.1500000000002</v>
      </c>
      <c r="V58" s="36"/>
      <c r="W58" s="2">
        <v>2020</v>
      </c>
      <c r="X58" s="2">
        <v>2020</v>
      </c>
    </row>
    <row r="59" spans="1:24" s="49" customFormat="1" ht="15">
      <c r="A59" s="51" t="s">
        <v>88</v>
      </c>
      <c r="B59" s="52"/>
      <c r="C59" s="44"/>
      <c r="D59" s="44"/>
      <c r="E59" s="44"/>
      <c r="F59" s="52"/>
      <c r="G59" s="45"/>
      <c r="H59" s="53"/>
      <c r="I59" s="54"/>
      <c r="J59" s="54"/>
      <c r="K59" s="55">
        <f>SUM(K60:K84)</f>
        <v>111700.70000000001</v>
      </c>
      <c r="L59" s="55">
        <f aca="true" t="shared" si="6" ref="L59:U59">SUM(L60:L84)</f>
        <v>99192.9</v>
      </c>
      <c r="M59" s="55">
        <f t="shared" si="6"/>
        <v>39930.6</v>
      </c>
      <c r="N59" s="55">
        <f t="shared" si="6"/>
        <v>4202.1</v>
      </c>
      <c r="O59" s="55">
        <f t="shared" si="6"/>
        <v>75067861.95500001</v>
      </c>
      <c r="P59" s="55">
        <f t="shared" si="6"/>
        <v>0</v>
      </c>
      <c r="Q59" s="55">
        <f t="shared" si="6"/>
        <v>0</v>
      </c>
      <c r="R59" s="55">
        <f t="shared" si="6"/>
        <v>0</v>
      </c>
      <c r="S59" s="55">
        <f t="shared" si="6"/>
        <v>75067861.95500001</v>
      </c>
      <c r="T59" s="55">
        <f t="shared" si="6"/>
        <v>0</v>
      </c>
      <c r="U59" s="55">
        <f t="shared" si="6"/>
        <v>17758.15102336313</v>
      </c>
      <c r="V59" s="47"/>
      <c r="W59" s="45"/>
      <c r="X59" s="45"/>
    </row>
    <row r="60" spans="1:24" ht="15">
      <c r="A60" s="41">
        <v>1</v>
      </c>
      <c r="B60" s="11" t="s">
        <v>135</v>
      </c>
      <c r="C60" s="42" t="s">
        <v>69</v>
      </c>
      <c r="D60" s="42" t="s">
        <v>68</v>
      </c>
      <c r="E60" s="42"/>
      <c r="F60" s="11">
        <v>1972</v>
      </c>
      <c r="G60" s="68">
        <v>2005</v>
      </c>
      <c r="H60" s="13" t="s">
        <v>71</v>
      </c>
      <c r="I60" s="14">
        <v>5</v>
      </c>
      <c r="J60" s="14">
        <v>3</v>
      </c>
      <c r="K60" s="40">
        <v>3786.8</v>
      </c>
      <c r="L60" s="12">
        <v>3517.1</v>
      </c>
      <c r="M60" s="12">
        <v>2896.3</v>
      </c>
      <c r="N60" s="12">
        <v>115</v>
      </c>
      <c r="O60" s="36">
        <f t="shared" si="4"/>
        <v>4500000.000000001</v>
      </c>
      <c r="P60" s="36"/>
      <c r="Q60" s="36"/>
      <c r="R60" s="36"/>
      <c r="S60" s="36">
        <f>'Прил 2'!C59</f>
        <v>4500000.000000001</v>
      </c>
      <c r="T60" s="36"/>
      <c r="U60" s="36"/>
      <c r="V60" s="36"/>
      <c r="W60" s="2">
        <v>2021</v>
      </c>
      <c r="X60" s="2">
        <v>2021</v>
      </c>
    </row>
    <row r="61" spans="1:24" ht="15">
      <c r="A61" s="41">
        <v>2</v>
      </c>
      <c r="B61" s="11" t="s">
        <v>136</v>
      </c>
      <c r="C61" s="64" t="s">
        <v>69</v>
      </c>
      <c r="D61" s="64" t="s">
        <v>68</v>
      </c>
      <c r="E61" s="42"/>
      <c r="F61" s="11">
        <v>1975</v>
      </c>
      <c r="G61" s="2"/>
      <c r="H61" s="13" t="s">
        <v>71</v>
      </c>
      <c r="I61" s="14">
        <v>5</v>
      </c>
      <c r="J61" s="14">
        <v>5</v>
      </c>
      <c r="K61" s="40">
        <v>3984.7</v>
      </c>
      <c r="L61" s="12">
        <v>3044.3</v>
      </c>
      <c r="M61" s="12">
        <v>2158.9</v>
      </c>
      <c r="N61" s="12">
        <v>171</v>
      </c>
      <c r="O61" s="36">
        <f t="shared" si="4"/>
        <v>3552500.0000000005</v>
      </c>
      <c r="P61" s="36"/>
      <c r="Q61" s="36"/>
      <c r="R61" s="36"/>
      <c r="S61" s="36">
        <f>'Прил 2'!C60</f>
        <v>3552500.0000000005</v>
      </c>
      <c r="T61" s="36"/>
      <c r="U61" s="36">
        <f>O61/L61</f>
        <v>1166.9349275695563</v>
      </c>
      <c r="V61" s="36"/>
      <c r="W61" s="2">
        <v>2021</v>
      </c>
      <c r="X61" s="2">
        <v>2021</v>
      </c>
    </row>
    <row r="62" spans="1:24" ht="15">
      <c r="A62" s="57">
        <v>3</v>
      </c>
      <c r="B62" s="11" t="s">
        <v>137</v>
      </c>
      <c r="C62" s="64" t="s">
        <v>69</v>
      </c>
      <c r="D62" s="64" t="s">
        <v>68</v>
      </c>
      <c r="E62" s="42"/>
      <c r="F62" s="11">
        <v>1972</v>
      </c>
      <c r="G62" s="2"/>
      <c r="H62" s="13" t="s">
        <v>71</v>
      </c>
      <c r="I62" s="14">
        <v>5</v>
      </c>
      <c r="J62" s="14">
        <v>6</v>
      </c>
      <c r="K62" s="40">
        <v>4927.4</v>
      </c>
      <c r="L62" s="12">
        <v>3475.2</v>
      </c>
      <c r="M62" s="12">
        <v>2316.8</v>
      </c>
      <c r="N62" s="12">
        <v>192</v>
      </c>
      <c r="O62" s="36">
        <f t="shared" si="4"/>
        <v>6000000.000000001</v>
      </c>
      <c r="P62" s="36"/>
      <c r="Q62" s="36"/>
      <c r="R62" s="36"/>
      <c r="S62" s="36">
        <f>'Прил 2'!C61</f>
        <v>6000000.000000001</v>
      </c>
      <c r="T62" s="36"/>
      <c r="U62" s="36">
        <f aca="true" t="shared" si="7" ref="U62:U81">O62/L62</f>
        <v>1726.519337016575</v>
      </c>
      <c r="V62" s="36"/>
      <c r="W62" s="2">
        <v>2021</v>
      </c>
      <c r="X62" s="2">
        <v>2021</v>
      </c>
    </row>
    <row r="63" spans="1:24" ht="15">
      <c r="A63" s="57">
        <v>4</v>
      </c>
      <c r="B63" s="11" t="s">
        <v>138</v>
      </c>
      <c r="C63" s="64" t="s">
        <v>69</v>
      </c>
      <c r="D63" s="64" t="s">
        <v>68</v>
      </c>
      <c r="E63" s="42"/>
      <c r="F63" s="11">
        <v>1974</v>
      </c>
      <c r="G63" s="2"/>
      <c r="H63" s="13" t="s">
        <v>71</v>
      </c>
      <c r="I63" s="14">
        <v>5</v>
      </c>
      <c r="J63" s="14">
        <v>6</v>
      </c>
      <c r="K63" s="40">
        <v>5764.5</v>
      </c>
      <c r="L63" s="12">
        <v>5355.5</v>
      </c>
      <c r="M63" s="12">
        <v>3750.8</v>
      </c>
      <c r="N63" s="12">
        <v>204</v>
      </c>
      <c r="O63" s="36">
        <f t="shared" si="4"/>
        <v>1062000.0000000002</v>
      </c>
      <c r="P63" s="36"/>
      <c r="Q63" s="36"/>
      <c r="R63" s="36"/>
      <c r="S63" s="36">
        <f>'Прил 2'!C62</f>
        <v>1062000.0000000002</v>
      </c>
      <c r="T63" s="36"/>
      <c r="U63" s="36">
        <f t="shared" si="7"/>
        <v>198.30081224908977</v>
      </c>
      <c r="V63" s="36"/>
      <c r="W63" s="2">
        <v>2021</v>
      </c>
      <c r="X63" s="2">
        <v>2021</v>
      </c>
    </row>
    <row r="64" spans="1:24" ht="15">
      <c r="A64" s="41">
        <v>5</v>
      </c>
      <c r="B64" s="11" t="s">
        <v>139</v>
      </c>
      <c r="C64" s="64" t="s">
        <v>69</v>
      </c>
      <c r="D64" s="64" t="s">
        <v>68</v>
      </c>
      <c r="E64" s="42"/>
      <c r="F64" s="11">
        <v>1975</v>
      </c>
      <c r="G64" s="2"/>
      <c r="H64" s="13" t="s">
        <v>70</v>
      </c>
      <c r="I64" s="14">
        <v>5</v>
      </c>
      <c r="J64" s="14">
        <v>5</v>
      </c>
      <c r="K64" s="40">
        <v>4700.5</v>
      </c>
      <c r="L64" s="12">
        <v>4087.2</v>
      </c>
      <c r="M64" s="12">
        <v>2043.5</v>
      </c>
      <c r="N64" s="12">
        <v>157</v>
      </c>
      <c r="O64" s="36">
        <f t="shared" si="4"/>
        <v>875000.0000000001</v>
      </c>
      <c r="P64" s="36"/>
      <c r="Q64" s="36"/>
      <c r="R64" s="36"/>
      <c r="S64" s="36">
        <f>'Прил 2'!C63</f>
        <v>875000.0000000001</v>
      </c>
      <c r="T64" s="36"/>
      <c r="U64" s="36">
        <f t="shared" si="7"/>
        <v>214.0829908005481</v>
      </c>
      <c r="V64" s="36"/>
      <c r="W64" s="2">
        <v>2021</v>
      </c>
      <c r="X64" s="2">
        <v>2021</v>
      </c>
    </row>
    <row r="65" spans="1:24" ht="26.25">
      <c r="A65" s="41">
        <v>6</v>
      </c>
      <c r="B65" s="11" t="s">
        <v>140</v>
      </c>
      <c r="C65" s="64" t="s">
        <v>69</v>
      </c>
      <c r="D65" s="64" t="s">
        <v>68</v>
      </c>
      <c r="E65" s="42"/>
      <c r="F65" s="11" t="s">
        <v>158</v>
      </c>
      <c r="G65" s="2"/>
      <c r="H65" s="13" t="s">
        <v>99</v>
      </c>
      <c r="I65" s="14">
        <v>5</v>
      </c>
      <c r="J65" s="14">
        <v>5</v>
      </c>
      <c r="K65" s="40">
        <v>3991.8</v>
      </c>
      <c r="L65" s="12">
        <v>3700.6</v>
      </c>
      <c r="M65" s="12">
        <v>2765.2</v>
      </c>
      <c r="N65" s="12">
        <v>182</v>
      </c>
      <c r="O65" s="36">
        <f t="shared" si="4"/>
        <v>871000</v>
      </c>
      <c r="P65" s="36"/>
      <c r="Q65" s="36"/>
      <c r="R65" s="36"/>
      <c r="S65" s="36">
        <f>'Прил 2'!C64</f>
        <v>871000</v>
      </c>
      <c r="T65" s="36"/>
      <c r="U65" s="36">
        <f t="shared" si="7"/>
        <v>235.3672377452305</v>
      </c>
      <c r="V65" s="36"/>
      <c r="W65" s="2">
        <v>2021</v>
      </c>
      <c r="X65" s="2">
        <v>2021</v>
      </c>
    </row>
    <row r="66" spans="1:24" ht="15">
      <c r="A66" s="41">
        <v>7</v>
      </c>
      <c r="B66" s="11" t="s">
        <v>141</v>
      </c>
      <c r="C66" s="64" t="s">
        <v>69</v>
      </c>
      <c r="D66" s="64" t="s">
        <v>68</v>
      </c>
      <c r="E66" s="42"/>
      <c r="F66" s="11">
        <v>1971</v>
      </c>
      <c r="G66" s="2"/>
      <c r="H66" s="13" t="s">
        <v>71</v>
      </c>
      <c r="I66" s="14">
        <v>5</v>
      </c>
      <c r="J66" s="14">
        <v>4</v>
      </c>
      <c r="K66" s="40">
        <v>3628.6</v>
      </c>
      <c r="L66" s="12">
        <v>3336.5</v>
      </c>
      <c r="M66" s="12">
        <v>2224.6</v>
      </c>
      <c r="N66" s="12">
        <v>152</v>
      </c>
      <c r="O66" s="36">
        <f t="shared" si="4"/>
        <v>720000</v>
      </c>
      <c r="P66" s="36"/>
      <c r="Q66" s="36"/>
      <c r="R66" s="36"/>
      <c r="S66" s="36">
        <f>'Прил 2'!C65</f>
        <v>720000</v>
      </c>
      <c r="T66" s="36"/>
      <c r="U66" s="36">
        <f t="shared" si="7"/>
        <v>215.79499475498275</v>
      </c>
      <c r="V66" s="36"/>
      <c r="W66" s="2">
        <v>2021</v>
      </c>
      <c r="X66" s="2">
        <v>2021</v>
      </c>
    </row>
    <row r="67" spans="1:24" ht="15">
      <c r="A67" s="66">
        <v>8</v>
      </c>
      <c r="B67" s="11" t="s">
        <v>142</v>
      </c>
      <c r="C67" s="64" t="s">
        <v>69</v>
      </c>
      <c r="D67" s="64" t="s">
        <v>68</v>
      </c>
      <c r="E67" s="42"/>
      <c r="F67" s="11">
        <v>1988</v>
      </c>
      <c r="G67" s="2"/>
      <c r="H67" s="13" t="s">
        <v>70</v>
      </c>
      <c r="I67" s="14">
        <v>9</v>
      </c>
      <c r="J67" s="14">
        <v>3</v>
      </c>
      <c r="K67" s="40">
        <v>5806.9</v>
      </c>
      <c r="L67" s="12">
        <v>5039.2</v>
      </c>
      <c r="M67" s="12">
        <v>3359.5</v>
      </c>
      <c r="N67" s="12">
        <v>276</v>
      </c>
      <c r="O67" s="36">
        <f t="shared" si="4"/>
        <v>7019051.290000001</v>
      </c>
      <c r="P67" s="36"/>
      <c r="Q67" s="36"/>
      <c r="R67" s="36"/>
      <c r="S67" s="36">
        <f>'Прил 2'!C66</f>
        <v>7019051.290000001</v>
      </c>
      <c r="T67" s="36"/>
      <c r="U67" s="36">
        <f t="shared" si="7"/>
        <v>1392.8900003968886</v>
      </c>
      <c r="V67" s="36"/>
      <c r="W67" s="2">
        <v>2021</v>
      </c>
      <c r="X67" s="2">
        <v>2021</v>
      </c>
    </row>
    <row r="68" spans="1:24" ht="15">
      <c r="A68" s="66">
        <v>9</v>
      </c>
      <c r="B68" s="11" t="s">
        <v>74</v>
      </c>
      <c r="C68" s="67" t="s">
        <v>69</v>
      </c>
      <c r="D68" s="67" t="s">
        <v>68</v>
      </c>
      <c r="E68" s="67"/>
      <c r="F68" s="11">
        <v>1986</v>
      </c>
      <c r="G68" s="2"/>
      <c r="H68" s="13" t="s">
        <v>70</v>
      </c>
      <c r="I68" s="14">
        <v>9</v>
      </c>
      <c r="J68" s="14">
        <v>4</v>
      </c>
      <c r="K68" s="60">
        <v>7735.7</v>
      </c>
      <c r="L68" s="12">
        <f>SUM(M68:N68)</f>
        <v>6737.900000000001</v>
      </c>
      <c r="M68" s="12">
        <v>6603.8</v>
      </c>
      <c r="N68" s="12">
        <v>134.1</v>
      </c>
      <c r="O68" s="36">
        <f>SUM(P68:T68)</f>
        <v>5923713.235000001</v>
      </c>
      <c r="P68" s="36"/>
      <c r="Q68" s="36"/>
      <c r="R68" s="36"/>
      <c r="S68" s="36">
        <f>'Прил 2'!C67</f>
        <v>5923713.235000001</v>
      </c>
      <c r="T68" s="36"/>
      <c r="U68" s="36">
        <f>O68/L68</f>
        <v>879.1631272354889</v>
      </c>
      <c r="V68" s="36"/>
      <c r="W68" s="2">
        <v>2018</v>
      </c>
      <c r="X68" s="2">
        <v>2021</v>
      </c>
    </row>
    <row r="69" spans="1:24" ht="15">
      <c r="A69" s="66">
        <v>10</v>
      </c>
      <c r="B69" s="11" t="s">
        <v>143</v>
      </c>
      <c r="C69" s="64" t="s">
        <v>69</v>
      </c>
      <c r="D69" s="64" t="s">
        <v>68</v>
      </c>
      <c r="E69" s="42"/>
      <c r="F69" s="11">
        <v>1962</v>
      </c>
      <c r="G69" s="2"/>
      <c r="H69" s="13" t="s">
        <v>71</v>
      </c>
      <c r="I69" s="14">
        <v>5</v>
      </c>
      <c r="J69" s="14">
        <v>4</v>
      </c>
      <c r="K69" s="40">
        <v>3210.2</v>
      </c>
      <c r="L69" s="12">
        <v>2983</v>
      </c>
      <c r="M69" s="12"/>
      <c r="N69" s="12">
        <v>84</v>
      </c>
      <c r="O69" s="36">
        <f t="shared" si="4"/>
        <v>6500000.000000001</v>
      </c>
      <c r="P69" s="36"/>
      <c r="Q69" s="36"/>
      <c r="R69" s="36"/>
      <c r="S69" s="36">
        <f>'Прил 2'!C68</f>
        <v>6500000.000000001</v>
      </c>
      <c r="T69" s="36"/>
      <c r="U69" s="36">
        <f t="shared" si="7"/>
        <v>2179.0144150184383</v>
      </c>
      <c r="V69" s="36"/>
      <c r="W69" s="2">
        <v>2021</v>
      </c>
      <c r="X69" s="2">
        <v>2021</v>
      </c>
    </row>
    <row r="70" spans="1:24" ht="15">
      <c r="A70" s="66">
        <v>11</v>
      </c>
      <c r="B70" s="11" t="s">
        <v>87</v>
      </c>
      <c r="C70" s="64" t="s">
        <v>69</v>
      </c>
      <c r="D70" s="64" t="s">
        <v>68</v>
      </c>
      <c r="E70" s="42"/>
      <c r="F70" s="11">
        <v>1966</v>
      </c>
      <c r="G70" s="2"/>
      <c r="H70" s="13" t="s">
        <v>71</v>
      </c>
      <c r="I70" s="14">
        <v>5</v>
      </c>
      <c r="J70" s="14">
        <v>4</v>
      </c>
      <c r="K70" s="40">
        <v>3918.4</v>
      </c>
      <c r="L70" s="12">
        <v>3650.5</v>
      </c>
      <c r="M70" s="12">
        <v>888.7</v>
      </c>
      <c r="N70" s="12">
        <v>133</v>
      </c>
      <c r="O70" s="36">
        <f t="shared" si="4"/>
        <v>2000000.0000000002</v>
      </c>
      <c r="P70" s="36"/>
      <c r="Q70" s="36"/>
      <c r="R70" s="36"/>
      <c r="S70" s="36">
        <f>'Прил 2'!C69</f>
        <v>2000000.0000000002</v>
      </c>
      <c r="T70" s="36"/>
      <c r="U70" s="36">
        <f t="shared" si="7"/>
        <v>547.8701547733187</v>
      </c>
      <c r="V70" s="36"/>
      <c r="W70" s="2">
        <v>2021</v>
      </c>
      <c r="X70" s="2">
        <v>2021</v>
      </c>
    </row>
    <row r="71" spans="1:24" ht="15">
      <c r="A71" s="66">
        <v>12</v>
      </c>
      <c r="B71" s="11" t="s">
        <v>144</v>
      </c>
      <c r="C71" s="64" t="s">
        <v>69</v>
      </c>
      <c r="D71" s="64" t="s">
        <v>68</v>
      </c>
      <c r="E71" s="42"/>
      <c r="F71" s="11">
        <v>1979</v>
      </c>
      <c r="G71" s="2"/>
      <c r="H71" s="13" t="s">
        <v>70</v>
      </c>
      <c r="I71" s="14">
        <v>9</v>
      </c>
      <c r="J71" s="14">
        <v>4</v>
      </c>
      <c r="K71" s="40">
        <v>4791.2</v>
      </c>
      <c r="L71" s="12">
        <v>4287.9</v>
      </c>
      <c r="M71" s="12">
        <v>1048.6</v>
      </c>
      <c r="N71" s="12">
        <v>217</v>
      </c>
      <c r="O71" s="36">
        <f t="shared" si="4"/>
        <v>2500000</v>
      </c>
      <c r="P71" s="36"/>
      <c r="Q71" s="36"/>
      <c r="R71" s="36"/>
      <c r="S71" s="36">
        <f>'Прил 2'!C70</f>
        <v>2500000</v>
      </c>
      <c r="T71" s="36"/>
      <c r="U71" s="36">
        <f t="shared" si="7"/>
        <v>583.035984980993</v>
      </c>
      <c r="V71" s="36"/>
      <c r="W71" s="2">
        <v>2021</v>
      </c>
      <c r="X71" s="2">
        <v>2021</v>
      </c>
    </row>
    <row r="72" spans="1:24" ht="15">
      <c r="A72" s="66">
        <v>13</v>
      </c>
      <c r="B72" s="11" t="s">
        <v>145</v>
      </c>
      <c r="C72" s="64" t="s">
        <v>69</v>
      </c>
      <c r="D72" s="64" t="s">
        <v>68</v>
      </c>
      <c r="E72" s="42"/>
      <c r="F72" s="11" t="s">
        <v>159</v>
      </c>
      <c r="G72" s="2"/>
      <c r="H72" s="13" t="s">
        <v>70</v>
      </c>
      <c r="I72" s="14">
        <v>5</v>
      </c>
      <c r="J72" s="14">
        <v>4</v>
      </c>
      <c r="K72" s="40">
        <v>2913.1</v>
      </c>
      <c r="L72" s="12">
        <v>2610.2</v>
      </c>
      <c r="M72" s="12">
        <v>296.9</v>
      </c>
      <c r="N72" s="12">
        <v>82</v>
      </c>
      <c r="O72" s="36">
        <f t="shared" si="4"/>
        <v>947117.9400000001</v>
      </c>
      <c r="P72" s="36"/>
      <c r="Q72" s="36"/>
      <c r="R72" s="36"/>
      <c r="S72" s="36">
        <f>'Прил 2'!C71</f>
        <v>947117.9400000001</v>
      </c>
      <c r="T72" s="36"/>
      <c r="U72" s="36">
        <f t="shared" si="7"/>
        <v>362.8526319822236</v>
      </c>
      <c r="V72" s="36"/>
      <c r="W72" s="2">
        <v>2021</v>
      </c>
      <c r="X72" s="2">
        <v>2021</v>
      </c>
    </row>
    <row r="73" spans="1:24" ht="15">
      <c r="A73" s="66">
        <v>14</v>
      </c>
      <c r="B73" s="11" t="s">
        <v>146</v>
      </c>
      <c r="C73" s="64" t="s">
        <v>69</v>
      </c>
      <c r="D73" s="64" t="s">
        <v>68</v>
      </c>
      <c r="E73" s="42"/>
      <c r="F73" s="11">
        <v>1957</v>
      </c>
      <c r="G73" s="2"/>
      <c r="H73" s="13" t="s">
        <v>71</v>
      </c>
      <c r="I73" s="14">
        <v>3</v>
      </c>
      <c r="J73" s="14">
        <v>3</v>
      </c>
      <c r="K73" s="40">
        <v>3188.6</v>
      </c>
      <c r="L73" s="12">
        <v>2883.7</v>
      </c>
      <c r="M73" s="12">
        <v>465.6</v>
      </c>
      <c r="N73" s="12">
        <v>115</v>
      </c>
      <c r="O73" s="36">
        <f t="shared" si="4"/>
        <v>2600000.0000000005</v>
      </c>
      <c r="P73" s="36"/>
      <c r="Q73" s="36"/>
      <c r="R73" s="36"/>
      <c r="S73" s="36">
        <f>'Прил 2'!C72</f>
        <v>2600000.0000000005</v>
      </c>
      <c r="T73" s="36"/>
      <c r="U73" s="36">
        <f t="shared" si="7"/>
        <v>901.6194472379237</v>
      </c>
      <c r="V73" s="36"/>
      <c r="W73" s="2">
        <v>2021</v>
      </c>
      <c r="X73" s="2">
        <v>2021</v>
      </c>
    </row>
    <row r="74" spans="1:24" ht="15">
      <c r="A74" s="66">
        <v>15</v>
      </c>
      <c r="B74" s="11" t="s">
        <v>147</v>
      </c>
      <c r="C74" s="64" t="s">
        <v>69</v>
      </c>
      <c r="D74" s="64" t="s">
        <v>68</v>
      </c>
      <c r="E74" s="42"/>
      <c r="F74" s="11">
        <v>1958</v>
      </c>
      <c r="G74" s="2"/>
      <c r="H74" s="13" t="s">
        <v>71</v>
      </c>
      <c r="I74" s="14">
        <v>5</v>
      </c>
      <c r="J74" s="14">
        <v>5</v>
      </c>
      <c r="K74" s="40">
        <v>2642.4</v>
      </c>
      <c r="L74" s="12">
        <v>2382.6</v>
      </c>
      <c r="M74" s="12">
        <v>123.1</v>
      </c>
      <c r="N74" s="12">
        <v>82</v>
      </c>
      <c r="O74" s="36">
        <f t="shared" si="4"/>
        <v>3300000</v>
      </c>
      <c r="P74" s="36"/>
      <c r="Q74" s="36"/>
      <c r="R74" s="36"/>
      <c r="S74" s="36">
        <f>'Прил 2'!C73</f>
        <v>3300000</v>
      </c>
      <c r="T74" s="36"/>
      <c r="U74" s="36">
        <f t="shared" si="7"/>
        <v>1385.0415512465374</v>
      </c>
      <c r="V74" s="36"/>
      <c r="W74" s="2">
        <v>2021</v>
      </c>
      <c r="X74" s="2">
        <v>2021</v>
      </c>
    </row>
    <row r="75" spans="1:24" ht="15">
      <c r="A75" s="66">
        <v>16</v>
      </c>
      <c r="B75" s="11" t="s">
        <v>148</v>
      </c>
      <c r="C75" s="64" t="s">
        <v>69</v>
      </c>
      <c r="D75" s="64" t="s">
        <v>68</v>
      </c>
      <c r="E75" s="42"/>
      <c r="F75" s="11">
        <v>1958</v>
      </c>
      <c r="G75" s="2"/>
      <c r="H75" s="13" t="s">
        <v>71</v>
      </c>
      <c r="I75" s="14">
        <v>5</v>
      </c>
      <c r="J75" s="14">
        <v>5</v>
      </c>
      <c r="K75" s="40">
        <v>7951.6</v>
      </c>
      <c r="L75" s="12">
        <v>7113</v>
      </c>
      <c r="M75" s="12">
        <v>2880</v>
      </c>
      <c r="N75" s="12">
        <v>333</v>
      </c>
      <c r="O75" s="36">
        <f t="shared" si="4"/>
        <v>3000000.0000000005</v>
      </c>
      <c r="P75" s="36"/>
      <c r="Q75" s="36"/>
      <c r="R75" s="36"/>
      <c r="S75" s="36">
        <f>'Прил 2'!C74</f>
        <v>3000000.0000000005</v>
      </c>
      <c r="T75" s="36"/>
      <c r="U75" s="36">
        <f t="shared" si="7"/>
        <v>421.7629692113033</v>
      </c>
      <c r="V75" s="36"/>
      <c r="W75" s="2">
        <v>2021</v>
      </c>
      <c r="X75" s="2">
        <v>2021</v>
      </c>
    </row>
    <row r="76" spans="1:24" ht="15">
      <c r="A76" s="66">
        <v>17</v>
      </c>
      <c r="B76" s="11" t="s">
        <v>76</v>
      </c>
      <c r="C76" s="67" t="s">
        <v>69</v>
      </c>
      <c r="D76" s="67" t="s">
        <v>68</v>
      </c>
      <c r="E76" s="67"/>
      <c r="F76" s="11" t="s">
        <v>77</v>
      </c>
      <c r="G76" s="2"/>
      <c r="H76" s="13" t="s">
        <v>70</v>
      </c>
      <c r="I76" s="14">
        <v>9</v>
      </c>
      <c r="J76" s="14">
        <v>7</v>
      </c>
      <c r="K76" s="60">
        <v>13038.6</v>
      </c>
      <c r="L76" s="12">
        <v>12124</v>
      </c>
      <c r="M76" s="12">
        <f>L76*0.45</f>
        <v>5455.8</v>
      </c>
      <c r="N76" s="12">
        <v>567</v>
      </c>
      <c r="O76" s="36">
        <f>SUM(P76:T76)</f>
        <v>12151206.64</v>
      </c>
      <c r="P76" s="36"/>
      <c r="Q76" s="36"/>
      <c r="R76" s="36"/>
      <c r="S76" s="36">
        <f>'Прил 2'!C75</f>
        <v>12151206.64</v>
      </c>
      <c r="T76" s="36"/>
      <c r="U76" s="36">
        <f>O76/L76</f>
        <v>1002.2440316727153</v>
      </c>
      <c r="V76" s="36"/>
      <c r="W76" s="2">
        <v>2021</v>
      </c>
      <c r="X76" s="2">
        <v>2021</v>
      </c>
    </row>
    <row r="77" spans="1:24" ht="15">
      <c r="A77" s="66">
        <v>18</v>
      </c>
      <c r="B77" s="11" t="s">
        <v>149</v>
      </c>
      <c r="C77" s="64" t="s">
        <v>69</v>
      </c>
      <c r="D77" s="64" t="s">
        <v>68</v>
      </c>
      <c r="E77" s="42"/>
      <c r="F77" s="11">
        <v>1967</v>
      </c>
      <c r="G77" s="2"/>
      <c r="H77" s="13" t="s">
        <v>70</v>
      </c>
      <c r="I77" s="14">
        <v>5</v>
      </c>
      <c r="J77" s="14">
        <v>3</v>
      </c>
      <c r="K77" s="40">
        <v>2275.6</v>
      </c>
      <c r="L77" s="12">
        <v>2122.9</v>
      </c>
      <c r="M77" s="12">
        <v>652.5</v>
      </c>
      <c r="N77" s="12">
        <v>48</v>
      </c>
      <c r="O77" s="36">
        <f t="shared" si="4"/>
        <v>2600000.0000000005</v>
      </c>
      <c r="P77" s="36"/>
      <c r="Q77" s="36"/>
      <c r="R77" s="36"/>
      <c r="S77" s="36">
        <f>'Прил 2'!C76</f>
        <v>2600000.0000000005</v>
      </c>
      <c r="T77" s="36"/>
      <c r="U77" s="36">
        <f t="shared" si="7"/>
        <v>1224.7397428046543</v>
      </c>
      <c r="V77" s="36"/>
      <c r="W77" s="2">
        <v>2021</v>
      </c>
      <c r="X77" s="2">
        <v>2021</v>
      </c>
    </row>
    <row r="78" spans="1:24" ht="15">
      <c r="A78" s="66">
        <v>19</v>
      </c>
      <c r="B78" s="11" t="s">
        <v>150</v>
      </c>
      <c r="C78" s="64" t="s">
        <v>69</v>
      </c>
      <c r="D78" s="64" t="s">
        <v>68</v>
      </c>
      <c r="E78" s="42"/>
      <c r="F78" s="11">
        <v>1984</v>
      </c>
      <c r="G78" s="2"/>
      <c r="H78" s="13" t="s">
        <v>70</v>
      </c>
      <c r="I78" s="14">
        <v>5</v>
      </c>
      <c r="J78" s="14">
        <v>3</v>
      </c>
      <c r="K78" s="40">
        <v>3916.2</v>
      </c>
      <c r="L78" s="12">
        <v>3434.7</v>
      </c>
      <c r="M78" s="12"/>
      <c r="N78" s="12">
        <v>103</v>
      </c>
      <c r="O78" s="36">
        <f t="shared" si="4"/>
        <v>1261107.35</v>
      </c>
      <c r="P78" s="36"/>
      <c r="Q78" s="36"/>
      <c r="R78" s="36"/>
      <c r="S78" s="36">
        <f>'Прил 2'!C77</f>
        <v>1261107.35</v>
      </c>
      <c r="T78" s="36"/>
      <c r="U78" s="36">
        <f t="shared" si="7"/>
        <v>367.1666666666667</v>
      </c>
      <c r="V78" s="36"/>
      <c r="W78" s="2">
        <v>2021</v>
      </c>
      <c r="X78" s="2">
        <v>2021</v>
      </c>
    </row>
    <row r="79" spans="1:24" ht="15">
      <c r="A79" s="66">
        <v>20</v>
      </c>
      <c r="B79" s="11" t="s">
        <v>151</v>
      </c>
      <c r="C79" s="64" t="s">
        <v>69</v>
      </c>
      <c r="D79" s="64" t="s">
        <v>68</v>
      </c>
      <c r="E79" s="42"/>
      <c r="F79" s="11">
        <v>1984</v>
      </c>
      <c r="G79" s="2"/>
      <c r="H79" s="13" t="s">
        <v>70</v>
      </c>
      <c r="I79" s="14">
        <v>5</v>
      </c>
      <c r="J79" s="14">
        <v>5</v>
      </c>
      <c r="K79" s="40">
        <v>3903.6</v>
      </c>
      <c r="L79" s="12">
        <v>3414.9</v>
      </c>
      <c r="M79" s="12"/>
      <c r="N79" s="12">
        <v>173</v>
      </c>
      <c r="O79" s="36">
        <f t="shared" si="4"/>
        <v>1253837.4500000002</v>
      </c>
      <c r="P79" s="36"/>
      <c r="Q79" s="36"/>
      <c r="R79" s="36"/>
      <c r="S79" s="36">
        <f>'Прил 2'!C78</f>
        <v>1253837.4500000002</v>
      </c>
      <c r="T79" s="36"/>
      <c r="U79" s="36">
        <f t="shared" si="7"/>
        <v>367.1666666666667</v>
      </c>
      <c r="V79" s="36"/>
      <c r="W79" s="2">
        <v>2021</v>
      </c>
      <c r="X79" s="2">
        <v>2021</v>
      </c>
    </row>
    <row r="80" spans="1:24" ht="15">
      <c r="A80" s="66">
        <v>21</v>
      </c>
      <c r="B80" s="11" t="s">
        <v>152</v>
      </c>
      <c r="C80" s="64" t="s">
        <v>69</v>
      </c>
      <c r="D80" s="64" t="s">
        <v>68</v>
      </c>
      <c r="E80" s="42"/>
      <c r="F80" s="11">
        <v>1974</v>
      </c>
      <c r="G80" s="2"/>
      <c r="H80" s="13" t="s">
        <v>70</v>
      </c>
      <c r="I80" s="14">
        <v>5</v>
      </c>
      <c r="J80" s="14">
        <v>3</v>
      </c>
      <c r="K80" s="40">
        <v>2416.5</v>
      </c>
      <c r="L80" s="12">
        <v>2108.5</v>
      </c>
      <c r="M80" s="12"/>
      <c r="N80" s="12">
        <v>114</v>
      </c>
      <c r="O80" s="36">
        <f t="shared" si="4"/>
        <v>1161256.3750000002</v>
      </c>
      <c r="P80" s="36"/>
      <c r="Q80" s="36"/>
      <c r="R80" s="36"/>
      <c r="S80" s="36">
        <f>'Прил 2'!C79</f>
        <v>1161256.3750000002</v>
      </c>
      <c r="T80" s="36"/>
      <c r="U80" s="36">
        <f t="shared" si="7"/>
        <v>550.7500000000001</v>
      </c>
      <c r="V80" s="36"/>
      <c r="W80" s="2">
        <v>2021</v>
      </c>
      <c r="X80" s="2">
        <v>2021</v>
      </c>
    </row>
    <row r="81" spans="1:24" ht="26.25">
      <c r="A81" s="66">
        <v>22</v>
      </c>
      <c r="B81" s="11" t="s">
        <v>153</v>
      </c>
      <c r="C81" s="64" t="s">
        <v>69</v>
      </c>
      <c r="D81" s="64" t="s">
        <v>68</v>
      </c>
      <c r="E81" s="42"/>
      <c r="F81" s="11">
        <v>1975</v>
      </c>
      <c r="G81" s="2"/>
      <c r="H81" s="13" t="s">
        <v>157</v>
      </c>
      <c r="I81" s="14">
        <v>5</v>
      </c>
      <c r="J81" s="14">
        <v>5</v>
      </c>
      <c r="K81" s="40">
        <v>4002.2</v>
      </c>
      <c r="L81" s="12">
        <v>3512.6</v>
      </c>
      <c r="M81" s="12"/>
      <c r="N81" s="12">
        <v>168</v>
      </c>
      <c r="O81" s="36">
        <f t="shared" si="4"/>
        <v>1289709.6333333335</v>
      </c>
      <c r="P81" s="36"/>
      <c r="Q81" s="36"/>
      <c r="R81" s="36"/>
      <c r="S81" s="36">
        <f>'Прил 2'!C80</f>
        <v>1289709.6333333335</v>
      </c>
      <c r="T81" s="36"/>
      <c r="U81" s="36">
        <f t="shared" si="7"/>
        <v>367.16666666666674</v>
      </c>
      <c r="V81" s="36"/>
      <c r="W81" s="2">
        <v>2021</v>
      </c>
      <c r="X81" s="2">
        <v>2021</v>
      </c>
    </row>
    <row r="82" spans="1:24" ht="26.25">
      <c r="A82" s="66">
        <v>23</v>
      </c>
      <c r="B82" s="11" t="s">
        <v>154</v>
      </c>
      <c r="C82" s="64" t="s">
        <v>69</v>
      </c>
      <c r="D82" s="64" t="s">
        <v>68</v>
      </c>
      <c r="E82" s="42"/>
      <c r="F82" s="11">
        <v>1979</v>
      </c>
      <c r="G82" s="2"/>
      <c r="H82" s="13" t="s">
        <v>157</v>
      </c>
      <c r="I82" s="14">
        <v>5</v>
      </c>
      <c r="J82" s="14">
        <v>3</v>
      </c>
      <c r="K82" s="40">
        <v>2672.4</v>
      </c>
      <c r="L82" s="12">
        <v>2370.1</v>
      </c>
      <c r="M82" s="12"/>
      <c r="N82" s="12">
        <v>89</v>
      </c>
      <c r="O82" s="36">
        <f t="shared" si="4"/>
        <v>1305332.575</v>
      </c>
      <c r="P82" s="36"/>
      <c r="Q82" s="36"/>
      <c r="R82" s="36"/>
      <c r="S82" s="36">
        <f>'Прил 2'!C81</f>
        <v>1305332.575</v>
      </c>
      <c r="T82" s="36"/>
      <c r="U82" s="36">
        <f>O82/L82</f>
        <v>550.75</v>
      </c>
      <c r="V82" s="36"/>
      <c r="W82" s="2">
        <v>2021</v>
      </c>
      <c r="X82" s="2">
        <v>2021</v>
      </c>
    </row>
    <row r="83" spans="1:24" ht="26.25">
      <c r="A83" s="66">
        <v>24</v>
      </c>
      <c r="B83" s="11" t="s">
        <v>155</v>
      </c>
      <c r="C83" s="64" t="s">
        <v>69</v>
      </c>
      <c r="D83" s="64" t="s">
        <v>68</v>
      </c>
      <c r="E83" s="42"/>
      <c r="F83" s="11">
        <v>1968</v>
      </c>
      <c r="G83" s="2"/>
      <c r="H83" s="13" t="s">
        <v>157</v>
      </c>
      <c r="I83" s="14">
        <v>5</v>
      </c>
      <c r="J83" s="14">
        <v>5</v>
      </c>
      <c r="K83" s="40">
        <v>3474.6</v>
      </c>
      <c r="L83" s="12">
        <v>3131.2</v>
      </c>
      <c r="M83" s="12"/>
      <c r="N83" s="12">
        <v>158</v>
      </c>
      <c r="O83" s="36">
        <f t="shared" si="4"/>
        <v>1149672.2666666666</v>
      </c>
      <c r="P83" s="36"/>
      <c r="Q83" s="36"/>
      <c r="R83" s="36"/>
      <c r="S83" s="36">
        <f>'Прил 2'!C82</f>
        <v>1149672.2666666666</v>
      </c>
      <c r="T83" s="36"/>
      <c r="U83" s="36">
        <f>O83/L83</f>
        <v>367.1666666666667</v>
      </c>
      <c r="V83" s="36"/>
      <c r="W83" s="2">
        <v>2021</v>
      </c>
      <c r="X83" s="2">
        <v>2021</v>
      </c>
    </row>
    <row r="84" spans="1:24" ht="15">
      <c r="A84" s="66">
        <v>25</v>
      </c>
      <c r="B84" s="11" t="s">
        <v>156</v>
      </c>
      <c r="C84" s="64" t="s">
        <v>69</v>
      </c>
      <c r="D84" s="64" t="s">
        <v>68</v>
      </c>
      <c r="E84" s="42"/>
      <c r="F84" s="11">
        <v>1973</v>
      </c>
      <c r="G84" s="2"/>
      <c r="H84" s="13" t="s">
        <v>70</v>
      </c>
      <c r="I84" s="14">
        <v>5</v>
      </c>
      <c r="J84" s="14">
        <v>4</v>
      </c>
      <c r="K84" s="40">
        <v>3058.6</v>
      </c>
      <c r="L84" s="12">
        <v>2769.6</v>
      </c>
      <c r="M84" s="12"/>
      <c r="N84" s="12">
        <v>153</v>
      </c>
      <c r="O84" s="36">
        <f t="shared" si="4"/>
        <v>1525357.2000000002</v>
      </c>
      <c r="P84" s="36"/>
      <c r="Q84" s="36"/>
      <c r="R84" s="36"/>
      <c r="S84" s="36">
        <f>'Прил 2'!C83</f>
        <v>1525357.2000000002</v>
      </c>
      <c r="T84" s="36"/>
      <c r="U84" s="36">
        <f>O84/L84</f>
        <v>550.7500000000001</v>
      </c>
      <c r="V84" s="36"/>
      <c r="W84" s="2">
        <v>2021</v>
      </c>
      <c r="X84" s="2">
        <v>2021</v>
      </c>
    </row>
  </sheetData>
  <sheetProtection/>
  <mergeCells count="28">
    <mergeCell ref="A8:B8"/>
    <mergeCell ref="A9:B9"/>
    <mergeCell ref="A10:B10"/>
    <mergeCell ref="L1:W1"/>
    <mergeCell ref="A3:A6"/>
    <mergeCell ref="B3:B6"/>
    <mergeCell ref="F3:G3"/>
    <mergeCell ref="H3:H6"/>
    <mergeCell ref="I3:I6"/>
    <mergeCell ref="J3:J6"/>
    <mergeCell ref="A2:X2"/>
    <mergeCell ref="X3:X6"/>
    <mergeCell ref="C3:C6"/>
    <mergeCell ref="D3:D6"/>
    <mergeCell ref="E3:E6"/>
    <mergeCell ref="O3:T3"/>
    <mergeCell ref="P4:T4"/>
    <mergeCell ref="N3:N5"/>
    <mergeCell ref="L4:L5"/>
    <mergeCell ref="M4:M5"/>
    <mergeCell ref="V3:V5"/>
    <mergeCell ref="W3:W6"/>
    <mergeCell ref="F4:F6"/>
    <mergeCell ref="G4:G6"/>
    <mergeCell ref="K3:K5"/>
    <mergeCell ref="L3:M3"/>
    <mergeCell ref="U3:U5"/>
    <mergeCell ref="O4:O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32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7"/>
  <sheetViews>
    <sheetView zoomScalePageLayoutView="0" workbookViewId="0" topLeftCell="A4">
      <pane xSplit="3" ySplit="4" topLeftCell="D8" activePane="bottomRight" state="frozen"/>
      <selection pane="topLeft" activeCell="A4" sqref="A4"/>
      <selection pane="topRight" activeCell="D4" sqref="D4"/>
      <selection pane="bottomLeft" activeCell="A8" sqref="A8"/>
      <selection pane="bottomRight" activeCell="J36" sqref="J36"/>
    </sheetView>
  </sheetViews>
  <sheetFormatPr defaultColWidth="9.140625" defaultRowHeight="15"/>
  <cols>
    <col min="1" max="1" width="5.7109375" style="0" bestFit="1" customWidth="1"/>
    <col min="2" max="2" width="37.28125" style="19" customWidth="1"/>
    <col min="3" max="3" width="16.421875" style="19" customWidth="1"/>
    <col min="4" max="4" width="16.140625" style="19" customWidth="1"/>
    <col min="5" max="5" width="13.8515625" style="19" customWidth="1"/>
    <col min="6" max="6" width="14.28125" style="19" customWidth="1"/>
    <col min="7" max="7" width="7.7109375" style="19" customWidth="1"/>
    <col min="8" max="8" width="14.00390625" style="19" bestFit="1" customWidth="1"/>
    <col min="9" max="9" width="15.140625" style="19" customWidth="1"/>
    <col min="10" max="10" width="14.140625" style="19" customWidth="1"/>
    <col min="11" max="11" width="6.28125" style="19" customWidth="1"/>
    <col min="12" max="12" width="7.00390625" style="19" customWidth="1"/>
    <col min="13" max="13" width="15.57421875" style="19" customWidth="1"/>
    <col min="14" max="14" width="10.8515625" style="19" customWidth="1"/>
    <col min="15" max="15" width="14.7109375" style="19" bestFit="1" customWidth="1"/>
    <col min="16" max="16" width="6.57421875" style="19" customWidth="1"/>
    <col min="17" max="17" width="6.00390625" style="19" bestFit="1" customWidth="1"/>
    <col min="18" max="18" width="12.7109375" style="19" customWidth="1"/>
    <col min="19" max="19" width="14.7109375" style="19" bestFit="1" customWidth="1"/>
    <col min="20" max="20" width="5.7109375" style="19" customWidth="1"/>
    <col min="21" max="21" width="7.00390625" style="19" customWidth="1"/>
    <col min="22" max="22" width="14.28125" style="19" customWidth="1"/>
    <col min="23" max="23" width="5.8515625" style="19" customWidth="1"/>
    <col min="24" max="24" width="6.421875" style="19" customWidth="1"/>
    <col min="25" max="25" width="8.8515625" style="19" bestFit="1" customWidth="1"/>
    <col min="26" max="26" width="12.28125" style="19" bestFit="1" customWidth="1"/>
    <col min="27" max="27" width="7.421875" style="19" customWidth="1"/>
    <col min="28" max="28" width="16.00390625" style="19" customWidth="1"/>
    <col min="29" max="29" width="6.8515625" style="19" customWidth="1"/>
    <col min="30" max="37" width="9.140625" style="19" customWidth="1"/>
  </cols>
  <sheetData>
    <row r="1" spans="19:29" ht="15">
      <c r="S1" s="114" t="s">
        <v>35</v>
      </c>
      <c r="T1" s="114"/>
      <c r="U1" s="114"/>
      <c r="V1" s="114"/>
      <c r="W1" s="114"/>
      <c r="X1" s="114"/>
      <c r="Y1" s="114"/>
      <c r="Z1" s="114"/>
      <c r="AA1" s="114"/>
      <c r="AB1" s="114"/>
      <c r="AC1" s="114"/>
    </row>
    <row r="2" spans="1:29" ht="15">
      <c r="A2" s="115" t="s">
        <v>36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</row>
    <row r="3" spans="1:29" ht="32.25" customHeight="1">
      <c r="A3" s="116" t="s">
        <v>37</v>
      </c>
      <c r="B3" s="117" t="s">
        <v>1</v>
      </c>
      <c r="C3" s="117" t="s">
        <v>38</v>
      </c>
      <c r="D3" s="117" t="s">
        <v>39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 t="s">
        <v>40</v>
      </c>
      <c r="W3" s="117"/>
      <c r="X3" s="117"/>
      <c r="Y3" s="117"/>
      <c r="Z3" s="117"/>
      <c r="AA3" s="117"/>
      <c r="AB3" s="117"/>
      <c r="AC3" s="117"/>
    </row>
    <row r="4" spans="1:29" ht="15">
      <c r="A4" s="116"/>
      <c r="B4" s="117"/>
      <c r="C4" s="117"/>
      <c r="D4" s="110" t="s">
        <v>41</v>
      </c>
      <c r="E4" s="111"/>
      <c r="F4" s="111"/>
      <c r="G4" s="111"/>
      <c r="H4" s="111"/>
      <c r="I4" s="111"/>
      <c r="J4" s="111"/>
      <c r="K4" s="112"/>
      <c r="L4" s="101" t="s">
        <v>42</v>
      </c>
      <c r="M4" s="101"/>
      <c r="N4" s="101" t="s">
        <v>43</v>
      </c>
      <c r="O4" s="101"/>
      <c r="P4" s="102" t="s">
        <v>44</v>
      </c>
      <c r="Q4" s="103"/>
      <c r="R4" s="101" t="s">
        <v>45</v>
      </c>
      <c r="S4" s="101"/>
      <c r="T4" s="101" t="s">
        <v>46</v>
      </c>
      <c r="U4" s="101"/>
      <c r="V4" s="101" t="s">
        <v>47</v>
      </c>
      <c r="W4" s="102" t="s">
        <v>48</v>
      </c>
      <c r="X4" s="103"/>
      <c r="Y4" s="102" t="s">
        <v>49</v>
      </c>
      <c r="Z4" s="103"/>
      <c r="AA4" s="118" t="s">
        <v>50</v>
      </c>
      <c r="AB4" s="101" t="s">
        <v>51</v>
      </c>
      <c r="AC4" s="101" t="s">
        <v>52</v>
      </c>
    </row>
    <row r="5" spans="1:29" ht="142.5">
      <c r="A5" s="116"/>
      <c r="B5" s="117"/>
      <c r="C5" s="117"/>
      <c r="D5" s="21" t="s">
        <v>53</v>
      </c>
      <c r="E5" s="21" t="s">
        <v>54</v>
      </c>
      <c r="F5" s="21" t="s">
        <v>55</v>
      </c>
      <c r="G5" s="21" t="s">
        <v>56</v>
      </c>
      <c r="H5" s="21" t="s">
        <v>57</v>
      </c>
      <c r="I5" s="21" t="s">
        <v>58</v>
      </c>
      <c r="J5" s="21" t="s">
        <v>59</v>
      </c>
      <c r="K5" s="21" t="s">
        <v>60</v>
      </c>
      <c r="L5" s="101"/>
      <c r="M5" s="101"/>
      <c r="N5" s="101"/>
      <c r="O5" s="101"/>
      <c r="P5" s="104"/>
      <c r="Q5" s="105"/>
      <c r="R5" s="101"/>
      <c r="S5" s="101"/>
      <c r="T5" s="101"/>
      <c r="U5" s="101"/>
      <c r="V5" s="101"/>
      <c r="W5" s="104"/>
      <c r="X5" s="105"/>
      <c r="Y5" s="104"/>
      <c r="Z5" s="105"/>
      <c r="AA5" s="119"/>
      <c r="AB5" s="101"/>
      <c r="AC5" s="101"/>
    </row>
    <row r="6" spans="1:29" ht="25.5">
      <c r="A6" s="116"/>
      <c r="B6" s="117"/>
      <c r="C6" s="20" t="s">
        <v>21</v>
      </c>
      <c r="D6" s="20" t="s">
        <v>21</v>
      </c>
      <c r="E6" s="20" t="s">
        <v>21</v>
      </c>
      <c r="F6" s="20" t="s">
        <v>21</v>
      </c>
      <c r="G6" s="20" t="s">
        <v>21</v>
      </c>
      <c r="H6" s="20" t="s">
        <v>21</v>
      </c>
      <c r="I6" s="20" t="s">
        <v>21</v>
      </c>
      <c r="J6" s="20" t="s">
        <v>21</v>
      </c>
      <c r="K6" s="20" t="s">
        <v>21</v>
      </c>
      <c r="L6" s="20" t="s">
        <v>61</v>
      </c>
      <c r="M6" s="20" t="s">
        <v>21</v>
      </c>
      <c r="N6" s="20" t="s">
        <v>62</v>
      </c>
      <c r="O6" s="20" t="s">
        <v>21</v>
      </c>
      <c r="P6" s="20" t="s">
        <v>62</v>
      </c>
      <c r="Q6" s="20" t="s">
        <v>21</v>
      </c>
      <c r="R6" s="20" t="s">
        <v>62</v>
      </c>
      <c r="S6" s="20" t="s">
        <v>21</v>
      </c>
      <c r="T6" s="20" t="s">
        <v>63</v>
      </c>
      <c r="U6" s="20" t="s">
        <v>21</v>
      </c>
      <c r="V6" s="20" t="s">
        <v>21</v>
      </c>
      <c r="W6" s="20" t="s">
        <v>62</v>
      </c>
      <c r="X6" s="20" t="s">
        <v>21</v>
      </c>
      <c r="Y6" s="20" t="s">
        <v>62</v>
      </c>
      <c r="Z6" s="20" t="s">
        <v>21</v>
      </c>
      <c r="AA6" s="20" t="s">
        <v>64</v>
      </c>
      <c r="AB6" s="20" t="s">
        <v>64</v>
      </c>
      <c r="AC6" s="20" t="s">
        <v>21</v>
      </c>
    </row>
    <row r="7" spans="1:29" ht="15">
      <c r="A7" s="2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  <c r="R7" s="23">
        <v>18</v>
      </c>
      <c r="S7" s="23">
        <v>19</v>
      </c>
      <c r="T7" s="23">
        <v>20</v>
      </c>
      <c r="U7" s="23">
        <v>21</v>
      </c>
      <c r="V7" s="23">
        <v>22</v>
      </c>
      <c r="W7" s="23">
        <v>23</v>
      </c>
      <c r="X7" s="23">
        <v>24</v>
      </c>
      <c r="Y7" s="23">
        <v>25</v>
      </c>
      <c r="Z7" s="23">
        <v>26</v>
      </c>
      <c r="AA7" s="23">
        <v>27</v>
      </c>
      <c r="AB7" s="23">
        <v>28</v>
      </c>
      <c r="AC7" s="23">
        <v>29</v>
      </c>
    </row>
    <row r="8" spans="1:29" ht="15">
      <c r="A8" s="107" t="s">
        <v>65</v>
      </c>
      <c r="B8" s="107"/>
      <c r="C8" s="25">
        <f>D8+M8+O8+Q8+S8+U8+V8+X8+Z8+AA8+AB8+AC8</f>
        <v>0</v>
      </c>
      <c r="D8" s="26"/>
      <c r="E8" s="26"/>
      <c r="F8" s="26"/>
      <c r="G8" s="26"/>
      <c r="H8" s="26"/>
      <c r="I8" s="26"/>
      <c r="J8" s="26"/>
      <c r="K8" s="26"/>
      <c r="L8" s="27"/>
      <c r="M8" s="26"/>
      <c r="N8" s="28"/>
      <c r="O8" s="26"/>
      <c r="P8" s="28"/>
      <c r="Q8" s="26"/>
      <c r="R8" s="28"/>
      <c r="S8" s="26"/>
      <c r="T8" s="28"/>
      <c r="U8" s="26"/>
      <c r="V8" s="26">
        <f>(D8+M8+O8+Q8+S8+U8)*0.015</f>
        <v>0</v>
      </c>
      <c r="W8" s="28"/>
      <c r="X8" s="26"/>
      <c r="Y8" s="28"/>
      <c r="Z8" s="26"/>
      <c r="AA8" s="26"/>
      <c r="AB8" s="26"/>
      <c r="AC8" s="26"/>
    </row>
    <row r="9" spans="1:37" s="31" customFormat="1" ht="15">
      <c r="A9" s="113" t="s">
        <v>117</v>
      </c>
      <c r="B9" s="113"/>
      <c r="C9" s="29"/>
      <c r="D9" s="29"/>
      <c r="E9" s="29"/>
      <c r="F9" s="29"/>
      <c r="G9" s="34"/>
      <c r="H9" s="29"/>
      <c r="I9" s="29"/>
      <c r="J9" s="29"/>
      <c r="K9" s="29"/>
      <c r="L9" s="35"/>
      <c r="M9" s="29"/>
      <c r="N9" s="29"/>
      <c r="O9" s="29"/>
      <c r="P9" s="29"/>
      <c r="Q9" s="29"/>
      <c r="R9" s="59"/>
      <c r="S9" s="29"/>
      <c r="T9" s="29"/>
      <c r="U9" s="29"/>
      <c r="V9" s="29"/>
      <c r="W9" s="29"/>
      <c r="X9" s="29"/>
      <c r="Y9" s="59"/>
      <c r="Z9" s="29"/>
      <c r="AA9" s="29"/>
      <c r="AB9" s="29"/>
      <c r="AC9" s="29"/>
      <c r="AD9" s="30"/>
      <c r="AE9" s="30"/>
      <c r="AF9" s="30"/>
      <c r="AG9" s="30"/>
      <c r="AH9" s="30"/>
      <c r="AI9" s="30"/>
      <c r="AJ9" s="30"/>
      <c r="AK9" s="30"/>
    </row>
    <row r="10" spans="1:29" ht="15">
      <c r="A10" s="24">
        <v>1</v>
      </c>
      <c r="B10" s="32" t="str">
        <f>'Прил 1'!B11</f>
        <v>г. Снежногорск, ул. Октябрьская, д. 32</v>
      </c>
      <c r="C10" s="25">
        <f aca="true" t="shared" si="0" ref="C10:C29">D10+M10+O10+Q10+S10+U10+V10+X10+Z10+AA10+AB10+AC10</f>
        <v>4821000.000000001</v>
      </c>
      <c r="D10" s="26">
        <f aca="true" t="shared" si="1" ref="D10:D18">SUM(E10:K10)</f>
        <v>4749753.694581281</v>
      </c>
      <c r="E10" s="26"/>
      <c r="F10" s="26"/>
      <c r="G10" s="26"/>
      <c r="H10" s="26">
        <f>3000000/1.015</f>
        <v>2955665.0246305424</v>
      </c>
      <c r="I10" s="26"/>
      <c r="J10" s="26">
        <f>1821000/1.015</f>
        <v>1794088.669950739</v>
      </c>
      <c r="K10" s="26"/>
      <c r="L10" s="27"/>
      <c r="M10" s="26"/>
      <c r="N10" s="28"/>
      <c r="O10" s="26"/>
      <c r="P10" s="28"/>
      <c r="Q10" s="26"/>
      <c r="R10" s="28"/>
      <c r="S10" s="26"/>
      <c r="T10" s="28"/>
      <c r="U10" s="26"/>
      <c r="V10" s="26">
        <f>(D10+M10+O10+Q10+S10+U10)*0.015</f>
        <v>71246.30541871922</v>
      </c>
      <c r="W10" s="28"/>
      <c r="X10" s="26"/>
      <c r="Y10" s="28"/>
      <c r="Z10" s="26"/>
      <c r="AA10" s="26"/>
      <c r="AB10" s="26"/>
      <c r="AC10" s="26"/>
    </row>
    <row r="11" spans="1:29" ht="15">
      <c r="A11" s="24">
        <v>2</v>
      </c>
      <c r="B11" s="32" t="str">
        <f>'Прил 1'!B12</f>
        <v>г. Снежногорск, ул. Октябрьская, д. 28</v>
      </c>
      <c r="C11" s="25">
        <f t="shared" si="0"/>
        <v>9295000</v>
      </c>
      <c r="D11" s="26">
        <f t="shared" si="1"/>
        <v>1817733.9901477834</v>
      </c>
      <c r="E11" s="12"/>
      <c r="F11" s="12"/>
      <c r="G11" s="26"/>
      <c r="H11" s="26"/>
      <c r="I11" s="26"/>
      <c r="J11" s="26">
        <f>1845000/1.015</f>
        <v>1817733.9901477834</v>
      </c>
      <c r="K11" s="26"/>
      <c r="L11" s="27"/>
      <c r="M11" s="26"/>
      <c r="N11" s="28"/>
      <c r="O11" s="26"/>
      <c r="P11" s="28"/>
      <c r="Q11" s="26"/>
      <c r="R11" s="28">
        <v>3253.8</v>
      </c>
      <c r="S11" s="26">
        <f>7450000/1.015</f>
        <v>7339901.477832513</v>
      </c>
      <c r="T11" s="28"/>
      <c r="U11" s="26"/>
      <c r="V11" s="26">
        <f aca="true" t="shared" si="2" ref="V11:V73">(D11+M11+O11+Q11+S11+U11)*0.015</f>
        <v>137364.53201970443</v>
      </c>
      <c r="W11" s="28"/>
      <c r="X11" s="26"/>
      <c r="Y11" s="28"/>
      <c r="Z11" s="26"/>
      <c r="AA11" s="26"/>
      <c r="AB11" s="26"/>
      <c r="AC11" s="26"/>
    </row>
    <row r="12" spans="1:29" ht="15">
      <c r="A12" s="24">
        <v>3</v>
      </c>
      <c r="B12" s="32" t="str">
        <f>'Прил 1'!B13</f>
        <v>г. Снежногорск, ул. Октябрьская, д. 18</v>
      </c>
      <c r="C12" s="25">
        <f t="shared" si="0"/>
        <v>455000.00000000006</v>
      </c>
      <c r="D12" s="26">
        <f t="shared" si="1"/>
        <v>448275.86206896557</v>
      </c>
      <c r="E12" s="26"/>
      <c r="F12" s="26"/>
      <c r="G12" s="26"/>
      <c r="H12" s="26"/>
      <c r="I12" s="26"/>
      <c r="J12" s="26">
        <f>455000/1.015</f>
        <v>448275.86206896557</v>
      </c>
      <c r="K12" s="26"/>
      <c r="L12" s="27"/>
      <c r="M12" s="26"/>
      <c r="N12" s="28"/>
      <c r="O12" s="26"/>
      <c r="P12" s="28"/>
      <c r="Q12" s="26"/>
      <c r="R12" s="28"/>
      <c r="S12" s="26"/>
      <c r="T12" s="28"/>
      <c r="U12" s="26"/>
      <c r="V12" s="26">
        <f t="shared" si="2"/>
        <v>6724.137931034483</v>
      </c>
      <c r="W12" s="28"/>
      <c r="X12" s="26"/>
      <c r="Y12" s="28"/>
      <c r="Z12" s="26"/>
      <c r="AA12" s="26"/>
      <c r="AB12" s="26"/>
      <c r="AC12" s="26"/>
    </row>
    <row r="13" spans="1:29" ht="15">
      <c r="A13" s="24">
        <v>4</v>
      </c>
      <c r="B13" s="32" t="str">
        <f>'Прил 1'!B14</f>
        <v>г. Снежногорск, ул. Октябрьская, д. 11</v>
      </c>
      <c r="C13" s="25">
        <f t="shared" si="0"/>
        <v>578000</v>
      </c>
      <c r="D13" s="26">
        <f t="shared" si="1"/>
        <v>569458.1280788177</v>
      </c>
      <c r="E13" s="26"/>
      <c r="F13" s="26"/>
      <c r="G13" s="26"/>
      <c r="H13" s="26"/>
      <c r="I13" s="26"/>
      <c r="J13" s="26">
        <f>578000/1.015</f>
        <v>569458.1280788177</v>
      </c>
      <c r="K13" s="26"/>
      <c r="L13" s="27"/>
      <c r="M13" s="26"/>
      <c r="N13" s="28"/>
      <c r="O13" s="26"/>
      <c r="P13" s="28"/>
      <c r="Q13" s="26"/>
      <c r="R13" s="28"/>
      <c r="S13" s="26"/>
      <c r="T13" s="28"/>
      <c r="U13" s="26"/>
      <c r="V13" s="26">
        <f t="shared" si="2"/>
        <v>8541.871921182266</v>
      </c>
      <c r="W13" s="28"/>
      <c r="X13" s="26"/>
      <c r="Y13" s="28"/>
      <c r="Z13" s="26"/>
      <c r="AA13" s="26"/>
      <c r="AB13" s="26"/>
      <c r="AC13" s="26"/>
    </row>
    <row r="14" spans="1:29" ht="15">
      <c r="A14" s="24">
        <v>5</v>
      </c>
      <c r="B14" s="32" t="str">
        <f>'Прил 1'!B15</f>
        <v>г. Снежногорск, ул. Флотская, д. 1</v>
      </c>
      <c r="C14" s="25">
        <f t="shared" si="0"/>
        <v>1814676.9300000004</v>
      </c>
      <c r="D14" s="26">
        <f t="shared" si="1"/>
        <v>0</v>
      </c>
      <c r="E14" s="26"/>
      <c r="F14" s="26"/>
      <c r="G14" s="26"/>
      <c r="H14" s="26"/>
      <c r="I14" s="26"/>
      <c r="J14" s="26"/>
      <c r="K14" s="26"/>
      <c r="L14" s="27"/>
      <c r="M14" s="26"/>
      <c r="N14" s="28">
        <v>555</v>
      </c>
      <c r="O14" s="26">
        <f>1056.15*1718.2/1.015</f>
        <v>1787859.0443349758</v>
      </c>
      <c r="P14" s="28"/>
      <c r="Q14" s="26"/>
      <c r="R14" s="28"/>
      <c r="S14" s="26"/>
      <c r="T14" s="28"/>
      <c r="U14" s="26"/>
      <c r="V14" s="26">
        <f t="shared" si="2"/>
        <v>26817.885665024634</v>
      </c>
      <c r="W14" s="28"/>
      <c r="X14" s="26"/>
      <c r="Y14" s="28"/>
      <c r="Z14" s="26"/>
      <c r="AA14" s="26"/>
      <c r="AB14" s="26"/>
      <c r="AC14" s="26"/>
    </row>
    <row r="15" spans="1:29" ht="15">
      <c r="A15" s="24">
        <v>6</v>
      </c>
      <c r="B15" s="32" t="str">
        <f>'Прил 1'!B16</f>
        <v>г. Снежногорск, ул. Октябрьская, д. 13</v>
      </c>
      <c r="C15" s="25">
        <f t="shared" si="0"/>
        <v>5923713.235000001</v>
      </c>
      <c r="D15" s="26">
        <f t="shared" si="1"/>
        <v>0</v>
      </c>
      <c r="E15" s="26"/>
      <c r="F15" s="26"/>
      <c r="G15" s="26"/>
      <c r="H15" s="26"/>
      <c r="I15" s="26"/>
      <c r="J15" s="26"/>
      <c r="K15" s="26"/>
      <c r="L15" s="27">
        <v>2</v>
      </c>
      <c r="M15" s="26">
        <f>(3037801.66*4-303780.17)/1.015/2</f>
        <v>5836170.674876848</v>
      </c>
      <c r="N15" s="28"/>
      <c r="O15" s="26"/>
      <c r="P15" s="28"/>
      <c r="Q15" s="26"/>
      <c r="R15" s="28"/>
      <c r="S15" s="26"/>
      <c r="T15" s="28"/>
      <c r="U15" s="26"/>
      <c r="V15" s="26">
        <f t="shared" si="2"/>
        <v>87542.56012315273</v>
      </c>
      <c r="W15" s="28"/>
      <c r="X15" s="26"/>
      <c r="Y15" s="28"/>
      <c r="Z15" s="26"/>
      <c r="AA15" s="26"/>
      <c r="AB15" s="26"/>
      <c r="AC15" s="26"/>
    </row>
    <row r="16" spans="1:29" ht="15">
      <c r="A16" s="24">
        <v>8</v>
      </c>
      <c r="B16" s="32" t="str">
        <f>'Прил 1'!B17</f>
        <v>н. п. Оленья Губа, ул. Строителей, д. 27</v>
      </c>
      <c r="C16" s="25">
        <f t="shared" si="0"/>
        <v>3568911.8000000003</v>
      </c>
      <c r="D16" s="26">
        <f t="shared" si="1"/>
        <v>0</v>
      </c>
      <c r="E16" s="26"/>
      <c r="F16" s="26"/>
      <c r="G16" s="26"/>
      <c r="H16" s="26"/>
      <c r="I16" s="26"/>
      <c r="J16" s="26"/>
      <c r="K16" s="26"/>
      <c r="L16" s="27"/>
      <c r="M16" s="26"/>
      <c r="N16" s="28" t="s">
        <v>109</v>
      </c>
      <c r="O16" s="26">
        <f>3568911.8/1.015</f>
        <v>3516169.261083744</v>
      </c>
      <c r="P16" s="28"/>
      <c r="Q16" s="26"/>
      <c r="R16" s="28"/>
      <c r="S16" s="26"/>
      <c r="T16" s="28"/>
      <c r="U16" s="26"/>
      <c r="V16" s="26">
        <f t="shared" si="2"/>
        <v>52742.538916256155</v>
      </c>
      <c r="W16" s="28"/>
      <c r="X16" s="26"/>
      <c r="Y16" s="28"/>
      <c r="Z16" s="26"/>
      <c r="AA16" s="26"/>
      <c r="AB16" s="26"/>
      <c r="AC16" s="26"/>
    </row>
    <row r="17" spans="1:29" ht="15">
      <c r="A17" s="24">
        <v>9</v>
      </c>
      <c r="B17" s="32" t="str">
        <f>'Прил 1'!B18</f>
        <v>г. Полярный, ул. Душенова, д. 7</v>
      </c>
      <c r="C17" s="25">
        <f t="shared" si="0"/>
        <v>1000000.0000000001</v>
      </c>
      <c r="D17" s="26">
        <f t="shared" si="1"/>
        <v>985221.6748768474</v>
      </c>
      <c r="E17" s="26"/>
      <c r="F17" s="26"/>
      <c r="G17" s="26"/>
      <c r="H17" s="26"/>
      <c r="I17" s="26">
        <f>1000000/1.015</f>
        <v>985221.6748768474</v>
      </c>
      <c r="J17" s="26"/>
      <c r="K17" s="26"/>
      <c r="L17" s="27"/>
      <c r="M17" s="26"/>
      <c r="N17" s="28"/>
      <c r="O17" s="26"/>
      <c r="P17" s="28"/>
      <c r="Q17" s="26"/>
      <c r="R17" s="28"/>
      <c r="S17" s="26"/>
      <c r="T17" s="28"/>
      <c r="U17" s="26"/>
      <c r="V17" s="26">
        <f t="shared" si="2"/>
        <v>14778.32512315271</v>
      </c>
      <c r="W17" s="28"/>
      <c r="X17" s="26"/>
      <c r="Y17" s="28"/>
      <c r="Z17" s="26"/>
      <c r="AA17" s="26"/>
      <c r="AB17" s="26"/>
      <c r="AC17" s="26"/>
    </row>
    <row r="18" spans="1:29" ht="15">
      <c r="A18" s="24">
        <v>10</v>
      </c>
      <c r="B18" s="32" t="str">
        <f>'Прил 1'!B19</f>
        <v>г. Полярный, ул. Видяева, д. 3</v>
      </c>
      <c r="C18" s="25">
        <f t="shared" si="0"/>
        <v>600000</v>
      </c>
      <c r="D18" s="26">
        <f t="shared" si="1"/>
        <v>591133.0049261084</v>
      </c>
      <c r="E18" s="26"/>
      <c r="F18" s="26"/>
      <c r="G18" s="26"/>
      <c r="H18" s="26"/>
      <c r="I18" s="26">
        <f>600000/1.015</f>
        <v>591133.0049261084</v>
      </c>
      <c r="J18" s="26"/>
      <c r="K18" s="26"/>
      <c r="L18" s="27"/>
      <c r="M18" s="26"/>
      <c r="N18" s="28"/>
      <c r="O18" s="26"/>
      <c r="P18" s="28"/>
      <c r="Q18" s="26"/>
      <c r="R18" s="28"/>
      <c r="S18" s="26"/>
      <c r="T18" s="28"/>
      <c r="U18" s="26"/>
      <c r="V18" s="26">
        <f t="shared" si="2"/>
        <v>8866.995073891625</v>
      </c>
      <c r="W18" s="28"/>
      <c r="X18" s="26"/>
      <c r="Y18" s="28"/>
      <c r="Z18" s="26"/>
      <c r="AA18" s="26"/>
      <c r="AB18" s="26"/>
      <c r="AC18" s="26"/>
    </row>
    <row r="19" spans="1:29" ht="15">
      <c r="A19" s="24">
        <v>11</v>
      </c>
      <c r="B19" s="32" t="str">
        <f>'Прил 1'!B20</f>
        <v>г. Полярный, ул. Видяева, д. 5</v>
      </c>
      <c r="C19" s="25">
        <f t="shared" si="0"/>
        <v>600000</v>
      </c>
      <c r="D19" s="26">
        <f aca="true" t="shared" si="3" ref="D19:D24">SUM(E19:K19)</f>
        <v>591133.0049261084</v>
      </c>
      <c r="E19" s="26"/>
      <c r="F19" s="26"/>
      <c r="G19" s="26"/>
      <c r="H19" s="26"/>
      <c r="I19" s="26">
        <f>600000/1.015</f>
        <v>591133.0049261084</v>
      </c>
      <c r="J19" s="26"/>
      <c r="K19" s="26"/>
      <c r="L19" s="27"/>
      <c r="M19" s="26"/>
      <c r="N19" s="28"/>
      <c r="O19" s="26"/>
      <c r="P19" s="28"/>
      <c r="Q19" s="26"/>
      <c r="R19" s="28"/>
      <c r="S19" s="26"/>
      <c r="T19" s="28"/>
      <c r="U19" s="26"/>
      <c r="V19" s="26">
        <f t="shared" si="2"/>
        <v>8866.995073891625</v>
      </c>
      <c r="W19" s="28"/>
      <c r="X19" s="26"/>
      <c r="Y19" s="28"/>
      <c r="Z19" s="26"/>
      <c r="AA19" s="26"/>
      <c r="AB19" s="26"/>
      <c r="AC19" s="26"/>
    </row>
    <row r="20" spans="1:29" ht="15">
      <c r="A20" s="24">
        <v>12</v>
      </c>
      <c r="B20" s="32" t="str">
        <f>'Прил 1'!B21</f>
        <v>г. Полярный, ул. Красный Горн, 12</v>
      </c>
      <c r="C20" s="25">
        <f t="shared" si="0"/>
        <v>2000000.0000000002</v>
      </c>
      <c r="D20" s="26">
        <f t="shared" si="3"/>
        <v>1970443.3497536948</v>
      </c>
      <c r="E20" s="26"/>
      <c r="F20" s="12"/>
      <c r="G20" s="26"/>
      <c r="H20" s="26">
        <f>2000000/1.015</f>
        <v>1970443.3497536948</v>
      </c>
      <c r="I20" s="26"/>
      <c r="J20" s="26"/>
      <c r="K20" s="26"/>
      <c r="L20" s="27"/>
      <c r="M20" s="26"/>
      <c r="N20" s="28"/>
      <c r="O20" s="26"/>
      <c r="P20" s="28"/>
      <c r="Q20" s="26"/>
      <c r="R20" s="28"/>
      <c r="S20" s="26"/>
      <c r="T20" s="28"/>
      <c r="U20" s="26"/>
      <c r="V20" s="26">
        <f t="shared" si="2"/>
        <v>29556.65024630542</v>
      </c>
      <c r="W20" s="28"/>
      <c r="X20" s="26"/>
      <c r="Y20" s="28"/>
      <c r="Z20" s="26"/>
      <c r="AA20" s="26"/>
      <c r="AB20" s="26"/>
      <c r="AC20" s="26"/>
    </row>
    <row r="21" spans="1:29" ht="15">
      <c r="A21" s="24">
        <v>13</v>
      </c>
      <c r="B21" s="32" t="str">
        <f>'Прил 1'!B22</f>
        <v>г. Полярный, ул. Героев  Североморцев, д. 15</v>
      </c>
      <c r="C21" s="25">
        <f t="shared" si="0"/>
        <v>1083375.0000000002</v>
      </c>
      <c r="D21" s="26">
        <f t="shared" si="3"/>
        <v>0</v>
      </c>
      <c r="E21" s="26"/>
      <c r="F21" s="26"/>
      <c r="G21" s="26"/>
      <c r="H21" s="26"/>
      <c r="I21" s="26"/>
      <c r="J21" s="26"/>
      <c r="K21" s="26"/>
      <c r="L21" s="27"/>
      <c r="M21" s="26"/>
      <c r="N21" s="28"/>
      <c r="O21" s="26"/>
      <c r="P21" s="28"/>
      <c r="Q21" s="26"/>
      <c r="R21" s="28"/>
      <c r="S21" s="26">
        <f>1083375/1.015</f>
        <v>1067364.5320197046</v>
      </c>
      <c r="T21" s="28"/>
      <c r="U21" s="26"/>
      <c r="V21" s="26">
        <f t="shared" si="2"/>
        <v>16010.467980295569</v>
      </c>
      <c r="W21" s="28"/>
      <c r="X21" s="26"/>
      <c r="Y21" s="28"/>
      <c r="Z21" s="26"/>
      <c r="AA21" s="26"/>
      <c r="AB21" s="26"/>
      <c r="AC21" s="26"/>
    </row>
    <row r="22" spans="1:29" ht="15">
      <c r="A22" s="24">
        <v>14</v>
      </c>
      <c r="B22" s="32" t="str">
        <f>'Прил 1'!B23</f>
        <v>г. Полярный, ул. Героев "Тумана", д. 8</v>
      </c>
      <c r="C22" s="25">
        <f t="shared" si="0"/>
        <v>2600000.0000000005</v>
      </c>
      <c r="D22" s="26">
        <f t="shared" si="3"/>
        <v>0</v>
      </c>
      <c r="E22" s="26"/>
      <c r="F22" s="26"/>
      <c r="G22" s="26"/>
      <c r="H22" s="26"/>
      <c r="I22" s="26"/>
      <c r="J22" s="26"/>
      <c r="K22" s="26"/>
      <c r="L22" s="27"/>
      <c r="M22" s="26"/>
      <c r="N22" s="28">
        <v>986</v>
      </c>
      <c r="O22" s="26">
        <f>2600000/1.015</f>
        <v>2561576.3546798034</v>
      </c>
      <c r="P22" s="28"/>
      <c r="Q22" s="26"/>
      <c r="R22" s="28"/>
      <c r="S22" s="26"/>
      <c r="T22" s="28"/>
      <c r="U22" s="26"/>
      <c r="V22" s="26">
        <f t="shared" si="2"/>
        <v>38423.64532019705</v>
      </c>
      <c r="W22" s="28"/>
      <c r="X22" s="26"/>
      <c r="Y22" s="28"/>
      <c r="Z22" s="26"/>
      <c r="AA22" s="26"/>
      <c r="AB22" s="26"/>
      <c r="AC22" s="26"/>
    </row>
    <row r="23" spans="1:29" ht="15">
      <c r="A23" s="24">
        <v>15</v>
      </c>
      <c r="B23" s="32" t="str">
        <f>'Прил 1'!B24</f>
        <v>г. Полярный, ул. Сивко, д. 9</v>
      </c>
      <c r="C23" s="25">
        <f t="shared" si="0"/>
        <v>2800000</v>
      </c>
      <c r="D23" s="26">
        <f t="shared" si="3"/>
        <v>0</v>
      </c>
      <c r="E23" s="26"/>
      <c r="F23" s="26"/>
      <c r="G23" s="26"/>
      <c r="H23" s="26"/>
      <c r="I23" s="26"/>
      <c r="J23" s="26"/>
      <c r="K23" s="26"/>
      <c r="L23" s="27"/>
      <c r="M23" s="26"/>
      <c r="N23" s="28"/>
      <c r="O23" s="26">
        <f>2800000/1.015</f>
        <v>2758620.6896551726</v>
      </c>
      <c r="P23" s="28"/>
      <c r="Q23" s="26"/>
      <c r="R23" s="28"/>
      <c r="S23" s="26"/>
      <c r="T23" s="28"/>
      <c r="U23" s="26"/>
      <c r="V23" s="26">
        <f t="shared" si="2"/>
        <v>41379.31034482759</v>
      </c>
      <c r="W23" s="28"/>
      <c r="X23" s="26"/>
      <c r="Y23" s="28"/>
      <c r="Z23" s="26"/>
      <c r="AA23" s="26"/>
      <c r="AB23" s="26"/>
      <c r="AC23" s="26"/>
    </row>
    <row r="24" spans="1:29" ht="15">
      <c r="A24" s="24">
        <v>16</v>
      </c>
      <c r="B24" s="32" t="str">
        <f>'Прил 1'!B25</f>
        <v>г. Полярный, ул. Гагарина, д. 3</v>
      </c>
      <c r="C24" s="25">
        <f t="shared" si="0"/>
        <v>2600000.0000000005</v>
      </c>
      <c r="D24" s="26">
        <f t="shared" si="3"/>
        <v>0</v>
      </c>
      <c r="E24" s="26"/>
      <c r="F24" s="26"/>
      <c r="G24" s="26"/>
      <c r="H24" s="26"/>
      <c r="I24" s="26"/>
      <c r="J24" s="26"/>
      <c r="K24" s="26"/>
      <c r="L24" s="27"/>
      <c r="M24" s="26"/>
      <c r="N24" s="28"/>
      <c r="O24" s="26">
        <f>2600000/1.015</f>
        <v>2561576.3546798034</v>
      </c>
      <c r="P24" s="28"/>
      <c r="Q24" s="26"/>
      <c r="R24" s="28"/>
      <c r="S24" s="26"/>
      <c r="T24" s="28"/>
      <c r="U24" s="26"/>
      <c r="V24" s="26">
        <f>(D24+M24+O24+Q24+S24+U24)*0.015</f>
        <v>38423.64532019705</v>
      </c>
      <c r="W24" s="28"/>
      <c r="X24" s="26"/>
      <c r="Y24" s="28"/>
      <c r="Z24" s="26"/>
      <c r="AA24" s="26"/>
      <c r="AB24" s="26"/>
      <c r="AC24" s="26"/>
    </row>
    <row r="25" spans="1:29" ht="15">
      <c r="A25" s="24">
        <v>17</v>
      </c>
      <c r="B25" s="32" t="str">
        <f>'Прил 1'!B26</f>
        <v>г. Полярный, ул. Героев "Тумана", д. 2</v>
      </c>
      <c r="C25" s="25">
        <f t="shared" si="0"/>
        <v>8885569.860000001</v>
      </c>
      <c r="D25" s="26"/>
      <c r="E25" s="26"/>
      <c r="F25" s="26"/>
      <c r="G25" s="26"/>
      <c r="H25" s="26"/>
      <c r="I25" s="26"/>
      <c r="J25" s="26"/>
      <c r="K25" s="26"/>
      <c r="L25" s="27">
        <v>3</v>
      </c>
      <c r="M25" s="26">
        <f>(3037801.66*3-227835.12)/1.015</f>
        <v>8754256.019704435</v>
      </c>
      <c r="N25" s="28"/>
      <c r="O25" s="26"/>
      <c r="P25" s="28"/>
      <c r="Q25" s="26"/>
      <c r="R25" s="28"/>
      <c r="S25" s="26"/>
      <c r="T25" s="28"/>
      <c r="U25" s="26"/>
      <c r="V25" s="26">
        <f t="shared" si="2"/>
        <v>131313.8402955665</v>
      </c>
      <c r="W25" s="28"/>
      <c r="X25" s="26"/>
      <c r="Y25" s="28"/>
      <c r="Z25" s="26"/>
      <c r="AA25" s="26"/>
      <c r="AB25" s="26"/>
      <c r="AC25" s="26"/>
    </row>
    <row r="26" spans="1:29" ht="15">
      <c r="A26" s="24">
        <v>18</v>
      </c>
      <c r="B26" s="32" t="str">
        <f>'Прил 1'!B27</f>
        <v>г. Гаджиево, ул. Мира, д. 81</v>
      </c>
      <c r="C26" s="25">
        <f t="shared" si="0"/>
        <v>3213784.6400000006</v>
      </c>
      <c r="D26" s="26">
        <f>SUM(E26:K26)</f>
        <v>933121.1231527094</v>
      </c>
      <c r="E26" s="26"/>
      <c r="F26" s="26"/>
      <c r="G26" s="26"/>
      <c r="H26" s="26"/>
      <c r="I26" s="26"/>
      <c r="J26" s="26">
        <f>947117.94/1.015</f>
        <v>933121.1231527094</v>
      </c>
      <c r="K26" s="26"/>
      <c r="L26" s="27"/>
      <c r="M26" s="26"/>
      <c r="N26" s="28"/>
      <c r="O26" s="26"/>
      <c r="P26" s="28"/>
      <c r="Q26" s="26"/>
      <c r="R26" s="28"/>
      <c r="S26" s="26">
        <f>1101.5*'Прил 1'!L27/1.015</f>
        <v>2233169.162561577</v>
      </c>
      <c r="T26" s="28"/>
      <c r="U26" s="26"/>
      <c r="V26" s="26">
        <f t="shared" si="2"/>
        <v>47494.3542857143</v>
      </c>
      <c r="W26" s="28"/>
      <c r="X26" s="26"/>
      <c r="Y26" s="28"/>
      <c r="Z26" s="26"/>
      <c r="AA26" s="26"/>
      <c r="AB26" s="26"/>
      <c r="AC26" s="26"/>
    </row>
    <row r="27" spans="1:29" ht="15">
      <c r="A27" s="24">
        <v>19</v>
      </c>
      <c r="B27" s="32" t="str">
        <f>'Прил 1'!B28</f>
        <v>г. Гаджиево,ул. Душенова, д. 97</v>
      </c>
      <c r="C27" s="25">
        <f t="shared" si="0"/>
        <v>947117.9400000001</v>
      </c>
      <c r="D27" s="26">
        <f>SUM(E27:K27)</f>
        <v>933121.1231527094</v>
      </c>
      <c r="E27" s="26"/>
      <c r="G27" s="26"/>
      <c r="H27" s="26"/>
      <c r="I27" s="26"/>
      <c r="J27" s="26">
        <f>947117.94/1.015</f>
        <v>933121.1231527094</v>
      </c>
      <c r="K27" s="26"/>
      <c r="L27" s="27"/>
      <c r="M27" s="26"/>
      <c r="N27" s="28"/>
      <c r="O27" s="26"/>
      <c r="P27" s="28"/>
      <c r="Q27" s="26"/>
      <c r="R27" s="28"/>
      <c r="S27" s="26"/>
      <c r="T27" s="28"/>
      <c r="U27" s="26"/>
      <c r="V27" s="26">
        <f t="shared" si="2"/>
        <v>13996.816847290642</v>
      </c>
      <c r="W27" s="28"/>
      <c r="X27" s="26"/>
      <c r="Y27" s="28"/>
      <c r="Z27" s="26"/>
      <c r="AA27" s="26"/>
      <c r="AB27" s="26"/>
      <c r="AC27" s="26"/>
    </row>
    <row r="28" spans="1:29" ht="15">
      <c r="A28" s="24">
        <v>20</v>
      </c>
      <c r="B28" s="32" t="str">
        <f>'Прил 1'!B29</f>
        <v>г. Гаджиево, ул. Колышкина, д. 113</v>
      </c>
      <c r="C28" s="25">
        <f t="shared" si="0"/>
        <v>947117.9400000001</v>
      </c>
      <c r="D28" s="26">
        <f>SUM(E28:K28)</f>
        <v>933121.1231527094</v>
      </c>
      <c r="E28" s="26"/>
      <c r="F28" s="26"/>
      <c r="G28" s="26"/>
      <c r="H28" s="26"/>
      <c r="I28" s="26"/>
      <c r="J28" s="26">
        <f>947117.94/1.015</f>
        <v>933121.1231527094</v>
      </c>
      <c r="K28" s="26"/>
      <c r="L28" s="27"/>
      <c r="M28" s="26"/>
      <c r="N28" s="28"/>
      <c r="O28" s="26"/>
      <c r="P28" s="28"/>
      <c r="Q28" s="26"/>
      <c r="R28" s="28"/>
      <c r="S28" s="26"/>
      <c r="T28" s="28"/>
      <c r="U28" s="26"/>
      <c r="V28" s="26">
        <f t="shared" si="2"/>
        <v>13996.816847290642</v>
      </c>
      <c r="W28" s="28"/>
      <c r="X28" s="26"/>
      <c r="Y28" s="28"/>
      <c r="Z28" s="26"/>
      <c r="AA28" s="26"/>
      <c r="AB28" s="26"/>
      <c r="AC28" s="26"/>
    </row>
    <row r="29" spans="1:29" ht="15">
      <c r="A29" s="24">
        <v>21</v>
      </c>
      <c r="B29" s="32" t="str">
        <f>'Прил 1'!B30</f>
        <v>г. Гаджиево, наб. Сергея Преминина, д. 122</v>
      </c>
      <c r="C29" s="25">
        <f t="shared" si="0"/>
        <v>947117.9400000001</v>
      </c>
      <c r="D29" s="26">
        <f>SUM(E29:K29)</f>
        <v>933121.1231527094</v>
      </c>
      <c r="E29" s="26"/>
      <c r="F29" s="26"/>
      <c r="G29" s="26"/>
      <c r="H29" s="26"/>
      <c r="I29" s="26"/>
      <c r="J29" s="26">
        <f>947117.94/1.015</f>
        <v>933121.1231527094</v>
      </c>
      <c r="K29" s="26"/>
      <c r="L29" s="27"/>
      <c r="M29" s="26"/>
      <c r="N29" s="28"/>
      <c r="O29" s="26"/>
      <c r="P29" s="28"/>
      <c r="Q29" s="26"/>
      <c r="R29" s="28"/>
      <c r="S29" s="26"/>
      <c r="T29" s="28"/>
      <c r="U29" s="26"/>
      <c r="V29" s="26">
        <f t="shared" si="2"/>
        <v>13996.816847290642</v>
      </c>
      <c r="W29" s="28"/>
      <c r="X29" s="26"/>
      <c r="Y29" s="28"/>
      <c r="Z29" s="26"/>
      <c r="AA29" s="26"/>
      <c r="AB29" s="26"/>
      <c r="AC29" s="26"/>
    </row>
    <row r="30" spans="1:29" ht="15">
      <c r="A30" s="24"/>
      <c r="B30" s="32" t="str">
        <f>'Прил 1'!B31</f>
        <v>г. Гаджиево, наб. Сергея Преминина, д. 121</v>
      </c>
      <c r="C30" s="25">
        <f aca="true" t="shared" si="4" ref="C30:C83">D30+M30+O30+Q30+S30+U30+V30+X30+Z30+AA30+AB30+AC30</f>
        <v>906005.7600000001</v>
      </c>
      <c r="D30" s="26">
        <f aca="true" t="shared" si="5" ref="D30:D83">SUM(E30:K30)</f>
        <v>0</v>
      </c>
      <c r="E30" s="26"/>
      <c r="F30" s="26"/>
      <c r="G30" s="26"/>
      <c r="H30" s="26"/>
      <c r="I30" s="26"/>
      <c r="J30" s="26"/>
      <c r="K30" s="26"/>
      <c r="L30" s="27"/>
      <c r="M30" s="26"/>
      <c r="N30" s="28">
        <v>253</v>
      </c>
      <c r="O30" s="26">
        <f>1072.45*844.8/1.015</f>
        <v>892616.5123152711</v>
      </c>
      <c r="P30" s="28"/>
      <c r="Q30" s="26"/>
      <c r="R30" s="28"/>
      <c r="S30" s="26"/>
      <c r="T30" s="28"/>
      <c r="U30" s="26"/>
      <c r="V30" s="26">
        <f t="shared" si="2"/>
        <v>13389.247684729065</v>
      </c>
      <c r="W30" s="28"/>
      <c r="X30" s="26"/>
      <c r="Y30" s="28"/>
      <c r="Z30" s="26"/>
      <c r="AA30" s="26"/>
      <c r="AB30" s="26"/>
      <c r="AC30" s="26"/>
    </row>
    <row r="31" spans="1:29" ht="15">
      <c r="A31" s="24"/>
      <c r="B31" s="32" t="str">
        <f>'Прил 1'!B32</f>
        <v>г. Гаджиево, ул. Душенова, д. 91</v>
      </c>
      <c r="C31" s="25">
        <f t="shared" si="4"/>
        <v>2239168.3550000004</v>
      </c>
      <c r="D31" s="26">
        <f t="shared" si="5"/>
        <v>0</v>
      </c>
      <c r="E31" s="26"/>
      <c r="F31" s="26"/>
      <c r="G31" s="26"/>
      <c r="H31" s="26"/>
      <c r="I31" s="26"/>
      <c r="J31" s="26"/>
      <c r="K31" s="26"/>
      <c r="L31" s="27"/>
      <c r="M31" s="26"/>
      <c r="N31" s="28">
        <v>619</v>
      </c>
      <c r="O31" s="26">
        <f>1072.45*2087.9/1.015</f>
        <v>2206077.1970443353</v>
      </c>
      <c r="P31" s="28"/>
      <c r="Q31" s="26"/>
      <c r="R31" s="28"/>
      <c r="S31" s="26"/>
      <c r="T31" s="28"/>
      <c r="U31" s="26"/>
      <c r="V31" s="26">
        <f t="shared" si="2"/>
        <v>33091.157955665025</v>
      </c>
      <c r="W31" s="28"/>
      <c r="X31" s="26"/>
      <c r="Y31" s="28"/>
      <c r="Z31" s="26"/>
      <c r="AA31" s="26"/>
      <c r="AB31" s="26"/>
      <c r="AC31" s="26"/>
    </row>
    <row r="32" spans="1:37" s="62" customFormat="1" ht="15">
      <c r="A32" s="108" t="s">
        <v>118</v>
      </c>
      <c r="B32" s="109"/>
      <c r="C32" s="29">
        <f aca="true" t="shared" si="6" ref="C32:AC32">SUM(C10:C31)</f>
        <v>57825559.39999999</v>
      </c>
      <c r="D32" s="29">
        <f t="shared" si="6"/>
        <v>15455637.20197044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4926108.374384237</v>
      </c>
      <c r="I32" s="29">
        <f t="shared" si="6"/>
        <v>2167487.6847290643</v>
      </c>
      <c r="J32" s="29">
        <f t="shared" si="6"/>
        <v>8362041.142857144</v>
      </c>
      <c r="K32" s="29">
        <f t="shared" si="6"/>
        <v>0</v>
      </c>
      <c r="L32" s="29">
        <f t="shared" si="6"/>
        <v>5</v>
      </c>
      <c r="M32" s="29">
        <f t="shared" si="6"/>
        <v>14590426.694581283</v>
      </c>
      <c r="N32" s="29">
        <f t="shared" si="6"/>
        <v>2413</v>
      </c>
      <c r="O32" s="29">
        <f t="shared" si="6"/>
        <v>16284495.413793107</v>
      </c>
      <c r="P32" s="29">
        <f t="shared" si="6"/>
        <v>0</v>
      </c>
      <c r="Q32" s="29">
        <f t="shared" si="6"/>
        <v>0</v>
      </c>
      <c r="R32" s="29">
        <f t="shared" si="6"/>
        <v>3253.8</v>
      </c>
      <c r="S32" s="29">
        <f t="shared" si="6"/>
        <v>10640435.172413794</v>
      </c>
      <c r="T32" s="29">
        <f t="shared" si="6"/>
        <v>0</v>
      </c>
      <c r="U32" s="29">
        <f t="shared" si="6"/>
        <v>0</v>
      </c>
      <c r="V32" s="29">
        <f t="shared" si="6"/>
        <v>854564.9172413794</v>
      </c>
      <c r="W32" s="29">
        <f t="shared" si="6"/>
        <v>0</v>
      </c>
      <c r="X32" s="29">
        <f t="shared" si="6"/>
        <v>0</v>
      </c>
      <c r="Y32" s="29">
        <f t="shared" si="6"/>
        <v>0</v>
      </c>
      <c r="Z32" s="29">
        <f t="shared" si="6"/>
        <v>0</v>
      </c>
      <c r="AA32" s="29">
        <f t="shared" si="6"/>
        <v>0</v>
      </c>
      <c r="AB32" s="29">
        <f t="shared" si="6"/>
        <v>0</v>
      </c>
      <c r="AC32" s="29">
        <f t="shared" si="6"/>
        <v>0</v>
      </c>
      <c r="AD32" s="61"/>
      <c r="AE32" s="61"/>
      <c r="AF32" s="61"/>
      <c r="AG32" s="61"/>
      <c r="AH32" s="61"/>
      <c r="AI32" s="61"/>
      <c r="AJ32" s="61"/>
      <c r="AK32" s="61"/>
    </row>
    <row r="33" spans="1:29" ht="15">
      <c r="A33" s="24"/>
      <c r="B33" s="32" t="str">
        <f>'Прил 1'!B34</f>
        <v>г. Снежногорск, ул. Флотская, д. 3</v>
      </c>
      <c r="C33" s="25">
        <f t="shared" si="4"/>
        <v>6000000.000000001</v>
      </c>
      <c r="D33" s="26">
        <f t="shared" si="5"/>
        <v>0</v>
      </c>
      <c r="E33" s="26"/>
      <c r="F33" s="26"/>
      <c r="G33" s="26"/>
      <c r="H33" s="26"/>
      <c r="I33" s="26"/>
      <c r="J33" s="26"/>
      <c r="K33" s="26"/>
      <c r="L33" s="27"/>
      <c r="M33" s="26"/>
      <c r="N33" s="28"/>
      <c r="O33" s="26"/>
      <c r="P33" s="28"/>
      <c r="Q33" s="26"/>
      <c r="R33" s="28">
        <v>3427.5</v>
      </c>
      <c r="S33" s="26">
        <f>6000000/1.015</f>
        <v>5911330.049261085</v>
      </c>
      <c r="T33" s="28"/>
      <c r="U33" s="26"/>
      <c r="V33" s="26">
        <f t="shared" si="2"/>
        <v>88669.95073891626</v>
      </c>
      <c r="W33" s="28"/>
      <c r="X33" s="26"/>
      <c r="Y33" s="28"/>
      <c r="Z33" s="26"/>
      <c r="AA33" s="26"/>
      <c r="AB33" s="26"/>
      <c r="AC33" s="26"/>
    </row>
    <row r="34" spans="1:29" ht="15">
      <c r="A34" s="24"/>
      <c r="B34" s="32" t="str">
        <f>'Прил 1'!B35</f>
        <v>г. Снежногорск, ул. П. Стеблина, д. 14</v>
      </c>
      <c r="C34" s="25">
        <f t="shared" si="4"/>
        <v>3500000.0000000005</v>
      </c>
      <c r="D34" s="26">
        <f t="shared" si="5"/>
        <v>0</v>
      </c>
      <c r="E34" s="26"/>
      <c r="F34" s="26"/>
      <c r="G34" s="26"/>
      <c r="H34" s="26"/>
      <c r="I34" s="26"/>
      <c r="J34" s="26"/>
      <c r="K34" s="26"/>
      <c r="L34" s="27"/>
      <c r="M34" s="26"/>
      <c r="N34" s="28"/>
      <c r="O34" s="26"/>
      <c r="P34" s="28"/>
      <c r="Q34" s="26"/>
      <c r="R34" s="28">
        <v>2404.6</v>
      </c>
      <c r="S34" s="26">
        <f>3500000/1.015</f>
        <v>3448275.862068966</v>
      </c>
      <c r="T34" s="28"/>
      <c r="U34" s="26"/>
      <c r="V34" s="26">
        <f t="shared" si="2"/>
        <v>51724.137931034486</v>
      </c>
      <c r="W34" s="28"/>
      <c r="X34" s="26"/>
      <c r="Y34" s="28"/>
      <c r="Z34" s="26"/>
      <c r="AA34" s="26"/>
      <c r="AB34" s="26"/>
      <c r="AC34" s="26"/>
    </row>
    <row r="35" spans="1:29" ht="15">
      <c r="A35" s="24"/>
      <c r="B35" s="32" t="str">
        <f>'Прил 1'!B36</f>
        <v>г. Снежногорск, ул. П. Стебдина, д. 21</v>
      </c>
      <c r="C35" s="25">
        <f t="shared" si="4"/>
        <v>4300000.000000001</v>
      </c>
      <c r="D35" s="26">
        <f t="shared" si="5"/>
        <v>1724137.931034483</v>
      </c>
      <c r="E35" s="26"/>
      <c r="F35" s="26"/>
      <c r="G35" s="26"/>
      <c r="H35" s="26"/>
      <c r="I35" s="26"/>
      <c r="J35" s="26">
        <f>1750000/1.015</f>
        <v>1724137.931034483</v>
      </c>
      <c r="K35" s="26"/>
      <c r="L35" s="27"/>
      <c r="M35" s="26"/>
      <c r="N35" s="28">
        <v>584</v>
      </c>
      <c r="O35" s="26">
        <f>2550000/1.015</f>
        <v>2512315.270935961</v>
      </c>
      <c r="P35" s="28"/>
      <c r="Q35" s="26"/>
      <c r="R35" s="28"/>
      <c r="S35" s="26"/>
      <c r="T35" s="28"/>
      <c r="U35" s="26"/>
      <c r="V35" s="26">
        <f t="shared" si="2"/>
        <v>63546.79802955666</v>
      </c>
      <c r="W35" s="28"/>
      <c r="X35" s="26"/>
      <c r="Y35" s="28"/>
      <c r="Z35" s="26"/>
      <c r="AA35" s="26"/>
      <c r="AB35" s="26"/>
      <c r="AC35" s="26"/>
    </row>
    <row r="36" spans="1:29" ht="15">
      <c r="A36" s="24"/>
      <c r="B36" s="32" t="str">
        <f>'Прил 1'!B37</f>
        <v>г. Снежногорск, ул. Мира, д. 10</v>
      </c>
      <c r="C36" s="25">
        <f t="shared" si="4"/>
        <v>4778587.720000001</v>
      </c>
      <c r="D36" s="26">
        <f t="shared" si="5"/>
        <v>0</v>
      </c>
      <c r="E36" s="26"/>
      <c r="F36" s="26"/>
      <c r="G36" s="26"/>
      <c r="H36" s="26"/>
      <c r="I36" s="26"/>
      <c r="J36" s="26"/>
      <c r="K36" s="26"/>
      <c r="L36" s="27"/>
      <c r="M36" s="26"/>
      <c r="N36" s="28"/>
      <c r="O36" s="26"/>
      <c r="P36" s="28"/>
      <c r="Q36" s="26"/>
      <c r="R36" s="28">
        <v>2870.2</v>
      </c>
      <c r="S36" s="26">
        <f>4778587.72/1.015</f>
        <v>4707968.197044335</v>
      </c>
      <c r="T36" s="28"/>
      <c r="U36" s="26"/>
      <c r="V36" s="26">
        <f t="shared" si="2"/>
        <v>70619.52295566503</v>
      </c>
      <c r="W36" s="28"/>
      <c r="X36" s="26"/>
      <c r="Y36" s="28"/>
      <c r="Z36" s="26"/>
      <c r="AA36" s="26"/>
      <c r="AB36" s="26"/>
      <c r="AC36" s="26"/>
    </row>
    <row r="37" spans="1:29" ht="15">
      <c r="A37" s="24"/>
      <c r="B37" s="32" t="str">
        <f>'Прил 1'!B38</f>
        <v>г. Снежногорск, у. Победы, д. 2</v>
      </c>
      <c r="C37" s="25">
        <f t="shared" si="4"/>
        <v>1538000.0000000002</v>
      </c>
      <c r="D37" s="26">
        <f t="shared" si="5"/>
        <v>1515270.9359605913</v>
      </c>
      <c r="E37" s="26"/>
      <c r="F37" s="26"/>
      <c r="G37" s="26"/>
      <c r="H37" s="26"/>
      <c r="I37" s="26"/>
      <c r="J37" s="26">
        <f>1538000/1.015</f>
        <v>1515270.9359605913</v>
      </c>
      <c r="K37" s="26"/>
      <c r="L37" s="27"/>
      <c r="M37" s="26"/>
      <c r="N37" s="28"/>
      <c r="O37" s="26"/>
      <c r="P37" s="28"/>
      <c r="Q37" s="26"/>
      <c r="R37" s="28"/>
      <c r="S37" s="26"/>
      <c r="T37" s="28"/>
      <c r="U37" s="26"/>
      <c r="V37" s="26">
        <f t="shared" si="2"/>
        <v>22729.06403940887</v>
      </c>
      <c r="W37" s="28"/>
      <c r="X37" s="26"/>
      <c r="Y37" s="28"/>
      <c r="Z37" s="26"/>
      <c r="AA37" s="26"/>
      <c r="AB37" s="26"/>
      <c r="AC37" s="26"/>
    </row>
    <row r="38" spans="1:29" ht="15">
      <c r="A38" s="24"/>
      <c r="B38" s="32" t="str">
        <f>'Прил 1'!B39</f>
        <v>г. Снежногорск, у. Победы, д. 3</v>
      </c>
      <c r="C38" s="25">
        <f t="shared" si="4"/>
        <v>875000.0000000001</v>
      </c>
      <c r="D38" s="26">
        <f t="shared" si="5"/>
        <v>862068.9655172415</v>
      </c>
      <c r="E38" s="26"/>
      <c r="F38" s="26"/>
      <c r="G38" s="26"/>
      <c r="H38" s="26"/>
      <c r="I38" s="26"/>
      <c r="J38" s="26">
        <f>875000/1.015</f>
        <v>862068.9655172415</v>
      </c>
      <c r="K38" s="26"/>
      <c r="L38" s="27"/>
      <c r="M38" s="26"/>
      <c r="N38" s="28"/>
      <c r="O38" s="26"/>
      <c r="P38" s="28"/>
      <c r="Q38" s="26"/>
      <c r="R38" s="28"/>
      <c r="S38" s="26"/>
      <c r="T38" s="28"/>
      <c r="U38" s="26"/>
      <c r="V38" s="26">
        <f t="shared" si="2"/>
        <v>12931.034482758621</v>
      </c>
      <c r="W38" s="28"/>
      <c r="X38" s="26"/>
      <c r="Y38" s="28"/>
      <c r="Z38" s="26"/>
      <c r="AA38" s="26"/>
      <c r="AB38" s="26"/>
      <c r="AC38" s="26"/>
    </row>
    <row r="39" spans="1:29" ht="15">
      <c r="A39" s="24"/>
      <c r="B39" s="32" t="str">
        <f>'Прил 1'!B40</f>
        <v>г. Снежногорск, ул. Октябрьская, д. 17</v>
      </c>
      <c r="C39" s="25">
        <f t="shared" si="4"/>
        <v>2961856.62</v>
      </c>
      <c r="D39" s="26"/>
      <c r="E39" s="26"/>
      <c r="F39" s="26"/>
      <c r="G39" s="26"/>
      <c r="H39" s="26"/>
      <c r="I39" s="26"/>
      <c r="J39" s="26"/>
      <c r="K39" s="26"/>
      <c r="L39" s="27">
        <v>1</v>
      </c>
      <c r="M39" s="26">
        <f>(3037801.66-75945.04)/1.015</f>
        <v>2918085.339901478</v>
      </c>
      <c r="N39" s="28"/>
      <c r="O39" s="26"/>
      <c r="P39" s="28"/>
      <c r="Q39" s="26"/>
      <c r="R39" s="28"/>
      <c r="S39" s="26"/>
      <c r="T39" s="28"/>
      <c r="U39" s="26"/>
      <c r="V39" s="26">
        <f t="shared" si="2"/>
        <v>43771.28009852217</v>
      </c>
      <c r="W39" s="28"/>
      <c r="X39" s="26"/>
      <c r="Y39" s="28"/>
      <c r="Z39" s="26"/>
      <c r="AA39" s="26"/>
      <c r="AB39" s="26"/>
      <c r="AC39" s="26"/>
    </row>
    <row r="40" spans="1:29" ht="15">
      <c r="A40" s="24"/>
      <c r="B40" s="32" t="str">
        <f>'Прил 1'!B41</f>
        <v>н. п. Оленья Губа, ул. Строителей, д. 33</v>
      </c>
      <c r="C40" s="25">
        <f t="shared" si="4"/>
        <v>714000</v>
      </c>
      <c r="D40" s="26">
        <f t="shared" si="5"/>
        <v>703448.275862069</v>
      </c>
      <c r="E40" s="26"/>
      <c r="F40" s="26"/>
      <c r="G40" s="26"/>
      <c r="H40" s="26"/>
      <c r="I40" s="26"/>
      <c r="J40" s="26">
        <f>714000/1.015</f>
        <v>703448.275862069</v>
      </c>
      <c r="K40" s="26"/>
      <c r="L40" s="27"/>
      <c r="M40" s="26"/>
      <c r="N40" s="28"/>
      <c r="O40" s="26"/>
      <c r="P40" s="28"/>
      <c r="Q40" s="26"/>
      <c r="R40" s="28"/>
      <c r="S40" s="26"/>
      <c r="T40" s="28"/>
      <c r="U40" s="26"/>
      <c r="V40" s="26">
        <f t="shared" si="2"/>
        <v>10551.724137931034</v>
      </c>
      <c r="W40" s="28"/>
      <c r="X40" s="26"/>
      <c r="Y40" s="28"/>
      <c r="Z40" s="26"/>
      <c r="AA40" s="26"/>
      <c r="AB40" s="26"/>
      <c r="AC40" s="26"/>
    </row>
    <row r="41" spans="1:29" ht="15">
      <c r="A41" s="24"/>
      <c r="B41" s="32" t="str">
        <f>'Прил 1'!B42</f>
        <v>н. п. Оленья Губа, ул. Строителей, д. 37</v>
      </c>
      <c r="C41" s="25">
        <f t="shared" si="4"/>
        <v>605000</v>
      </c>
      <c r="D41" s="26">
        <f t="shared" si="5"/>
        <v>596059.1133004926</v>
      </c>
      <c r="E41" s="26"/>
      <c r="F41" s="26"/>
      <c r="G41" s="26"/>
      <c r="H41" s="26"/>
      <c r="I41" s="26"/>
      <c r="J41" s="26">
        <f>605000/1.015</f>
        <v>596059.1133004926</v>
      </c>
      <c r="K41" s="26"/>
      <c r="L41" s="27"/>
      <c r="M41" s="26"/>
      <c r="N41" s="28"/>
      <c r="O41" s="26"/>
      <c r="P41" s="28"/>
      <c r="Q41" s="26"/>
      <c r="R41" s="28"/>
      <c r="S41" s="26"/>
      <c r="T41" s="28"/>
      <c r="U41" s="26"/>
      <c r="V41" s="26">
        <f t="shared" si="2"/>
        <v>8940.88669950739</v>
      </c>
      <c r="W41" s="28"/>
      <c r="X41" s="26"/>
      <c r="Y41" s="28"/>
      <c r="Z41" s="26"/>
      <c r="AA41" s="26"/>
      <c r="AB41" s="26"/>
      <c r="AC41" s="26"/>
    </row>
    <row r="42" spans="1:29" ht="15">
      <c r="A42" s="24"/>
      <c r="B42" s="32" t="str">
        <f>'Прил 1'!B43</f>
        <v>н. п. Оленья Губа, ул. Строителей, д. 36</v>
      </c>
      <c r="C42" s="25">
        <f t="shared" si="4"/>
        <v>531000.0000000001</v>
      </c>
      <c r="D42" s="26">
        <f t="shared" si="5"/>
        <v>523152.709359606</v>
      </c>
      <c r="E42" s="26"/>
      <c r="F42" s="26"/>
      <c r="G42" s="26"/>
      <c r="H42" s="26"/>
      <c r="I42" s="26"/>
      <c r="J42" s="26">
        <f>531000/1.015</f>
        <v>523152.709359606</v>
      </c>
      <c r="K42" s="26"/>
      <c r="L42" s="27"/>
      <c r="M42" s="26"/>
      <c r="N42" s="28"/>
      <c r="O42" s="26"/>
      <c r="P42" s="28"/>
      <c r="Q42" s="26"/>
      <c r="R42" s="28"/>
      <c r="S42" s="26"/>
      <c r="T42" s="28"/>
      <c r="U42" s="26"/>
      <c r="V42" s="26">
        <f t="shared" si="2"/>
        <v>7847.29064039409</v>
      </c>
      <c r="W42" s="28"/>
      <c r="X42" s="26"/>
      <c r="Y42" s="28"/>
      <c r="Z42" s="26"/>
      <c r="AA42" s="26"/>
      <c r="AB42" s="26"/>
      <c r="AC42" s="26"/>
    </row>
    <row r="43" spans="1:29" ht="15">
      <c r="A43" s="24"/>
      <c r="B43" s="32" t="str">
        <f>'Прил 1'!B44</f>
        <v>г. Полярный, ул. Красный Горн, д. 15</v>
      </c>
      <c r="C43" s="25">
        <f t="shared" si="4"/>
        <v>2500000</v>
      </c>
      <c r="D43" s="26">
        <f t="shared" si="5"/>
        <v>2463054.1871921183</v>
      </c>
      <c r="E43" s="26"/>
      <c r="F43" s="26"/>
      <c r="G43" s="26"/>
      <c r="H43" s="26">
        <f>2500000/1.015</f>
        <v>2463054.1871921183</v>
      </c>
      <c r="I43" s="26"/>
      <c r="J43" s="26"/>
      <c r="K43" s="26"/>
      <c r="L43" s="27"/>
      <c r="M43" s="26"/>
      <c r="N43" s="28"/>
      <c r="O43" s="26"/>
      <c r="P43" s="28"/>
      <c r="Q43" s="26"/>
      <c r="R43" s="28"/>
      <c r="S43" s="26"/>
      <c r="T43" s="28"/>
      <c r="U43" s="26"/>
      <c r="V43" s="26">
        <f t="shared" si="2"/>
        <v>36945.812807881775</v>
      </c>
      <c r="W43" s="28"/>
      <c r="X43" s="26"/>
      <c r="Y43" s="28"/>
      <c r="Z43" s="26"/>
      <c r="AA43" s="26"/>
      <c r="AB43" s="26"/>
      <c r="AC43" s="26"/>
    </row>
    <row r="44" spans="1:29" ht="15">
      <c r="A44" s="24"/>
      <c r="B44" s="32" t="str">
        <f>'Прил 1'!B45</f>
        <v>г. Полярный, ул. Героев Североморцев, д. 17</v>
      </c>
      <c r="C44" s="25">
        <f t="shared" si="4"/>
        <v>500000.00000000006</v>
      </c>
      <c r="D44" s="26">
        <f t="shared" si="5"/>
        <v>492610.8374384237</v>
      </c>
      <c r="E44" s="26"/>
      <c r="F44" s="26"/>
      <c r="G44" s="26"/>
      <c r="H44" s="26"/>
      <c r="I44" s="26">
        <f>500000/1.015</f>
        <v>492610.8374384237</v>
      </c>
      <c r="J44" s="26"/>
      <c r="K44" s="26"/>
      <c r="L44" s="27"/>
      <c r="M44" s="26"/>
      <c r="N44" s="28"/>
      <c r="O44" s="26"/>
      <c r="P44" s="28"/>
      <c r="Q44" s="26"/>
      <c r="R44" s="28"/>
      <c r="S44" s="26"/>
      <c r="T44" s="28"/>
      <c r="U44" s="26"/>
      <c r="V44" s="26">
        <f t="shared" si="2"/>
        <v>7389.162561576355</v>
      </c>
      <c r="W44" s="28"/>
      <c r="X44" s="26"/>
      <c r="Y44" s="28"/>
      <c r="Z44" s="26"/>
      <c r="AA44" s="26"/>
      <c r="AB44" s="26"/>
      <c r="AC44" s="26"/>
    </row>
    <row r="45" spans="1:29" ht="15">
      <c r="A45" s="24"/>
      <c r="B45" s="32" t="str">
        <f>'Прил 1'!B46</f>
        <v>г. Полярный, ул. Видяева, д. 2</v>
      </c>
      <c r="C45" s="25">
        <f t="shared" si="4"/>
        <v>600000</v>
      </c>
      <c r="D45" s="26">
        <f t="shared" si="5"/>
        <v>591133.0049261084</v>
      </c>
      <c r="E45" s="25"/>
      <c r="F45" s="25"/>
      <c r="G45" s="26"/>
      <c r="H45" s="26"/>
      <c r="I45" s="26">
        <f>600000/1.015</f>
        <v>591133.0049261084</v>
      </c>
      <c r="J45" s="26"/>
      <c r="K45" s="26"/>
      <c r="L45" s="27"/>
      <c r="M45" s="26"/>
      <c r="N45" s="28"/>
      <c r="O45" s="26"/>
      <c r="P45" s="28"/>
      <c r="Q45" s="26"/>
      <c r="R45" s="28"/>
      <c r="S45" s="26"/>
      <c r="T45" s="28"/>
      <c r="U45" s="26"/>
      <c r="V45" s="26">
        <f>(D45+M45+O45+Q45+S45+U45)*0.015</f>
        <v>8866.995073891625</v>
      </c>
      <c r="W45" s="28"/>
      <c r="X45" s="26"/>
      <c r="Y45" s="28"/>
      <c r="Z45" s="26"/>
      <c r="AA45" s="26"/>
      <c r="AB45" s="26"/>
      <c r="AC45" s="26"/>
    </row>
    <row r="46" spans="1:29" ht="15">
      <c r="A46" s="24"/>
      <c r="B46" s="32" t="str">
        <f>'Прил 1'!B47</f>
        <v>г. Полярный, ул. Гаджиева, д. 6</v>
      </c>
      <c r="C46" s="25">
        <f t="shared" si="4"/>
        <v>800000.0000000001</v>
      </c>
      <c r="D46" s="26">
        <f t="shared" si="5"/>
        <v>0</v>
      </c>
      <c r="E46" s="26"/>
      <c r="F46" s="26"/>
      <c r="G46" s="26"/>
      <c r="H46" s="26"/>
      <c r="I46" s="26"/>
      <c r="J46" s="26"/>
      <c r="K46" s="26"/>
      <c r="L46" s="27"/>
      <c r="M46" s="26"/>
      <c r="N46" s="28"/>
      <c r="O46" s="26"/>
      <c r="P46" s="28"/>
      <c r="Q46" s="26"/>
      <c r="R46" s="28">
        <v>1003</v>
      </c>
      <c r="S46" s="26">
        <f>800000/1.015</f>
        <v>788177.3399014779</v>
      </c>
      <c r="T46" s="28"/>
      <c r="U46" s="26"/>
      <c r="V46" s="26">
        <f t="shared" si="2"/>
        <v>11822.660098522168</v>
      </c>
      <c r="W46" s="28"/>
      <c r="X46" s="26"/>
      <c r="Y46" s="28"/>
      <c r="Z46" s="26"/>
      <c r="AA46" s="26"/>
      <c r="AB46" s="26"/>
      <c r="AC46" s="26"/>
    </row>
    <row r="47" spans="1:29" ht="15">
      <c r="A47" s="24"/>
      <c r="B47" s="32" t="str">
        <f>'Прил 1'!B48</f>
        <v>г. Полярный, ул. Видяева, д. 12</v>
      </c>
      <c r="C47" s="25">
        <f t="shared" si="4"/>
        <v>6500000.000000001</v>
      </c>
      <c r="D47" s="26">
        <f t="shared" si="5"/>
        <v>0</v>
      </c>
      <c r="E47" s="26"/>
      <c r="F47" s="26"/>
      <c r="G47" s="26"/>
      <c r="H47" s="26"/>
      <c r="I47" s="26"/>
      <c r="J47" s="26"/>
      <c r="K47" s="26"/>
      <c r="L47" s="27"/>
      <c r="M47" s="26"/>
      <c r="N47" s="28"/>
      <c r="O47" s="26"/>
      <c r="P47" s="28"/>
      <c r="Q47" s="26"/>
      <c r="R47" s="28">
        <v>4590</v>
      </c>
      <c r="S47" s="26">
        <f>6500000/1.015</f>
        <v>6403940.886699508</v>
      </c>
      <c r="T47" s="28"/>
      <c r="U47" s="26"/>
      <c r="V47" s="26">
        <f t="shared" si="2"/>
        <v>96059.11330049261</v>
      </c>
      <c r="W47" s="28"/>
      <c r="X47" s="26"/>
      <c r="Y47" s="28"/>
      <c r="Z47" s="26"/>
      <c r="AA47" s="26"/>
      <c r="AB47" s="26"/>
      <c r="AC47" s="26"/>
    </row>
    <row r="48" spans="1:29" ht="15">
      <c r="A48" s="24"/>
      <c r="B48" s="32" t="str">
        <f>'Прил 1'!B49</f>
        <v>г. Полярный, ул. Гагарина, д. 7</v>
      </c>
      <c r="C48" s="25">
        <f t="shared" si="4"/>
        <v>3000000.0000000005</v>
      </c>
      <c r="D48" s="26">
        <f t="shared" si="5"/>
        <v>0</v>
      </c>
      <c r="E48" s="26"/>
      <c r="F48" s="26"/>
      <c r="G48" s="26"/>
      <c r="H48" s="26"/>
      <c r="I48" s="26"/>
      <c r="J48" s="26"/>
      <c r="K48" s="26"/>
      <c r="L48" s="27"/>
      <c r="M48" s="26"/>
      <c r="N48" s="28">
        <v>798</v>
      </c>
      <c r="O48" s="26">
        <f>3000000/1.015</f>
        <v>2955665.0246305424</v>
      </c>
      <c r="P48" s="28"/>
      <c r="Q48" s="26"/>
      <c r="R48" s="28"/>
      <c r="S48" s="26"/>
      <c r="T48" s="28"/>
      <c r="U48" s="26"/>
      <c r="V48" s="26">
        <f t="shared" si="2"/>
        <v>44334.97536945813</v>
      </c>
      <c r="W48" s="28"/>
      <c r="X48" s="26"/>
      <c r="Y48" s="28"/>
      <c r="Z48" s="26"/>
      <c r="AA48" s="26"/>
      <c r="AB48" s="26"/>
      <c r="AC48" s="26"/>
    </row>
    <row r="49" spans="1:29" ht="15">
      <c r="A49" s="24"/>
      <c r="B49" s="32" t="str">
        <f>'Прил 1'!B50</f>
        <v>г. Полярный, ул. Гагарина, д. 5</v>
      </c>
      <c r="C49" s="25">
        <f t="shared" si="4"/>
        <v>2600000.0000000005</v>
      </c>
      <c r="D49" s="26">
        <f t="shared" si="5"/>
        <v>0</v>
      </c>
      <c r="E49" s="26"/>
      <c r="F49" s="26"/>
      <c r="G49" s="26"/>
      <c r="H49" s="26"/>
      <c r="I49" s="26"/>
      <c r="J49" s="26"/>
      <c r="K49" s="26"/>
      <c r="L49" s="27"/>
      <c r="M49" s="26"/>
      <c r="N49" s="28">
        <v>1112</v>
      </c>
      <c r="O49" s="26">
        <f>2600000/1.015</f>
        <v>2561576.3546798034</v>
      </c>
      <c r="P49" s="28"/>
      <c r="Q49" s="26"/>
      <c r="R49" s="28"/>
      <c r="S49" s="26"/>
      <c r="T49" s="28"/>
      <c r="U49" s="26"/>
      <c r="V49" s="26">
        <f t="shared" si="2"/>
        <v>38423.64532019705</v>
      </c>
      <c r="W49" s="28"/>
      <c r="X49" s="26"/>
      <c r="Y49" s="28"/>
      <c r="Z49" s="26"/>
      <c r="AA49" s="26"/>
      <c r="AB49" s="26"/>
      <c r="AC49" s="26"/>
    </row>
    <row r="50" spans="1:29" ht="15">
      <c r="A50" s="24"/>
      <c r="B50" s="32" t="str">
        <f>'Прил 1'!B51</f>
        <v>г. Полярный, ул. Сивко, д. 10</v>
      </c>
      <c r="C50" s="25">
        <f t="shared" si="4"/>
        <v>1500000.0000000002</v>
      </c>
      <c r="D50" s="26">
        <f t="shared" si="5"/>
        <v>0</v>
      </c>
      <c r="E50" s="26"/>
      <c r="F50" s="26"/>
      <c r="G50" s="26"/>
      <c r="H50" s="26"/>
      <c r="I50" s="26"/>
      <c r="J50" s="26"/>
      <c r="K50" s="26"/>
      <c r="L50" s="27"/>
      <c r="M50" s="26"/>
      <c r="N50" s="28">
        <v>623</v>
      </c>
      <c r="O50" s="26">
        <f>1500000/1.015</f>
        <v>1477832.5123152712</v>
      </c>
      <c r="P50" s="28"/>
      <c r="Q50" s="26"/>
      <c r="R50" s="28"/>
      <c r="S50" s="26"/>
      <c r="T50" s="28"/>
      <c r="U50" s="26"/>
      <c r="V50" s="26">
        <f t="shared" si="2"/>
        <v>22167.487684729065</v>
      </c>
      <c r="W50" s="28"/>
      <c r="X50" s="26"/>
      <c r="Y50" s="28"/>
      <c r="Z50" s="26"/>
      <c r="AA50" s="26"/>
      <c r="AB50" s="26"/>
      <c r="AC50" s="26"/>
    </row>
    <row r="51" spans="1:29" ht="15">
      <c r="A51" s="24"/>
      <c r="B51" s="32" t="str">
        <f>'Прил 1'!B52</f>
        <v>г. Гаджиево, наб. Сергея Преминина, д. 108</v>
      </c>
      <c r="C51" s="25">
        <f t="shared" si="4"/>
        <v>1243194.1650000003</v>
      </c>
      <c r="D51" s="26">
        <f t="shared" si="5"/>
        <v>0</v>
      </c>
      <c r="E51" s="26"/>
      <c r="F51" s="26"/>
      <c r="G51" s="26"/>
      <c r="H51" s="26"/>
      <c r="I51" s="26"/>
      <c r="J51" s="26"/>
      <c r="K51" s="26"/>
      <c r="L51" s="27"/>
      <c r="M51" s="26"/>
      <c r="N51" s="28">
        <v>395</v>
      </c>
      <c r="O51" s="26">
        <f>1056.15*1177.1/1.015</f>
        <v>1224821.837438424</v>
      </c>
      <c r="P51" s="28"/>
      <c r="Q51" s="26"/>
      <c r="R51" s="28"/>
      <c r="S51" s="26"/>
      <c r="T51" s="28"/>
      <c r="U51" s="26"/>
      <c r="V51" s="26">
        <f t="shared" si="2"/>
        <v>18372.327561576356</v>
      </c>
      <c r="W51" s="28"/>
      <c r="X51" s="26"/>
      <c r="Y51" s="28"/>
      <c r="Z51" s="26"/>
      <c r="AA51" s="26"/>
      <c r="AB51" s="26"/>
      <c r="AC51" s="26"/>
    </row>
    <row r="52" spans="1:29" ht="15">
      <c r="A52" s="24"/>
      <c r="B52" s="32" t="str">
        <f>'Прил 1'!B53</f>
        <v>г. Гаджиево, ул. Гаджиева, д. 42</v>
      </c>
      <c r="C52" s="25">
        <f t="shared" si="4"/>
        <v>4183754.3720000004</v>
      </c>
      <c r="D52" s="26">
        <f t="shared" si="5"/>
        <v>0</v>
      </c>
      <c r="E52" s="26"/>
      <c r="F52" s="26"/>
      <c r="G52" s="26"/>
      <c r="H52" s="26"/>
      <c r="I52" s="26"/>
      <c r="J52" s="26"/>
      <c r="K52" s="26"/>
      <c r="L52" s="27"/>
      <c r="M52" s="26"/>
      <c r="N52" s="28"/>
      <c r="O52" s="26"/>
      <c r="P52" s="28"/>
      <c r="Q52" s="26"/>
      <c r="R52" s="28">
        <v>2400</v>
      </c>
      <c r="S52" s="26">
        <f>1144.76*3654.7/1.015</f>
        <v>4121925.489655173</v>
      </c>
      <c r="T52" s="28"/>
      <c r="U52" s="26"/>
      <c r="V52" s="26">
        <f t="shared" si="2"/>
        <v>61828.882344827594</v>
      </c>
      <c r="W52" s="28"/>
      <c r="X52" s="26"/>
      <c r="Y52" s="28"/>
      <c r="Z52" s="26"/>
      <c r="AA52" s="26"/>
      <c r="AB52" s="26"/>
      <c r="AC52" s="26"/>
    </row>
    <row r="53" spans="1:29" ht="15">
      <c r="A53" s="24"/>
      <c r="B53" s="32" t="str">
        <f>'Прил 1'!B54</f>
        <v>г. Гаджиево, ул. Душенова, д. 97</v>
      </c>
      <c r="C53" s="25">
        <f t="shared" si="4"/>
        <v>2928585.8100000005</v>
      </c>
      <c r="D53" s="26">
        <f t="shared" si="5"/>
        <v>2885306.216748769</v>
      </c>
      <c r="E53" s="26">
        <f>3297.4*457.67/1.015</f>
        <v>1486818.77635468</v>
      </c>
      <c r="F53" s="26">
        <f>3297.4*430.48/1.015</f>
        <v>1398487.4403940889</v>
      </c>
      <c r="G53" s="26"/>
      <c r="H53" s="26"/>
      <c r="I53" s="26"/>
      <c r="J53" s="26"/>
      <c r="K53" s="26"/>
      <c r="L53" s="27"/>
      <c r="M53" s="26"/>
      <c r="N53" s="28"/>
      <c r="O53" s="26"/>
      <c r="P53" s="28"/>
      <c r="Q53" s="26"/>
      <c r="R53" s="28"/>
      <c r="S53" s="26"/>
      <c r="T53" s="28"/>
      <c r="U53" s="26"/>
      <c r="V53" s="26">
        <f t="shared" si="2"/>
        <v>43279.593251231534</v>
      </c>
      <c r="W53" s="28"/>
      <c r="X53" s="26"/>
      <c r="Y53" s="28"/>
      <c r="Z53" s="26"/>
      <c r="AA53" s="26"/>
      <c r="AB53" s="26"/>
      <c r="AC53" s="26"/>
    </row>
    <row r="54" spans="1:29" ht="15">
      <c r="A54" s="24"/>
      <c r="B54" s="32" t="str">
        <f>'Прил 1'!B55</f>
        <v>г. Гаджиево, ул. Душенова, д. 89</v>
      </c>
      <c r="C54" s="25">
        <f t="shared" si="4"/>
        <v>3137389.8750000005</v>
      </c>
      <c r="D54" s="26">
        <f t="shared" si="5"/>
        <v>3091024.507389163</v>
      </c>
      <c r="E54" s="26">
        <f>3532.5*457.67/1.015</f>
        <v>1592826.8719211826</v>
      </c>
      <c r="F54" s="26">
        <f>3532.5*430.48/1.015</f>
        <v>1498197.6354679805</v>
      </c>
      <c r="G54" s="26"/>
      <c r="H54" s="26"/>
      <c r="I54" s="26"/>
      <c r="J54" s="26"/>
      <c r="K54" s="26"/>
      <c r="L54" s="27"/>
      <c r="M54" s="26"/>
      <c r="N54" s="28"/>
      <c r="O54" s="26"/>
      <c r="P54" s="28"/>
      <c r="Q54" s="26"/>
      <c r="R54" s="28"/>
      <c r="S54" s="26"/>
      <c r="T54" s="28"/>
      <c r="U54" s="26"/>
      <c r="V54" s="26">
        <f t="shared" si="2"/>
        <v>46365.36761083744</v>
      </c>
      <c r="W54" s="28"/>
      <c r="X54" s="26"/>
      <c r="Y54" s="28"/>
      <c r="Z54" s="26"/>
      <c r="AA54" s="26"/>
      <c r="AB54" s="26"/>
      <c r="AC54" s="26"/>
    </row>
    <row r="55" spans="1:29" ht="15">
      <c r="A55" s="24"/>
      <c r="B55" s="32" t="str">
        <f>'Прил 1'!B56</f>
        <v>г. Гаджиево, ул. Советская, д. 64</v>
      </c>
      <c r="C55" s="25">
        <f t="shared" si="4"/>
        <v>2784705.5100000007</v>
      </c>
      <c r="D55" s="26">
        <f t="shared" si="5"/>
        <v>2743552.226600986</v>
      </c>
      <c r="E55" s="26">
        <f>3135.4*457.67/1.015</f>
        <v>1413771.9389162564</v>
      </c>
      <c r="F55" s="26">
        <f>3135.4*430.48/1.015</f>
        <v>1329780.2876847293</v>
      </c>
      <c r="G55" s="26"/>
      <c r="H55" s="26"/>
      <c r="I55" s="26"/>
      <c r="J55" s="26"/>
      <c r="K55" s="26"/>
      <c r="L55" s="27"/>
      <c r="M55" s="26"/>
      <c r="N55" s="28"/>
      <c r="O55" s="26"/>
      <c r="P55" s="28"/>
      <c r="Q55" s="26"/>
      <c r="R55" s="28"/>
      <c r="S55" s="26"/>
      <c r="T55" s="28"/>
      <c r="U55" s="26"/>
      <c r="V55" s="26">
        <f t="shared" si="2"/>
        <v>41153.283399014785</v>
      </c>
      <c r="W55" s="28"/>
      <c r="X55" s="26"/>
      <c r="Y55" s="28"/>
      <c r="Z55" s="26"/>
      <c r="AA55" s="26"/>
      <c r="AB55" s="26"/>
      <c r="AC55" s="26"/>
    </row>
    <row r="56" spans="1:29" ht="15">
      <c r="A56" s="24"/>
      <c r="B56" s="32" t="str">
        <f>'Прил 1'!B57</f>
        <v>г. Гаджиево, ул. Гаджиева, д. 40</v>
      </c>
      <c r="C56" s="25">
        <f t="shared" si="4"/>
        <v>3238550.1600000006</v>
      </c>
      <c r="D56" s="26">
        <f t="shared" si="5"/>
        <v>3190689.812807882</v>
      </c>
      <c r="E56" s="26">
        <f>3646.4*457.67/1.015</f>
        <v>1644185.1113300493</v>
      </c>
      <c r="F56" s="26">
        <f>3646.4*430.48/1.015</f>
        <v>1546504.7014778329</v>
      </c>
      <c r="G56" s="26"/>
      <c r="H56" s="26"/>
      <c r="I56" s="26"/>
      <c r="J56" s="26"/>
      <c r="K56" s="26"/>
      <c r="L56" s="27"/>
      <c r="M56" s="26"/>
      <c r="N56" s="28"/>
      <c r="O56" s="26"/>
      <c r="P56" s="28"/>
      <c r="Q56" s="26"/>
      <c r="R56" s="28"/>
      <c r="S56" s="26"/>
      <c r="T56" s="28"/>
      <c r="U56" s="26"/>
      <c r="V56" s="26">
        <f t="shared" si="2"/>
        <v>47860.34719211823</v>
      </c>
      <c r="W56" s="28"/>
      <c r="X56" s="26"/>
      <c r="AA56" s="26"/>
      <c r="AB56" s="26"/>
      <c r="AC56" s="26"/>
    </row>
    <row r="57" spans="1:29" ht="15">
      <c r="A57" s="24"/>
      <c r="B57" s="32" t="str">
        <f>'Прил 1'!B58</f>
        <v>г. Гаджиево, ул. Гаджиева, д. 41</v>
      </c>
      <c r="C57" s="25">
        <f t="shared" si="4"/>
        <v>3116784.795000001</v>
      </c>
      <c r="D57" s="26">
        <f t="shared" si="5"/>
        <v>3070723.935960592</v>
      </c>
      <c r="E57" s="26">
        <f>3509.3*457.67/1.015</f>
        <v>1582365.843349754</v>
      </c>
      <c r="F57" s="26">
        <f>3509.3*430.48/1.015</f>
        <v>1488358.0926108377</v>
      </c>
      <c r="G57" s="26"/>
      <c r="H57" s="26"/>
      <c r="I57" s="26"/>
      <c r="J57" s="26"/>
      <c r="K57" s="26"/>
      <c r="L57" s="27"/>
      <c r="M57" s="26"/>
      <c r="N57" s="28"/>
      <c r="O57" s="26"/>
      <c r="P57" s="28"/>
      <c r="Q57" s="26"/>
      <c r="R57" s="28"/>
      <c r="S57" s="26"/>
      <c r="T57" s="28"/>
      <c r="U57" s="26"/>
      <c r="V57" s="26">
        <f t="shared" si="2"/>
        <v>46060.859039408875</v>
      </c>
      <c r="W57" s="28"/>
      <c r="X57" s="26"/>
      <c r="Y57" s="28"/>
      <c r="Z57" s="26"/>
      <c r="AA57" s="26"/>
      <c r="AB57" s="26"/>
      <c r="AC57" s="26"/>
    </row>
    <row r="58" spans="1:37" s="62" customFormat="1" ht="15">
      <c r="A58" s="65"/>
      <c r="B58" s="69" t="s">
        <v>160</v>
      </c>
      <c r="C58" s="29">
        <f>SUM(C33:C57)</f>
        <v>64436409.02700002</v>
      </c>
      <c r="D58" s="29">
        <f aca="true" t="shared" si="7" ref="D58:AC58">SUM(D33:D57)</f>
        <v>24452232.660098523</v>
      </c>
      <c r="E58" s="29">
        <f t="shared" si="7"/>
        <v>7719968.541871922</v>
      </c>
      <c r="F58" s="29">
        <f t="shared" si="7"/>
        <v>7261328.15763547</v>
      </c>
      <c r="G58" s="29">
        <f t="shared" si="7"/>
        <v>0</v>
      </c>
      <c r="H58" s="29">
        <f t="shared" si="7"/>
        <v>2463054.1871921183</v>
      </c>
      <c r="I58" s="29">
        <f t="shared" si="7"/>
        <v>1083743.8423645322</v>
      </c>
      <c r="J58" s="29">
        <f t="shared" si="7"/>
        <v>5924137.931034484</v>
      </c>
      <c r="K58" s="29">
        <f t="shared" si="7"/>
        <v>0</v>
      </c>
      <c r="L58" s="29">
        <f t="shared" si="7"/>
        <v>1</v>
      </c>
      <c r="M58" s="29">
        <f t="shared" si="7"/>
        <v>2918085.339901478</v>
      </c>
      <c r="N58" s="29">
        <f t="shared" si="7"/>
        <v>3512</v>
      </c>
      <c r="O58" s="29">
        <f t="shared" si="7"/>
        <v>10732211</v>
      </c>
      <c r="P58" s="29">
        <f t="shared" si="7"/>
        <v>0</v>
      </c>
      <c r="Q58" s="29">
        <f t="shared" si="7"/>
        <v>0</v>
      </c>
      <c r="R58" s="29">
        <f t="shared" si="7"/>
        <v>16695.3</v>
      </c>
      <c r="S58" s="29">
        <f t="shared" si="7"/>
        <v>25381617.824630547</v>
      </c>
      <c r="T58" s="29">
        <f t="shared" si="7"/>
        <v>0</v>
      </c>
      <c r="U58" s="29">
        <f t="shared" si="7"/>
        <v>0</v>
      </c>
      <c r="V58" s="29">
        <f t="shared" si="7"/>
        <v>952262.2023694582</v>
      </c>
      <c r="W58" s="29">
        <f t="shared" si="7"/>
        <v>0</v>
      </c>
      <c r="X58" s="29">
        <f t="shared" si="7"/>
        <v>0</v>
      </c>
      <c r="Y58" s="29">
        <f t="shared" si="7"/>
        <v>0</v>
      </c>
      <c r="Z58" s="29">
        <f t="shared" si="7"/>
        <v>0</v>
      </c>
      <c r="AA58" s="29">
        <f t="shared" si="7"/>
        <v>0</v>
      </c>
      <c r="AB58" s="29">
        <f t="shared" si="7"/>
        <v>0</v>
      </c>
      <c r="AC58" s="29">
        <f t="shared" si="7"/>
        <v>0</v>
      </c>
      <c r="AD58" s="61"/>
      <c r="AE58" s="61"/>
      <c r="AF58" s="61"/>
      <c r="AG58" s="61"/>
      <c r="AH58" s="61"/>
      <c r="AI58" s="61"/>
      <c r="AJ58" s="61"/>
      <c r="AK58" s="61"/>
    </row>
    <row r="59" spans="1:29" ht="15">
      <c r="A59" s="24"/>
      <c r="B59" s="32" t="str">
        <f>'Прил 1'!B60</f>
        <v>г. Снежногорск, ул. П. Стеблина, д. 20</v>
      </c>
      <c r="C59" s="25">
        <f t="shared" si="4"/>
        <v>4500000.000000001</v>
      </c>
      <c r="D59" s="26">
        <f t="shared" si="5"/>
        <v>0</v>
      </c>
      <c r="E59" s="26"/>
      <c r="F59" s="26"/>
      <c r="G59" s="26"/>
      <c r="H59" s="26"/>
      <c r="I59" s="26"/>
      <c r="J59" s="26"/>
      <c r="K59" s="26"/>
      <c r="L59" s="27"/>
      <c r="M59" s="26"/>
      <c r="N59" s="28"/>
      <c r="O59" s="26"/>
      <c r="P59" s="28"/>
      <c r="Q59" s="26"/>
      <c r="R59" s="28">
        <v>3197.7</v>
      </c>
      <c r="S59" s="26">
        <f>4500000/1.015</f>
        <v>4433497.536945813</v>
      </c>
      <c r="T59" s="28"/>
      <c r="U59" s="26"/>
      <c r="V59" s="26">
        <f t="shared" si="2"/>
        <v>66502.4630541872</v>
      </c>
      <c r="W59" s="28"/>
      <c r="X59" s="26"/>
      <c r="Y59" s="28"/>
      <c r="Z59" s="26"/>
      <c r="AA59" s="26"/>
      <c r="AB59" s="26"/>
      <c r="AC59" s="26"/>
    </row>
    <row r="60" spans="1:29" ht="15">
      <c r="A60" s="24"/>
      <c r="B60" s="32" t="str">
        <f>'Прил 1'!B61</f>
        <v>г. Снежногорск, ул. П. Стеблина, д. 6</v>
      </c>
      <c r="C60" s="25">
        <f t="shared" si="4"/>
        <v>3552500.0000000005</v>
      </c>
      <c r="D60" s="26">
        <f t="shared" si="5"/>
        <v>0</v>
      </c>
      <c r="E60" s="26"/>
      <c r="F60" s="26"/>
      <c r="G60" s="26"/>
      <c r="H60" s="26"/>
      <c r="I60" s="26"/>
      <c r="J60" s="26"/>
      <c r="K60" s="26"/>
      <c r="L60" s="27"/>
      <c r="M60" s="26"/>
      <c r="N60" s="28">
        <v>1015</v>
      </c>
      <c r="O60" s="26">
        <f>3552500/1.015</f>
        <v>3500000.0000000005</v>
      </c>
      <c r="P60" s="28"/>
      <c r="Q60" s="26"/>
      <c r="R60" s="28"/>
      <c r="S60" s="26"/>
      <c r="T60" s="28"/>
      <c r="U60" s="26"/>
      <c r="V60" s="26">
        <f t="shared" si="2"/>
        <v>52500.00000000001</v>
      </c>
      <c r="W60" s="28"/>
      <c r="X60" s="26"/>
      <c r="Y60" s="28"/>
      <c r="Z60" s="26"/>
      <c r="AA60" s="26"/>
      <c r="AB60" s="26"/>
      <c r="AC60" s="26"/>
    </row>
    <row r="61" spans="1:29" ht="15">
      <c r="A61" s="24"/>
      <c r="B61" s="32" t="str">
        <f>'Прил 1'!B62</f>
        <v>г. Снежногорск, ул. Флотская, д. 13 </v>
      </c>
      <c r="C61" s="25">
        <f t="shared" si="4"/>
        <v>6000000.000000001</v>
      </c>
      <c r="D61" s="26">
        <f t="shared" si="5"/>
        <v>0</v>
      </c>
      <c r="E61" s="26"/>
      <c r="F61" s="26"/>
      <c r="G61" s="26"/>
      <c r="H61" s="26"/>
      <c r="I61" s="26"/>
      <c r="J61" s="26"/>
      <c r="K61" s="26"/>
      <c r="L61" s="27"/>
      <c r="M61" s="26"/>
      <c r="N61" s="28"/>
      <c r="O61" s="26"/>
      <c r="P61" s="28"/>
      <c r="Q61" s="26"/>
      <c r="R61" s="28">
        <v>4935.9</v>
      </c>
      <c r="S61" s="26">
        <f>6000000/1.015</f>
        <v>5911330.049261085</v>
      </c>
      <c r="T61" s="28"/>
      <c r="U61" s="26"/>
      <c r="V61" s="26">
        <f t="shared" si="2"/>
        <v>88669.95073891626</v>
      </c>
      <c r="W61" s="28"/>
      <c r="X61" s="26"/>
      <c r="Y61" s="28"/>
      <c r="Z61" s="26"/>
      <c r="AA61" s="26"/>
      <c r="AB61" s="26"/>
      <c r="AC61" s="26"/>
    </row>
    <row r="62" spans="1:29" ht="15">
      <c r="A62" s="24"/>
      <c r="B62" s="32" t="str">
        <f>'Прил 1'!B63</f>
        <v>г. Снежногорск, ул. Флотская, д. 7</v>
      </c>
      <c r="C62" s="25">
        <f t="shared" si="4"/>
        <v>1062000.0000000002</v>
      </c>
      <c r="D62" s="26">
        <f t="shared" si="5"/>
        <v>1046305.418719212</v>
      </c>
      <c r="E62" s="26"/>
      <c r="F62" s="26"/>
      <c r="G62" s="26"/>
      <c r="H62" s="26"/>
      <c r="I62" s="26"/>
      <c r="J62" s="26">
        <f>1062000/1.015</f>
        <v>1046305.418719212</v>
      </c>
      <c r="K62" s="26"/>
      <c r="L62" s="27"/>
      <c r="M62" s="26"/>
      <c r="N62" s="28"/>
      <c r="O62" s="26"/>
      <c r="P62" s="28"/>
      <c r="Q62" s="26"/>
      <c r="R62" s="28"/>
      <c r="S62" s="26"/>
      <c r="T62" s="28"/>
      <c r="U62" s="26"/>
      <c r="V62" s="26">
        <f t="shared" si="2"/>
        <v>15694.58128078818</v>
      </c>
      <c r="W62" s="28"/>
      <c r="X62" s="26"/>
      <c r="Y62" s="28"/>
      <c r="Z62" s="26"/>
      <c r="AA62" s="26"/>
      <c r="AB62" s="26"/>
      <c r="AC62" s="26"/>
    </row>
    <row r="63" spans="1:29" ht="15">
      <c r="A63" s="24"/>
      <c r="B63" s="32" t="str">
        <f>'Прил 1'!B64</f>
        <v>г. Снежногорск, ул. Флотская, д. 8</v>
      </c>
      <c r="C63" s="25">
        <f t="shared" si="4"/>
        <v>875000.0000000001</v>
      </c>
      <c r="D63" s="26">
        <f t="shared" si="5"/>
        <v>862068.9655172415</v>
      </c>
      <c r="E63" s="26"/>
      <c r="F63" s="26"/>
      <c r="G63" s="26"/>
      <c r="H63" s="26"/>
      <c r="I63" s="26"/>
      <c r="J63" s="26">
        <f>875000/1.015</f>
        <v>862068.9655172415</v>
      </c>
      <c r="K63" s="26"/>
      <c r="L63" s="27"/>
      <c r="M63" s="26"/>
      <c r="N63" s="28"/>
      <c r="O63" s="26"/>
      <c r="P63" s="28"/>
      <c r="Q63" s="26"/>
      <c r="R63" s="28"/>
      <c r="S63" s="26"/>
      <c r="T63" s="28"/>
      <c r="U63" s="26"/>
      <c r="V63" s="26">
        <f t="shared" si="2"/>
        <v>12931.034482758621</v>
      </c>
      <c r="W63" s="28"/>
      <c r="X63" s="26"/>
      <c r="Y63" s="28"/>
      <c r="Z63" s="26"/>
      <c r="AA63" s="26"/>
      <c r="AB63" s="26"/>
      <c r="AC63" s="26"/>
    </row>
    <row r="64" spans="1:29" ht="15">
      <c r="A64" s="24"/>
      <c r="B64" s="32" t="str">
        <f>'Прил 1'!B65</f>
        <v>г. Снежногорск, ул. Бирюкова, д. 17</v>
      </c>
      <c r="C64" s="25">
        <f t="shared" si="4"/>
        <v>871000</v>
      </c>
      <c r="D64" s="26">
        <f t="shared" si="5"/>
        <v>858128.078817734</v>
      </c>
      <c r="E64" s="26"/>
      <c r="F64" s="26"/>
      <c r="G64" s="26"/>
      <c r="H64" s="26"/>
      <c r="I64" s="26"/>
      <c r="J64" s="26">
        <f>871000/1.015</f>
        <v>858128.078817734</v>
      </c>
      <c r="K64" s="26"/>
      <c r="L64" s="27"/>
      <c r="M64" s="26"/>
      <c r="N64" s="28"/>
      <c r="O64" s="26"/>
      <c r="P64" s="28"/>
      <c r="Q64" s="26"/>
      <c r="R64" s="28"/>
      <c r="S64" s="26"/>
      <c r="T64" s="28"/>
      <c r="U64" s="26"/>
      <c r="V64" s="26">
        <f t="shared" si="2"/>
        <v>12871.921182266009</v>
      </c>
      <c r="W64" s="28"/>
      <c r="X64" s="26"/>
      <c r="Y64" s="28"/>
      <c r="Z64" s="26"/>
      <c r="AA64" s="26"/>
      <c r="AB64" s="26"/>
      <c r="AC64" s="26"/>
    </row>
    <row r="65" spans="1:29" ht="15">
      <c r="A65" s="24"/>
      <c r="B65" s="32" t="str">
        <f>'Прил 1'!B66</f>
        <v>г. Снежногоск, ул. П. Стеблина, д. 18</v>
      </c>
      <c r="C65" s="25">
        <f t="shared" si="4"/>
        <v>720000</v>
      </c>
      <c r="D65" s="26">
        <f t="shared" si="5"/>
        <v>709359.6059113301</v>
      </c>
      <c r="E65" s="26"/>
      <c r="F65" s="26"/>
      <c r="G65" s="26"/>
      <c r="H65" s="26"/>
      <c r="I65" s="26"/>
      <c r="J65" s="26">
        <f>720000/1.015</f>
        <v>709359.6059113301</v>
      </c>
      <c r="K65" s="26"/>
      <c r="L65" s="27"/>
      <c r="M65" s="26"/>
      <c r="N65" s="28"/>
      <c r="O65" s="26"/>
      <c r="P65" s="28"/>
      <c r="Q65" s="26"/>
      <c r="R65" s="28"/>
      <c r="S65" s="26"/>
      <c r="T65" s="28"/>
      <c r="U65" s="26"/>
      <c r="V65" s="26">
        <f t="shared" si="2"/>
        <v>10640.394088669951</v>
      </c>
      <c r="W65" s="28"/>
      <c r="X65" s="26"/>
      <c r="Y65" s="28"/>
      <c r="Z65" s="26"/>
      <c r="AA65" s="26"/>
      <c r="AB65" s="26"/>
      <c r="AC65" s="26"/>
    </row>
    <row r="66" spans="1:29" ht="15">
      <c r="A66" s="24"/>
      <c r="B66" s="32" t="str">
        <f>'Прил 1'!B67</f>
        <v>г. Снежногорск, ул. Октябрьская, д. 7</v>
      </c>
      <c r="C66" s="25">
        <f t="shared" si="4"/>
        <v>7019051.290000001</v>
      </c>
      <c r="D66" s="26">
        <f t="shared" si="5"/>
        <v>0</v>
      </c>
      <c r="E66" s="26"/>
      <c r="F66" s="26"/>
      <c r="G66" s="26"/>
      <c r="H66" s="26"/>
      <c r="I66" s="26"/>
      <c r="J66" s="26"/>
      <c r="K66" s="26"/>
      <c r="L66" s="27"/>
      <c r="M66" s="26"/>
      <c r="N66" s="28"/>
      <c r="O66" s="26"/>
      <c r="P66" s="28"/>
      <c r="Q66" s="26"/>
      <c r="R66" s="28">
        <v>3404</v>
      </c>
      <c r="S66" s="26">
        <f>7019051.29/1.015</f>
        <v>6915321.467980296</v>
      </c>
      <c r="T66" s="28"/>
      <c r="U66" s="26"/>
      <c r="V66" s="26">
        <f t="shared" si="2"/>
        <v>103729.82201970444</v>
      </c>
      <c r="W66" s="28"/>
      <c r="X66" s="26"/>
      <c r="Y66" s="28"/>
      <c r="Z66" s="26"/>
      <c r="AA66" s="26"/>
      <c r="AB66" s="26"/>
      <c r="AC66" s="26"/>
    </row>
    <row r="67" spans="1:29" ht="15">
      <c r="A67" s="24">
        <v>6</v>
      </c>
      <c r="B67" s="32" t="str">
        <f>'Прил 1'!B68</f>
        <v>г. Снежногорск, ул. Октябрьская, д. 13</v>
      </c>
      <c r="C67" s="25">
        <f t="shared" si="4"/>
        <v>5923713.235000001</v>
      </c>
      <c r="D67" s="26">
        <f>SUM(E67:K67)</f>
        <v>0</v>
      </c>
      <c r="E67" s="26"/>
      <c r="F67" s="26"/>
      <c r="G67" s="26"/>
      <c r="H67" s="26"/>
      <c r="I67" s="26"/>
      <c r="J67" s="26"/>
      <c r="K67" s="26"/>
      <c r="L67" s="27">
        <v>2</v>
      </c>
      <c r="M67" s="26">
        <f>(3037801.66*4-303780.17)/1.015/2</f>
        <v>5836170.674876848</v>
      </c>
      <c r="N67" s="28"/>
      <c r="O67" s="26"/>
      <c r="P67" s="28"/>
      <c r="Q67" s="26"/>
      <c r="R67" s="28"/>
      <c r="S67" s="26"/>
      <c r="T67" s="28"/>
      <c r="U67" s="26"/>
      <c r="V67" s="26">
        <f>(D67+M67+O67+Q67+S67+U67)*0.015</f>
        <v>87542.56012315273</v>
      </c>
      <c r="W67" s="28"/>
      <c r="X67" s="26"/>
      <c r="Y67" s="28"/>
      <c r="Z67" s="26"/>
      <c r="AA67" s="26"/>
      <c r="AB67" s="26"/>
      <c r="AC67" s="26"/>
    </row>
    <row r="68" spans="1:29" ht="15">
      <c r="A68" s="24"/>
      <c r="B68" s="32" t="str">
        <f>'Прил 1'!B69</f>
        <v>н. п. Оленья Губа, ул. Строителей, д. 29</v>
      </c>
      <c r="C68" s="25">
        <f t="shared" si="4"/>
        <v>6500000.000000001</v>
      </c>
      <c r="D68" s="26">
        <f t="shared" si="5"/>
        <v>0</v>
      </c>
      <c r="E68" s="26"/>
      <c r="F68" s="26"/>
      <c r="G68" s="26"/>
      <c r="H68" s="26"/>
      <c r="I68" s="26"/>
      <c r="J68" s="26"/>
      <c r="K68" s="26"/>
      <c r="L68" s="27"/>
      <c r="M68" s="26"/>
      <c r="N68" s="28">
        <v>1015</v>
      </c>
      <c r="O68" s="26">
        <f>6500000/1.015</f>
        <v>6403940.886699508</v>
      </c>
      <c r="P68" s="28"/>
      <c r="Q68" s="26"/>
      <c r="R68" s="28"/>
      <c r="S68" s="26"/>
      <c r="T68" s="28"/>
      <c r="U68" s="26"/>
      <c r="V68" s="26">
        <f t="shared" si="2"/>
        <v>96059.11330049261</v>
      </c>
      <c r="W68" s="28"/>
      <c r="X68" s="26"/>
      <c r="Y68" s="28"/>
      <c r="Z68" s="26"/>
      <c r="AA68" s="26"/>
      <c r="AB68" s="26"/>
      <c r="AC68" s="26"/>
    </row>
    <row r="69" spans="1:29" ht="15">
      <c r="A69" s="24"/>
      <c r="B69" s="32" t="str">
        <f>'Прил 1'!B70</f>
        <v>г. Полярный, ул. Гагарина, д. 3</v>
      </c>
      <c r="C69" s="25">
        <f t="shared" si="4"/>
        <v>2000000.0000000002</v>
      </c>
      <c r="D69" s="26">
        <f t="shared" si="5"/>
        <v>1970443.3497536948</v>
      </c>
      <c r="E69" s="26"/>
      <c r="F69" s="26"/>
      <c r="G69" s="26"/>
      <c r="H69" s="26">
        <f>2000000/1.015</f>
        <v>1970443.3497536948</v>
      </c>
      <c r="I69" s="26"/>
      <c r="J69" s="26"/>
      <c r="K69" s="26"/>
      <c r="L69" s="27"/>
      <c r="M69" s="26"/>
      <c r="N69" s="28"/>
      <c r="O69" s="26"/>
      <c r="P69" s="28"/>
      <c r="Q69" s="26"/>
      <c r="R69" s="28"/>
      <c r="S69" s="26"/>
      <c r="T69" s="28"/>
      <c r="U69" s="26"/>
      <c r="V69" s="26">
        <f t="shared" si="2"/>
        <v>29556.65024630542</v>
      </c>
      <c r="W69" s="28"/>
      <c r="X69" s="26"/>
      <c r="Y69" s="28"/>
      <c r="Z69" s="26"/>
      <c r="AA69" s="26"/>
      <c r="AB69" s="26"/>
      <c r="AC69" s="26"/>
    </row>
    <row r="70" spans="1:29" ht="15">
      <c r="A70" s="24"/>
      <c r="B70" s="32" t="str">
        <f>'Прил 1'!B71</f>
        <v>г. Полярный, ул. Красный Горн, д. 20</v>
      </c>
      <c r="C70" s="25">
        <f t="shared" si="4"/>
        <v>2500000</v>
      </c>
      <c r="D70" s="26">
        <f t="shared" si="5"/>
        <v>2463054.1871921183</v>
      </c>
      <c r="E70" s="26"/>
      <c r="F70" s="26"/>
      <c r="G70" s="26"/>
      <c r="H70" s="26">
        <f>2500000/1.015</f>
        <v>2463054.1871921183</v>
      </c>
      <c r="I70" s="26"/>
      <c r="J70" s="26"/>
      <c r="K70" s="26"/>
      <c r="L70" s="27"/>
      <c r="M70" s="26"/>
      <c r="N70" s="28"/>
      <c r="O70" s="26"/>
      <c r="P70" s="28"/>
      <c r="Q70" s="26"/>
      <c r="R70" s="28"/>
      <c r="S70" s="26"/>
      <c r="T70" s="28"/>
      <c r="U70" s="26"/>
      <c r="V70" s="26">
        <f t="shared" si="2"/>
        <v>36945.812807881775</v>
      </c>
      <c r="W70" s="28"/>
      <c r="X70" s="26"/>
      <c r="Y70" s="28"/>
      <c r="Z70" s="26"/>
      <c r="AA70" s="26"/>
      <c r="AB70" s="26"/>
      <c r="AC70" s="26"/>
    </row>
    <row r="71" spans="1:29" ht="15">
      <c r="A71" s="24"/>
      <c r="B71" s="32" t="str">
        <f>'Прил 1'!B72</f>
        <v>г. Полярный, ул. Гаджиева, д. 2</v>
      </c>
      <c r="C71" s="25">
        <f t="shared" si="4"/>
        <v>947117.9400000001</v>
      </c>
      <c r="D71" s="26">
        <f t="shared" si="5"/>
        <v>933121.1231527094</v>
      </c>
      <c r="E71" s="26"/>
      <c r="F71" s="26"/>
      <c r="G71" s="26"/>
      <c r="H71" s="26"/>
      <c r="I71" s="26">
        <f>947117.94/1.015</f>
        <v>933121.1231527094</v>
      </c>
      <c r="J71" s="26"/>
      <c r="K71" s="26"/>
      <c r="L71" s="27"/>
      <c r="M71" s="26"/>
      <c r="N71" s="28"/>
      <c r="O71" s="26"/>
      <c r="P71" s="28"/>
      <c r="Q71" s="26"/>
      <c r="R71" s="28"/>
      <c r="S71" s="26"/>
      <c r="T71" s="28"/>
      <c r="U71" s="26"/>
      <c r="V71" s="26">
        <f t="shared" si="2"/>
        <v>13996.816847290642</v>
      </c>
      <c r="W71" s="28"/>
      <c r="X71" s="26"/>
      <c r="Y71" s="28"/>
      <c r="Z71" s="26"/>
      <c r="AA71" s="26"/>
      <c r="AB71" s="26"/>
      <c r="AC71" s="26"/>
    </row>
    <row r="72" spans="1:29" ht="15">
      <c r="A72" s="24"/>
      <c r="B72" s="32" t="str">
        <f>'Прил 1'!B73</f>
        <v>г. Полярный, ул. Лунина. Д. 10</v>
      </c>
      <c r="C72" s="25">
        <f t="shared" si="4"/>
        <v>2600000.0000000005</v>
      </c>
      <c r="D72" s="26">
        <f t="shared" si="5"/>
        <v>0</v>
      </c>
      <c r="E72" s="26"/>
      <c r="F72" s="26"/>
      <c r="G72" s="26"/>
      <c r="H72" s="26"/>
      <c r="I72" s="26"/>
      <c r="J72" s="26"/>
      <c r="K72" s="26"/>
      <c r="L72" s="27"/>
      <c r="M72" s="26"/>
      <c r="N72" s="28"/>
      <c r="O72" s="26"/>
      <c r="P72" s="28"/>
      <c r="Q72" s="26"/>
      <c r="R72" s="28">
        <v>1693</v>
      </c>
      <c r="S72" s="26">
        <f>2600000/1.015</f>
        <v>2561576.3546798034</v>
      </c>
      <c r="T72" s="28"/>
      <c r="U72" s="26"/>
      <c r="V72" s="26">
        <f t="shared" si="2"/>
        <v>38423.64532019705</v>
      </c>
      <c r="W72" s="28"/>
      <c r="X72" s="26"/>
      <c r="Y72" s="28"/>
      <c r="Z72" s="26"/>
      <c r="AA72" s="26"/>
      <c r="AB72" s="26"/>
      <c r="AC72" s="26"/>
    </row>
    <row r="73" spans="1:29" ht="15">
      <c r="A73" s="24"/>
      <c r="B73" s="32" t="str">
        <f>'Прил 1'!B74</f>
        <v>г. Полярный, ул. Гандюхина, д. 12</v>
      </c>
      <c r="C73" s="25">
        <f t="shared" si="4"/>
        <v>3300000</v>
      </c>
      <c r="D73" s="26">
        <f t="shared" si="5"/>
        <v>0</v>
      </c>
      <c r="E73" s="26"/>
      <c r="F73" s="26"/>
      <c r="G73" s="26"/>
      <c r="H73" s="26"/>
      <c r="I73" s="26"/>
      <c r="J73" s="26"/>
      <c r="K73" s="26"/>
      <c r="L73" s="27"/>
      <c r="M73" s="26"/>
      <c r="N73" s="28"/>
      <c r="O73" s="26"/>
      <c r="P73" s="28"/>
      <c r="Q73" s="26"/>
      <c r="R73" s="28">
        <v>2558</v>
      </c>
      <c r="S73" s="26">
        <f>3300000/1.015</f>
        <v>3251231.5270935963</v>
      </c>
      <c r="T73" s="28"/>
      <c r="U73" s="26"/>
      <c r="V73" s="26">
        <f t="shared" si="2"/>
        <v>48768.47290640394</v>
      </c>
      <c r="W73" s="28"/>
      <c r="X73" s="26"/>
      <c r="Y73" s="28"/>
      <c r="Z73" s="26"/>
      <c r="AA73" s="26"/>
      <c r="AB73" s="26"/>
      <c r="AC73" s="26"/>
    </row>
    <row r="74" spans="1:29" ht="15">
      <c r="A74" s="24"/>
      <c r="B74" s="32" t="str">
        <f>'Прил 1'!B75</f>
        <v>г. Полярный, ул. Гандюхина, д. 6</v>
      </c>
      <c r="C74" s="25">
        <f t="shared" si="4"/>
        <v>3000000.0000000005</v>
      </c>
      <c r="D74" s="26">
        <f t="shared" si="5"/>
        <v>0</v>
      </c>
      <c r="E74" s="26"/>
      <c r="F74" s="26"/>
      <c r="G74" s="26"/>
      <c r="H74" s="26"/>
      <c r="I74" s="26"/>
      <c r="J74" s="26"/>
      <c r="K74" s="26"/>
      <c r="L74" s="27"/>
      <c r="M74" s="26"/>
      <c r="N74" s="28"/>
      <c r="O74" s="26"/>
      <c r="P74" s="28"/>
      <c r="Q74" s="26"/>
      <c r="R74" s="28">
        <v>984</v>
      </c>
      <c r="S74" s="26">
        <f>3000000/1.015</f>
        <v>2955665.0246305424</v>
      </c>
      <c r="T74" s="28"/>
      <c r="U74" s="26"/>
      <c r="V74" s="26">
        <f aca="true" t="shared" si="8" ref="V74:V83">(D74+M74+O74+Q74+S74+U74)*0.015</f>
        <v>44334.97536945813</v>
      </c>
      <c r="W74" s="28"/>
      <c r="X74" s="26"/>
      <c r="Y74" s="28"/>
      <c r="Z74" s="26"/>
      <c r="AA74" s="26"/>
      <c r="AB74" s="26"/>
      <c r="AC74" s="26"/>
    </row>
    <row r="75" spans="1:29" ht="15">
      <c r="A75" s="24"/>
      <c r="B75" s="32" t="str">
        <f>'Прил 1'!B76</f>
        <v>г. Полярный, ул. Героев "Тумана", д. 2</v>
      </c>
      <c r="C75" s="25">
        <f>D75+M75+O75+Q75+S75+U75+V75+X75+Z75+AA75+AB75+AC75</f>
        <v>12151206.64</v>
      </c>
      <c r="D75" s="26">
        <f>SUM(E75:K75)</f>
        <v>0</v>
      </c>
      <c r="E75" s="26"/>
      <c r="F75" s="26"/>
      <c r="G75" s="26"/>
      <c r="H75" s="26"/>
      <c r="I75" s="26"/>
      <c r="J75" s="26"/>
      <c r="K75" s="26"/>
      <c r="L75" s="27">
        <v>4</v>
      </c>
      <c r="M75" s="26">
        <f>(3037801.66*4)/1.015</f>
        <v>11971632.157635469</v>
      </c>
      <c r="N75" s="28"/>
      <c r="O75" s="26"/>
      <c r="P75" s="28"/>
      <c r="Q75" s="26"/>
      <c r="R75" s="28"/>
      <c r="S75" s="26"/>
      <c r="T75" s="28"/>
      <c r="U75" s="26"/>
      <c r="V75" s="26">
        <f t="shared" si="8"/>
        <v>179574.482364532</v>
      </c>
      <c r="W75" s="28"/>
      <c r="X75" s="26"/>
      <c r="Y75" s="28"/>
      <c r="Z75" s="26"/>
      <c r="AA75" s="26"/>
      <c r="AB75" s="26"/>
      <c r="AC75" s="26"/>
    </row>
    <row r="76" spans="1:29" ht="15">
      <c r="A76" s="24"/>
      <c r="B76" s="32" t="str">
        <f>'Прил 1'!B77</f>
        <v>г. Полярный, ул Героев Североморцев, д. 14</v>
      </c>
      <c r="C76" s="25">
        <f t="shared" si="4"/>
        <v>2600000.0000000005</v>
      </c>
      <c r="D76" s="26">
        <f t="shared" si="5"/>
        <v>0</v>
      </c>
      <c r="E76" s="26"/>
      <c r="F76" s="26"/>
      <c r="G76" s="26"/>
      <c r="H76" s="26"/>
      <c r="I76" s="26"/>
      <c r="J76" s="26"/>
      <c r="K76" s="26"/>
      <c r="L76" s="27"/>
      <c r="M76" s="26"/>
      <c r="N76" s="28"/>
      <c r="O76" s="26"/>
      <c r="P76" s="28"/>
      <c r="Q76" s="26"/>
      <c r="R76" s="28">
        <v>697</v>
      </c>
      <c r="S76" s="26">
        <f>2600000/1.015</f>
        <v>2561576.3546798034</v>
      </c>
      <c r="T76" s="28"/>
      <c r="U76" s="26"/>
      <c r="V76" s="26">
        <f t="shared" si="8"/>
        <v>38423.64532019705</v>
      </c>
      <c r="W76" s="28"/>
      <c r="X76" s="26"/>
      <c r="Y76" s="28"/>
      <c r="Z76" s="26"/>
      <c r="AA76" s="26"/>
      <c r="AB76" s="26"/>
      <c r="AC76" s="26"/>
    </row>
    <row r="77" spans="1:29" ht="15">
      <c r="A77" s="24"/>
      <c r="B77" s="32" t="str">
        <f>'Прил 1'!B78</f>
        <v>г. Гаджиево, ул. Душенова, д 105</v>
      </c>
      <c r="C77" s="25">
        <f t="shared" si="4"/>
        <v>1261107.35</v>
      </c>
      <c r="D77" s="26">
        <f t="shared" si="5"/>
        <v>0</v>
      </c>
      <c r="E77" s="26"/>
      <c r="F77" s="26"/>
      <c r="G77" s="26"/>
      <c r="H77" s="26"/>
      <c r="I77" s="26"/>
      <c r="J77" s="26"/>
      <c r="K77" s="26"/>
      <c r="L77" s="27"/>
      <c r="M77" s="26"/>
      <c r="N77" s="28"/>
      <c r="O77" s="26"/>
      <c r="P77" s="28"/>
      <c r="Q77" s="26"/>
      <c r="R77" s="28"/>
      <c r="S77" s="26">
        <f>1101.5*3434.7/3/1.015</f>
        <v>1242470.2955665025</v>
      </c>
      <c r="T77" s="28"/>
      <c r="U77" s="26"/>
      <c r="V77" s="26">
        <f t="shared" si="8"/>
        <v>18637.05443349754</v>
      </c>
      <c r="W77" s="28"/>
      <c r="X77" s="26"/>
      <c r="Y77" s="28"/>
      <c r="Z77" s="26"/>
      <c r="AA77" s="26"/>
      <c r="AB77" s="26"/>
      <c r="AC77" s="26"/>
    </row>
    <row r="78" spans="1:29" ht="15">
      <c r="A78" s="24"/>
      <c r="B78" s="32" t="str">
        <f>'Прил 1'!B79</f>
        <v>г. Гаджиево, ул. Душенова, д 104</v>
      </c>
      <c r="C78" s="25">
        <f t="shared" si="4"/>
        <v>1253837.4500000002</v>
      </c>
      <c r="D78" s="26">
        <f t="shared" si="5"/>
        <v>0</v>
      </c>
      <c r="E78" s="26"/>
      <c r="F78" s="26"/>
      <c r="G78" s="26"/>
      <c r="H78" s="26"/>
      <c r="I78" s="26"/>
      <c r="J78" s="26"/>
      <c r="K78" s="26"/>
      <c r="L78" s="27"/>
      <c r="M78" s="26"/>
      <c r="N78" s="28"/>
      <c r="O78" s="26"/>
      <c r="P78" s="28"/>
      <c r="Q78" s="26"/>
      <c r="R78" s="28"/>
      <c r="S78" s="26">
        <f>1101.5*3414.9/3/1.015</f>
        <v>1235307.8325123154</v>
      </c>
      <c r="T78" s="28"/>
      <c r="U78" s="26"/>
      <c r="V78" s="26">
        <f t="shared" si="8"/>
        <v>18529.61748768473</v>
      </c>
      <c r="W78" s="28"/>
      <c r="X78" s="26"/>
      <c r="Y78" s="28"/>
      <c r="Z78" s="26"/>
      <c r="AA78" s="26"/>
      <c r="AB78" s="26"/>
      <c r="AC78" s="26"/>
    </row>
    <row r="79" spans="1:29" ht="15">
      <c r="A79" s="24"/>
      <c r="B79" s="32" t="str">
        <f>'Прил 1'!B80</f>
        <v>г. Гаджиево, ул. Мира, д. 71</v>
      </c>
      <c r="C79" s="25">
        <f t="shared" si="4"/>
        <v>1161256.3750000002</v>
      </c>
      <c r="D79" s="26">
        <f t="shared" si="5"/>
        <v>0</v>
      </c>
      <c r="E79" s="26"/>
      <c r="F79" s="26"/>
      <c r="G79" s="26"/>
      <c r="H79" s="26"/>
      <c r="I79" s="26"/>
      <c r="J79" s="26"/>
      <c r="K79" s="26"/>
      <c r="L79" s="27"/>
      <c r="M79" s="26"/>
      <c r="N79" s="28"/>
      <c r="O79" s="26"/>
      <c r="P79" s="28"/>
      <c r="Q79" s="26"/>
      <c r="R79" s="28"/>
      <c r="S79" s="26">
        <f>1101.5*2108.5/2/1.015</f>
        <v>1144094.9507389164</v>
      </c>
      <c r="T79" s="28"/>
      <c r="U79" s="26"/>
      <c r="V79" s="26">
        <f t="shared" si="8"/>
        <v>17161.424261083746</v>
      </c>
      <c r="W79" s="28"/>
      <c r="X79" s="26"/>
      <c r="Y79" s="28"/>
      <c r="Z79" s="26"/>
      <c r="AA79" s="26"/>
      <c r="AB79" s="26"/>
      <c r="AC79" s="26"/>
    </row>
    <row r="80" spans="1:29" ht="15">
      <c r="A80" s="24"/>
      <c r="B80" s="32" t="str">
        <f>'Прил 1'!B81</f>
        <v>г. Гаджиево, ул. Мира, д. 72</v>
      </c>
      <c r="C80" s="25">
        <f t="shared" si="4"/>
        <v>1289709.6333333335</v>
      </c>
      <c r="D80" s="26">
        <f t="shared" si="5"/>
        <v>0</v>
      </c>
      <c r="E80" s="26"/>
      <c r="F80" s="26"/>
      <c r="G80" s="26"/>
      <c r="H80" s="26"/>
      <c r="I80" s="26"/>
      <c r="J80" s="26"/>
      <c r="K80" s="26"/>
      <c r="L80" s="27"/>
      <c r="M80" s="26"/>
      <c r="N80" s="28"/>
      <c r="O80" s="26"/>
      <c r="P80" s="28"/>
      <c r="Q80" s="26"/>
      <c r="R80" s="28"/>
      <c r="S80" s="26">
        <f>1101.5*3512.6/3/1.015</f>
        <v>1270649.8850574715</v>
      </c>
      <c r="T80" s="28"/>
      <c r="U80" s="26"/>
      <c r="V80" s="26">
        <f t="shared" si="8"/>
        <v>19059.74827586207</v>
      </c>
      <c r="W80" s="28"/>
      <c r="X80" s="26"/>
      <c r="Y80" s="28"/>
      <c r="Z80" s="26"/>
      <c r="AA80" s="26"/>
      <c r="AB80" s="26"/>
      <c r="AC80" s="26"/>
    </row>
    <row r="81" spans="1:29" ht="15">
      <c r="A81" s="24"/>
      <c r="B81" s="32" t="str">
        <f>'Прил 1'!B82</f>
        <v>г. Гаджиево, ул. Мира, д. 83</v>
      </c>
      <c r="C81" s="25">
        <f t="shared" si="4"/>
        <v>1305332.575</v>
      </c>
      <c r="D81" s="26">
        <f t="shared" si="5"/>
        <v>0</v>
      </c>
      <c r="E81" s="26"/>
      <c r="F81" s="26"/>
      <c r="G81" s="26"/>
      <c r="H81" s="26"/>
      <c r="I81" s="26"/>
      <c r="J81" s="26"/>
      <c r="K81" s="26"/>
      <c r="L81" s="27"/>
      <c r="M81" s="26"/>
      <c r="N81" s="28"/>
      <c r="O81" s="26"/>
      <c r="P81" s="28"/>
      <c r="Q81" s="26"/>
      <c r="R81" s="28"/>
      <c r="S81" s="26">
        <f>1101.5*2370.1/2/1.015</f>
        <v>1286041.945812808</v>
      </c>
      <c r="T81" s="28"/>
      <c r="U81" s="26"/>
      <c r="V81" s="26">
        <f t="shared" si="8"/>
        <v>19290.629187192117</v>
      </c>
      <c r="W81" s="28"/>
      <c r="X81" s="26"/>
      <c r="Y81" s="28"/>
      <c r="Z81" s="26"/>
      <c r="AA81" s="26"/>
      <c r="AB81" s="26"/>
      <c r="AC81" s="26"/>
    </row>
    <row r="82" spans="1:29" ht="15">
      <c r="A82" s="24"/>
      <c r="B82" s="32" t="str">
        <f>'Прил 1'!B83</f>
        <v>г. Гаджиево, ул. Гаджиева, д. 44</v>
      </c>
      <c r="C82" s="25">
        <f t="shared" si="4"/>
        <v>1149672.2666666666</v>
      </c>
      <c r="D82" s="26">
        <f t="shared" si="5"/>
        <v>0</v>
      </c>
      <c r="E82" s="26"/>
      <c r="F82" s="26"/>
      <c r="G82" s="26"/>
      <c r="H82" s="26"/>
      <c r="I82" s="26"/>
      <c r="J82" s="26"/>
      <c r="K82" s="26"/>
      <c r="L82" s="27"/>
      <c r="M82" s="26"/>
      <c r="N82" s="28"/>
      <c r="O82" s="26"/>
      <c r="P82" s="28"/>
      <c r="Q82" s="26"/>
      <c r="R82" s="28"/>
      <c r="S82" s="26">
        <f>1101.5*3131.2/3/1.015</f>
        <v>1132682.0361247947</v>
      </c>
      <c r="T82" s="28"/>
      <c r="U82" s="26"/>
      <c r="V82" s="26">
        <f t="shared" si="8"/>
        <v>16990.23054187192</v>
      </c>
      <c r="W82" s="28"/>
      <c r="X82" s="26"/>
      <c r="Y82" s="28"/>
      <c r="Z82" s="26"/>
      <c r="AA82" s="26"/>
      <c r="AB82" s="26"/>
      <c r="AC82" s="26"/>
    </row>
    <row r="83" spans="1:29" ht="15">
      <c r="A83" s="24"/>
      <c r="B83" s="32" t="str">
        <f>'Прил 1'!B84</f>
        <v>г. Гаджиево, ул. Гаджиева, д. 61</v>
      </c>
      <c r="C83" s="25">
        <f t="shared" si="4"/>
        <v>1525357.2000000002</v>
      </c>
      <c r="D83" s="26">
        <f t="shared" si="5"/>
        <v>0</v>
      </c>
      <c r="E83" s="26"/>
      <c r="F83" s="26"/>
      <c r="G83" s="26"/>
      <c r="H83" s="26"/>
      <c r="I83" s="26"/>
      <c r="J83" s="26"/>
      <c r="K83" s="26"/>
      <c r="L83" s="27"/>
      <c r="M83" s="26"/>
      <c r="N83" s="28"/>
      <c r="O83" s="26"/>
      <c r="P83" s="28"/>
      <c r="Q83" s="26"/>
      <c r="R83" s="28"/>
      <c r="S83" s="26">
        <f>1101.5*2769.6/2/1.015</f>
        <v>1502814.9753694583</v>
      </c>
      <c r="T83" s="28"/>
      <c r="U83" s="26"/>
      <c r="V83" s="26">
        <f t="shared" si="8"/>
        <v>22542.224630541874</v>
      </c>
      <c r="W83" s="28"/>
      <c r="X83" s="26"/>
      <c r="Y83" s="28"/>
      <c r="Z83" s="26"/>
      <c r="AA83" s="26"/>
      <c r="AB83" s="26"/>
      <c r="AC83" s="26"/>
    </row>
    <row r="84" spans="1:37" s="62" customFormat="1" ht="15">
      <c r="A84" s="65"/>
      <c r="B84" s="69" t="s">
        <v>161</v>
      </c>
      <c r="C84" s="29">
        <f aca="true" t="shared" si="9" ref="C84:AC84">SUM(C59:C83)</f>
        <v>75067861.95500001</v>
      </c>
      <c r="D84" s="29">
        <f t="shared" si="9"/>
        <v>8842480.72906404</v>
      </c>
      <c r="E84" s="29">
        <f t="shared" si="9"/>
        <v>0</v>
      </c>
      <c r="F84" s="29">
        <f t="shared" si="9"/>
        <v>0</v>
      </c>
      <c r="G84" s="29">
        <f t="shared" si="9"/>
        <v>0</v>
      </c>
      <c r="H84" s="29">
        <f t="shared" si="9"/>
        <v>4433497.536945813</v>
      </c>
      <c r="I84" s="29">
        <f t="shared" si="9"/>
        <v>933121.1231527094</v>
      </c>
      <c r="J84" s="29">
        <f t="shared" si="9"/>
        <v>3475862.068965518</v>
      </c>
      <c r="K84" s="29">
        <f t="shared" si="9"/>
        <v>0</v>
      </c>
      <c r="L84" s="29">
        <f t="shared" si="9"/>
        <v>6</v>
      </c>
      <c r="M84" s="29">
        <f t="shared" si="9"/>
        <v>17807802.83251232</v>
      </c>
      <c r="N84" s="29">
        <f t="shared" si="9"/>
        <v>2030</v>
      </c>
      <c r="O84" s="29">
        <f t="shared" si="9"/>
        <v>9903940.886699509</v>
      </c>
      <c r="P84" s="29">
        <f t="shared" si="9"/>
        <v>0</v>
      </c>
      <c r="Q84" s="29">
        <f t="shared" si="9"/>
        <v>0</v>
      </c>
      <c r="R84" s="29">
        <f t="shared" si="9"/>
        <v>17469.6</v>
      </c>
      <c r="S84" s="29">
        <f t="shared" si="9"/>
        <v>37404260.23645321</v>
      </c>
      <c r="T84" s="29">
        <f t="shared" si="9"/>
        <v>0</v>
      </c>
      <c r="U84" s="29">
        <f t="shared" si="9"/>
        <v>0</v>
      </c>
      <c r="V84" s="29">
        <f t="shared" si="9"/>
        <v>1109377.2702709357</v>
      </c>
      <c r="W84" s="29">
        <f t="shared" si="9"/>
        <v>0</v>
      </c>
      <c r="X84" s="29">
        <f t="shared" si="9"/>
        <v>0</v>
      </c>
      <c r="Y84" s="29">
        <f t="shared" si="9"/>
        <v>0</v>
      </c>
      <c r="Z84" s="29">
        <f t="shared" si="9"/>
        <v>0</v>
      </c>
      <c r="AA84" s="29">
        <f t="shared" si="9"/>
        <v>0</v>
      </c>
      <c r="AB84" s="29">
        <f t="shared" si="9"/>
        <v>0</v>
      </c>
      <c r="AC84" s="29">
        <f t="shared" si="9"/>
        <v>0</v>
      </c>
      <c r="AD84" s="61"/>
      <c r="AE84" s="61"/>
      <c r="AF84" s="61"/>
      <c r="AG84" s="61"/>
      <c r="AH84" s="61"/>
      <c r="AI84" s="61"/>
      <c r="AJ84" s="61"/>
      <c r="AK84" s="61"/>
    </row>
    <row r="85" spans="1:37" s="62" customFormat="1" ht="15">
      <c r="A85" s="70"/>
      <c r="B85" s="71"/>
      <c r="C85" s="72"/>
      <c r="D85" s="73"/>
      <c r="E85" s="73"/>
      <c r="F85" s="73"/>
      <c r="G85" s="73"/>
      <c r="H85" s="73"/>
      <c r="I85" s="73"/>
      <c r="J85" s="73"/>
      <c r="K85" s="73"/>
      <c r="L85" s="74"/>
      <c r="M85" s="73"/>
      <c r="N85" s="75"/>
      <c r="O85" s="73"/>
      <c r="P85" s="75"/>
      <c r="Q85" s="73"/>
      <c r="R85" s="75"/>
      <c r="S85" s="73"/>
      <c r="T85" s="75"/>
      <c r="U85" s="73"/>
      <c r="V85" s="73"/>
      <c r="W85" s="75"/>
      <c r="X85" s="73"/>
      <c r="Y85" s="75"/>
      <c r="Z85" s="73"/>
      <c r="AA85" s="73"/>
      <c r="AB85" s="73"/>
      <c r="AC85" s="73"/>
      <c r="AD85" s="61"/>
      <c r="AE85" s="61"/>
      <c r="AF85" s="61"/>
      <c r="AG85" s="61"/>
      <c r="AH85" s="61"/>
      <c r="AI85" s="61"/>
      <c r="AJ85" s="61"/>
      <c r="AK85" s="61"/>
    </row>
    <row r="86" spans="1:29" ht="15">
      <c r="A86" s="106" t="s">
        <v>66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</row>
    <row r="87" spans="12:15" ht="15">
      <c r="L87" s="33"/>
      <c r="M87" s="33"/>
      <c r="N87" s="33"/>
      <c r="O87" s="33"/>
    </row>
  </sheetData>
  <sheetProtection/>
  <mergeCells count="23">
    <mergeCell ref="V4:V5"/>
    <mergeCell ref="AA4:AA5"/>
    <mergeCell ref="V3:AC3"/>
    <mergeCell ref="A9:B9"/>
    <mergeCell ref="P4:Q5"/>
    <mergeCell ref="R4:S5"/>
    <mergeCell ref="S1:AC1"/>
    <mergeCell ref="A2:AC2"/>
    <mergeCell ref="A3:A6"/>
    <mergeCell ref="B3:B6"/>
    <mergeCell ref="C3:C5"/>
    <mergeCell ref="D3:U3"/>
    <mergeCell ref="T4:U5"/>
    <mergeCell ref="AB4:AB5"/>
    <mergeCell ref="W4:X5"/>
    <mergeCell ref="Y4:Z5"/>
    <mergeCell ref="A86:AC86"/>
    <mergeCell ref="AC4:AC5"/>
    <mergeCell ref="A8:B8"/>
    <mergeCell ref="L4:M5"/>
    <mergeCell ref="N4:O5"/>
    <mergeCell ref="A32:B32"/>
    <mergeCell ref="D4:K4"/>
  </mergeCells>
  <printOptions/>
  <pageMargins left="0.7086614173228347" right="0.7086614173228347" top="0" bottom="0" header="0" footer="0"/>
  <pageSetup fitToWidth="0" fitToHeight="1" horizontalDpi="600" verticalDpi="600" orientation="landscape" paperSize="9" scale="67" r:id="rId1"/>
  <ignoredErrors>
    <ignoredError sqref="O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</dc:creator>
  <cp:keywords/>
  <dc:description/>
  <cp:lastModifiedBy>Полянина Александра Александровна</cp:lastModifiedBy>
  <cp:lastPrinted>2018-03-21T14:51:50Z</cp:lastPrinted>
  <dcterms:created xsi:type="dcterms:W3CDTF">2014-03-21T07:46:37Z</dcterms:created>
  <dcterms:modified xsi:type="dcterms:W3CDTF">2018-04-23T14:33:57Z</dcterms:modified>
  <cp:category/>
  <cp:version/>
  <cp:contentType/>
  <cp:contentStatus/>
</cp:coreProperties>
</file>