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41" windowWidth="15480" windowHeight="11640" tabRatio="905" activeTab="3"/>
  </bookViews>
  <sheets>
    <sheet name="таб 2(1)" sheetId="1" r:id="rId1"/>
    <sheet name="таб 3(1)" sheetId="2" r:id="rId2"/>
    <sheet name="таб 2(2)" sheetId="3" r:id="rId3"/>
    <sheet name="таб 3(2)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sharedStrings.xml><?xml version="1.0" encoding="utf-8"?>
<sst xmlns="http://schemas.openxmlformats.org/spreadsheetml/2006/main" count="411" uniqueCount="126">
  <si>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</si>
  <si>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</si>
  <si>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</si>
  <si>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</si>
  <si>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</si>
  <si>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</si>
  <si>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</si>
  <si>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</si>
  <si>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областного бюджета</t>
  </si>
  <si>
    <t>федерального бюджета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</si>
  <si>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</si>
  <si>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</si>
  <si>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</si>
  <si>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</si>
  <si>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</si>
  <si>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</si>
  <si>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</si>
  <si>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</si>
  <si>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</si>
  <si>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</si>
  <si>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</si>
  <si>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</si>
  <si>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МБДОУ, МАДОУ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</si>
  <si>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</si>
  <si>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</si>
  <si>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</si>
  <si>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</si>
  <si>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</si>
  <si>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</si>
  <si>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</si>
  <si>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</si>
  <si>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</si>
  <si>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</si>
  <si>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</si>
  <si>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</si>
  <si>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</si>
  <si>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</si>
  <si>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</si>
  <si>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</si>
  <si>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</si>
  <si>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 xml:space="preserve">2014 - 2020 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</si>
  <si>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</si>
  <si>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</si>
  <si>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</si>
  <si>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</si>
  <si>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</si>
  <si>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</si>
  <si>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</si>
  <si>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</si>
  <si>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</si>
  <si>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</si>
  <si>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</si>
  <si>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</si>
  <si>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</si>
  <si>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</si>
  <si>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</si>
  <si>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</si>
  <si>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</si>
  <si>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</si>
  <si>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</si>
  <si>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</si>
  <si>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</si>
  <si>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</si>
  <si>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</si>
  <si>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</si>
  <si>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</si>
  <si>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</si>
  <si>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</si>
  <si>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</si>
  <si>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</si>
  <si>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</si>
  <si>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</si>
  <si>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</si>
  <si>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</si>
  <si>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</si>
  <si>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</si>
  <si>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</si>
  <si>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</si>
  <si>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</si>
  <si>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</si>
  <si>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</si>
  <si>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</si>
  <si>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</si>
  <si>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</si>
  <si>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</si>
  <si>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</si>
  <si>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</si>
  <si>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</si>
  <si>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</si>
  <si>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</si>
  <si>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</si>
  <si>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</si>
  <si>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</si>
  <si>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</si>
  <si>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</si>
  <si>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</si>
  <si>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</si>
  <si>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</si>
  <si>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</si>
  <si>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</si>
  <si>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</si>
  <si>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</si>
  <si>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</si>
  <si>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</si>
  <si>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</si>
  <si>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</si>
  <si>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</si>
  <si>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</si>
  <si>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</si>
  <si>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</si>
  <si>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</si>
  <si>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</si>
  <si>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Предоставление социальных гарантий работникам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</si>
  <si>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</si>
  <si>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</si>
  <si>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</si>
  <si>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</si>
  <si>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</si>
  <si>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</si>
  <si>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</si>
  <si>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</si>
  <si>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</si>
  <si>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Приложение № 4
к постановлению администрации
ЗАТО Александровск
от « 03 » октября 2016 г. № 1848</t>
  </si>
  <si>
    <t>Приложение № 3
к постановлению администрации
ЗАТО Александровск
от « 03 » октября 2016 г. № 1848</t>
  </si>
  <si>
    <t>Приложение № 2
к постановлению администрации
ЗАТО Александровск
от « 03 » октября 2016 г. № 1848</t>
  </si>
  <si>
    <t>Приложение № 1
к постановлению администрации
ЗАТО Александровск
от « 03 » октября 2016 г. № 1848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</si>
</sst>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_р_._-;\-* #,##0.0000_р_._-;_-* &quot;-&quot;????_р_._-;_-@_-"/>
    <numFmt numFmtId="174" formatCode="0.000"/>
    <numFmt numFmtId="175" formatCode="#,##0.000"/>
    <numFmt numFmtId="176" formatCode="#,##0.0000"/>
    <numFmt numFmtId="177" formatCode="0.0"/>
    <numFmt numFmtId="178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6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3" fontId="10" fillId="0" borderId="10" xfId="64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170" fontId="10" fillId="0" borderId="10" xfId="0" applyNumberFormat="1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3" fontId="2" fillId="0" borderId="0" xfId="64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9" fontId="5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49" fontId="5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2" fontId="21" fillId="0" borderId="14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C1">
      <selection activeCell="G1" sqref="G1:I1"/>
    </sheetView>
  </sheetViews>
  <sheetFormatPr defaultColWidth="9.140625" defaultRowHeight="15"/>
  <cols>
    <col min="1" max="1" width="35.00390625" style="16" bestFit="1" customWidth="1"/>
    <col min="2" max="9" width="17.28125" style="16" customWidth="1"/>
    <col min="10" max="16384" width="9.140625" style="16" customWidth="1"/>
  </cols>
  <sheetData>
    <row r="1" spans="7:10" ht="79.5" customHeight="1">
      <c r="G1" s="79" t="s">
        <v>125</v>
      </c>
      <c r="H1" s="80"/>
      <c r="I1" s="80"/>
      <c r="J1" s="69"/>
    </row>
    <row r="2" spans="5:10" ht="39" customHeight="1">
      <c r="E2" s="17"/>
      <c r="F2" s="2"/>
      <c r="G2" s="2"/>
      <c r="I2" s="2" t="s">
        <v>77</v>
      </c>
      <c r="J2" s="18"/>
    </row>
    <row r="3" ht="15.75">
      <c r="F3" s="2"/>
    </row>
    <row r="4" spans="1:9" ht="36.75" customHeight="1">
      <c r="A4" s="87" t="s">
        <v>23</v>
      </c>
      <c r="B4" s="87"/>
      <c r="C4" s="87"/>
      <c r="D4" s="87"/>
      <c r="E4" s="87"/>
      <c r="F4" s="87"/>
      <c r="G4" s="87"/>
      <c r="H4" s="87"/>
      <c r="I4" s="87"/>
    </row>
    <row r="5" spans="1:9" ht="30" customHeight="1">
      <c r="A5" s="88" t="s">
        <v>55</v>
      </c>
      <c r="B5" s="90" t="s">
        <v>56</v>
      </c>
      <c r="C5" s="92" t="s">
        <v>57</v>
      </c>
      <c r="D5" s="92"/>
      <c r="E5" s="92"/>
      <c r="F5" s="92"/>
      <c r="G5" s="92"/>
      <c r="H5" s="92"/>
      <c r="I5" s="92"/>
    </row>
    <row r="6" spans="1:9" ht="16.5" customHeight="1">
      <c r="A6" s="89"/>
      <c r="B6" s="91"/>
      <c r="C6" s="19">
        <v>2014</v>
      </c>
      <c r="D6" s="19">
        <v>2015</v>
      </c>
      <c r="E6" s="19">
        <v>2016</v>
      </c>
      <c r="F6" s="19">
        <v>2017</v>
      </c>
      <c r="G6" s="19">
        <v>2018</v>
      </c>
      <c r="H6" s="19">
        <v>2019</v>
      </c>
      <c r="I6" s="9">
        <v>2020</v>
      </c>
    </row>
    <row r="7" spans="1:9" ht="16.5" customHeight="1">
      <c r="A7" s="62" t="s">
        <v>25</v>
      </c>
      <c r="B7" s="62" t="s">
        <v>26</v>
      </c>
      <c r="C7" s="62" t="s">
        <v>27</v>
      </c>
      <c r="D7" s="62" t="s">
        <v>28</v>
      </c>
      <c r="E7" s="62" t="s">
        <v>29</v>
      </c>
      <c r="F7" s="62" t="s">
        <v>30</v>
      </c>
      <c r="G7" s="62" t="s">
        <v>31</v>
      </c>
      <c r="H7" s="62" t="s">
        <v>32</v>
      </c>
      <c r="I7" s="62" t="s">
        <v>33</v>
      </c>
    </row>
    <row r="8" spans="1:9" ht="19.5" customHeight="1">
      <c r="A8" s="20" t="s">
        <v>24</v>
      </c>
      <c r="B8" s="21">
        <f>B10+B11+B12+B13</f>
        <v>4214845652.8</v>
      </c>
      <c r="C8" s="21">
        <f>C10+C11+C12+C13</f>
        <v>529444436.56</v>
      </c>
      <c r="D8" s="21">
        <f aca="true" t="shared" si="0" ref="D8:I8">D10+D11+D12+D13</f>
        <v>534443846.3399999</v>
      </c>
      <c r="E8" s="21">
        <f t="shared" si="0"/>
        <v>578998933.3</v>
      </c>
      <c r="F8" s="21">
        <f t="shared" si="0"/>
        <v>624720917.9</v>
      </c>
      <c r="G8" s="21">
        <f t="shared" si="0"/>
        <v>649079172.9</v>
      </c>
      <c r="H8" s="21">
        <f t="shared" si="0"/>
        <v>649079172.9</v>
      </c>
      <c r="I8" s="21">
        <f t="shared" si="0"/>
        <v>649079172.9</v>
      </c>
    </row>
    <row r="9" spans="1:9" ht="16.5" customHeight="1">
      <c r="A9" s="81" t="s">
        <v>58</v>
      </c>
      <c r="B9" s="82"/>
      <c r="C9" s="82"/>
      <c r="D9" s="82"/>
      <c r="E9" s="82"/>
      <c r="F9" s="82"/>
      <c r="G9" s="82"/>
      <c r="H9" s="82"/>
      <c r="I9" s="83"/>
    </row>
    <row r="10" spans="1:9" ht="16.5" customHeight="1">
      <c r="A10" s="22" t="s">
        <v>59</v>
      </c>
      <c r="B10" s="21">
        <f>B17</f>
        <v>1519365695.76</v>
      </c>
      <c r="C10" s="23">
        <f aca="true" t="shared" si="1" ref="C10:I10">C17</f>
        <v>188197260.56</v>
      </c>
      <c r="D10" s="23">
        <f t="shared" si="1"/>
        <v>183358996.29999998</v>
      </c>
      <c r="E10" s="23">
        <f t="shared" si="1"/>
        <v>194714199.29999998</v>
      </c>
      <c r="F10" s="23">
        <f t="shared" si="1"/>
        <v>238273809.9</v>
      </c>
      <c r="G10" s="23">
        <f t="shared" si="1"/>
        <v>238273809.9</v>
      </c>
      <c r="H10" s="23">
        <f t="shared" si="1"/>
        <v>238273809.9</v>
      </c>
      <c r="I10" s="23">
        <f t="shared" si="1"/>
        <v>238273809.9</v>
      </c>
    </row>
    <row r="11" spans="1:9" ht="16.5" customHeight="1">
      <c r="A11" s="22" t="s">
        <v>8</v>
      </c>
      <c r="B11" s="21">
        <f aca="true" t="shared" si="2" ref="B11:I11">B18</f>
        <v>2347808127.76</v>
      </c>
      <c r="C11" s="23">
        <f t="shared" si="2"/>
        <v>296853576</v>
      </c>
      <c r="D11" s="23">
        <f t="shared" si="2"/>
        <v>303770524.76</v>
      </c>
      <c r="E11" s="23">
        <f t="shared" si="2"/>
        <v>326009342</v>
      </c>
      <c r="F11" s="23">
        <f t="shared" si="2"/>
        <v>328171716</v>
      </c>
      <c r="G11" s="23">
        <f t="shared" si="2"/>
        <v>364334323</v>
      </c>
      <c r="H11" s="23">
        <f t="shared" si="2"/>
        <v>364334323</v>
      </c>
      <c r="I11" s="23">
        <f t="shared" si="2"/>
        <v>364334323</v>
      </c>
    </row>
    <row r="12" spans="1:9" ht="16.5" customHeight="1">
      <c r="A12" s="22" t="s">
        <v>9</v>
      </c>
      <c r="B12" s="21">
        <f aca="true" t="shared" si="3" ref="B12:I12">B19</f>
        <v>0</v>
      </c>
      <c r="C12" s="23">
        <f t="shared" si="3"/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 t="shared" si="3"/>
        <v>0</v>
      </c>
      <c r="H12" s="23">
        <f t="shared" si="3"/>
        <v>0</v>
      </c>
      <c r="I12" s="23">
        <f t="shared" si="3"/>
        <v>0</v>
      </c>
    </row>
    <row r="13" spans="1:9" ht="16.5" customHeight="1">
      <c r="A13" s="22" t="s">
        <v>60</v>
      </c>
      <c r="B13" s="21">
        <f aca="true" t="shared" si="4" ref="B13:I13">B20</f>
        <v>347671829.28</v>
      </c>
      <c r="C13" s="23">
        <f t="shared" si="4"/>
        <v>44393600</v>
      </c>
      <c r="D13" s="23">
        <f t="shared" si="4"/>
        <v>47314325.28</v>
      </c>
      <c r="E13" s="23">
        <f t="shared" si="4"/>
        <v>58275392</v>
      </c>
      <c r="F13" s="23">
        <f t="shared" si="4"/>
        <v>58275392</v>
      </c>
      <c r="G13" s="23">
        <f t="shared" si="4"/>
        <v>46471040</v>
      </c>
      <c r="H13" s="23">
        <f t="shared" si="4"/>
        <v>46471040</v>
      </c>
      <c r="I13" s="23">
        <f t="shared" si="4"/>
        <v>46471040</v>
      </c>
    </row>
    <row r="14" spans="1:9" ht="16.5" customHeight="1">
      <c r="A14" s="84" t="s">
        <v>61</v>
      </c>
      <c r="B14" s="85"/>
      <c r="C14" s="85"/>
      <c r="D14" s="85"/>
      <c r="E14" s="85"/>
      <c r="F14" s="85"/>
      <c r="G14" s="85"/>
      <c r="H14" s="85"/>
      <c r="I14" s="86"/>
    </row>
    <row r="15" spans="1:9" ht="46.5" customHeight="1">
      <c r="A15" s="24" t="s">
        <v>68</v>
      </c>
      <c r="B15" s="21">
        <f>B17+B18+B19+B20</f>
        <v>4214845652.8</v>
      </c>
      <c r="C15" s="21">
        <f>C17+C18+C19+C20</f>
        <v>529444436.56</v>
      </c>
      <c r="D15" s="21">
        <f>D17+D18+D20</f>
        <v>534443846.3399999</v>
      </c>
      <c r="E15" s="21">
        <f>E17+E18+E19+E20</f>
        <v>578998933.3</v>
      </c>
      <c r="F15" s="21">
        <f>F17+F18+F19+F20</f>
        <v>624720917.9</v>
      </c>
      <c r="G15" s="21">
        <f>G17+G18+G19+G20</f>
        <v>649079172.9</v>
      </c>
      <c r="H15" s="21">
        <f>H17+H18+H19+H20</f>
        <v>649079172.9</v>
      </c>
      <c r="I15" s="21">
        <f>I17+I18+I19+I20</f>
        <v>649079172.9</v>
      </c>
    </row>
    <row r="16" spans="1:9" ht="16.5" customHeight="1">
      <c r="A16" s="81" t="s">
        <v>58</v>
      </c>
      <c r="B16" s="82"/>
      <c r="C16" s="82"/>
      <c r="D16" s="82"/>
      <c r="E16" s="82"/>
      <c r="F16" s="82"/>
      <c r="G16" s="82"/>
      <c r="H16" s="82"/>
      <c r="I16" s="83"/>
    </row>
    <row r="17" spans="1:9" ht="16.5" customHeight="1">
      <c r="A17" s="22" t="s">
        <v>59</v>
      </c>
      <c r="B17" s="21">
        <f>SUM(C17:I17)</f>
        <v>1519365695.76</v>
      </c>
      <c r="C17" s="25">
        <f>'таб 3(1)'!F53</f>
        <v>188197260.56</v>
      </c>
      <c r="D17" s="26">
        <f>+'таб 3(1)'!G53</f>
        <v>183358996.29999998</v>
      </c>
      <c r="E17" s="26">
        <f>+'таб 3(1)'!H53</f>
        <v>194714199.29999998</v>
      </c>
      <c r="F17" s="26">
        <f>+'таб 3(1)'!I53</f>
        <v>238273809.9</v>
      </c>
      <c r="G17" s="26">
        <v>238273809.9</v>
      </c>
      <c r="H17" s="26">
        <v>238273809.9</v>
      </c>
      <c r="I17" s="26">
        <v>238273809.9</v>
      </c>
    </row>
    <row r="18" spans="1:9" ht="16.5" customHeight="1">
      <c r="A18" s="22" t="s">
        <v>8</v>
      </c>
      <c r="B18" s="21">
        <f>SUM(C18:I18)</f>
        <v>2347808127.76</v>
      </c>
      <c r="C18" s="27">
        <f>'таб 3(1)'!F54</f>
        <v>296853576</v>
      </c>
      <c r="D18" s="26">
        <f>+'таб 3(1)'!G54</f>
        <v>303770524.76</v>
      </c>
      <c r="E18" s="26">
        <f>+'таб 3(1)'!H54</f>
        <v>326009342</v>
      </c>
      <c r="F18" s="26">
        <f>+'таб 3(1)'!I54</f>
        <v>328171716</v>
      </c>
      <c r="G18" s="26">
        <v>364334323</v>
      </c>
      <c r="H18" s="26">
        <v>364334323</v>
      </c>
      <c r="I18" s="26">
        <v>364334323</v>
      </c>
    </row>
    <row r="19" spans="1:9" ht="16.5" customHeight="1">
      <c r="A19" s="22" t="s">
        <v>9</v>
      </c>
      <c r="B19" s="21">
        <f>SUM(C19:I19)</f>
        <v>0</v>
      </c>
      <c r="C19" s="26">
        <f>'таб 3(1)'!F55</f>
        <v>0</v>
      </c>
      <c r="D19" s="26">
        <f>'таб 3(1)'!G55</f>
        <v>0</v>
      </c>
      <c r="E19" s="26">
        <f>'таб 3(1)'!H55</f>
        <v>0</v>
      </c>
      <c r="F19" s="26">
        <f>'таб 3(1)'!I55</f>
        <v>0</v>
      </c>
      <c r="G19" s="26">
        <f>'таб 3(1)'!J55</f>
        <v>0</v>
      </c>
      <c r="H19" s="26">
        <f>'таб 3(1)'!K55</f>
        <v>0</v>
      </c>
      <c r="I19" s="26">
        <f>'таб 3(1)'!L55</f>
        <v>0</v>
      </c>
    </row>
    <row r="20" spans="1:9" ht="16.5" customHeight="1">
      <c r="A20" s="22" t="s">
        <v>60</v>
      </c>
      <c r="B20" s="21">
        <f>SUM(C20:I20)</f>
        <v>347671829.28</v>
      </c>
      <c r="C20" s="27">
        <f>'таб 3(1)'!F56</f>
        <v>44393600</v>
      </c>
      <c r="D20" s="26">
        <f>'таб 3(1)'!G56</f>
        <v>47314325.28</v>
      </c>
      <c r="E20" s="26">
        <f>'таб 3(1)'!H56</f>
        <v>58275392</v>
      </c>
      <c r="F20" s="26">
        <f>'таб 3(1)'!I56</f>
        <v>58275392</v>
      </c>
      <c r="G20" s="26">
        <v>46471040</v>
      </c>
      <c r="H20" s="26">
        <v>46471040</v>
      </c>
      <c r="I20" s="26">
        <v>46471040</v>
      </c>
    </row>
    <row r="21" spans="1:9" ht="31.5">
      <c r="A21" s="28" t="s">
        <v>62</v>
      </c>
      <c r="B21" s="21">
        <f>SUM(C21:I21)</f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</row>
    <row r="22" spans="1:9" ht="15.75">
      <c r="A22" s="29"/>
      <c r="B22" s="17"/>
      <c r="C22" s="30"/>
      <c r="D22" s="30"/>
      <c r="E22" s="30"/>
      <c r="F22" s="30"/>
      <c r="G22" s="30"/>
      <c r="H22" s="30"/>
      <c r="I22" s="30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SheetLayoutView="115" zoomScalePageLayoutView="0" workbookViewId="0" topLeftCell="J1">
      <selection activeCell="Q1" sqref="Q1:U1"/>
    </sheetView>
  </sheetViews>
  <sheetFormatPr defaultColWidth="9.140625" defaultRowHeight="15"/>
  <cols>
    <col min="1" max="1" width="9.140625" style="32" customWidth="1"/>
    <col min="2" max="2" width="48.421875" style="32" customWidth="1"/>
    <col min="3" max="3" width="10.8515625" style="32" customWidth="1"/>
    <col min="4" max="4" width="10.00390625" style="32" customWidth="1"/>
    <col min="5" max="5" width="15.421875" style="32" customWidth="1"/>
    <col min="6" max="6" width="14.421875" style="32" customWidth="1"/>
    <col min="7" max="12" width="14.00390625" style="32" bestFit="1" customWidth="1"/>
    <col min="13" max="13" width="28.140625" style="32" customWidth="1"/>
    <col min="14" max="14" width="5.7109375" style="32" bestFit="1" customWidth="1"/>
    <col min="15" max="20" width="7.421875" style="32" bestFit="1" customWidth="1"/>
    <col min="21" max="21" width="17.00390625" style="32" customWidth="1"/>
    <col min="22" max="16384" width="9.140625" style="32" customWidth="1"/>
  </cols>
  <sheetData>
    <row r="1" spans="7:21" ht="79.5" customHeight="1">
      <c r="G1" s="76"/>
      <c r="H1" s="77"/>
      <c r="I1" s="77"/>
      <c r="J1" s="69"/>
      <c r="Q1" s="79" t="s">
        <v>124</v>
      </c>
      <c r="R1" s="80"/>
      <c r="S1" s="80"/>
      <c r="T1" s="80"/>
      <c r="U1" s="80"/>
    </row>
    <row r="2" spans="20:21" ht="12.75">
      <c r="T2" s="70"/>
      <c r="U2" s="70" t="s">
        <v>69</v>
      </c>
    </row>
    <row r="3" spans="1:21" ht="15.75">
      <c r="A3" s="127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31.5" customHeight="1">
      <c r="A4" s="123" t="s">
        <v>53</v>
      </c>
      <c r="B4" s="123" t="s">
        <v>63</v>
      </c>
      <c r="C4" s="123" t="s">
        <v>64</v>
      </c>
      <c r="D4" s="123" t="s">
        <v>55</v>
      </c>
      <c r="E4" s="123" t="s">
        <v>65</v>
      </c>
      <c r="F4" s="123"/>
      <c r="G4" s="123"/>
      <c r="H4" s="123"/>
      <c r="I4" s="123"/>
      <c r="J4" s="123"/>
      <c r="K4" s="123"/>
      <c r="L4" s="123"/>
      <c r="M4" s="123" t="s">
        <v>10</v>
      </c>
      <c r="N4" s="123"/>
      <c r="O4" s="123"/>
      <c r="P4" s="123"/>
      <c r="Q4" s="123"/>
      <c r="R4" s="123"/>
      <c r="S4" s="123"/>
      <c r="T4" s="123"/>
      <c r="U4" s="121" t="s">
        <v>66</v>
      </c>
    </row>
    <row r="5" spans="1:21" ht="24.75" customHeight="1">
      <c r="A5" s="123"/>
      <c r="B5" s="123"/>
      <c r="C5" s="123"/>
      <c r="D5" s="123"/>
      <c r="E5" s="33" t="s">
        <v>52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47</v>
      </c>
      <c r="M5" s="5" t="s">
        <v>54</v>
      </c>
      <c r="N5" s="8" t="s">
        <v>41</v>
      </c>
      <c r="O5" s="8" t="s">
        <v>42</v>
      </c>
      <c r="P5" s="8" t="s">
        <v>43</v>
      </c>
      <c r="Q5" s="8" t="s">
        <v>44</v>
      </c>
      <c r="R5" s="8" t="s">
        <v>45</v>
      </c>
      <c r="S5" s="8" t="s">
        <v>46</v>
      </c>
      <c r="T5" s="8" t="s">
        <v>47</v>
      </c>
      <c r="U5" s="122"/>
    </row>
    <row r="6" spans="1:21" ht="12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63">
        <v>17</v>
      </c>
      <c r="R6" s="63">
        <v>18</v>
      </c>
      <c r="S6" s="63">
        <v>19</v>
      </c>
      <c r="T6" s="63">
        <v>20</v>
      </c>
      <c r="U6" s="63">
        <v>21</v>
      </c>
    </row>
    <row r="7" spans="1:21" ht="12.75">
      <c r="A7" s="34"/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1:21" ht="12.75">
      <c r="A8" s="39">
        <v>1</v>
      </c>
      <c r="B8" s="115" t="s">
        <v>71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</row>
    <row r="9" spans="1:21" ht="18" customHeight="1">
      <c r="A9" s="113" t="s">
        <v>78</v>
      </c>
      <c r="B9" s="114" t="s">
        <v>72</v>
      </c>
      <c r="C9" s="104" t="s">
        <v>40</v>
      </c>
      <c r="D9" s="35" t="s">
        <v>52</v>
      </c>
      <c r="E9" s="36">
        <f>E11+E12+E13+E14</f>
        <v>2226987645.13</v>
      </c>
      <c r="F9" s="36">
        <f aca="true" t="shared" si="0" ref="F9:L9">F11+F12+F13+F14</f>
        <v>287085070</v>
      </c>
      <c r="G9" s="36">
        <f t="shared" si="0"/>
        <v>289512389</v>
      </c>
      <c r="H9" s="36">
        <f t="shared" si="0"/>
        <v>308129226.13</v>
      </c>
      <c r="I9" s="36">
        <f t="shared" si="0"/>
        <v>310278240</v>
      </c>
      <c r="J9" s="36">
        <f t="shared" si="0"/>
        <v>343994240</v>
      </c>
      <c r="K9" s="36">
        <f t="shared" si="0"/>
        <v>343994240</v>
      </c>
      <c r="L9" s="36">
        <f t="shared" si="0"/>
        <v>343994240</v>
      </c>
      <c r="M9" s="118" t="s">
        <v>114</v>
      </c>
      <c r="N9" s="96">
        <v>99.6</v>
      </c>
      <c r="O9" s="96">
        <v>95.7</v>
      </c>
      <c r="P9" s="96">
        <v>97.5</v>
      </c>
      <c r="Q9" s="96">
        <v>100</v>
      </c>
      <c r="R9" s="96">
        <v>100</v>
      </c>
      <c r="S9" s="96">
        <v>100</v>
      </c>
      <c r="T9" s="96">
        <v>100</v>
      </c>
      <c r="U9" s="93" t="s">
        <v>22</v>
      </c>
    </row>
    <row r="10" spans="1:21" ht="24.75" customHeight="1">
      <c r="A10" s="113"/>
      <c r="B10" s="114"/>
      <c r="C10" s="105"/>
      <c r="D10" s="110" t="s">
        <v>67</v>
      </c>
      <c r="E10" s="111"/>
      <c r="F10" s="111"/>
      <c r="G10" s="111"/>
      <c r="H10" s="111"/>
      <c r="I10" s="111"/>
      <c r="J10" s="111"/>
      <c r="K10" s="111"/>
      <c r="L10" s="112"/>
      <c r="M10" s="119"/>
      <c r="N10" s="97"/>
      <c r="O10" s="97"/>
      <c r="P10" s="97"/>
      <c r="Q10" s="97"/>
      <c r="R10" s="97"/>
      <c r="S10" s="97"/>
      <c r="T10" s="97"/>
      <c r="U10" s="94"/>
    </row>
    <row r="11" spans="1:21" ht="18" customHeight="1">
      <c r="A11" s="113"/>
      <c r="B11" s="114"/>
      <c r="C11" s="105"/>
      <c r="D11" s="35" t="s">
        <v>50</v>
      </c>
      <c r="E11" s="36">
        <f>F11+G11+H11+I11+J11+K11+L11</f>
        <v>4082967.13</v>
      </c>
      <c r="F11" s="36">
        <v>3970110</v>
      </c>
      <c r="G11" s="36"/>
      <c r="H11" s="36">
        <f>82156+30701.13</f>
        <v>112857.13</v>
      </c>
      <c r="I11" s="36"/>
      <c r="J11" s="36"/>
      <c r="K11" s="36"/>
      <c r="L11" s="36"/>
      <c r="M11" s="119"/>
      <c r="N11" s="97"/>
      <c r="O11" s="97"/>
      <c r="P11" s="97"/>
      <c r="Q11" s="97"/>
      <c r="R11" s="97"/>
      <c r="S11" s="97"/>
      <c r="T11" s="97"/>
      <c r="U11" s="94"/>
    </row>
    <row r="12" spans="1:21" ht="18" customHeight="1">
      <c r="A12" s="113"/>
      <c r="B12" s="114"/>
      <c r="C12" s="105"/>
      <c r="D12" s="35" t="s">
        <v>48</v>
      </c>
      <c r="E12" s="36">
        <f>F12+G12+H12+I12+J12+K12+L12</f>
        <v>2222904678</v>
      </c>
      <c r="F12" s="36">
        <f>279467500+2997400+650060</f>
        <v>283114960</v>
      </c>
      <c r="G12" s="36">
        <f>924600+573289+288014500</f>
        <v>289512389</v>
      </c>
      <c r="H12" s="36">
        <f>306311700+1150930+553739</f>
        <v>308016369</v>
      </c>
      <c r="I12" s="36">
        <f>638040+309640200</f>
        <v>310278240</v>
      </c>
      <c r="J12" s="36">
        <v>343994240</v>
      </c>
      <c r="K12" s="36">
        <v>343994240</v>
      </c>
      <c r="L12" s="36">
        <v>343994240</v>
      </c>
      <c r="M12" s="119"/>
      <c r="N12" s="97"/>
      <c r="O12" s="97"/>
      <c r="P12" s="97"/>
      <c r="Q12" s="97"/>
      <c r="R12" s="97"/>
      <c r="S12" s="97"/>
      <c r="T12" s="97"/>
      <c r="U12" s="94"/>
    </row>
    <row r="13" spans="1:21" ht="22.5" customHeight="1">
      <c r="A13" s="113"/>
      <c r="B13" s="114"/>
      <c r="C13" s="105"/>
      <c r="D13" s="35" t="s">
        <v>49</v>
      </c>
      <c r="E13" s="36">
        <f>F13+G13+H13+I13+J13+K13+L13</f>
        <v>0</v>
      </c>
      <c r="F13" s="36"/>
      <c r="G13" s="36"/>
      <c r="H13" s="36"/>
      <c r="I13" s="36"/>
      <c r="J13" s="36"/>
      <c r="K13" s="36"/>
      <c r="L13" s="36"/>
      <c r="M13" s="119"/>
      <c r="N13" s="97"/>
      <c r="O13" s="97"/>
      <c r="P13" s="97"/>
      <c r="Q13" s="97"/>
      <c r="R13" s="97"/>
      <c r="S13" s="97"/>
      <c r="T13" s="97"/>
      <c r="U13" s="94"/>
    </row>
    <row r="14" spans="1:21" ht="23.25" customHeight="1">
      <c r="A14" s="113"/>
      <c r="B14" s="114"/>
      <c r="C14" s="106"/>
      <c r="D14" s="35" t="s">
        <v>51</v>
      </c>
      <c r="E14" s="36">
        <f>F14+G14+H14+I14+J14+K14+L14</f>
        <v>0</v>
      </c>
      <c r="F14" s="36"/>
      <c r="G14" s="36"/>
      <c r="H14" s="36"/>
      <c r="I14" s="36"/>
      <c r="J14" s="36"/>
      <c r="K14" s="36"/>
      <c r="L14" s="36"/>
      <c r="M14" s="120"/>
      <c r="N14" s="98"/>
      <c r="O14" s="98"/>
      <c r="P14" s="98"/>
      <c r="Q14" s="98"/>
      <c r="R14" s="98"/>
      <c r="S14" s="98"/>
      <c r="T14" s="98"/>
      <c r="U14" s="95"/>
    </row>
    <row r="15" spans="1:21" ht="18.75" customHeight="1">
      <c r="A15" s="113" t="s">
        <v>79</v>
      </c>
      <c r="B15" s="114" t="s">
        <v>91</v>
      </c>
      <c r="C15" s="104" t="s">
        <v>40</v>
      </c>
      <c r="D15" s="35" t="s">
        <v>52</v>
      </c>
      <c r="E15" s="36">
        <f>E17+E18+E19+E20</f>
        <v>1714357063.4899998</v>
      </c>
      <c r="F15" s="36">
        <f aca="true" t="shared" si="1" ref="F15:L15">F17+F18+F19+F20</f>
        <v>209551061.53</v>
      </c>
      <c r="G15" s="36">
        <f t="shared" si="1"/>
        <v>203813083.76</v>
      </c>
      <c r="H15" s="36">
        <f t="shared" si="1"/>
        <v>243887566.53</v>
      </c>
      <c r="I15" s="36">
        <f t="shared" si="1"/>
        <v>294749201.9</v>
      </c>
      <c r="J15" s="36">
        <f t="shared" si="1"/>
        <v>254118716.59</v>
      </c>
      <c r="K15" s="36">
        <f t="shared" si="1"/>
        <v>254118716.59</v>
      </c>
      <c r="L15" s="36">
        <f t="shared" si="1"/>
        <v>254118716.59</v>
      </c>
      <c r="M15" s="118" t="s">
        <v>113</v>
      </c>
      <c r="N15" s="96">
        <v>100</v>
      </c>
      <c r="O15" s="96">
        <v>100</v>
      </c>
      <c r="P15" s="96">
        <v>100</v>
      </c>
      <c r="Q15" s="96">
        <v>100</v>
      </c>
      <c r="R15" s="96">
        <v>100</v>
      </c>
      <c r="S15" s="96">
        <v>100</v>
      </c>
      <c r="T15" s="96">
        <v>100</v>
      </c>
      <c r="U15" s="93" t="s">
        <v>22</v>
      </c>
    </row>
    <row r="16" spans="1:21" ht="16.5" customHeight="1">
      <c r="A16" s="113"/>
      <c r="B16" s="114"/>
      <c r="C16" s="105"/>
      <c r="D16" s="110" t="s">
        <v>67</v>
      </c>
      <c r="E16" s="111"/>
      <c r="F16" s="111"/>
      <c r="G16" s="111"/>
      <c r="H16" s="111"/>
      <c r="I16" s="111"/>
      <c r="J16" s="111"/>
      <c r="K16" s="111"/>
      <c r="L16" s="112"/>
      <c r="M16" s="119"/>
      <c r="N16" s="97"/>
      <c r="O16" s="97"/>
      <c r="P16" s="97"/>
      <c r="Q16" s="97"/>
      <c r="R16" s="97"/>
      <c r="S16" s="97"/>
      <c r="T16" s="97"/>
      <c r="U16" s="94"/>
    </row>
    <row r="17" spans="1:21" ht="12.75" customHeight="1">
      <c r="A17" s="113"/>
      <c r="B17" s="114"/>
      <c r="C17" s="105"/>
      <c r="D17" s="35" t="s">
        <v>50</v>
      </c>
      <c r="E17" s="36">
        <f>F17+G17+H17+I17+J17+K17+L17</f>
        <v>1383225393.7099998</v>
      </c>
      <c r="F17" s="36">
        <f>166906451.53</f>
        <v>166906451.53</v>
      </c>
      <c r="G17" s="36">
        <v>157638427.98</v>
      </c>
      <c r="H17" s="36">
        <f>181419742.53+5992432</f>
        <v>187412174.53</v>
      </c>
      <c r="I17" s="36">
        <f>238273809.9</f>
        <v>238273809.9</v>
      </c>
      <c r="J17" s="36">
        <v>210998176.59</v>
      </c>
      <c r="K17" s="36">
        <v>210998176.59</v>
      </c>
      <c r="L17" s="36">
        <v>210998176.59</v>
      </c>
      <c r="M17" s="119"/>
      <c r="N17" s="97"/>
      <c r="O17" s="97"/>
      <c r="P17" s="97"/>
      <c r="Q17" s="97"/>
      <c r="R17" s="97"/>
      <c r="S17" s="97"/>
      <c r="T17" s="97"/>
      <c r="U17" s="94"/>
    </row>
    <row r="18" spans="1:21" ht="12.75" customHeight="1">
      <c r="A18" s="113"/>
      <c r="B18" s="114"/>
      <c r="C18" s="105"/>
      <c r="D18" s="35" t="s">
        <v>48</v>
      </c>
      <c r="E18" s="36">
        <f>F18+G18+H18+I18+J18+K18+L18</f>
        <v>967810</v>
      </c>
      <c r="F18" s="36">
        <v>967810</v>
      </c>
      <c r="G18" s="36"/>
      <c r="H18" s="36"/>
      <c r="I18" s="36"/>
      <c r="J18" s="36"/>
      <c r="K18" s="36"/>
      <c r="L18" s="36"/>
      <c r="M18" s="119"/>
      <c r="N18" s="97"/>
      <c r="O18" s="97"/>
      <c r="P18" s="97"/>
      <c r="Q18" s="97"/>
      <c r="R18" s="97"/>
      <c r="S18" s="97"/>
      <c r="T18" s="97"/>
      <c r="U18" s="94"/>
    </row>
    <row r="19" spans="1:21" ht="12.75" customHeight="1">
      <c r="A19" s="113"/>
      <c r="B19" s="114"/>
      <c r="C19" s="105"/>
      <c r="D19" s="35" t="s">
        <v>49</v>
      </c>
      <c r="E19" s="36">
        <f>F19+G19+H19+I19+J19+K19+L19</f>
        <v>0</v>
      </c>
      <c r="F19" s="36"/>
      <c r="G19" s="36"/>
      <c r="H19" s="36"/>
      <c r="I19" s="36"/>
      <c r="J19" s="36"/>
      <c r="K19" s="36"/>
      <c r="L19" s="36"/>
      <c r="M19" s="119"/>
      <c r="N19" s="97"/>
      <c r="O19" s="97"/>
      <c r="P19" s="97"/>
      <c r="Q19" s="97"/>
      <c r="R19" s="97"/>
      <c r="S19" s="97"/>
      <c r="T19" s="97"/>
      <c r="U19" s="94"/>
    </row>
    <row r="20" spans="1:21" ht="13.5" customHeight="1">
      <c r="A20" s="113"/>
      <c r="B20" s="114"/>
      <c r="C20" s="106"/>
      <c r="D20" s="35" t="s">
        <v>51</v>
      </c>
      <c r="E20" s="36">
        <f>F20+G20+H20+I20+J20+K20+L20</f>
        <v>330163859.78</v>
      </c>
      <c r="F20" s="36">
        <v>41676800</v>
      </c>
      <c r="G20" s="36">
        <f>45883796.78+290859</f>
        <v>46174655.78</v>
      </c>
      <c r="H20" s="36">
        <v>56475392</v>
      </c>
      <c r="I20" s="36">
        <v>56475392</v>
      </c>
      <c r="J20" s="36">
        <v>43120540</v>
      </c>
      <c r="K20" s="36">
        <v>43120540</v>
      </c>
      <c r="L20" s="36">
        <v>43120540</v>
      </c>
      <c r="M20" s="120"/>
      <c r="N20" s="98"/>
      <c r="O20" s="98"/>
      <c r="P20" s="98"/>
      <c r="Q20" s="98"/>
      <c r="R20" s="98"/>
      <c r="S20" s="98"/>
      <c r="T20" s="98"/>
      <c r="U20" s="95"/>
    </row>
    <row r="21" spans="1:21" ht="19.5" customHeight="1">
      <c r="A21" s="113" t="s">
        <v>80</v>
      </c>
      <c r="B21" s="114" t="s">
        <v>73</v>
      </c>
      <c r="C21" s="104" t="s">
        <v>40</v>
      </c>
      <c r="D21" s="35" t="s">
        <v>52</v>
      </c>
      <c r="E21" s="36">
        <f>E23+E24+E25+E26</f>
        <v>95752608.32000002</v>
      </c>
      <c r="F21" s="36">
        <f aca="true" t="shared" si="2" ref="F21:L21">F23+F24+F25+F26</f>
        <v>17320699.03</v>
      </c>
      <c r="G21" s="36">
        <f t="shared" si="2"/>
        <v>17226432.82</v>
      </c>
      <c r="H21" s="36">
        <f t="shared" si="2"/>
        <v>0</v>
      </c>
      <c r="I21" s="36">
        <f t="shared" si="2"/>
        <v>0</v>
      </c>
      <c r="J21" s="36">
        <f t="shared" si="2"/>
        <v>20401825.490000002</v>
      </c>
      <c r="K21" s="36">
        <f t="shared" si="2"/>
        <v>20401825.490000002</v>
      </c>
      <c r="L21" s="36">
        <f t="shared" si="2"/>
        <v>20401825.490000002</v>
      </c>
      <c r="M21" s="107" t="s">
        <v>7</v>
      </c>
      <c r="N21" s="99">
        <v>1</v>
      </c>
      <c r="O21" s="99">
        <v>1</v>
      </c>
      <c r="P21" s="99">
        <v>1</v>
      </c>
      <c r="Q21" s="99">
        <v>1</v>
      </c>
      <c r="R21" s="99">
        <v>1</v>
      </c>
      <c r="S21" s="99">
        <v>1</v>
      </c>
      <c r="T21" s="99">
        <v>1</v>
      </c>
      <c r="U21" s="93" t="s">
        <v>22</v>
      </c>
    </row>
    <row r="22" spans="1:21" ht="16.5" customHeight="1">
      <c r="A22" s="113"/>
      <c r="B22" s="114"/>
      <c r="C22" s="105"/>
      <c r="D22" s="110" t="s">
        <v>67</v>
      </c>
      <c r="E22" s="111"/>
      <c r="F22" s="111"/>
      <c r="G22" s="111"/>
      <c r="H22" s="111"/>
      <c r="I22" s="111"/>
      <c r="J22" s="111"/>
      <c r="K22" s="111"/>
      <c r="L22" s="112"/>
      <c r="M22" s="108"/>
      <c r="N22" s="100"/>
      <c r="O22" s="100"/>
      <c r="P22" s="100"/>
      <c r="Q22" s="100"/>
      <c r="R22" s="100"/>
      <c r="S22" s="100"/>
      <c r="T22" s="100"/>
      <c r="U22" s="94"/>
    </row>
    <row r="23" spans="1:21" ht="23.25" customHeight="1">
      <c r="A23" s="113"/>
      <c r="B23" s="114"/>
      <c r="C23" s="105"/>
      <c r="D23" s="35" t="s">
        <v>50</v>
      </c>
      <c r="E23" s="36">
        <f>F23+G23+H23+I23+J23+K23+L23</f>
        <v>95752608.32000002</v>
      </c>
      <c r="F23" s="36">
        <f>16842844.03+477855</f>
        <v>17320699.03</v>
      </c>
      <c r="G23" s="36">
        <f>18193797-967364.18</f>
        <v>17226432.82</v>
      </c>
      <c r="H23" s="36">
        <v>0</v>
      </c>
      <c r="I23" s="36">
        <v>0</v>
      </c>
      <c r="J23" s="36">
        <v>20401825.490000002</v>
      </c>
      <c r="K23" s="36">
        <v>20401825.490000002</v>
      </c>
      <c r="L23" s="36">
        <v>20401825.490000002</v>
      </c>
      <c r="M23" s="108"/>
      <c r="N23" s="100"/>
      <c r="O23" s="100"/>
      <c r="P23" s="100"/>
      <c r="Q23" s="100"/>
      <c r="R23" s="100"/>
      <c r="S23" s="100"/>
      <c r="T23" s="100"/>
      <c r="U23" s="94"/>
    </row>
    <row r="24" spans="1:21" ht="12.75">
      <c r="A24" s="113"/>
      <c r="B24" s="114"/>
      <c r="C24" s="105"/>
      <c r="D24" s="35" t="s">
        <v>48</v>
      </c>
      <c r="E24" s="36">
        <f>F24+G24+H24+I24+J24+K24+L24</f>
        <v>0</v>
      </c>
      <c r="F24" s="36"/>
      <c r="G24" s="36"/>
      <c r="H24" s="36"/>
      <c r="I24" s="36"/>
      <c r="J24" s="36"/>
      <c r="K24" s="36"/>
      <c r="L24" s="36"/>
      <c r="M24" s="108"/>
      <c r="N24" s="100"/>
      <c r="O24" s="100"/>
      <c r="P24" s="100"/>
      <c r="Q24" s="100"/>
      <c r="R24" s="100"/>
      <c r="S24" s="100"/>
      <c r="T24" s="100"/>
      <c r="U24" s="94"/>
    </row>
    <row r="25" spans="1:21" ht="12.75">
      <c r="A25" s="113"/>
      <c r="B25" s="114"/>
      <c r="C25" s="105"/>
      <c r="D25" s="35" t="s">
        <v>49</v>
      </c>
      <c r="E25" s="36">
        <f>F25+G25+H25+I25+J25+K25+L25</f>
        <v>0</v>
      </c>
      <c r="F25" s="36"/>
      <c r="G25" s="36"/>
      <c r="H25" s="36"/>
      <c r="I25" s="36"/>
      <c r="J25" s="36"/>
      <c r="K25" s="36"/>
      <c r="L25" s="36"/>
      <c r="M25" s="108"/>
      <c r="N25" s="100"/>
      <c r="O25" s="100"/>
      <c r="P25" s="100"/>
      <c r="Q25" s="100"/>
      <c r="R25" s="100"/>
      <c r="S25" s="100"/>
      <c r="T25" s="100"/>
      <c r="U25" s="94"/>
    </row>
    <row r="26" spans="1:21" ht="12.75">
      <c r="A26" s="113"/>
      <c r="B26" s="114"/>
      <c r="C26" s="106"/>
      <c r="D26" s="35" t="s">
        <v>51</v>
      </c>
      <c r="E26" s="36">
        <f>F26+G26+H26+I26+J26+K26+L26</f>
        <v>0</v>
      </c>
      <c r="F26" s="36"/>
      <c r="G26" s="36"/>
      <c r="H26" s="36"/>
      <c r="I26" s="36"/>
      <c r="J26" s="36"/>
      <c r="K26" s="36"/>
      <c r="L26" s="36"/>
      <c r="M26" s="109"/>
      <c r="N26" s="103"/>
      <c r="O26" s="103"/>
      <c r="P26" s="103"/>
      <c r="Q26" s="103"/>
      <c r="R26" s="103"/>
      <c r="S26" s="103"/>
      <c r="T26" s="103"/>
      <c r="U26" s="95"/>
    </row>
    <row r="27" spans="1:21" ht="19.5" customHeight="1">
      <c r="A27" s="113" t="s">
        <v>81</v>
      </c>
      <c r="B27" s="114" t="s">
        <v>112</v>
      </c>
      <c r="C27" s="104" t="s">
        <v>40</v>
      </c>
      <c r="D27" s="35" t="s">
        <v>52</v>
      </c>
      <c r="E27" s="36">
        <f>E29+E30+E31+E32</f>
        <v>42046366.36</v>
      </c>
      <c r="F27" s="36">
        <f aca="true" t="shared" si="3" ref="F27:L27">F29+F30+F31+F32</f>
        <v>805706</v>
      </c>
      <c r="G27" s="36">
        <f t="shared" si="3"/>
        <v>9276871.26</v>
      </c>
      <c r="H27" s="36">
        <f t="shared" si="3"/>
        <v>7931940.64</v>
      </c>
      <c r="I27" s="36">
        <f t="shared" si="3"/>
        <v>432076</v>
      </c>
      <c r="J27" s="36">
        <f t="shared" si="3"/>
        <v>7866590.82</v>
      </c>
      <c r="K27" s="36">
        <f t="shared" si="3"/>
        <v>7866590.82</v>
      </c>
      <c r="L27" s="36">
        <f t="shared" si="3"/>
        <v>7866590.82</v>
      </c>
      <c r="M27" s="107" t="s">
        <v>117</v>
      </c>
      <c r="N27" s="99">
        <v>1</v>
      </c>
      <c r="O27" s="99">
        <v>1</v>
      </c>
      <c r="P27" s="99">
        <v>1</v>
      </c>
      <c r="Q27" s="99">
        <v>1</v>
      </c>
      <c r="R27" s="99">
        <v>1</v>
      </c>
      <c r="S27" s="99">
        <v>1</v>
      </c>
      <c r="T27" s="99">
        <v>1</v>
      </c>
      <c r="U27" s="93" t="s">
        <v>22</v>
      </c>
    </row>
    <row r="28" spans="1:21" ht="16.5" customHeight="1">
      <c r="A28" s="113"/>
      <c r="B28" s="114"/>
      <c r="C28" s="105"/>
      <c r="D28" s="110" t="s">
        <v>67</v>
      </c>
      <c r="E28" s="111"/>
      <c r="F28" s="111"/>
      <c r="G28" s="111"/>
      <c r="H28" s="111"/>
      <c r="I28" s="111"/>
      <c r="J28" s="111"/>
      <c r="K28" s="111"/>
      <c r="L28" s="112"/>
      <c r="M28" s="108"/>
      <c r="N28" s="100"/>
      <c r="O28" s="100"/>
      <c r="P28" s="100"/>
      <c r="Q28" s="100"/>
      <c r="R28" s="100"/>
      <c r="S28" s="100"/>
      <c r="T28" s="100"/>
      <c r="U28" s="94"/>
    </row>
    <row r="29" spans="1:21" ht="23.25" customHeight="1">
      <c r="A29" s="113"/>
      <c r="B29" s="114"/>
      <c r="C29" s="105"/>
      <c r="D29" s="35" t="s">
        <v>50</v>
      </c>
      <c r="E29" s="36">
        <f>F29+G29+H29+I29+J29+K29+L29</f>
        <v>36304726.6</v>
      </c>
      <c r="F29" s="36"/>
      <c r="G29" s="36">
        <v>8494135.5</v>
      </c>
      <c r="H29" s="36">
        <f>6503695+685472.64</f>
        <v>7189167.64</v>
      </c>
      <c r="I29" s="36">
        <v>0</v>
      </c>
      <c r="J29" s="36">
        <v>6873807.82</v>
      </c>
      <c r="K29" s="36">
        <v>6873807.82</v>
      </c>
      <c r="L29" s="36">
        <v>6873807.82</v>
      </c>
      <c r="M29" s="108"/>
      <c r="N29" s="100"/>
      <c r="O29" s="100"/>
      <c r="P29" s="100"/>
      <c r="Q29" s="100"/>
      <c r="R29" s="100"/>
      <c r="S29" s="100"/>
      <c r="T29" s="100"/>
      <c r="U29" s="94"/>
    </row>
    <row r="30" spans="1:21" ht="15" customHeight="1">
      <c r="A30" s="113"/>
      <c r="B30" s="114"/>
      <c r="C30" s="105"/>
      <c r="D30" s="35" t="s">
        <v>48</v>
      </c>
      <c r="E30" s="36">
        <f>F30+G30+H30+I30+J30+K30+L30</f>
        <v>5741639.76</v>
      </c>
      <c r="F30" s="37">
        <v>805706</v>
      </c>
      <c r="G30" s="37">
        <f>4745+777990.76</f>
        <v>782735.76</v>
      </c>
      <c r="H30" s="37">
        <f>1093+741680</f>
        <v>742773</v>
      </c>
      <c r="I30" s="37">
        <f>1093+430983</f>
        <v>432076</v>
      </c>
      <c r="J30" s="37">
        <v>992783</v>
      </c>
      <c r="K30" s="37">
        <v>992783</v>
      </c>
      <c r="L30" s="37">
        <v>992783</v>
      </c>
      <c r="M30" s="108"/>
      <c r="N30" s="100"/>
      <c r="O30" s="100"/>
      <c r="P30" s="100"/>
      <c r="Q30" s="100"/>
      <c r="R30" s="100"/>
      <c r="S30" s="100"/>
      <c r="T30" s="100"/>
      <c r="U30" s="94"/>
    </row>
    <row r="31" spans="1:21" ht="12.75">
      <c r="A31" s="113"/>
      <c r="B31" s="114"/>
      <c r="C31" s="105"/>
      <c r="D31" s="35" t="s">
        <v>49</v>
      </c>
      <c r="E31" s="36">
        <f>F31+G31+H31+I31+J31+K31+L31</f>
        <v>0</v>
      </c>
      <c r="F31" s="36"/>
      <c r="G31" s="36"/>
      <c r="H31" s="36"/>
      <c r="I31" s="36"/>
      <c r="J31" s="36"/>
      <c r="K31" s="36"/>
      <c r="L31" s="36"/>
      <c r="M31" s="108"/>
      <c r="N31" s="100"/>
      <c r="O31" s="100"/>
      <c r="P31" s="100"/>
      <c r="Q31" s="100"/>
      <c r="R31" s="100"/>
      <c r="S31" s="100"/>
      <c r="T31" s="100"/>
      <c r="U31" s="94"/>
    </row>
    <row r="32" spans="1:21" ht="12.75">
      <c r="A32" s="113"/>
      <c r="B32" s="114"/>
      <c r="C32" s="106"/>
      <c r="D32" s="35" t="s">
        <v>51</v>
      </c>
      <c r="E32" s="36">
        <f>F32+G32+H32+I32+J32+K32+L32</f>
        <v>0</v>
      </c>
      <c r="F32" s="36"/>
      <c r="G32" s="36"/>
      <c r="H32" s="36"/>
      <c r="I32" s="36"/>
      <c r="J32" s="36"/>
      <c r="K32" s="36"/>
      <c r="L32" s="36"/>
      <c r="M32" s="109"/>
      <c r="N32" s="103"/>
      <c r="O32" s="103"/>
      <c r="P32" s="103"/>
      <c r="Q32" s="103"/>
      <c r="R32" s="103"/>
      <c r="S32" s="103"/>
      <c r="T32" s="103"/>
      <c r="U32" s="95"/>
    </row>
    <row r="33" spans="1:21" ht="18" customHeight="1">
      <c r="A33" s="113" t="s">
        <v>82</v>
      </c>
      <c r="B33" s="114" t="s">
        <v>74</v>
      </c>
      <c r="C33" s="104" t="s">
        <v>40</v>
      </c>
      <c r="D33" s="35" t="s">
        <v>52</v>
      </c>
      <c r="E33" s="36">
        <f>E35+E36+E37+E38</f>
        <v>2882800</v>
      </c>
      <c r="F33" s="36">
        <f aca="true" t="shared" si="4" ref="F33:L33">F35+F36+F37+F38</f>
        <v>291800</v>
      </c>
      <c r="G33" s="36">
        <f t="shared" si="4"/>
        <v>328700</v>
      </c>
      <c r="H33" s="36">
        <f t="shared" si="4"/>
        <v>420700</v>
      </c>
      <c r="I33" s="36">
        <f t="shared" si="4"/>
        <v>425900</v>
      </c>
      <c r="J33" s="36">
        <f t="shared" si="4"/>
        <v>471900</v>
      </c>
      <c r="K33" s="36">
        <f t="shared" si="4"/>
        <v>471900</v>
      </c>
      <c r="L33" s="36">
        <f t="shared" si="4"/>
        <v>471900</v>
      </c>
      <c r="M33" s="107" t="s">
        <v>6</v>
      </c>
      <c r="N33" s="99">
        <v>1</v>
      </c>
      <c r="O33" s="99">
        <v>1</v>
      </c>
      <c r="P33" s="99">
        <v>1</v>
      </c>
      <c r="Q33" s="99">
        <v>1</v>
      </c>
      <c r="R33" s="99">
        <v>1</v>
      </c>
      <c r="S33" s="99">
        <v>1</v>
      </c>
      <c r="T33" s="99">
        <v>1</v>
      </c>
      <c r="U33" s="93" t="s">
        <v>22</v>
      </c>
    </row>
    <row r="34" spans="1:21" ht="16.5" customHeight="1">
      <c r="A34" s="113"/>
      <c r="B34" s="114"/>
      <c r="C34" s="105"/>
      <c r="D34" s="110" t="s">
        <v>67</v>
      </c>
      <c r="E34" s="111"/>
      <c r="F34" s="111"/>
      <c r="G34" s="111"/>
      <c r="H34" s="111"/>
      <c r="I34" s="111"/>
      <c r="J34" s="111"/>
      <c r="K34" s="111"/>
      <c r="L34" s="112"/>
      <c r="M34" s="108"/>
      <c r="N34" s="100"/>
      <c r="O34" s="100"/>
      <c r="P34" s="100"/>
      <c r="Q34" s="100"/>
      <c r="R34" s="100"/>
      <c r="S34" s="100"/>
      <c r="T34" s="100"/>
      <c r="U34" s="94"/>
    </row>
    <row r="35" spans="1:21" ht="18.75" customHeight="1">
      <c r="A35" s="113"/>
      <c r="B35" s="114"/>
      <c r="C35" s="105"/>
      <c r="D35" s="35" t="s">
        <v>50</v>
      </c>
      <c r="E35" s="36">
        <f>F35+G35+H35+I35+J35+K35+L35</f>
        <v>0</v>
      </c>
      <c r="F35" s="36"/>
      <c r="G35" s="36"/>
      <c r="H35" s="36"/>
      <c r="I35" s="36"/>
      <c r="J35" s="36"/>
      <c r="K35" s="36"/>
      <c r="L35" s="36"/>
      <c r="M35" s="108"/>
      <c r="N35" s="100"/>
      <c r="O35" s="100"/>
      <c r="P35" s="100"/>
      <c r="Q35" s="100"/>
      <c r="R35" s="100"/>
      <c r="S35" s="100"/>
      <c r="T35" s="100"/>
      <c r="U35" s="94"/>
    </row>
    <row r="36" spans="1:21" ht="15.75" customHeight="1">
      <c r="A36" s="113"/>
      <c r="B36" s="114"/>
      <c r="C36" s="105"/>
      <c r="D36" s="35" t="s">
        <v>48</v>
      </c>
      <c r="E36" s="36">
        <f>F36+G36+H36+I36+J36+K36+L36</f>
        <v>2882800</v>
      </c>
      <c r="F36" s="36">
        <f>472400-180600</f>
        <v>291800</v>
      </c>
      <c r="G36" s="36">
        <f>131499.5+197200.5</f>
        <v>328700</v>
      </c>
      <c r="H36" s="36">
        <f>168257.5+252442.5</f>
        <v>420700</v>
      </c>
      <c r="I36" s="36">
        <f>170355.5+255544.5</f>
        <v>425900</v>
      </c>
      <c r="J36" s="36">
        <v>471900</v>
      </c>
      <c r="K36" s="36">
        <v>471900</v>
      </c>
      <c r="L36" s="36">
        <v>471900</v>
      </c>
      <c r="M36" s="128"/>
      <c r="N36" s="101"/>
      <c r="O36" s="101"/>
      <c r="P36" s="101"/>
      <c r="Q36" s="101"/>
      <c r="R36" s="101"/>
      <c r="S36" s="101"/>
      <c r="T36" s="101"/>
      <c r="U36" s="94"/>
    </row>
    <row r="37" spans="1:21" ht="14.25" customHeight="1">
      <c r="A37" s="113"/>
      <c r="B37" s="114"/>
      <c r="C37" s="105"/>
      <c r="D37" s="35" t="s">
        <v>49</v>
      </c>
      <c r="E37" s="36">
        <f>F37+G37+H37+I37+J37+K37+L37</f>
        <v>0</v>
      </c>
      <c r="F37" s="36"/>
      <c r="G37" s="36"/>
      <c r="H37" s="36"/>
      <c r="I37" s="36"/>
      <c r="J37" s="36"/>
      <c r="K37" s="36"/>
      <c r="L37" s="36"/>
      <c r="M37" s="128"/>
      <c r="N37" s="101"/>
      <c r="O37" s="101"/>
      <c r="P37" s="101"/>
      <c r="Q37" s="101"/>
      <c r="R37" s="101"/>
      <c r="S37" s="101"/>
      <c r="T37" s="101"/>
      <c r="U37" s="94"/>
    </row>
    <row r="38" spans="1:21" ht="14.25" customHeight="1">
      <c r="A38" s="113"/>
      <c r="B38" s="114"/>
      <c r="C38" s="106"/>
      <c r="D38" s="35" t="s">
        <v>51</v>
      </c>
      <c r="E38" s="36">
        <f>F38+G38+H38+I38+J38+K38+L38</f>
        <v>0</v>
      </c>
      <c r="F38" s="36"/>
      <c r="G38" s="36"/>
      <c r="H38" s="36"/>
      <c r="I38" s="36"/>
      <c r="J38" s="36"/>
      <c r="K38" s="36"/>
      <c r="L38" s="36"/>
      <c r="M38" s="129"/>
      <c r="N38" s="102"/>
      <c r="O38" s="102"/>
      <c r="P38" s="102"/>
      <c r="Q38" s="102"/>
      <c r="R38" s="102"/>
      <c r="S38" s="102"/>
      <c r="T38" s="102"/>
      <c r="U38" s="95"/>
    </row>
    <row r="39" spans="1:21" ht="14.25" customHeight="1">
      <c r="A39" s="113" t="s">
        <v>83</v>
      </c>
      <c r="B39" s="126" t="s">
        <v>75</v>
      </c>
      <c r="C39" s="104" t="s">
        <v>40</v>
      </c>
      <c r="D39" s="35" t="s">
        <v>52</v>
      </c>
      <c r="E39" s="36">
        <f>E41+E42+E43+E44</f>
        <v>115311200</v>
      </c>
      <c r="F39" s="36">
        <f aca="true" t="shared" si="5" ref="F39:L39">F41+F42+F43+F44</f>
        <v>11673300</v>
      </c>
      <c r="G39" s="36">
        <f t="shared" si="5"/>
        <v>13146700</v>
      </c>
      <c r="H39" s="36">
        <f t="shared" si="5"/>
        <v>16829500</v>
      </c>
      <c r="I39" s="36">
        <f t="shared" si="5"/>
        <v>17035500</v>
      </c>
      <c r="J39" s="36">
        <f t="shared" si="5"/>
        <v>18875400</v>
      </c>
      <c r="K39" s="36">
        <f t="shared" si="5"/>
        <v>18875400</v>
      </c>
      <c r="L39" s="36">
        <f t="shared" si="5"/>
        <v>18875400</v>
      </c>
      <c r="M39" s="107" t="s">
        <v>115</v>
      </c>
      <c r="N39" s="96">
        <v>93.7</v>
      </c>
      <c r="O39" s="96">
        <v>93.5</v>
      </c>
      <c r="P39" s="96">
        <v>93.3</v>
      </c>
      <c r="Q39" s="96">
        <v>93</v>
      </c>
      <c r="R39" s="96">
        <v>93</v>
      </c>
      <c r="S39" s="96">
        <v>93</v>
      </c>
      <c r="T39" s="96">
        <v>93</v>
      </c>
      <c r="U39" s="93" t="s">
        <v>22</v>
      </c>
    </row>
    <row r="40" spans="1:21" ht="16.5" customHeight="1">
      <c r="A40" s="113"/>
      <c r="B40" s="126"/>
      <c r="C40" s="105"/>
      <c r="D40" s="110" t="s">
        <v>67</v>
      </c>
      <c r="E40" s="111"/>
      <c r="F40" s="111"/>
      <c r="G40" s="111"/>
      <c r="H40" s="111"/>
      <c r="I40" s="111"/>
      <c r="J40" s="111"/>
      <c r="K40" s="111"/>
      <c r="L40" s="112"/>
      <c r="M40" s="108"/>
      <c r="N40" s="97"/>
      <c r="O40" s="97"/>
      <c r="P40" s="97"/>
      <c r="Q40" s="97"/>
      <c r="R40" s="97"/>
      <c r="S40" s="97"/>
      <c r="T40" s="97"/>
      <c r="U40" s="94"/>
    </row>
    <row r="41" spans="1:21" ht="14.25" customHeight="1">
      <c r="A41" s="113"/>
      <c r="B41" s="126"/>
      <c r="C41" s="105"/>
      <c r="D41" s="35" t="s">
        <v>50</v>
      </c>
      <c r="E41" s="36">
        <f>F41+G41+H41+I41+J41+K41+L41</f>
        <v>0</v>
      </c>
      <c r="F41" s="37"/>
      <c r="G41" s="36"/>
      <c r="H41" s="36"/>
      <c r="I41" s="36"/>
      <c r="J41" s="36"/>
      <c r="K41" s="36"/>
      <c r="L41" s="36"/>
      <c r="M41" s="108"/>
      <c r="N41" s="97"/>
      <c r="O41" s="97"/>
      <c r="P41" s="97"/>
      <c r="Q41" s="97"/>
      <c r="R41" s="97"/>
      <c r="S41" s="97"/>
      <c r="T41" s="97"/>
      <c r="U41" s="94"/>
    </row>
    <row r="42" spans="1:21" ht="14.25" customHeight="1">
      <c r="A42" s="113"/>
      <c r="B42" s="126"/>
      <c r="C42" s="105"/>
      <c r="D42" s="35" t="s">
        <v>48</v>
      </c>
      <c r="E42" s="36">
        <f>F42+G42+H42+I42+J42+K42+L42</f>
        <v>115311200</v>
      </c>
      <c r="F42" s="37">
        <f>18894800-7221500</f>
        <v>11673300</v>
      </c>
      <c r="G42" s="36">
        <f>13146700</f>
        <v>13146700</v>
      </c>
      <c r="H42" s="36">
        <f>16829500</f>
        <v>16829500</v>
      </c>
      <c r="I42" s="36">
        <v>17035500</v>
      </c>
      <c r="J42" s="36">
        <v>18875400</v>
      </c>
      <c r="K42" s="36">
        <v>18875400</v>
      </c>
      <c r="L42" s="36">
        <v>18875400</v>
      </c>
      <c r="M42" s="108"/>
      <c r="N42" s="97"/>
      <c r="O42" s="97"/>
      <c r="P42" s="97"/>
      <c r="Q42" s="97"/>
      <c r="R42" s="97"/>
      <c r="S42" s="97"/>
      <c r="T42" s="97"/>
      <c r="U42" s="94"/>
    </row>
    <row r="43" spans="1:21" ht="14.25" customHeight="1">
      <c r="A43" s="113"/>
      <c r="B43" s="126"/>
      <c r="C43" s="105"/>
      <c r="D43" s="35" t="s">
        <v>49</v>
      </c>
      <c r="E43" s="36">
        <f>F43+G43+H43+I43+J43+K43+L43</f>
        <v>0</v>
      </c>
      <c r="F43" s="37"/>
      <c r="G43" s="36"/>
      <c r="H43" s="36"/>
      <c r="I43" s="36"/>
      <c r="J43" s="36"/>
      <c r="K43" s="36"/>
      <c r="L43" s="36"/>
      <c r="M43" s="108"/>
      <c r="N43" s="97"/>
      <c r="O43" s="97"/>
      <c r="P43" s="97"/>
      <c r="Q43" s="97"/>
      <c r="R43" s="97"/>
      <c r="S43" s="97"/>
      <c r="T43" s="97"/>
      <c r="U43" s="94"/>
    </row>
    <row r="44" spans="1:21" ht="14.25" customHeight="1">
      <c r="A44" s="113"/>
      <c r="B44" s="126"/>
      <c r="C44" s="106"/>
      <c r="D44" s="35" t="s">
        <v>51</v>
      </c>
      <c r="E44" s="36">
        <f>F44+G44+H44+I44+J44+K44+L44</f>
        <v>0</v>
      </c>
      <c r="F44" s="37"/>
      <c r="G44" s="36"/>
      <c r="H44" s="36"/>
      <c r="I44" s="36"/>
      <c r="J44" s="36"/>
      <c r="K44" s="36"/>
      <c r="L44" s="36"/>
      <c r="M44" s="109"/>
      <c r="N44" s="98"/>
      <c r="O44" s="98"/>
      <c r="P44" s="98"/>
      <c r="Q44" s="98"/>
      <c r="R44" s="98"/>
      <c r="S44" s="98"/>
      <c r="T44" s="98"/>
      <c r="U44" s="95"/>
    </row>
    <row r="45" spans="1:21" ht="12.75">
      <c r="A45" s="113" t="s">
        <v>99</v>
      </c>
      <c r="B45" s="126" t="s">
        <v>76</v>
      </c>
      <c r="C45" s="104" t="s">
        <v>40</v>
      </c>
      <c r="D45" s="35" t="s">
        <v>52</v>
      </c>
      <c r="E45" s="36">
        <f>E47+E48+E49+E50</f>
        <v>17507969.5</v>
      </c>
      <c r="F45" s="36">
        <f aca="true" t="shared" si="6" ref="F45:L45">F47+F48+F49+F50</f>
        <v>2716800</v>
      </c>
      <c r="G45" s="36">
        <f t="shared" si="6"/>
        <v>1139669.5</v>
      </c>
      <c r="H45" s="36">
        <f t="shared" si="6"/>
        <v>1800000</v>
      </c>
      <c r="I45" s="36">
        <f t="shared" si="6"/>
        <v>1800000</v>
      </c>
      <c r="J45" s="36">
        <f t="shared" si="6"/>
        <v>3350500</v>
      </c>
      <c r="K45" s="36">
        <f t="shared" si="6"/>
        <v>3350500</v>
      </c>
      <c r="L45" s="36">
        <f t="shared" si="6"/>
        <v>3350500</v>
      </c>
      <c r="M45" s="107" t="s">
        <v>116</v>
      </c>
      <c r="N45" s="99">
        <v>1</v>
      </c>
      <c r="O45" s="99">
        <v>1</v>
      </c>
      <c r="P45" s="99">
        <v>1</v>
      </c>
      <c r="Q45" s="99">
        <v>1</v>
      </c>
      <c r="R45" s="99">
        <v>1</v>
      </c>
      <c r="S45" s="99">
        <v>1</v>
      </c>
      <c r="T45" s="99">
        <v>1</v>
      </c>
      <c r="U45" s="93" t="s">
        <v>22</v>
      </c>
    </row>
    <row r="46" spans="1:21" ht="12.75">
      <c r="A46" s="113"/>
      <c r="B46" s="126"/>
      <c r="C46" s="105"/>
      <c r="D46" s="110" t="s">
        <v>67</v>
      </c>
      <c r="E46" s="111"/>
      <c r="F46" s="111"/>
      <c r="G46" s="111"/>
      <c r="H46" s="111"/>
      <c r="I46" s="111"/>
      <c r="J46" s="111"/>
      <c r="K46" s="111"/>
      <c r="L46" s="112"/>
      <c r="M46" s="108"/>
      <c r="N46" s="100"/>
      <c r="O46" s="100"/>
      <c r="P46" s="100"/>
      <c r="Q46" s="100"/>
      <c r="R46" s="100"/>
      <c r="S46" s="100"/>
      <c r="T46" s="100"/>
      <c r="U46" s="94"/>
    </row>
    <row r="47" spans="1:21" ht="17.25" customHeight="1">
      <c r="A47" s="113"/>
      <c r="B47" s="126"/>
      <c r="C47" s="105"/>
      <c r="D47" s="35" t="s">
        <v>50</v>
      </c>
      <c r="E47" s="36">
        <f>F47+G47+H47+I47+J47+K47+L47</f>
        <v>0</v>
      </c>
      <c r="F47" s="37"/>
      <c r="G47" s="37"/>
      <c r="H47" s="37"/>
      <c r="I47" s="37"/>
      <c r="J47" s="37"/>
      <c r="K47" s="37"/>
      <c r="L47" s="37"/>
      <c r="M47" s="108"/>
      <c r="N47" s="100"/>
      <c r="O47" s="100"/>
      <c r="P47" s="100"/>
      <c r="Q47" s="100"/>
      <c r="R47" s="100"/>
      <c r="S47" s="100"/>
      <c r="T47" s="100"/>
      <c r="U47" s="94"/>
    </row>
    <row r="48" spans="1:21" ht="12.75">
      <c r="A48" s="113"/>
      <c r="B48" s="126"/>
      <c r="C48" s="105"/>
      <c r="D48" s="35" t="s">
        <v>48</v>
      </c>
      <c r="E48" s="36">
        <f>F48+G48+H48+I48+J48+K48+L48</f>
        <v>0</v>
      </c>
      <c r="F48" s="37"/>
      <c r="G48" s="37"/>
      <c r="H48" s="37"/>
      <c r="I48" s="37"/>
      <c r="J48" s="37"/>
      <c r="K48" s="37"/>
      <c r="L48" s="37"/>
      <c r="M48" s="108"/>
      <c r="N48" s="100"/>
      <c r="O48" s="100"/>
      <c r="P48" s="100"/>
      <c r="Q48" s="100"/>
      <c r="R48" s="100"/>
      <c r="S48" s="100"/>
      <c r="T48" s="100"/>
      <c r="U48" s="94"/>
    </row>
    <row r="49" spans="1:21" ht="12.75">
      <c r="A49" s="113"/>
      <c r="B49" s="126"/>
      <c r="C49" s="105"/>
      <c r="D49" s="35" t="s">
        <v>49</v>
      </c>
      <c r="E49" s="36">
        <f>F49+G49+H49+I49+J49+K49+L49</f>
        <v>0</v>
      </c>
      <c r="F49" s="37"/>
      <c r="G49" s="37"/>
      <c r="H49" s="37"/>
      <c r="I49" s="37"/>
      <c r="J49" s="37"/>
      <c r="K49" s="37"/>
      <c r="L49" s="37"/>
      <c r="M49" s="108"/>
      <c r="N49" s="100"/>
      <c r="O49" s="100"/>
      <c r="P49" s="100"/>
      <c r="Q49" s="100"/>
      <c r="R49" s="100"/>
      <c r="S49" s="100"/>
      <c r="T49" s="100"/>
      <c r="U49" s="94"/>
    </row>
    <row r="50" spans="1:21" ht="12.75">
      <c r="A50" s="113"/>
      <c r="B50" s="126"/>
      <c r="C50" s="106"/>
      <c r="D50" s="35" t="s">
        <v>51</v>
      </c>
      <c r="E50" s="36">
        <f>F50+G50+H50+I50+J50+K50+L50</f>
        <v>17507969.5</v>
      </c>
      <c r="F50" s="37">
        <f>3350500-633700</f>
        <v>2716800</v>
      </c>
      <c r="G50" s="37">
        <f>1108669.5+31000</f>
        <v>1139669.5</v>
      </c>
      <c r="H50" s="37">
        <v>1800000</v>
      </c>
      <c r="I50" s="37">
        <v>1800000</v>
      </c>
      <c r="J50" s="37">
        <v>3350500</v>
      </c>
      <c r="K50" s="37">
        <v>3350500</v>
      </c>
      <c r="L50" s="37">
        <v>3350500</v>
      </c>
      <c r="M50" s="109"/>
      <c r="N50" s="103"/>
      <c r="O50" s="103"/>
      <c r="P50" s="103"/>
      <c r="Q50" s="103"/>
      <c r="R50" s="103"/>
      <c r="S50" s="103"/>
      <c r="T50" s="103"/>
      <c r="U50" s="95"/>
    </row>
    <row r="51" spans="1:21" ht="13.5" customHeight="1">
      <c r="A51" s="124"/>
      <c r="B51" s="125" t="s">
        <v>37</v>
      </c>
      <c r="C51" s="124"/>
      <c r="D51" s="71" t="s">
        <v>52</v>
      </c>
      <c r="E51" s="72">
        <f aca="true" t="shared" si="7" ref="E51:L51">E53+E54+E55+E56</f>
        <v>4214845652.8</v>
      </c>
      <c r="F51" s="72">
        <f t="shared" si="7"/>
        <v>529444436.56</v>
      </c>
      <c r="G51" s="72">
        <f>G53+G54+G55+G56</f>
        <v>534443846.3399999</v>
      </c>
      <c r="H51" s="72">
        <f t="shared" si="7"/>
        <v>578998933.3</v>
      </c>
      <c r="I51" s="72">
        <f t="shared" si="7"/>
        <v>624720917.9</v>
      </c>
      <c r="J51" s="72">
        <f t="shared" si="7"/>
        <v>649079172.9</v>
      </c>
      <c r="K51" s="72">
        <f t="shared" si="7"/>
        <v>649079172.9</v>
      </c>
      <c r="L51" s="72">
        <f t="shared" si="7"/>
        <v>649079172.9</v>
      </c>
      <c r="M51" s="136"/>
      <c r="N51" s="130"/>
      <c r="O51" s="130"/>
      <c r="P51" s="130"/>
      <c r="Q51" s="130"/>
      <c r="R51" s="130"/>
      <c r="S51" s="130"/>
      <c r="T51" s="130"/>
      <c r="U51" s="133"/>
    </row>
    <row r="52" spans="1:21" ht="12.75">
      <c r="A52" s="124"/>
      <c r="B52" s="125"/>
      <c r="C52" s="124"/>
      <c r="D52" s="139" t="s">
        <v>67</v>
      </c>
      <c r="E52" s="140"/>
      <c r="F52" s="140"/>
      <c r="G52" s="140"/>
      <c r="H52" s="140"/>
      <c r="I52" s="140"/>
      <c r="J52" s="140"/>
      <c r="K52" s="140"/>
      <c r="L52" s="141"/>
      <c r="M52" s="137"/>
      <c r="N52" s="131"/>
      <c r="O52" s="131"/>
      <c r="P52" s="131"/>
      <c r="Q52" s="131"/>
      <c r="R52" s="131"/>
      <c r="S52" s="131"/>
      <c r="T52" s="131"/>
      <c r="U52" s="134"/>
    </row>
    <row r="53" spans="1:21" ht="13.5">
      <c r="A53" s="124"/>
      <c r="B53" s="125"/>
      <c r="C53" s="124"/>
      <c r="D53" s="73" t="s">
        <v>50</v>
      </c>
      <c r="E53" s="72">
        <f>F53+G53+H53+I53+J53+K53+L53</f>
        <v>1519365695.76</v>
      </c>
      <c r="F53" s="74">
        <f>F11+F17+F23+F29+F35+F41+F47</f>
        <v>188197260.56</v>
      </c>
      <c r="G53" s="74">
        <f aca="true" t="shared" si="8" ref="G53:L53">G11+G17+G23+G29+G35+G41+G47</f>
        <v>183358996.29999998</v>
      </c>
      <c r="H53" s="74">
        <f t="shared" si="8"/>
        <v>194714199.29999998</v>
      </c>
      <c r="I53" s="74">
        <f t="shared" si="8"/>
        <v>238273809.9</v>
      </c>
      <c r="J53" s="74">
        <f t="shared" si="8"/>
        <v>238273809.9</v>
      </c>
      <c r="K53" s="74">
        <f t="shared" si="8"/>
        <v>238273809.9</v>
      </c>
      <c r="L53" s="74">
        <f t="shared" si="8"/>
        <v>238273809.9</v>
      </c>
      <c r="M53" s="137"/>
      <c r="N53" s="131"/>
      <c r="O53" s="131"/>
      <c r="P53" s="131"/>
      <c r="Q53" s="131"/>
      <c r="R53" s="131"/>
      <c r="S53" s="131"/>
      <c r="T53" s="131"/>
      <c r="U53" s="134"/>
    </row>
    <row r="54" spans="1:21" ht="13.5">
      <c r="A54" s="124"/>
      <c r="B54" s="125"/>
      <c r="C54" s="124"/>
      <c r="D54" s="73" t="s">
        <v>48</v>
      </c>
      <c r="E54" s="72">
        <f>F54+G54+H54+I54+J54+K54+L54</f>
        <v>2347808127.76</v>
      </c>
      <c r="F54" s="74">
        <f>F12+F18+F24+F30+F36+F42+F48</f>
        <v>296853576</v>
      </c>
      <c r="G54" s="74">
        <f aca="true" t="shared" si="9" ref="G54:L54">G12+G18+G24+G30+G36+G42+G48</f>
        <v>303770524.76</v>
      </c>
      <c r="H54" s="74">
        <f t="shared" si="9"/>
        <v>326009342</v>
      </c>
      <c r="I54" s="74">
        <f t="shared" si="9"/>
        <v>328171716</v>
      </c>
      <c r="J54" s="74">
        <f t="shared" si="9"/>
        <v>364334323</v>
      </c>
      <c r="K54" s="74">
        <f t="shared" si="9"/>
        <v>364334323</v>
      </c>
      <c r="L54" s="74">
        <f t="shared" si="9"/>
        <v>364334323</v>
      </c>
      <c r="M54" s="137"/>
      <c r="N54" s="131"/>
      <c r="O54" s="131"/>
      <c r="P54" s="131"/>
      <c r="Q54" s="131"/>
      <c r="R54" s="131"/>
      <c r="S54" s="131"/>
      <c r="T54" s="131"/>
      <c r="U54" s="134"/>
    </row>
    <row r="55" spans="1:21" ht="13.5">
      <c r="A55" s="124"/>
      <c r="B55" s="125"/>
      <c r="C55" s="124"/>
      <c r="D55" s="73" t="s">
        <v>49</v>
      </c>
      <c r="E55" s="72">
        <f>F55+G55+H55+I55+J55+K55+L55</f>
        <v>0</v>
      </c>
      <c r="F55" s="74">
        <f>F13+F19+F25+F31+F37+F43+F49</f>
        <v>0</v>
      </c>
      <c r="G55" s="74">
        <f aca="true" t="shared" si="10" ref="G55:L55">G13+G19+G25+G31+G37+G43+G49</f>
        <v>0</v>
      </c>
      <c r="H55" s="74">
        <f t="shared" si="10"/>
        <v>0</v>
      </c>
      <c r="I55" s="74">
        <f t="shared" si="10"/>
        <v>0</v>
      </c>
      <c r="J55" s="74">
        <f t="shared" si="10"/>
        <v>0</v>
      </c>
      <c r="K55" s="74">
        <f t="shared" si="10"/>
        <v>0</v>
      </c>
      <c r="L55" s="74">
        <f t="shared" si="10"/>
        <v>0</v>
      </c>
      <c r="M55" s="137"/>
      <c r="N55" s="131"/>
      <c r="O55" s="131"/>
      <c r="P55" s="131"/>
      <c r="Q55" s="131"/>
      <c r="R55" s="131"/>
      <c r="S55" s="131"/>
      <c r="T55" s="131"/>
      <c r="U55" s="134"/>
    </row>
    <row r="56" spans="1:21" ht="13.5">
      <c r="A56" s="124"/>
      <c r="B56" s="125"/>
      <c r="C56" s="124"/>
      <c r="D56" s="73" t="s">
        <v>51</v>
      </c>
      <c r="E56" s="72">
        <f>F56+G56+H56+I56+J56+K56+L56</f>
        <v>347671829.28</v>
      </c>
      <c r="F56" s="74">
        <f>F14+F20+F26+F32+F38+F44+F50</f>
        <v>44393600</v>
      </c>
      <c r="G56" s="74">
        <f aca="true" t="shared" si="11" ref="G56:L56">G14+G20+G26+G32+G38+G44+G50</f>
        <v>47314325.28</v>
      </c>
      <c r="H56" s="74">
        <f t="shared" si="11"/>
        <v>58275392</v>
      </c>
      <c r="I56" s="74">
        <f t="shared" si="11"/>
        <v>58275392</v>
      </c>
      <c r="J56" s="74">
        <f t="shared" si="11"/>
        <v>46471040</v>
      </c>
      <c r="K56" s="74">
        <f t="shared" si="11"/>
        <v>46471040</v>
      </c>
      <c r="L56" s="74">
        <f t="shared" si="11"/>
        <v>46471040</v>
      </c>
      <c r="M56" s="138"/>
      <c r="N56" s="132"/>
      <c r="O56" s="132"/>
      <c r="P56" s="132"/>
      <c r="Q56" s="132"/>
      <c r="R56" s="132"/>
      <c r="S56" s="132"/>
      <c r="T56" s="132"/>
      <c r="U56" s="135"/>
    </row>
    <row r="58" spans="6:9" ht="12.75">
      <c r="F58" s="40"/>
      <c r="G58" s="75"/>
      <c r="H58" s="75"/>
      <c r="I58" s="75"/>
    </row>
    <row r="59" spans="6:9" ht="12.75">
      <c r="F59" s="40"/>
      <c r="G59" s="75"/>
      <c r="H59" s="75"/>
      <c r="I59" s="75"/>
    </row>
    <row r="60" spans="6:9" ht="12.75">
      <c r="F60" s="40"/>
      <c r="G60" s="75"/>
      <c r="H60" s="75"/>
      <c r="I60" s="75"/>
    </row>
    <row r="61" spans="6:9" ht="12.75">
      <c r="F61" s="40"/>
      <c r="G61" s="75"/>
      <c r="H61" s="75"/>
      <c r="I61" s="75"/>
    </row>
    <row r="62" spans="6:9" ht="12.75">
      <c r="F62" s="41"/>
      <c r="G62" s="41"/>
      <c r="H62" s="41"/>
      <c r="I62" s="41"/>
    </row>
    <row r="63" spans="6:9" ht="12.75">
      <c r="F63" s="42"/>
      <c r="G63" s="41"/>
      <c r="H63" s="41"/>
      <c r="I63" s="41"/>
    </row>
    <row r="64" spans="6:9" ht="12.75">
      <c r="F64" s="43"/>
      <c r="G64" s="42"/>
      <c r="H64" s="42"/>
      <c r="I64" s="42"/>
    </row>
    <row r="65" spans="6:9" ht="12.75">
      <c r="F65" s="42"/>
      <c r="G65" s="42"/>
      <c r="H65" s="42"/>
      <c r="I65" s="42"/>
    </row>
  </sheetData>
  <sheetProtection/>
  <mergeCells count="115">
    <mergeCell ref="Q1:U1"/>
    <mergeCell ref="C51:C56"/>
    <mergeCell ref="M51:M56"/>
    <mergeCell ref="D52:L52"/>
    <mergeCell ref="N39:N44"/>
    <mergeCell ref="M45:M50"/>
    <mergeCell ref="N45:N50"/>
    <mergeCell ref="C45:C50"/>
    <mergeCell ref="C39:C44"/>
    <mergeCell ref="S51:S56"/>
    <mergeCell ref="T51:T56"/>
    <mergeCell ref="U51:U56"/>
    <mergeCell ref="N51:N56"/>
    <mergeCell ref="O51:O56"/>
    <mergeCell ref="P51:P56"/>
    <mergeCell ref="Q51:Q56"/>
    <mergeCell ref="R51:R56"/>
    <mergeCell ref="B45:B50"/>
    <mergeCell ref="A3:U3"/>
    <mergeCell ref="D4:D5"/>
    <mergeCell ref="E4:L4"/>
    <mergeCell ref="U45:U50"/>
    <mergeCell ref="D46:L46"/>
    <mergeCell ref="U39:U44"/>
    <mergeCell ref="A39:A44"/>
    <mergeCell ref="B39:B44"/>
    <mergeCell ref="M33:M38"/>
    <mergeCell ref="A51:A56"/>
    <mergeCell ref="B51:B56"/>
    <mergeCell ref="U33:U38"/>
    <mergeCell ref="A33:A38"/>
    <mergeCell ref="B33:B38"/>
    <mergeCell ref="D34:L34"/>
    <mergeCell ref="D40:L40"/>
    <mergeCell ref="O39:O44"/>
    <mergeCell ref="P39:P44"/>
    <mergeCell ref="A45:A50"/>
    <mergeCell ref="Q39:Q44"/>
    <mergeCell ref="B21:B26"/>
    <mergeCell ref="M21:M26"/>
    <mergeCell ref="D22:L22"/>
    <mergeCell ref="C21:C26"/>
    <mergeCell ref="O21:O26"/>
    <mergeCell ref="P21:P26"/>
    <mergeCell ref="N21:N26"/>
    <mergeCell ref="M39:M44"/>
    <mergeCell ref="C33:C38"/>
    <mergeCell ref="D16:L16"/>
    <mergeCell ref="C15:C20"/>
    <mergeCell ref="U21:U26"/>
    <mergeCell ref="Q21:Q26"/>
    <mergeCell ref="R21:R26"/>
    <mergeCell ref="U9:U14"/>
    <mergeCell ref="O15:O20"/>
    <mergeCell ref="N15:N20"/>
    <mergeCell ref="U15:U20"/>
    <mergeCell ref="M15:M20"/>
    <mergeCell ref="P15:P20"/>
    <mergeCell ref="Q15:Q20"/>
    <mergeCell ref="R15:R20"/>
    <mergeCell ref="S15:S20"/>
    <mergeCell ref="P9:P14"/>
    <mergeCell ref="Q9:Q14"/>
    <mergeCell ref="R9:R14"/>
    <mergeCell ref="S9:S14"/>
    <mergeCell ref="O9:O14"/>
    <mergeCell ref="M9:M14"/>
    <mergeCell ref="N9:N14"/>
    <mergeCell ref="U4:U5"/>
    <mergeCell ref="A4:A5"/>
    <mergeCell ref="B4:B5"/>
    <mergeCell ref="C4:C5"/>
    <mergeCell ref="M4:T4"/>
    <mergeCell ref="A9:A14"/>
    <mergeCell ref="B7:U7"/>
    <mergeCell ref="B8:U8"/>
    <mergeCell ref="D10:L10"/>
    <mergeCell ref="C9:C14"/>
    <mergeCell ref="R45:R50"/>
    <mergeCell ref="B9:B14"/>
    <mergeCell ref="T9:T14"/>
    <mergeCell ref="S45:S50"/>
    <mergeCell ref="T45:T50"/>
    <mergeCell ref="O45:O50"/>
    <mergeCell ref="P45:P50"/>
    <mergeCell ref="P27:P32"/>
    <mergeCell ref="Q27:Q32"/>
    <mergeCell ref="A15:A20"/>
    <mergeCell ref="B15:B20"/>
    <mergeCell ref="S21:S26"/>
    <mergeCell ref="T21:T26"/>
    <mergeCell ref="A27:A32"/>
    <mergeCell ref="B27:B32"/>
    <mergeCell ref="A21:A26"/>
    <mergeCell ref="T15:T20"/>
    <mergeCell ref="C27:C32"/>
    <mergeCell ref="M27:M32"/>
    <mergeCell ref="N27:N32"/>
    <mergeCell ref="O27:O32"/>
    <mergeCell ref="D28:L28"/>
    <mergeCell ref="Q45:Q50"/>
    <mergeCell ref="N33:N38"/>
    <mergeCell ref="O33:O38"/>
    <mergeCell ref="P33:P38"/>
    <mergeCell ref="Q33:Q38"/>
    <mergeCell ref="U27:U32"/>
    <mergeCell ref="R39:R44"/>
    <mergeCell ref="S39:S44"/>
    <mergeCell ref="T39:T44"/>
    <mergeCell ref="R33:R38"/>
    <mergeCell ref="R27:R32"/>
    <mergeCell ref="S27:S32"/>
    <mergeCell ref="T27:T32"/>
    <mergeCell ref="S33:S38"/>
    <mergeCell ref="T33:T3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1" customWidth="1"/>
    <col min="2" max="2" width="14.8515625" style="11" bestFit="1" customWidth="1"/>
    <col min="3" max="8" width="13.421875" style="11" bestFit="1" customWidth="1"/>
    <col min="9" max="9" width="15.421875" style="11" customWidth="1"/>
    <col min="10" max="16384" width="9.140625" style="11" customWidth="1"/>
  </cols>
  <sheetData>
    <row r="1" spans="6:21" ht="79.5" customHeight="1">
      <c r="F1" s="79" t="s">
        <v>123</v>
      </c>
      <c r="G1" s="80"/>
      <c r="H1" s="80"/>
      <c r="I1" s="80"/>
      <c r="J1" s="77"/>
      <c r="Q1" s="79"/>
      <c r="R1" s="80"/>
      <c r="S1" s="80"/>
      <c r="T1" s="80"/>
      <c r="U1" s="80"/>
    </row>
    <row r="2" spans="5:9" ht="18.75" customHeight="1">
      <c r="E2" s="12"/>
      <c r="F2" s="1"/>
      <c r="G2" s="10"/>
      <c r="I2" s="1" t="s">
        <v>87</v>
      </c>
    </row>
    <row r="3" spans="1:9" ht="36.75" customHeight="1">
      <c r="A3" s="145" t="s">
        <v>35</v>
      </c>
      <c r="B3" s="145"/>
      <c r="C3" s="145"/>
      <c r="D3" s="145"/>
      <c r="E3" s="145"/>
      <c r="F3" s="145"/>
      <c r="G3" s="145"/>
      <c r="H3" s="145"/>
      <c r="I3" s="145"/>
    </row>
    <row r="4" spans="1:9" ht="30" customHeight="1">
      <c r="A4" s="146" t="s">
        <v>55</v>
      </c>
      <c r="B4" s="146" t="s">
        <v>56</v>
      </c>
      <c r="C4" s="148" t="s">
        <v>57</v>
      </c>
      <c r="D4" s="149"/>
      <c r="E4" s="149"/>
      <c r="F4" s="149"/>
      <c r="G4" s="149"/>
      <c r="H4" s="149"/>
      <c r="I4" s="150"/>
    </row>
    <row r="5" spans="1:9" ht="16.5" customHeight="1">
      <c r="A5" s="147"/>
      <c r="B5" s="147"/>
      <c r="C5" s="4">
        <v>2014</v>
      </c>
      <c r="D5" s="4">
        <v>2015</v>
      </c>
      <c r="E5" s="4">
        <v>2016</v>
      </c>
      <c r="F5" s="4">
        <v>2017</v>
      </c>
      <c r="G5" s="4">
        <v>2018</v>
      </c>
      <c r="H5" s="4">
        <v>2019</v>
      </c>
      <c r="I5" s="3">
        <v>2020</v>
      </c>
    </row>
    <row r="6" spans="1:9" ht="16.5" customHeight="1">
      <c r="A6" s="31" t="s">
        <v>25</v>
      </c>
      <c r="B6" s="31" t="s">
        <v>26</v>
      </c>
      <c r="C6" s="31" t="s">
        <v>27</v>
      </c>
      <c r="D6" s="31" t="s">
        <v>28</v>
      </c>
      <c r="E6" s="31" t="s">
        <v>29</v>
      </c>
      <c r="F6" s="31" t="s">
        <v>30</v>
      </c>
      <c r="G6" s="31" t="s">
        <v>31</v>
      </c>
      <c r="H6" s="31" t="s">
        <v>32</v>
      </c>
      <c r="I6" s="31" t="s">
        <v>33</v>
      </c>
    </row>
    <row r="7" spans="1:9" ht="19.5" customHeight="1">
      <c r="A7" s="13" t="s">
        <v>36</v>
      </c>
      <c r="B7" s="14">
        <f>B9+B10+B11+B12</f>
        <v>4823652486.009999</v>
      </c>
      <c r="C7" s="14">
        <f aca="true" t="shared" si="0" ref="C7:I7">C9+C10+C11+C12</f>
        <v>630157257.97</v>
      </c>
      <c r="D7" s="14">
        <f t="shared" si="0"/>
        <v>629509067.4799999</v>
      </c>
      <c r="E7" s="14">
        <f t="shared" si="0"/>
        <v>663775407.81</v>
      </c>
      <c r="F7" s="14">
        <f t="shared" si="0"/>
        <v>755232066.5500001</v>
      </c>
      <c r="G7" s="14">
        <f t="shared" si="0"/>
        <v>714992895.4000001</v>
      </c>
      <c r="H7" s="14">
        <f t="shared" si="0"/>
        <v>714992895.4000001</v>
      </c>
      <c r="I7" s="14">
        <f t="shared" si="0"/>
        <v>714992895.4000001</v>
      </c>
    </row>
    <row r="8" spans="1:9" ht="16.5" customHeight="1">
      <c r="A8" s="142" t="s">
        <v>58</v>
      </c>
      <c r="B8" s="143"/>
      <c r="C8" s="143"/>
      <c r="D8" s="143"/>
      <c r="E8" s="143"/>
      <c r="F8" s="143"/>
      <c r="G8" s="143"/>
      <c r="H8" s="143"/>
      <c r="I8" s="144"/>
    </row>
    <row r="9" spans="1:9" ht="16.5" customHeight="1">
      <c r="A9" s="64" t="s">
        <v>59</v>
      </c>
      <c r="B9" s="14">
        <f>B16</f>
        <v>2197804617.04</v>
      </c>
      <c r="C9" s="6">
        <f>C16</f>
        <v>288108773.96999997</v>
      </c>
      <c r="D9" s="6">
        <f aca="true" t="shared" si="1" ref="D9:I9">D16</f>
        <v>288034535.81</v>
      </c>
      <c r="E9" s="6">
        <f t="shared" si="1"/>
        <v>310749265.65999997</v>
      </c>
      <c r="F9" s="6">
        <f t="shared" si="1"/>
        <v>327728010.40000004</v>
      </c>
      <c r="G9" s="6">
        <f t="shared" si="1"/>
        <v>327728010.40000004</v>
      </c>
      <c r="H9" s="6">
        <f t="shared" si="1"/>
        <v>327728010.40000004</v>
      </c>
      <c r="I9" s="6">
        <f t="shared" si="1"/>
        <v>327728010.40000004</v>
      </c>
    </row>
    <row r="10" spans="1:9" ht="16.5" customHeight="1">
      <c r="A10" s="64" t="s">
        <v>8</v>
      </c>
      <c r="B10" s="14">
        <f aca="true" t="shared" si="2" ref="B10:I12">B17</f>
        <v>2417704294.24</v>
      </c>
      <c r="C10" s="6">
        <f t="shared" si="2"/>
        <v>308069784</v>
      </c>
      <c r="D10" s="6">
        <f t="shared" si="2"/>
        <v>318165579.24</v>
      </c>
      <c r="E10" s="6">
        <f t="shared" si="2"/>
        <v>330608181</v>
      </c>
      <c r="F10" s="6">
        <f t="shared" si="2"/>
        <v>405086095</v>
      </c>
      <c r="G10" s="6">
        <f>G17</f>
        <v>351924885</v>
      </c>
      <c r="H10" s="6">
        <f t="shared" si="2"/>
        <v>351924885</v>
      </c>
      <c r="I10" s="6">
        <f t="shared" si="2"/>
        <v>351924885</v>
      </c>
    </row>
    <row r="11" spans="1:9" ht="16.5" customHeight="1">
      <c r="A11" s="64" t="s">
        <v>9</v>
      </c>
      <c r="B11" s="14">
        <f t="shared" si="2"/>
        <v>0</v>
      </c>
      <c r="C11" s="6">
        <f t="shared" si="2"/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</row>
    <row r="12" spans="1:9" ht="16.5" customHeight="1">
      <c r="A12" s="64" t="s">
        <v>60</v>
      </c>
      <c r="B12" s="14">
        <f t="shared" si="2"/>
        <v>208143574.73</v>
      </c>
      <c r="C12" s="6">
        <f t="shared" si="2"/>
        <v>33978700</v>
      </c>
      <c r="D12" s="6">
        <f t="shared" si="2"/>
        <v>23308952.43</v>
      </c>
      <c r="E12" s="6">
        <f t="shared" si="2"/>
        <v>22417961.15</v>
      </c>
      <c r="F12" s="6">
        <f t="shared" si="2"/>
        <v>22417961.15</v>
      </c>
      <c r="G12" s="6">
        <f t="shared" si="2"/>
        <v>35340000</v>
      </c>
      <c r="H12" s="6">
        <f t="shared" si="2"/>
        <v>35340000</v>
      </c>
      <c r="I12" s="6">
        <f t="shared" si="2"/>
        <v>35340000</v>
      </c>
    </row>
    <row r="13" spans="1:9" ht="16.5" customHeight="1">
      <c r="A13" s="151" t="s">
        <v>61</v>
      </c>
      <c r="B13" s="152"/>
      <c r="C13" s="152"/>
      <c r="D13" s="152"/>
      <c r="E13" s="152"/>
      <c r="F13" s="152"/>
      <c r="G13" s="152"/>
      <c r="H13" s="152"/>
      <c r="I13" s="153"/>
    </row>
    <row r="14" spans="1:9" ht="39.75" customHeight="1">
      <c r="A14" s="15" t="s">
        <v>68</v>
      </c>
      <c r="B14" s="14">
        <f>B16+B17+B18+B19</f>
        <v>4823652486.009999</v>
      </c>
      <c r="C14" s="14">
        <f>C16+C17+C18+C19</f>
        <v>630157257.97</v>
      </c>
      <c r="D14" s="14">
        <f aca="true" t="shared" si="3" ref="D14:I14">D16+D17+D18+D19</f>
        <v>629509067.4799999</v>
      </c>
      <c r="E14" s="14">
        <f t="shared" si="3"/>
        <v>663775407.81</v>
      </c>
      <c r="F14" s="14">
        <f t="shared" si="3"/>
        <v>755232066.5500001</v>
      </c>
      <c r="G14" s="14">
        <f t="shared" si="3"/>
        <v>714992895.4000001</v>
      </c>
      <c r="H14" s="14">
        <f t="shared" si="3"/>
        <v>714992895.4000001</v>
      </c>
      <c r="I14" s="14">
        <f t="shared" si="3"/>
        <v>714992895.4000001</v>
      </c>
    </row>
    <row r="15" spans="1:9" ht="16.5" customHeight="1">
      <c r="A15" s="142" t="s">
        <v>58</v>
      </c>
      <c r="B15" s="143"/>
      <c r="C15" s="143"/>
      <c r="D15" s="143"/>
      <c r="E15" s="143"/>
      <c r="F15" s="143"/>
      <c r="G15" s="143"/>
      <c r="H15" s="143"/>
      <c r="I15" s="144"/>
    </row>
    <row r="16" spans="1:9" ht="16.5" customHeight="1">
      <c r="A16" s="64" t="s">
        <v>59</v>
      </c>
      <c r="B16" s="14">
        <f>SUM(C16:I16)</f>
        <v>2197804617.04</v>
      </c>
      <c r="C16" s="6">
        <f>'таб 3(2)'!F126</f>
        <v>288108773.96999997</v>
      </c>
      <c r="D16" s="6">
        <f>'таб 3(2)'!G126</f>
        <v>288034535.81</v>
      </c>
      <c r="E16" s="6">
        <f>'таб 3(2)'!H126</f>
        <v>310749265.65999997</v>
      </c>
      <c r="F16" s="6">
        <f>'таб 3(2)'!I126</f>
        <v>327728010.40000004</v>
      </c>
      <c r="G16" s="6">
        <f>'таб 3(2)'!J126</f>
        <v>327728010.40000004</v>
      </c>
      <c r="H16" s="6">
        <f>'таб 3(2)'!K126</f>
        <v>327728010.40000004</v>
      </c>
      <c r="I16" s="6">
        <f>'таб 3(2)'!L126</f>
        <v>327728010.40000004</v>
      </c>
    </row>
    <row r="17" spans="1:9" ht="16.5" customHeight="1">
      <c r="A17" s="64" t="s">
        <v>8</v>
      </c>
      <c r="B17" s="14">
        <f>SUM(C17:I17)</f>
        <v>2417704294.24</v>
      </c>
      <c r="C17" s="6">
        <f>'таб 3(2)'!F127</f>
        <v>308069784</v>
      </c>
      <c r="D17" s="6">
        <f>'таб 3(2)'!G127</f>
        <v>318165579.24</v>
      </c>
      <c r="E17" s="6">
        <f>'таб 3(2)'!H127</f>
        <v>330608181</v>
      </c>
      <c r="F17" s="6">
        <f>'таб 3(2)'!I127</f>
        <v>405086095</v>
      </c>
      <c r="G17" s="6">
        <f>'таб 3(2)'!J127</f>
        <v>351924885</v>
      </c>
      <c r="H17" s="6">
        <f>'таб 3(2)'!K127</f>
        <v>351924885</v>
      </c>
      <c r="I17" s="6">
        <f>'таб 3(2)'!L127</f>
        <v>351924885</v>
      </c>
    </row>
    <row r="18" spans="1:9" ht="16.5" customHeight="1">
      <c r="A18" s="64" t="s">
        <v>9</v>
      </c>
      <c r="B18" s="14">
        <f>SUM(C18:I18)</f>
        <v>0</v>
      </c>
      <c r="C18" s="6">
        <f>'таб 3(2)'!F128</f>
        <v>0</v>
      </c>
      <c r="D18" s="6">
        <f>'таб 3(2)'!G128</f>
        <v>0</v>
      </c>
      <c r="E18" s="6">
        <f>'таб 3(2)'!H128</f>
        <v>0</v>
      </c>
      <c r="F18" s="6">
        <f>'[1]таб 3(2)'!I134</f>
        <v>0</v>
      </c>
      <c r="G18" s="6">
        <f>'[1]таб 3(2)'!J134</f>
        <v>0</v>
      </c>
      <c r="H18" s="6">
        <f>'[1]таб 3(2)'!K134</f>
        <v>0</v>
      </c>
      <c r="I18" s="6">
        <f>'[1]таб 3(2)'!L134</f>
        <v>0</v>
      </c>
    </row>
    <row r="19" spans="1:9" ht="16.5" customHeight="1">
      <c r="A19" s="64" t="s">
        <v>60</v>
      </c>
      <c r="B19" s="14">
        <f>SUM(C19:I19)</f>
        <v>208143574.73</v>
      </c>
      <c r="C19" s="6">
        <f>'таб 3(2)'!F129</f>
        <v>33978700</v>
      </c>
      <c r="D19" s="6">
        <f>'таб 3(2)'!G129</f>
        <v>23308952.43</v>
      </c>
      <c r="E19" s="6">
        <f>'таб 3(2)'!H129</f>
        <v>22417961.15</v>
      </c>
      <c r="F19" s="6">
        <f>'таб 3(2)'!I129</f>
        <v>22417961.15</v>
      </c>
      <c r="G19" s="6">
        <f>'таб 3(2)'!J129</f>
        <v>35340000</v>
      </c>
      <c r="H19" s="6">
        <f>'таб 3(2)'!K129</f>
        <v>35340000</v>
      </c>
      <c r="I19" s="6">
        <f>'таб 3(2)'!L129</f>
        <v>35340000</v>
      </c>
    </row>
    <row r="20" spans="1:9" ht="25.5">
      <c r="A20" s="7" t="s">
        <v>62</v>
      </c>
      <c r="B20" s="14">
        <f>SUM(C20:I20)</f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2" ht="15">
      <c r="C22" s="44"/>
    </row>
    <row r="23" ht="15">
      <c r="C23" s="44"/>
    </row>
    <row r="24" ht="15">
      <c r="C24" s="44"/>
    </row>
    <row r="25" ht="15">
      <c r="C25" s="44"/>
    </row>
    <row r="28" ht="15">
      <c r="C28" s="44"/>
    </row>
    <row r="29" ht="15">
      <c r="C29" s="44"/>
    </row>
    <row r="30" ht="15">
      <c r="C30" s="44"/>
    </row>
    <row r="31" ht="15">
      <c r="C31" s="44"/>
    </row>
    <row r="32" ht="15">
      <c r="C32" s="44"/>
    </row>
  </sheetData>
  <sheetProtection/>
  <mergeCells count="9">
    <mergeCell ref="Q1:U1"/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tabSelected="1" zoomScaleSheetLayoutView="115" zoomScalePageLayoutView="0" workbookViewId="0" topLeftCell="K1">
      <selection activeCell="Q1" sqref="Q1:U1"/>
    </sheetView>
  </sheetViews>
  <sheetFormatPr defaultColWidth="9.140625" defaultRowHeight="15"/>
  <cols>
    <col min="1" max="1" width="6.140625" style="32" bestFit="1" customWidth="1"/>
    <col min="2" max="2" width="48.421875" style="32" customWidth="1"/>
    <col min="3" max="3" width="10.8515625" style="32" customWidth="1"/>
    <col min="4" max="4" width="10.00390625" style="32" customWidth="1"/>
    <col min="5" max="5" width="15.421875" style="32" customWidth="1"/>
    <col min="6" max="6" width="18.140625" style="32" customWidth="1"/>
    <col min="7" max="12" width="14.00390625" style="32" bestFit="1" customWidth="1"/>
    <col min="13" max="13" width="32.421875" style="32" customWidth="1"/>
    <col min="14" max="14" width="5.7109375" style="32" bestFit="1" customWidth="1"/>
    <col min="15" max="20" width="7.421875" style="32" bestFit="1" customWidth="1"/>
    <col min="21" max="21" width="18.00390625" style="32" customWidth="1"/>
    <col min="22" max="16384" width="9.140625" style="32" customWidth="1"/>
  </cols>
  <sheetData>
    <row r="1" spans="6:21" ht="79.5" customHeight="1">
      <c r="F1" s="76"/>
      <c r="G1" s="77"/>
      <c r="H1" s="77"/>
      <c r="I1" s="77"/>
      <c r="J1" s="69"/>
      <c r="Q1" s="79" t="s">
        <v>122</v>
      </c>
      <c r="R1" s="80"/>
      <c r="S1" s="80"/>
      <c r="T1" s="80"/>
      <c r="U1" s="80"/>
    </row>
    <row r="2" spans="20:21" ht="15.75">
      <c r="T2" s="70"/>
      <c r="U2" s="78" t="s">
        <v>88</v>
      </c>
    </row>
    <row r="3" spans="1:21" ht="15.75">
      <c r="A3" s="127" t="s">
        <v>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31.5" customHeight="1">
      <c r="A4" s="187" t="s">
        <v>53</v>
      </c>
      <c r="B4" s="187" t="s">
        <v>63</v>
      </c>
      <c r="C4" s="187" t="s">
        <v>64</v>
      </c>
      <c r="D4" s="187" t="s">
        <v>55</v>
      </c>
      <c r="E4" s="123" t="s">
        <v>65</v>
      </c>
      <c r="F4" s="123"/>
      <c r="G4" s="123"/>
      <c r="H4" s="123"/>
      <c r="I4" s="123"/>
      <c r="J4" s="123"/>
      <c r="K4" s="123"/>
      <c r="L4" s="123"/>
      <c r="M4" s="123" t="s">
        <v>10</v>
      </c>
      <c r="N4" s="123"/>
      <c r="O4" s="123"/>
      <c r="P4" s="123"/>
      <c r="Q4" s="123"/>
      <c r="R4" s="123"/>
      <c r="S4" s="123"/>
      <c r="T4" s="123"/>
      <c r="U4" s="121" t="s">
        <v>66</v>
      </c>
    </row>
    <row r="5" spans="1:21" ht="21" customHeight="1">
      <c r="A5" s="188"/>
      <c r="B5" s="188"/>
      <c r="C5" s="188"/>
      <c r="D5" s="188"/>
      <c r="E5" s="33" t="s">
        <v>52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  <c r="K5" s="8" t="s">
        <v>46</v>
      </c>
      <c r="L5" s="8" t="s">
        <v>47</v>
      </c>
      <c r="M5" s="5" t="s">
        <v>54</v>
      </c>
      <c r="N5" s="8" t="s">
        <v>41</v>
      </c>
      <c r="O5" s="8" t="s">
        <v>42</v>
      </c>
      <c r="P5" s="8" t="s">
        <v>43</v>
      </c>
      <c r="Q5" s="8" t="s">
        <v>44</v>
      </c>
      <c r="R5" s="8" t="s">
        <v>45</v>
      </c>
      <c r="S5" s="8" t="s">
        <v>46</v>
      </c>
      <c r="T5" s="8" t="s">
        <v>47</v>
      </c>
      <c r="U5" s="122"/>
    </row>
    <row r="6" spans="1:21" ht="12.7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63">
        <v>17</v>
      </c>
      <c r="R6" s="63">
        <v>18</v>
      </c>
      <c r="S6" s="63">
        <v>19</v>
      </c>
      <c r="T6" s="63">
        <v>20</v>
      </c>
      <c r="U6" s="63">
        <v>21</v>
      </c>
    </row>
    <row r="7" spans="1:21" ht="12.75">
      <c r="A7" s="34"/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1:21" ht="12.75">
      <c r="A8" s="34">
        <v>1</v>
      </c>
      <c r="B8" s="115" t="s">
        <v>11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</row>
    <row r="9" spans="1:21" ht="16.5" customHeight="1">
      <c r="A9" s="169" t="s">
        <v>78</v>
      </c>
      <c r="B9" s="184" t="s">
        <v>90</v>
      </c>
      <c r="C9" s="104" t="s">
        <v>40</v>
      </c>
      <c r="D9" s="35" t="s">
        <v>52</v>
      </c>
      <c r="E9" s="36">
        <f>E11+E12+E13+E14</f>
        <v>941394376.5699999</v>
      </c>
      <c r="F9" s="36">
        <f aca="true" t="shared" si="0" ref="F9:L9">F11+F12+F13+F14</f>
        <v>117460965.8</v>
      </c>
      <c r="G9" s="36">
        <f t="shared" si="0"/>
        <v>135349395.49</v>
      </c>
      <c r="H9" s="36">
        <f t="shared" si="0"/>
        <v>131200291.36</v>
      </c>
      <c r="I9" s="36">
        <f t="shared" si="0"/>
        <v>174013467</v>
      </c>
      <c r="J9" s="36">
        <f t="shared" si="0"/>
        <v>127790085.64</v>
      </c>
      <c r="K9" s="36">
        <f t="shared" si="0"/>
        <v>127790085.64</v>
      </c>
      <c r="L9" s="36">
        <f t="shared" si="0"/>
        <v>127790085.64</v>
      </c>
      <c r="M9" s="93" t="s">
        <v>13</v>
      </c>
      <c r="N9" s="96">
        <v>100</v>
      </c>
      <c r="O9" s="96">
        <v>100</v>
      </c>
      <c r="P9" s="96">
        <v>100</v>
      </c>
      <c r="Q9" s="96">
        <v>100</v>
      </c>
      <c r="R9" s="96">
        <v>100</v>
      </c>
      <c r="S9" s="96">
        <v>100</v>
      </c>
      <c r="T9" s="96">
        <v>100</v>
      </c>
      <c r="U9" s="107" t="s">
        <v>14</v>
      </c>
    </row>
    <row r="10" spans="1:21" ht="16.5" customHeight="1">
      <c r="A10" s="170"/>
      <c r="B10" s="185"/>
      <c r="C10" s="105"/>
      <c r="D10" s="110" t="s">
        <v>67</v>
      </c>
      <c r="E10" s="111"/>
      <c r="F10" s="111"/>
      <c r="G10" s="111"/>
      <c r="H10" s="111"/>
      <c r="I10" s="111"/>
      <c r="J10" s="111"/>
      <c r="K10" s="111"/>
      <c r="L10" s="112"/>
      <c r="M10" s="94"/>
      <c r="N10" s="97"/>
      <c r="O10" s="97"/>
      <c r="P10" s="97"/>
      <c r="Q10" s="97"/>
      <c r="R10" s="97"/>
      <c r="S10" s="97"/>
      <c r="T10" s="97"/>
      <c r="U10" s="108"/>
    </row>
    <row r="11" spans="1:21" ht="12.75">
      <c r="A11" s="170"/>
      <c r="B11" s="185"/>
      <c r="C11" s="105"/>
      <c r="D11" s="35" t="s">
        <v>50</v>
      </c>
      <c r="E11" s="36">
        <f>F11+G11+H11+I11+J11+K11+L11</f>
        <v>13285.36</v>
      </c>
      <c r="F11" s="36"/>
      <c r="G11" s="36"/>
      <c r="H11" s="36">
        <f>13285.36</f>
        <v>13285.36</v>
      </c>
      <c r="I11" s="36"/>
      <c r="J11" s="36"/>
      <c r="K11" s="36"/>
      <c r="L11" s="36"/>
      <c r="M11" s="94"/>
      <c r="N11" s="97"/>
      <c r="O11" s="97"/>
      <c r="P11" s="97"/>
      <c r="Q11" s="97"/>
      <c r="R11" s="97"/>
      <c r="S11" s="97"/>
      <c r="T11" s="97"/>
      <c r="U11" s="108"/>
    </row>
    <row r="12" spans="1:21" ht="12.75">
      <c r="A12" s="170"/>
      <c r="B12" s="185"/>
      <c r="C12" s="105"/>
      <c r="D12" s="35" t="s">
        <v>48</v>
      </c>
      <c r="E12" s="36">
        <f>F12+G12+H12+I12+J12+K12+L12</f>
        <v>941381091.2099999</v>
      </c>
      <c r="F12" s="36">
        <f>117343741.8+117224</f>
        <v>117460965.8</v>
      </c>
      <c r="G12" s="36">
        <f>135114643+234752.49</f>
        <v>135349395.49</v>
      </c>
      <c r="H12" s="36">
        <f>239756+130947250</f>
        <v>131187006</v>
      </c>
      <c r="I12" s="36">
        <f>173757367+256100</f>
        <v>174013467</v>
      </c>
      <c r="J12" s="37">
        <v>127790085.64</v>
      </c>
      <c r="K12" s="37">
        <v>127790085.64</v>
      </c>
      <c r="L12" s="37">
        <v>127790085.64</v>
      </c>
      <c r="M12" s="94"/>
      <c r="N12" s="97"/>
      <c r="O12" s="97"/>
      <c r="P12" s="97"/>
      <c r="Q12" s="97"/>
      <c r="R12" s="97"/>
      <c r="S12" s="97"/>
      <c r="T12" s="97"/>
      <c r="U12" s="108"/>
    </row>
    <row r="13" spans="1:21" ht="12.75" customHeight="1">
      <c r="A13" s="170"/>
      <c r="B13" s="185"/>
      <c r="C13" s="105"/>
      <c r="D13" s="35" t="s">
        <v>49</v>
      </c>
      <c r="E13" s="36">
        <f>F13+G13+H13+I13+J13+K13+L13</f>
        <v>0</v>
      </c>
      <c r="F13" s="36"/>
      <c r="G13" s="36"/>
      <c r="H13" s="36"/>
      <c r="I13" s="36"/>
      <c r="J13" s="36"/>
      <c r="K13" s="36"/>
      <c r="L13" s="36"/>
      <c r="M13" s="94"/>
      <c r="N13" s="97"/>
      <c r="O13" s="97"/>
      <c r="P13" s="97"/>
      <c r="Q13" s="97"/>
      <c r="R13" s="97"/>
      <c r="S13" s="97"/>
      <c r="T13" s="97"/>
      <c r="U13" s="108"/>
    </row>
    <row r="14" spans="1:21" ht="18.75" customHeight="1">
      <c r="A14" s="171"/>
      <c r="B14" s="186"/>
      <c r="C14" s="106"/>
      <c r="D14" s="35" t="s">
        <v>51</v>
      </c>
      <c r="E14" s="36">
        <f>F14+G14+H14+I14+J14+K14+L14</f>
        <v>0</v>
      </c>
      <c r="F14" s="36"/>
      <c r="G14" s="36"/>
      <c r="H14" s="36"/>
      <c r="I14" s="36"/>
      <c r="J14" s="36"/>
      <c r="K14" s="36"/>
      <c r="L14" s="36"/>
      <c r="M14" s="95"/>
      <c r="N14" s="98"/>
      <c r="O14" s="98"/>
      <c r="P14" s="98"/>
      <c r="Q14" s="98"/>
      <c r="R14" s="98"/>
      <c r="S14" s="98"/>
      <c r="T14" s="98"/>
      <c r="U14" s="109"/>
    </row>
    <row r="15" spans="1:21" ht="24" customHeight="1">
      <c r="A15" s="169" t="s">
        <v>79</v>
      </c>
      <c r="B15" s="184" t="s">
        <v>92</v>
      </c>
      <c r="C15" s="104" t="s">
        <v>40</v>
      </c>
      <c r="D15" s="35" t="s">
        <v>52</v>
      </c>
      <c r="E15" s="36">
        <f>E17+E18+E19+E20</f>
        <v>1157648548.04</v>
      </c>
      <c r="F15" s="36">
        <f aca="true" t="shared" si="1" ref="F15:L15">F17+F18+F19+F20</f>
        <v>137693999.3</v>
      </c>
      <c r="G15" s="36">
        <f t="shared" si="1"/>
        <v>129055787.51</v>
      </c>
      <c r="H15" s="36">
        <f t="shared" si="1"/>
        <v>164744560.15</v>
      </c>
      <c r="I15" s="36">
        <f t="shared" si="1"/>
        <v>198258681</v>
      </c>
      <c r="J15" s="36">
        <f t="shared" si="1"/>
        <v>175965173.36</v>
      </c>
      <c r="K15" s="36">
        <f t="shared" si="1"/>
        <v>175965173.36</v>
      </c>
      <c r="L15" s="36">
        <f t="shared" si="1"/>
        <v>175965173.36</v>
      </c>
      <c r="M15" s="93" t="s">
        <v>15</v>
      </c>
      <c r="N15" s="96">
        <v>100</v>
      </c>
      <c r="O15" s="96">
        <v>100</v>
      </c>
      <c r="P15" s="96">
        <v>100</v>
      </c>
      <c r="Q15" s="96">
        <v>100</v>
      </c>
      <c r="R15" s="96">
        <v>100</v>
      </c>
      <c r="S15" s="96">
        <v>100</v>
      </c>
      <c r="T15" s="96">
        <v>100</v>
      </c>
      <c r="U15" s="107" t="s">
        <v>14</v>
      </c>
    </row>
    <row r="16" spans="1:21" ht="16.5" customHeight="1">
      <c r="A16" s="170"/>
      <c r="B16" s="185"/>
      <c r="C16" s="105"/>
      <c r="D16" s="110" t="s">
        <v>67</v>
      </c>
      <c r="E16" s="111"/>
      <c r="F16" s="111"/>
      <c r="G16" s="111"/>
      <c r="H16" s="111"/>
      <c r="I16" s="111"/>
      <c r="J16" s="111"/>
      <c r="K16" s="111"/>
      <c r="L16" s="112"/>
      <c r="M16" s="94"/>
      <c r="N16" s="97"/>
      <c r="O16" s="97"/>
      <c r="P16" s="97"/>
      <c r="Q16" s="97"/>
      <c r="R16" s="97"/>
      <c r="S16" s="97"/>
      <c r="T16" s="97"/>
      <c r="U16" s="108"/>
    </row>
    <row r="17" spans="1:21" ht="18" customHeight="1">
      <c r="A17" s="170"/>
      <c r="B17" s="185"/>
      <c r="C17" s="105"/>
      <c r="D17" s="35" t="s">
        <v>50</v>
      </c>
      <c r="E17" s="36">
        <f>F17+G17+H17+I17+J17+K17+L17</f>
        <v>11357.15</v>
      </c>
      <c r="F17" s="36"/>
      <c r="G17" s="36"/>
      <c r="H17" s="36">
        <f>11357.15</f>
        <v>11357.15</v>
      </c>
      <c r="I17" s="36"/>
      <c r="J17" s="36"/>
      <c r="K17" s="36"/>
      <c r="L17" s="36"/>
      <c r="M17" s="94"/>
      <c r="N17" s="97"/>
      <c r="O17" s="97"/>
      <c r="P17" s="97"/>
      <c r="Q17" s="97"/>
      <c r="R17" s="97"/>
      <c r="S17" s="97"/>
      <c r="T17" s="97"/>
      <c r="U17" s="108"/>
    </row>
    <row r="18" spans="1:21" ht="12.75" customHeight="1">
      <c r="A18" s="170"/>
      <c r="B18" s="185"/>
      <c r="C18" s="105"/>
      <c r="D18" s="35" t="s">
        <v>48</v>
      </c>
      <c r="E18" s="36">
        <f>F18+G18+H18+I18+J18+K18+L18</f>
        <v>1157637190.8899999</v>
      </c>
      <c r="F18" s="36">
        <f>137514399.3+179600</f>
        <v>137693999.3</v>
      </c>
      <c r="G18" s="36">
        <f>128830241+225546.51</f>
        <v>129055787.51</v>
      </c>
      <c r="H18" s="36">
        <f>204953+164528250</f>
        <v>164733203</v>
      </c>
      <c r="I18" s="36">
        <f>198002581+256100</f>
        <v>198258681</v>
      </c>
      <c r="J18" s="37">
        <v>175965173.36</v>
      </c>
      <c r="K18" s="37">
        <v>175965173.36</v>
      </c>
      <c r="L18" s="37">
        <v>175965173.36</v>
      </c>
      <c r="M18" s="94"/>
      <c r="N18" s="97"/>
      <c r="O18" s="97"/>
      <c r="P18" s="97"/>
      <c r="Q18" s="97"/>
      <c r="R18" s="97"/>
      <c r="S18" s="97"/>
      <c r="T18" s="97"/>
      <c r="U18" s="108"/>
    </row>
    <row r="19" spans="1:21" ht="12.75" customHeight="1">
      <c r="A19" s="170"/>
      <c r="B19" s="185"/>
      <c r="C19" s="105"/>
      <c r="D19" s="35" t="s">
        <v>49</v>
      </c>
      <c r="E19" s="36">
        <f>F19+G19+H19+I19+J19+K19+L19</f>
        <v>0</v>
      </c>
      <c r="F19" s="36"/>
      <c r="G19" s="36"/>
      <c r="H19" s="36"/>
      <c r="I19" s="36"/>
      <c r="J19" s="36"/>
      <c r="K19" s="36"/>
      <c r="L19" s="36"/>
      <c r="M19" s="94"/>
      <c r="N19" s="97"/>
      <c r="O19" s="97"/>
      <c r="P19" s="97"/>
      <c r="Q19" s="97"/>
      <c r="R19" s="97"/>
      <c r="S19" s="97"/>
      <c r="T19" s="97"/>
      <c r="U19" s="108"/>
    </row>
    <row r="20" spans="1:21" ht="24" customHeight="1">
      <c r="A20" s="171"/>
      <c r="B20" s="186"/>
      <c r="C20" s="106"/>
      <c r="D20" s="35" t="s">
        <v>51</v>
      </c>
      <c r="E20" s="36">
        <f>F20+G20+H20+I20+J20+K20+L20</f>
        <v>0</v>
      </c>
      <c r="F20" s="36"/>
      <c r="G20" s="36"/>
      <c r="H20" s="36"/>
      <c r="I20" s="36"/>
      <c r="J20" s="36"/>
      <c r="K20" s="36"/>
      <c r="L20" s="36"/>
      <c r="M20" s="95"/>
      <c r="N20" s="98"/>
      <c r="O20" s="98"/>
      <c r="P20" s="98"/>
      <c r="Q20" s="98"/>
      <c r="R20" s="98"/>
      <c r="S20" s="98"/>
      <c r="T20" s="98"/>
      <c r="U20" s="109"/>
    </row>
    <row r="21" spans="1:21" ht="15" customHeight="1">
      <c r="A21" s="169" t="s">
        <v>80</v>
      </c>
      <c r="B21" s="184" t="s">
        <v>93</v>
      </c>
      <c r="C21" s="104" t="s">
        <v>40</v>
      </c>
      <c r="D21" s="35" t="s">
        <v>52</v>
      </c>
      <c r="E21" s="36">
        <f>E23+E24+E25+E26</f>
        <v>293650469.9</v>
      </c>
      <c r="F21" s="36">
        <f aca="true" t="shared" si="2" ref="F21:L21">F23+F24+F25+F26</f>
        <v>39462578.9</v>
      </c>
      <c r="G21" s="36">
        <f t="shared" si="2"/>
        <v>50275216</v>
      </c>
      <c r="H21" s="36">
        <f t="shared" si="2"/>
        <v>30434100</v>
      </c>
      <c r="I21" s="36">
        <f t="shared" si="2"/>
        <v>32326952</v>
      </c>
      <c r="J21" s="36">
        <f t="shared" si="2"/>
        <v>47050541</v>
      </c>
      <c r="K21" s="36">
        <f t="shared" si="2"/>
        <v>47050541</v>
      </c>
      <c r="L21" s="36">
        <f t="shared" si="2"/>
        <v>47050541</v>
      </c>
      <c r="M21" s="175" t="s">
        <v>16</v>
      </c>
      <c r="N21" s="96">
        <v>100</v>
      </c>
      <c r="O21" s="96">
        <v>100</v>
      </c>
      <c r="P21" s="96">
        <v>100</v>
      </c>
      <c r="Q21" s="96">
        <v>100</v>
      </c>
      <c r="R21" s="96">
        <v>100</v>
      </c>
      <c r="S21" s="96">
        <v>100</v>
      </c>
      <c r="T21" s="96">
        <v>100</v>
      </c>
      <c r="U21" s="107" t="s">
        <v>14</v>
      </c>
    </row>
    <row r="22" spans="1:21" ht="16.5" customHeight="1">
      <c r="A22" s="170"/>
      <c r="B22" s="185"/>
      <c r="C22" s="105"/>
      <c r="D22" s="110" t="s">
        <v>67</v>
      </c>
      <c r="E22" s="111"/>
      <c r="F22" s="111"/>
      <c r="G22" s="111"/>
      <c r="H22" s="111"/>
      <c r="I22" s="111"/>
      <c r="J22" s="111"/>
      <c r="K22" s="111"/>
      <c r="L22" s="112"/>
      <c r="M22" s="176"/>
      <c r="N22" s="97"/>
      <c r="O22" s="97"/>
      <c r="P22" s="97"/>
      <c r="Q22" s="97"/>
      <c r="R22" s="97"/>
      <c r="S22" s="97"/>
      <c r="T22" s="97"/>
      <c r="U22" s="108"/>
    </row>
    <row r="23" spans="1:21" ht="12.75" customHeight="1">
      <c r="A23" s="170"/>
      <c r="B23" s="185"/>
      <c r="C23" s="105"/>
      <c r="D23" s="35" t="s">
        <v>50</v>
      </c>
      <c r="E23" s="36">
        <f>F23+G23+H23+I23+J23+K23+L23</f>
        <v>0</v>
      </c>
      <c r="F23" s="36"/>
      <c r="G23" s="36"/>
      <c r="H23" s="36"/>
      <c r="I23" s="36"/>
      <c r="J23" s="36"/>
      <c r="K23" s="36"/>
      <c r="L23" s="36"/>
      <c r="M23" s="176"/>
      <c r="N23" s="97"/>
      <c r="O23" s="97"/>
      <c r="P23" s="97"/>
      <c r="Q23" s="97"/>
      <c r="R23" s="97"/>
      <c r="S23" s="97"/>
      <c r="T23" s="97"/>
      <c r="U23" s="108"/>
    </row>
    <row r="24" spans="1:21" ht="12.75" customHeight="1">
      <c r="A24" s="170"/>
      <c r="B24" s="185"/>
      <c r="C24" s="105"/>
      <c r="D24" s="35" t="s">
        <v>48</v>
      </c>
      <c r="E24" s="36">
        <f>F24+G24+H24+I24+J24+K24+L24</f>
        <v>293650469.9</v>
      </c>
      <c r="F24" s="36">
        <v>39462578.9</v>
      </c>
      <c r="G24" s="36">
        <f>50275216</f>
        <v>50275216</v>
      </c>
      <c r="H24" s="36">
        <f>30434100</f>
        <v>30434100</v>
      </c>
      <c r="I24" s="36">
        <f>32326952</f>
        <v>32326952</v>
      </c>
      <c r="J24" s="37">
        <v>47050541</v>
      </c>
      <c r="K24" s="37">
        <v>47050541</v>
      </c>
      <c r="L24" s="37">
        <v>47050541</v>
      </c>
      <c r="M24" s="176"/>
      <c r="N24" s="97"/>
      <c r="O24" s="97"/>
      <c r="P24" s="97"/>
      <c r="Q24" s="97"/>
      <c r="R24" s="97"/>
      <c r="S24" s="97"/>
      <c r="T24" s="97"/>
      <c r="U24" s="108"/>
    </row>
    <row r="25" spans="1:21" ht="17.25" customHeight="1">
      <c r="A25" s="170"/>
      <c r="B25" s="185"/>
      <c r="C25" s="105"/>
      <c r="D25" s="35" t="s">
        <v>49</v>
      </c>
      <c r="E25" s="36">
        <f>F25+G25+H25+I25+J25+K25+L25</f>
        <v>0</v>
      </c>
      <c r="F25" s="36"/>
      <c r="G25" s="36"/>
      <c r="H25" s="36"/>
      <c r="I25" s="36"/>
      <c r="J25" s="36"/>
      <c r="K25" s="36"/>
      <c r="L25" s="36"/>
      <c r="M25" s="176"/>
      <c r="N25" s="97"/>
      <c r="O25" s="97"/>
      <c r="P25" s="97"/>
      <c r="Q25" s="97"/>
      <c r="R25" s="97"/>
      <c r="S25" s="97"/>
      <c r="T25" s="97"/>
      <c r="U25" s="108"/>
    </row>
    <row r="26" spans="1:21" ht="12.75" customHeight="1">
      <c r="A26" s="171"/>
      <c r="B26" s="186"/>
      <c r="C26" s="106"/>
      <c r="D26" s="35" t="s">
        <v>51</v>
      </c>
      <c r="E26" s="36">
        <f>F26+G26+H26+I26+J26+K26+L26</f>
        <v>0</v>
      </c>
      <c r="F26" s="36"/>
      <c r="G26" s="36"/>
      <c r="H26" s="36"/>
      <c r="I26" s="36"/>
      <c r="J26" s="36"/>
      <c r="K26" s="36"/>
      <c r="L26" s="36"/>
      <c r="M26" s="177"/>
      <c r="N26" s="98"/>
      <c r="O26" s="98"/>
      <c r="P26" s="98"/>
      <c r="Q26" s="98"/>
      <c r="R26" s="98"/>
      <c r="S26" s="98"/>
      <c r="T26" s="98"/>
      <c r="U26" s="109"/>
    </row>
    <row r="27" spans="1:21" ht="19.5" customHeight="1">
      <c r="A27" s="169" t="s">
        <v>81</v>
      </c>
      <c r="B27" s="184" t="s">
        <v>94</v>
      </c>
      <c r="C27" s="104" t="s">
        <v>40</v>
      </c>
      <c r="D27" s="35" t="s">
        <v>52</v>
      </c>
      <c r="E27" s="36">
        <f>E29+E30+E31+E32</f>
        <v>4583344</v>
      </c>
      <c r="F27" s="36">
        <f aca="true" t="shared" si="3" ref="F27:L27">F29+F30+F31+F32</f>
        <v>4583344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6">
        <f t="shared" si="3"/>
        <v>0</v>
      </c>
      <c r="L27" s="36">
        <f t="shared" si="3"/>
        <v>0</v>
      </c>
      <c r="M27" s="175" t="s">
        <v>118</v>
      </c>
      <c r="N27" s="96">
        <v>100</v>
      </c>
      <c r="O27" s="96">
        <v>100</v>
      </c>
      <c r="P27" s="96">
        <v>100</v>
      </c>
      <c r="Q27" s="96">
        <v>100</v>
      </c>
      <c r="R27" s="96">
        <v>100</v>
      </c>
      <c r="S27" s="96">
        <v>100</v>
      </c>
      <c r="T27" s="96">
        <v>100</v>
      </c>
      <c r="U27" s="107" t="s">
        <v>14</v>
      </c>
    </row>
    <row r="28" spans="1:21" ht="16.5" customHeight="1">
      <c r="A28" s="170"/>
      <c r="B28" s="185"/>
      <c r="C28" s="105"/>
      <c r="D28" s="110" t="s">
        <v>67</v>
      </c>
      <c r="E28" s="111"/>
      <c r="F28" s="111"/>
      <c r="G28" s="111"/>
      <c r="H28" s="111"/>
      <c r="I28" s="111"/>
      <c r="J28" s="111"/>
      <c r="K28" s="111"/>
      <c r="L28" s="112"/>
      <c r="M28" s="176"/>
      <c r="N28" s="97"/>
      <c r="O28" s="97"/>
      <c r="P28" s="97"/>
      <c r="Q28" s="97"/>
      <c r="R28" s="97"/>
      <c r="S28" s="97"/>
      <c r="T28" s="97"/>
      <c r="U28" s="108"/>
    </row>
    <row r="29" spans="1:21" ht="23.25" customHeight="1">
      <c r="A29" s="170"/>
      <c r="B29" s="185"/>
      <c r="C29" s="105"/>
      <c r="D29" s="35" t="s">
        <v>50</v>
      </c>
      <c r="E29" s="36">
        <f>F29+G29+H29+I29+J29+K29+L29</f>
        <v>0</v>
      </c>
      <c r="F29" s="36"/>
      <c r="G29" s="36"/>
      <c r="H29" s="36"/>
      <c r="I29" s="36"/>
      <c r="J29" s="36"/>
      <c r="K29" s="36"/>
      <c r="L29" s="36"/>
      <c r="M29" s="176"/>
      <c r="N29" s="97"/>
      <c r="O29" s="97"/>
      <c r="P29" s="97"/>
      <c r="Q29" s="97"/>
      <c r="R29" s="97"/>
      <c r="S29" s="97"/>
      <c r="T29" s="97"/>
      <c r="U29" s="108"/>
    </row>
    <row r="30" spans="1:21" ht="12.75" customHeight="1">
      <c r="A30" s="170"/>
      <c r="B30" s="185"/>
      <c r="C30" s="105"/>
      <c r="D30" s="35" t="s">
        <v>48</v>
      </c>
      <c r="E30" s="36">
        <f>F30+G30+H30+I30+J30+K30+L30</f>
        <v>4583344</v>
      </c>
      <c r="F30" s="36">
        <v>4583344</v>
      </c>
      <c r="G30" s="36">
        <v>0</v>
      </c>
      <c r="H30" s="36">
        <v>0</v>
      </c>
      <c r="I30" s="36">
        <v>0</v>
      </c>
      <c r="J30" s="37">
        <f>I30</f>
        <v>0</v>
      </c>
      <c r="K30" s="37">
        <f>J30</f>
        <v>0</v>
      </c>
      <c r="L30" s="37">
        <f>K30</f>
        <v>0</v>
      </c>
      <c r="M30" s="176"/>
      <c r="N30" s="97"/>
      <c r="O30" s="97"/>
      <c r="P30" s="97"/>
      <c r="Q30" s="97"/>
      <c r="R30" s="97"/>
      <c r="S30" s="97"/>
      <c r="T30" s="97"/>
      <c r="U30" s="108"/>
    </row>
    <row r="31" spans="1:21" ht="12.75" customHeight="1">
      <c r="A31" s="170"/>
      <c r="B31" s="185"/>
      <c r="C31" s="105"/>
      <c r="D31" s="35" t="s">
        <v>49</v>
      </c>
      <c r="E31" s="36">
        <f>F31+G31+H31+I31+J31+K31+L31</f>
        <v>0</v>
      </c>
      <c r="F31" s="36"/>
      <c r="G31" s="36"/>
      <c r="H31" s="36"/>
      <c r="I31" s="36"/>
      <c r="J31" s="36"/>
      <c r="K31" s="36"/>
      <c r="L31" s="36"/>
      <c r="M31" s="176"/>
      <c r="N31" s="97"/>
      <c r="O31" s="97"/>
      <c r="P31" s="97"/>
      <c r="Q31" s="97"/>
      <c r="R31" s="97"/>
      <c r="S31" s="97"/>
      <c r="T31" s="97"/>
      <c r="U31" s="108"/>
    </row>
    <row r="32" spans="1:21" ht="12.75" customHeight="1">
      <c r="A32" s="171"/>
      <c r="B32" s="186"/>
      <c r="C32" s="106"/>
      <c r="D32" s="35" t="s">
        <v>51</v>
      </c>
      <c r="E32" s="36">
        <f>F32+G32+H32+I32+J32+K32+L32</f>
        <v>0</v>
      </c>
      <c r="F32" s="36"/>
      <c r="G32" s="36"/>
      <c r="H32" s="36"/>
      <c r="I32" s="36"/>
      <c r="J32" s="36"/>
      <c r="K32" s="36"/>
      <c r="L32" s="36"/>
      <c r="M32" s="177"/>
      <c r="N32" s="98"/>
      <c r="O32" s="98"/>
      <c r="P32" s="98"/>
      <c r="Q32" s="98"/>
      <c r="R32" s="98"/>
      <c r="S32" s="98"/>
      <c r="T32" s="98"/>
      <c r="U32" s="109"/>
    </row>
    <row r="33" spans="1:21" ht="18" customHeight="1">
      <c r="A33" s="169" t="s">
        <v>82</v>
      </c>
      <c r="B33" s="184" t="s">
        <v>95</v>
      </c>
      <c r="C33" s="104" t="s">
        <v>40</v>
      </c>
      <c r="D33" s="35" t="s">
        <v>52</v>
      </c>
      <c r="E33" s="36">
        <f>E35+E36+E37+E38</f>
        <v>4964297</v>
      </c>
      <c r="F33" s="36">
        <f aca="true" t="shared" si="4" ref="F33:L33">F35+F36+F37+F38</f>
        <v>4964297</v>
      </c>
      <c r="G33" s="36">
        <f t="shared" si="4"/>
        <v>0</v>
      </c>
      <c r="H33" s="36">
        <f t="shared" si="4"/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175" t="s">
        <v>119</v>
      </c>
      <c r="N33" s="96">
        <v>100</v>
      </c>
      <c r="O33" s="96">
        <v>100</v>
      </c>
      <c r="P33" s="96">
        <v>100</v>
      </c>
      <c r="Q33" s="96">
        <v>100</v>
      </c>
      <c r="R33" s="96">
        <v>100</v>
      </c>
      <c r="S33" s="96">
        <v>100</v>
      </c>
      <c r="T33" s="96">
        <v>100</v>
      </c>
      <c r="U33" s="107" t="s">
        <v>14</v>
      </c>
    </row>
    <row r="34" spans="1:21" ht="16.5" customHeight="1">
      <c r="A34" s="170"/>
      <c r="B34" s="185"/>
      <c r="C34" s="105"/>
      <c r="D34" s="110" t="s">
        <v>67</v>
      </c>
      <c r="E34" s="111"/>
      <c r="F34" s="111"/>
      <c r="G34" s="111"/>
      <c r="H34" s="111"/>
      <c r="I34" s="111"/>
      <c r="J34" s="111"/>
      <c r="K34" s="111"/>
      <c r="L34" s="112"/>
      <c r="M34" s="176"/>
      <c r="N34" s="97"/>
      <c r="O34" s="97"/>
      <c r="P34" s="97"/>
      <c r="Q34" s="97"/>
      <c r="R34" s="97"/>
      <c r="S34" s="97"/>
      <c r="T34" s="97"/>
      <c r="U34" s="108"/>
    </row>
    <row r="35" spans="1:21" ht="18.75" customHeight="1">
      <c r="A35" s="170"/>
      <c r="B35" s="185"/>
      <c r="C35" s="105"/>
      <c r="D35" s="35" t="s">
        <v>50</v>
      </c>
      <c r="E35" s="36">
        <f>F35+G35+H35+I35+J35+K35+L35</f>
        <v>0</v>
      </c>
      <c r="F35" s="36"/>
      <c r="G35" s="36"/>
      <c r="H35" s="36"/>
      <c r="I35" s="36"/>
      <c r="J35" s="36"/>
      <c r="K35" s="36"/>
      <c r="L35" s="36"/>
      <c r="M35" s="176"/>
      <c r="N35" s="97"/>
      <c r="O35" s="97"/>
      <c r="P35" s="97"/>
      <c r="Q35" s="97"/>
      <c r="R35" s="97"/>
      <c r="S35" s="97"/>
      <c r="T35" s="97"/>
      <c r="U35" s="108"/>
    </row>
    <row r="36" spans="1:21" ht="15.75" customHeight="1">
      <c r="A36" s="170"/>
      <c r="B36" s="185"/>
      <c r="C36" s="105"/>
      <c r="D36" s="35" t="s">
        <v>48</v>
      </c>
      <c r="E36" s="36">
        <f>F36+G36+H36+I36+J36+K36+L36</f>
        <v>4964297</v>
      </c>
      <c r="F36" s="36">
        <f>5476997-512700</f>
        <v>4964297</v>
      </c>
      <c r="G36" s="36">
        <v>0</v>
      </c>
      <c r="H36" s="36">
        <v>0</v>
      </c>
      <c r="I36" s="36">
        <v>0</v>
      </c>
      <c r="J36" s="37">
        <f>I36</f>
        <v>0</v>
      </c>
      <c r="K36" s="37">
        <f>J36</f>
        <v>0</v>
      </c>
      <c r="L36" s="37">
        <f>K36</f>
        <v>0</v>
      </c>
      <c r="M36" s="176"/>
      <c r="N36" s="167"/>
      <c r="O36" s="167"/>
      <c r="P36" s="167"/>
      <c r="Q36" s="167"/>
      <c r="R36" s="167"/>
      <c r="S36" s="167"/>
      <c r="T36" s="167"/>
      <c r="U36" s="108"/>
    </row>
    <row r="37" spans="1:21" ht="14.25" customHeight="1">
      <c r="A37" s="170"/>
      <c r="B37" s="185"/>
      <c r="C37" s="105"/>
      <c r="D37" s="35" t="s">
        <v>49</v>
      </c>
      <c r="E37" s="36">
        <f>F37+G37+H37+I37+J37+K37+L37</f>
        <v>0</v>
      </c>
      <c r="F37" s="36"/>
      <c r="G37" s="36"/>
      <c r="H37" s="36"/>
      <c r="I37" s="36"/>
      <c r="J37" s="36"/>
      <c r="K37" s="36"/>
      <c r="L37" s="36"/>
      <c r="M37" s="176"/>
      <c r="N37" s="167"/>
      <c r="O37" s="167"/>
      <c r="P37" s="167"/>
      <c r="Q37" s="167"/>
      <c r="R37" s="167"/>
      <c r="S37" s="167"/>
      <c r="T37" s="167"/>
      <c r="U37" s="108"/>
    </row>
    <row r="38" spans="1:21" ht="14.25" customHeight="1">
      <c r="A38" s="171"/>
      <c r="B38" s="186"/>
      <c r="C38" s="106"/>
      <c r="D38" s="35" t="s">
        <v>51</v>
      </c>
      <c r="E38" s="36">
        <f>F38+G38+H38+I38+J38+K38+L38</f>
        <v>0</v>
      </c>
      <c r="F38" s="36"/>
      <c r="G38" s="36"/>
      <c r="H38" s="36"/>
      <c r="I38" s="36"/>
      <c r="J38" s="36"/>
      <c r="K38" s="36"/>
      <c r="L38" s="36"/>
      <c r="M38" s="177"/>
      <c r="N38" s="168"/>
      <c r="O38" s="168"/>
      <c r="P38" s="168"/>
      <c r="Q38" s="168"/>
      <c r="R38" s="168"/>
      <c r="S38" s="168"/>
      <c r="T38" s="168"/>
      <c r="U38" s="109"/>
    </row>
    <row r="39" spans="1:21" ht="14.25" customHeight="1">
      <c r="A39" s="169" t="s">
        <v>83</v>
      </c>
      <c r="B39" s="172" t="s">
        <v>96</v>
      </c>
      <c r="C39" s="104" t="s">
        <v>40</v>
      </c>
      <c r="D39" s="35" t="s">
        <v>52</v>
      </c>
      <c r="E39" s="36">
        <f>E41+E42+E43+E44</f>
        <v>286459</v>
      </c>
      <c r="F39" s="36">
        <f aca="true" t="shared" si="5" ref="F39:L39">F41+F42+F43+F44</f>
        <v>286459</v>
      </c>
      <c r="G39" s="36">
        <f t="shared" si="5"/>
        <v>0</v>
      </c>
      <c r="H39" s="36">
        <f t="shared" si="5"/>
        <v>0</v>
      </c>
      <c r="I39" s="36">
        <f t="shared" si="5"/>
        <v>0</v>
      </c>
      <c r="J39" s="36">
        <f t="shared" si="5"/>
        <v>0</v>
      </c>
      <c r="K39" s="36">
        <f t="shared" si="5"/>
        <v>0</v>
      </c>
      <c r="L39" s="36">
        <f t="shared" si="5"/>
        <v>0</v>
      </c>
      <c r="M39" s="93" t="s">
        <v>120</v>
      </c>
      <c r="N39" s="96">
        <v>100</v>
      </c>
      <c r="O39" s="96">
        <v>100</v>
      </c>
      <c r="P39" s="96">
        <v>100</v>
      </c>
      <c r="Q39" s="96">
        <v>100</v>
      </c>
      <c r="R39" s="96">
        <v>100</v>
      </c>
      <c r="S39" s="96">
        <v>100</v>
      </c>
      <c r="T39" s="96">
        <v>100</v>
      </c>
      <c r="U39" s="107" t="s">
        <v>14</v>
      </c>
    </row>
    <row r="40" spans="1:21" ht="16.5" customHeight="1">
      <c r="A40" s="170"/>
      <c r="B40" s="173"/>
      <c r="C40" s="105"/>
      <c r="D40" s="110" t="s">
        <v>67</v>
      </c>
      <c r="E40" s="111"/>
      <c r="F40" s="111"/>
      <c r="G40" s="111"/>
      <c r="H40" s="111"/>
      <c r="I40" s="111"/>
      <c r="J40" s="111"/>
      <c r="K40" s="111"/>
      <c r="L40" s="112"/>
      <c r="M40" s="94"/>
      <c r="N40" s="97"/>
      <c r="O40" s="97"/>
      <c r="P40" s="97"/>
      <c r="Q40" s="97"/>
      <c r="R40" s="97"/>
      <c r="S40" s="97"/>
      <c r="T40" s="97"/>
      <c r="U40" s="108"/>
    </row>
    <row r="41" spans="1:21" ht="14.25" customHeight="1">
      <c r="A41" s="170"/>
      <c r="B41" s="173"/>
      <c r="C41" s="105"/>
      <c r="D41" s="35" t="s">
        <v>50</v>
      </c>
      <c r="E41" s="36">
        <f>F41+G41+H41+I41+J41+K41+L41</f>
        <v>0</v>
      </c>
      <c r="F41" s="37"/>
      <c r="G41" s="36"/>
      <c r="H41" s="36"/>
      <c r="I41" s="36"/>
      <c r="J41" s="36"/>
      <c r="K41" s="36"/>
      <c r="L41" s="36"/>
      <c r="M41" s="94"/>
      <c r="N41" s="97"/>
      <c r="O41" s="97"/>
      <c r="P41" s="97"/>
      <c r="Q41" s="97"/>
      <c r="R41" s="97"/>
      <c r="S41" s="97"/>
      <c r="T41" s="97"/>
      <c r="U41" s="108"/>
    </row>
    <row r="42" spans="1:21" ht="14.25" customHeight="1">
      <c r="A42" s="170"/>
      <c r="B42" s="173"/>
      <c r="C42" s="105"/>
      <c r="D42" s="35" t="s">
        <v>48</v>
      </c>
      <c r="E42" s="36">
        <f>F42+G42+H42+I42+J42+K42+L42</f>
        <v>286459</v>
      </c>
      <c r="F42" s="37">
        <v>286459</v>
      </c>
      <c r="G42" s="36">
        <v>0</v>
      </c>
      <c r="H42" s="36">
        <v>0</v>
      </c>
      <c r="I42" s="36">
        <v>0</v>
      </c>
      <c r="J42" s="37">
        <f>I42</f>
        <v>0</v>
      </c>
      <c r="K42" s="37">
        <f>J42</f>
        <v>0</v>
      </c>
      <c r="L42" s="37">
        <f>K42</f>
        <v>0</v>
      </c>
      <c r="M42" s="94"/>
      <c r="N42" s="97"/>
      <c r="O42" s="97"/>
      <c r="P42" s="97"/>
      <c r="Q42" s="97"/>
      <c r="R42" s="97"/>
      <c r="S42" s="97"/>
      <c r="T42" s="97"/>
      <c r="U42" s="108"/>
    </row>
    <row r="43" spans="1:21" ht="14.25" customHeight="1">
      <c r="A43" s="170"/>
      <c r="B43" s="173"/>
      <c r="C43" s="105"/>
      <c r="D43" s="35" t="s">
        <v>49</v>
      </c>
      <c r="E43" s="36">
        <f>F43+G43+H43+I43+J43+K43+L43</f>
        <v>0</v>
      </c>
      <c r="F43" s="37"/>
      <c r="G43" s="36"/>
      <c r="H43" s="36"/>
      <c r="I43" s="36"/>
      <c r="J43" s="36"/>
      <c r="K43" s="36"/>
      <c r="L43" s="36"/>
      <c r="M43" s="94"/>
      <c r="N43" s="97"/>
      <c r="O43" s="97"/>
      <c r="P43" s="97"/>
      <c r="Q43" s="97"/>
      <c r="R43" s="97"/>
      <c r="S43" s="97"/>
      <c r="T43" s="97"/>
      <c r="U43" s="108"/>
    </row>
    <row r="44" spans="1:21" ht="14.25" customHeight="1">
      <c r="A44" s="171"/>
      <c r="B44" s="174"/>
      <c r="C44" s="106"/>
      <c r="D44" s="35" t="s">
        <v>51</v>
      </c>
      <c r="E44" s="36">
        <f>F44+G44+H44+I44+J44+K44+L44</f>
        <v>0</v>
      </c>
      <c r="F44" s="37"/>
      <c r="G44" s="36"/>
      <c r="H44" s="36"/>
      <c r="I44" s="36"/>
      <c r="J44" s="36"/>
      <c r="K44" s="36"/>
      <c r="L44" s="36"/>
      <c r="M44" s="95"/>
      <c r="N44" s="98"/>
      <c r="O44" s="98"/>
      <c r="P44" s="98"/>
      <c r="Q44" s="98"/>
      <c r="R44" s="98"/>
      <c r="S44" s="98"/>
      <c r="T44" s="98"/>
      <c r="U44" s="109"/>
    </row>
    <row r="45" spans="1:21" ht="27" customHeight="1">
      <c r="A45" s="169" t="s">
        <v>99</v>
      </c>
      <c r="B45" s="172" t="s">
        <v>97</v>
      </c>
      <c r="C45" s="104" t="s">
        <v>40</v>
      </c>
      <c r="D45" s="35" t="s">
        <v>52</v>
      </c>
      <c r="E45" s="36">
        <f>E47+E48+E49+E50</f>
        <v>693806000.9900002</v>
      </c>
      <c r="F45" s="36">
        <f aca="true" t="shared" si="6" ref="F45:L45">F47+F48+F49+F50</f>
        <v>83110947.83</v>
      </c>
      <c r="G45" s="36">
        <f t="shared" si="6"/>
        <v>77108268.28</v>
      </c>
      <c r="H45" s="36">
        <f t="shared" si="6"/>
        <v>100923704.24</v>
      </c>
      <c r="I45" s="36">
        <f t="shared" si="6"/>
        <v>108165770.16000003</v>
      </c>
      <c r="J45" s="36">
        <f t="shared" si="6"/>
        <v>108165770.16000003</v>
      </c>
      <c r="K45" s="36">
        <f t="shared" si="6"/>
        <v>108165770.16000003</v>
      </c>
      <c r="L45" s="36">
        <f t="shared" si="6"/>
        <v>108165770.16000003</v>
      </c>
      <c r="M45" s="93" t="s">
        <v>17</v>
      </c>
      <c r="N45" s="96">
        <v>1</v>
      </c>
      <c r="O45" s="96">
        <v>1</v>
      </c>
      <c r="P45" s="96">
        <v>1</v>
      </c>
      <c r="Q45" s="96">
        <v>1</v>
      </c>
      <c r="R45" s="96">
        <v>1</v>
      </c>
      <c r="S45" s="96">
        <v>1</v>
      </c>
      <c r="T45" s="96">
        <v>1</v>
      </c>
      <c r="U45" s="107" t="s">
        <v>14</v>
      </c>
    </row>
    <row r="46" spans="1:21" ht="16.5" customHeight="1">
      <c r="A46" s="170"/>
      <c r="B46" s="173"/>
      <c r="C46" s="105"/>
      <c r="D46" s="110" t="s">
        <v>67</v>
      </c>
      <c r="E46" s="111"/>
      <c r="F46" s="111"/>
      <c r="G46" s="111"/>
      <c r="H46" s="111"/>
      <c r="I46" s="111"/>
      <c r="J46" s="111"/>
      <c r="K46" s="111"/>
      <c r="L46" s="112"/>
      <c r="M46" s="94"/>
      <c r="N46" s="97"/>
      <c r="O46" s="97"/>
      <c r="P46" s="97"/>
      <c r="Q46" s="97"/>
      <c r="R46" s="97"/>
      <c r="S46" s="97"/>
      <c r="T46" s="97"/>
      <c r="U46" s="108"/>
    </row>
    <row r="47" spans="1:21" ht="21" customHeight="1">
      <c r="A47" s="170"/>
      <c r="B47" s="173"/>
      <c r="C47" s="105"/>
      <c r="D47" s="35" t="s">
        <v>50</v>
      </c>
      <c r="E47" s="36">
        <f>F47+G47+H47+I47+J47+K47+L47</f>
        <v>693806000.9900002</v>
      </c>
      <c r="F47" s="37">
        <f>99968803-F53+1016650.83+232560+34977</f>
        <v>83110947.83</v>
      </c>
      <c r="G47" s="37">
        <v>77108268.28</v>
      </c>
      <c r="H47" s="37">
        <f>100923704.24</f>
        <v>100923704.24</v>
      </c>
      <c r="I47" s="37">
        <f>83226169.29-I59+811783.98+29498683.35</f>
        <v>108165770.16000003</v>
      </c>
      <c r="J47" s="37">
        <f>I47</f>
        <v>108165770.16000003</v>
      </c>
      <c r="K47" s="37">
        <f>J47</f>
        <v>108165770.16000003</v>
      </c>
      <c r="L47" s="37">
        <f>K47</f>
        <v>108165770.16000003</v>
      </c>
      <c r="M47" s="94"/>
      <c r="N47" s="97"/>
      <c r="O47" s="97"/>
      <c r="P47" s="97"/>
      <c r="Q47" s="97"/>
      <c r="R47" s="97"/>
      <c r="S47" s="97"/>
      <c r="T47" s="97"/>
      <c r="U47" s="108"/>
    </row>
    <row r="48" spans="1:21" ht="15" customHeight="1">
      <c r="A48" s="170"/>
      <c r="B48" s="173"/>
      <c r="C48" s="105"/>
      <c r="D48" s="35" t="s">
        <v>48</v>
      </c>
      <c r="E48" s="36">
        <f>F48+G48+H48+I48+J48+K48+L48</f>
        <v>0</v>
      </c>
      <c r="F48" s="37"/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94"/>
      <c r="N48" s="97"/>
      <c r="O48" s="97"/>
      <c r="P48" s="97"/>
      <c r="Q48" s="97"/>
      <c r="R48" s="97"/>
      <c r="S48" s="97"/>
      <c r="T48" s="97"/>
      <c r="U48" s="108"/>
    </row>
    <row r="49" spans="1:21" ht="14.25" customHeight="1">
      <c r="A49" s="170"/>
      <c r="B49" s="173"/>
      <c r="C49" s="105"/>
      <c r="D49" s="35" t="s">
        <v>49</v>
      </c>
      <c r="E49" s="36">
        <f>F49+G49+H49+I49+J49+K49+L49</f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94"/>
      <c r="N49" s="97"/>
      <c r="O49" s="97"/>
      <c r="P49" s="97"/>
      <c r="Q49" s="97"/>
      <c r="R49" s="97"/>
      <c r="S49" s="97"/>
      <c r="T49" s="97"/>
      <c r="U49" s="108"/>
    </row>
    <row r="50" spans="1:21" ht="14.25" customHeight="1">
      <c r="A50" s="171"/>
      <c r="B50" s="174"/>
      <c r="C50" s="106"/>
      <c r="D50" s="35" t="s">
        <v>51</v>
      </c>
      <c r="E50" s="36">
        <f>F50+G50+H50+I50+J50+K50+L50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95"/>
      <c r="N50" s="98"/>
      <c r="O50" s="98"/>
      <c r="P50" s="98"/>
      <c r="Q50" s="98"/>
      <c r="R50" s="98"/>
      <c r="S50" s="98"/>
      <c r="T50" s="98"/>
      <c r="U50" s="109"/>
    </row>
    <row r="51" spans="1:21" ht="27" customHeight="1">
      <c r="A51" s="169" t="s">
        <v>100</v>
      </c>
      <c r="B51" s="172" t="s">
        <v>105</v>
      </c>
      <c r="C51" s="104" t="s">
        <v>40</v>
      </c>
      <c r="D51" s="35" t="s">
        <v>52</v>
      </c>
      <c r="E51" s="36">
        <f>E53+E54+E55+E56</f>
        <v>36194498.82</v>
      </c>
      <c r="F51" s="36">
        <f aca="true" t="shared" si="7" ref="F51:L51">F53+F54+F55+F56</f>
        <v>18142043</v>
      </c>
      <c r="G51" s="36">
        <f t="shared" si="7"/>
        <v>18052455.82</v>
      </c>
      <c r="H51" s="36">
        <f t="shared" si="7"/>
        <v>0</v>
      </c>
      <c r="I51" s="36">
        <f t="shared" si="7"/>
        <v>0</v>
      </c>
      <c r="J51" s="36">
        <f t="shared" si="7"/>
        <v>0</v>
      </c>
      <c r="K51" s="36">
        <f t="shared" si="7"/>
        <v>0</v>
      </c>
      <c r="L51" s="36">
        <f t="shared" si="7"/>
        <v>0</v>
      </c>
      <c r="M51" s="93" t="s">
        <v>7</v>
      </c>
      <c r="N51" s="99">
        <v>1</v>
      </c>
      <c r="O51" s="99">
        <v>1</v>
      </c>
      <c r="P51" s="99">
        <v>1</v>
      </c>
      <c r="Q51" s="99">
        <v>1</v>
      </c>
      <c r="R51" s="99">
        <v>1</v>
      </c>
      <c r="S51" s="99">
        <v>1</v>
      </c>
      <c r="T51" s="99">
        <v>1</v>
      </c>
      <c r="U51" s="107" t="s">
        <v>14</v>
      </c>
    </row>
    <row r="52" spans="1:21" ht="16.5" customHeight="1">
      <c r="A52" s="170"/>
      <c r="B52" s="173"/>
      <c r="C52" s="105"/>
      <c r="D52" s="110" t="s">
        <v>67</v>
      </c>
      <c r="E52" s="111"/>
      <c r="F52" s="111"/>
      <c r="G52" s="111"/>
      <c r="H52" s="111"/>
      <c r="I52" s="111"/>
      <c r="J52" s="111"/>
      <c r="K52" s="111"/>
      <c r="L52" s="112"/>
      <c r="M52" s="94"/>
      <c r="N52" s="100"/>
      <c r="O52" s="100"/>
      <c r="P52" s="100"/>
      <c r="Q52" s="100"/>
      <c r="R52" s="100"/>
      <c r="S52" s="100"/>
      <c r="T52" s="100"/>
      <c r="U52" s="108"/>
    </row>
    <row r="53" spans="1:21" ht="21" customHeight="1">
      <c r="A53" s="170"/>
      <c r="B53" s="173"/>
      <c r="C53" s="105"/>
      <c r="D53" s="35" t="s">
        <v>50</v>
      </c>
      <c r="E53" s="36">
        <f>F53+G53+H53+I53+J53+K53+L53</f>
        <v>36194498.82</v>
      </c>
      <c r="F53" s="37">
        <f>25282883.97+5371987-F84</f>
        <v>18142043</v>
      </c>
      <c r="G53" s="37">
        <f>22306936-3240730-1013750.18</f>
        <v>18052455.82</v>
      </c>
      <c r="H53" s="37">
        <v>0</v>
      </c>
      <c r="I53" s="37">
        <v>0</v>
      </c>
      <c r="J53" s="37">
        <f>I53</f>
        <v>0</v>
      </c>
      <c r="K53" s="37">
        <f>J53</f>
        <v>0</v>
      </c>
      <c r="L53" s="37">
        <f>K53</f>
        <v>0</v>
      </c>
      <c r="M53" s="94"/>
      <c r="N53" s="100"/>
      <c r="O53" s="100"/>
      <c r="P53" s="100"/>
      <c r="Q53" s="100"/>
      <c r="R53" s="100"/>
      <c r="S53" s="100"/>
      <c r="T53" s="100"/>
      <c r="U53" s="108"/>
    </row>
    <row r="54" spans="1:21" ht="15" customHeight="1">
      <c r="A54" s="170"/>
      <c r="B54" s="173"/>
      <c r="C54" s="105"/>
      <c r="D54" s="35" t="s">
        <v>48</v>
      </c>
      <c r="E54" s="36">
        <f>F54+G54+H54+I54+J54+K54+L54</f>
        <v>0</v>
      </c>
      <c r="F54" s="37"/>
      <c r="G54" s="37"/>
      <c r="H54" s="37"/>
      <c r="I54" s="37"/>
      <c r="J54" s="37"/>
      <c r="K54" s="37"/>
      <c r="L54" s="37"/>
      <c r="M54" s="94"/>
      <c r="N54" s="100"/>
      <c r="O54" s="100"/>
      <c r="P54" s="100"/>
      <c r="Q54" s="100"/>
      <c r="R54" s="100"/>
      <c r="S54" s="100"/>
      <c r="T54" s="100"/>
      <c r="U54" s="108"/>
    </row>
    <row r="55" spans="1:21" ht="14.25" customHeight="1">
      <c r="A55" s="170"/>
      <c r="B55" s="173"/>
      <c r="C55" s="105"/>
      <c r="D55" s="35" t="s">
        <v>49</v>
      </c>
      <c r="E55" s="36">
        <f>F55+G55+H55+I55+J55+K55+L55</f>
        <v>0</v>
      </c>
      <c r="F55" s="37"/>
      <c r="G55" s="37"/>
      <c r="H55" s="37"/>
      <c r="I55" s="37"/>
      <c r="J55" s="37"/>
      <c r="K55" s="37"/>
      <c r="L55" s="37"/>
      <c r="M55" s="94"/>
      <c r="N55" s="100"/>
      <c r="O55" s="100"/>
      <c r="P55" s="100"/>
      <c r="Q55" s="100"/>
      <c r="R55" s="100"/>
      <c r="S55" s="100"/>
      <c r="T55" s="100"/>
      <c r="U55" s="108"/>
    </row>
    <row r="56" spans="1:21" ht="12.75">
      <c r="A56" s="171"/>
      <c r="B56" s="174"/>
      <c r="C56" s="106"/>
      <c r="D56" s="35" t="s">
        <v>51</v>
      </c>
      <c r="E56" s="36">
        <f>F56+G56+H56+I56+J56+K56+L56</f>
        <v>0</v>
      </c>
      <c r="F56" s="37"/>
      <c r="G56" s="37"/>
      <c r="H56" s="37"/>
      <c r="I56" s="37"/>
      <c r="J56" s="37"/>
      <c r="K56" s="37"/>
      <c r="L56" s="37"/>
      <c r="M56" s="95"/>
      <c r="N56" s="103"/>
      <c r="O56" s="103"/>
      <c r="P56" s="103"/>
      <c r="Q56" s="103"/>
      <c r="R56" s="103"/>
      <c r="S56" s="103"/>
      <c r="T56" s="103"/>
      <c r="U56" s="109"/>
    </row>
    <row r="57" spans="1:21" ht="27" customHeight="1">
      <c r="A57" s="169" t="s">
        <v>101</v>
      </c>
      <c r="B57" s="172" t="s">
        <v>112</v>
      </c>
      <c r="C57" s="104" t="s">
        <v>40</v>
      </c>
      <c r="D57" s="35" t="s">
        <v>52</v>
      </c>
      <c r="E57" s="36">
        <f>E59+E60+E61+E62</f>
        <v>37935708.11000001</v>
      </c>
      <c r="F57" s="36">
        <f aca="true" t="shared" si="8" ref="F57:L57">F59+F60+F61+F62</f>
        <v>1131090</v>
      </c>
      <c r="G57" s="36">
        <f t="shared" si="8"/>
        <v>5540424.87</v>
      </c>
      <c r="H57" s="36">
        <f t="shared" si="8"/>
        <v>5936477.4</v>
      </c>
      <c r="I57" s="36">
        <f t="shared" si="8"/>
        <v>5857861.46</v>
      </c>
      <c r="J57" s="36">
        <f t="shared" si="8"/>
        <v>6489951.46</v>
      </c>
      <c r="K57" s="36">
        <f t="shared" si="8"/>
        <v>6489951.46</v>
      </c>
      <c r="L57" s="36">
        <f t="shared" si="8"/>
        <v>6489951.46</v>
      </c>
      <c r="M57" s="93" t="s">
        <v>117</v>
      </c>
      <c r="N57" s="99">
        <v>1</v>
      </c>
      <c r="O57" s="99">
        <v>1</v>
      </c>
      <c r="P57" s="99">
        <v>1</v>
      </c>
      <c r="Q57" s="99">
        <v>1</v>
      </c>
      <c r="R57" s="99">
        <v>1</v>
      </c>
      <c r="S57" s="99">
        <v>1</v>
      </c>
      <c r="T57" s="99">
        <v>1</v>
      </c>
      <c r="U57" s="107" t="s">
        <v>14</v>
      </c>
    </row>
    <row r="58" spans="1:21" ht="16.5" customHeight="1">
      <c r="A58" s="170"/>
      <c r="B58" s="173"/>
      <c r="C58" s="105"/>
      <c r="D58" s="110" t="s">
        <v>67</v>
      </c>
      <c r="E58" s="111"/>
      <c r="F58" s="111"/>
      <c r="G58" s="111"/>
      <c r="H58" s="111"/>
      <c r="I58" s="111"/>
      <c r="J58" s="111"/>
      <c r="K58" s="111"/>
      <c r="L58" s="112"/>
      <c r="M58" s="94"/>
      <c r="N58" s="100"/>
      <c r="O58" s="100"/>
      <c r="P58" s="100"/>
      <c r="Q58" s="100"/>
      <c r="R58" s="100"/>
      <c r="S58" s="100"/>
      <c r="T58" s="100"/>
      <c r="U58" s="108"/>
    </row>
    <row r="59" spans="1:21" ht="21" customHeight="1">
      <c r="A59" s="170"/>
      <c r="B59" s="173"/>
      <c r="C59" s="105"/>
      <c r="D59" s="35" t="s">
        <v>50</v>
      </c>
      <c r="E59" s="36">
        <f>F59+G59+H59+I59+J59+K59+L59</f>
        <v>30555675.870000005</v>
      </c>
      <c r="F59" s="37"/>
      <c r="G59" s="37">
        <f>4863632.5+11816.5-243772.44-200421.93</f>
        <v>4431254.63</v>
      </c>
      <c r="H59" s="37">
        <f>5326428.04-685472.64</f>
        <v>4640955.4</v>
      </c>
      <c r="I59" s="37">
        <v>5370866.46</v>
      </c>
      <c r="J59" s="37">
        <f aca="true" t="shared" si="9" ref="J59:L60">I59</f>
        <v>5370866.46</v>
      </c>
      <c r="K59" s="37">
        <f t="shared" si="9"/>
        <v>5370866.46</v>
      </c>
      <c r="L59" s="37">
        <f t="shared" si="9"/>
        <v>5370866.46</v>
      </c>
      <c r="M59" s="94"/>
      <c r="N59" s="100"/>
      <c r="O59" s="100"/>
      <c r="P59" s="100"/>
      <c r="Q59" s="100"/>
      <c r="R59" s="100"/>
      <c r="S59" s="100"/>
      <c r="T59" s="100"/>
      <c r="U59" s="108"/>
    </row>
    <row r="60" spans="1:21" ht="15" customHeight="1">
      <c r="A60" s="170"/>
      <c r="B60" s="173"/>
      <c r="C60" s="105"/>
      <c r="D60" s="35" t="s">
        <v>48</v>
      </c>
      <c r="E60" s="36">
        <f>F60+G60+H60+I60+J60+K60+L60</f>
        <v>7380032.24</v>
      </c>
      <c r="F60" s="37">
        <v>1131090</v>
      </c>
      <c r="G60" s="37">
        <f>5385+1103785.24</f>
        <v>1109170.24</v>
      </c>
      <c r="H60" s="37">
        <f>1240+1294282</f>
        <v>1295522</v>
      </c>
      <c r="I60" s="37">
        <f>485755+1240</f>
        <v>486995</v>
      </c>
      <c r="J60" s="37">
        <v>1119085</v>
      </c>
      <c r="K60" s="37">
        <f t="shared" si="9"/>
        <v>1119085</v>
      </c>
      <c r="L60" s="37">
        <f t="shared" si="9"/>
        <v>1119085</v>
      </c>
      <c r="M60" s="94"/>
      <c r="N60" s="100"/>
      <c r="O60" s="100"/>
      <c r="P60" s="100"/>
      <c r="Q60" s="100"/>
      <c r="R60" s="100"/>
      <c r="S60" s="100"/>
      <c r="T60" s="100"/>
      <c r="U60" s="108"/>
    </row>
    <row r="61" spans="1:21" ht="14.25" customHeight="1">
      <c r="A61" s="170"/>
      <c r="B61" s="173"/>
      <c r="C61" s="105"/>
      <c r="D61" s="35" t="s">
        <v>49</v>
      </c>
      <c r="E61" s="36">
        <f>F61+G61+H61+I61+J61+K61+L61</f>
        <v>0</v>
      </c>
      <c r="F61" s="37"/>
      <c r="G61" s="37"/>
      <c r="H61" s="37"/>
      <c r="I61" s="37"/>
      <c r="J61" s="37"/>
      <c r="K61" s="37"/>
      <c r="L61" s="37"/>
      <c r="M61" s="94"/>
      <c r="N61" s="100"/>
      <c r="O61" s="100"/>
      <c r="P61" s="100"/>
      <c r="Q61" s="100"/>
      <c r="R61" s="100"/>
      <c r="S61" s="100"/>
      <c r="T61" s="100"/>
      <c r="U61" s="108"/>
    </row>
    <row r="62" spans="1:21" ht="12.75">
      <c r="A62" s="171"/>
      <c r="B62" s="174"/>
      <c r="C62" s="106"/>
      <c r="D62" s="35" t="s">
        <v>51</v>
      </c>
      <c r="E62" s="36">
        <f>F62+G62+H62+I62+J62+K62+L62</f>
        <v>0</v>
      </c>
      <c r="F62" s="37"/>
      <c r="G62" s="37"/>
      <c r="H62" s="37"/>
      <c r="I62" s="37"/>
      <c r="J62" s="37"/>
      <c r="K62" s="37"/>
      <c r="L62" s="37"/>
      <c r="M62" s="95"/>
      <c r="N62" s="103"/>
      <c r="O62" s="103"/>
      <c r="P62" s="103"/>
      <c r="Q62" s="103"/>
      <c r="R62" s="103"/>
      <c r="S62" s="103"/>
      <c r="T62" s="103"/>
      <c r="U62" s="109"/>
    </row>
    <row r="63" spans="1:21" ht="27" customHeight="1">
      <c r="A63" s="169" t="s">
        <v>121</v>
      </c>
      <c r="B63" s="172" t="s">
        <v>98</v>
      </c>
      <c r="C63" s="104" t="s">
        <v>40</v>
      </c>
      <c r="D63" s="35" t="s">
        <v>52</v>
      </c>
      <c r="E63" s="36">
        <f>E65+E66+E67+E68</f>
        <v>8010028.07</v>
      </c>
      <c r="F63" s="36">
        <f aca="true" t="shared" si="10" ref="F63:L63">F65+F66+F67+F68</f>
        <v>862705</v>
      </c>
      <c r="G63" s="36">
        <f t="shared" si="10"/>
        <v>1413208.07</v>
      </c>
      <c r="H63" s="36">
        <f t="shared" si="10"/>
        <v>1573000</v>
      </c>
      <c r="I63" s="36">
        <f t="shared" si="10"/>
        <v>1573000</v>
      </c>
      <c r="J63" s="36">
        <f t="shared" si="10"/>
        <v>862705</v>
      </c>
      <c r="K63" s="36">
        <f t="shared" si="10"/>
        <v>862705</v>
      </c>
      <c r="L63" s="36">
        <f t="shared" si="10"/>
        <v>862705</v>
      </c>
      <c r="M63" s="93" t="s">
        <v>21</v>
      </c>
      <c r="N63" s="99">
        <v>1</v>
      </c>
      <c r="O63" s="99">
        <v>1</v>
      </c>
      <c r="P63" s="99">
        <v>1</v>
      </c>
      <c r="Q63" s="99">
        <v>1</v>
      </c>
      <c r="R63" s="99">
        <v>1</v>
      </c>
      <c r="S63" s="99">
        <v>1</v>
      </c>
      <c r="T63" s="99">
        <v>1</v>
      </c>
      <c r="U63" s="107" t="s">
        <v>14</v>
      </c>
    </row>
    <row r="64" spans="1:21" ht="16.5" customHeight="1">
      <c r="A64" s="170"/>
      <c r="B64" s="173"/>
      <c r="C64" s="105"/>
      <c r="D64" s="110" t="s">
        <v>67</v>
      </c>
      <c r="E64" s="111"/>
      <c r="F64" s="111"/>
      <c r="G64" s="111"/>
      <c r="H64" s="111"/>
      <c r="I64" s="111"/>
      <c r="J64" s="111"/>
      <c r="K64" s="111"/>
      <c r="L64" s="112"/>
      <c r="M64" s="94"/>
      <c r="N64" s="100"/>
      <c r="O64" s="100"/>
      <c r="P64" s="100"/>
      <c r="Q64" s="100"/>
      <c r="R64" s="100"/>
      <c r="S64" s="100"/>
      <c r="T64" s="100"/>
      <c r="U64" s="108"/>
    </row>
    <row r="65" spans="1:21" ht="21" customHeight="1">
      <c r="A65" s="170"/>
      <c r="B65" s="173"/>
      <c r="C65" s="105"/>
      <c r="D65" s="35" t="s">
        <v>50</v>
      </c>
      <c r="E65" s="36">
        <f>F65+G65+H65+I65+J65+K65+L65</f>
        <v>0</v>
      </c>
      <c r="F65" s="37"/>
      <c r="G65" s="37"/>
      <c r="H65" s="37"/>
      <c r="I65" s="37"/>
      <c r="J65" s="37"/>
      <c r="K65" s="37"/>
      <c r="L65" s="37"/>
      <c r="M65" s="94"/>
      <c r="N65" s="100"/>
      <c r="O65" s="100"/>
      <c r="P65" s="100"/>
      <c r="Q65" s="100"/>
      <c r="R65" s="100"/>
      <c r="S65" s="100"/>
      <c r="T65" s="100"/>
      <c r="U65" s="108"/>
    </row>
    <row r="66" spans="1:21" ht="15" customHeight="1">
      <c r="A66" s="170"/>
      <c r="B66" s="173"/>
      <c r="C66" s="105"/>
      <c r="D66" s="35" t="s">
        <v>48</v>
      </c>
      <c r="E66" s="36">
        <f>F66+G66+H66+I66+J66+K66+L66</f>
        <v>0</v>
      </c>
      <c r="F66" s="37"/>
      <c r="G66" s="37"/>
      <c r="H66" s="37"/>
      <c r="I66" s="37"/>
      <c r="J66" s="37"/>
      <c r="K66" s="37"/>
      <c r="L66" s="37"/>
      <c r="M66" s="94"/>
      <c r="N66" s="100"/>
      <c r="O66" s="100"/>
      <c r="P66" s="100"/>
      <c r="Q66" s="100"/>
      <c r="R66" s="100"/>
      <c r="S66" s="100"/>
      <c r="T66" s="100"/>
      <c r="U66" s="108"/>
    </row>
    <row r="67" spans="1:21" ht="14.25" customHeight="1">
      <c r="A67" s="170"/>
      <c r="B67" s="173"/>
      <c r="C67" s="105"/>
      <c r="D67" s="35" t="s">
        <v>49</v>
      </c>
      <c r="E67" s="36">
        <f>F67+G67+H67+I67+J67+K67+L67</f>
        <v>0</v>
      </c>
      <c r="F67" s="37"/>
      <c r="G67" s="37"/>
      <c r="H67" s="37"/>
      <c r="I67" s="37"/>
      <c r="J67" s="37"/>
      <c r="K67" s="37"/>
      <c r="L67" s="37"/>
      <c r="M67" s="94"/>
      <c r="N67" s="100"/>
      <c r="O67" s="100"/>
      <c r="P67" s="100"/>
      <c r="Q67" s="100"/>
      <c r="R67" s="100"/>
      <c r="S67" s="100"/>
      <c r="T67" s="100"/>
      <c r="U67" s="108"/>
    </row>
    <row r="68" spans="1:21" ht="12.75" customHeight="1">
      <c r="A68" s="171"/>
      <c r="B68" s="174"/>
      <c r="C68" s="106"/>
      <c r="D68" s="35" t="s">
        <v>51</v>
      </c>
      <c r="E68" s="36">
        <f>F68+G68+H68+I68+J68+K68+L68</f>
        <v>8010028.07</v>
      </c>
      <c r="F68" s="37">
        <f>1403705-541000</f>
        <v>862705</v>
      </c>
      <c r="G68" s="37">
        <v>1413208.07</v>
      </c>
      <c r="H68" s="37">
        <v>1573000</v>
      </c>
      <c r="I68" s="37">
        <v>1573000</v>
      </c>
      <c r="J68" s="37">
        <v>862705</v>
      </c>
      <c r="K68" s="37">
        <f>J68</f>
        <v>862705</v>
      </c>
      <c r="L68" s="37">
        <f>K68</f>
        <v>862705</v>
      </c>
      <c r="M68" s="95"/>
      <c r="N68" s="103"/>
      <c r="O68" s="103"/>
      <c r="P68" s="103"/>
      <c r="Q68" s="103"/>
      <c r="R68" s="103"/>
      <c r="S68" s="103"/>
      <c r="T68" s="103"/>
      <c r="U68" s="109"/>
    </row>
    <row r="69" spans="1:21" ht="13.5" customHeight="1">
      <c r="A69" s="158"/>
      <c r="B69" s="161" t="s">
        <v>111</v>
      </c>
      <c r="C69" s="158"/>
      <c r="D69" s="71" t="s">
        <v>52</v>
      </c>
      <c r="E69" s="72">
        <f aca="true" t="shared" si="11" ref="E69:L69">E71+E72+E73+E74</f>
        <v>3178473730.5</v>
      </c>
      <c r="F69" s="72">
        <f t="shared" si="11"/>
        <v>407698429.83</v>
      </c>
      <c r="G69" s="72">
        <f t="shared" si="11"/>
        <v>416794756.04</v>
      </c>
      <c r="H69" s="72">
        <f t="shared" si="11"/>
        <v>434812133.15</v>
      </c>
      <c r="I69" s="72">
        <f t="shared" si="11"/>
        <v>520195731.62</v>
      </c>
      <c r="J69" s="72">
        <f t="shared" si="11"/>
        <v>466324226.62</v>
      </c>
      <c r="K69" s="72">
        <f t="shared" si="11"/>
        <v>466324226.62</v>
      </c>
      <c r="L69" s="72">
        <f t="shared" si="11"/>
        <v>466324226.62</v>
      </c>
      <c r="M69" s="136"/>
      <c r="N69" s="130"/>
      <c r="O69" s="130"/>
      <c r="P69" s="130"/>
      <c r="Q69" s="130"/>
      <c r="R69" s="130"/>
      <c r="S69" s="130"/>
      <c r="T69" s="130"/>
      <c r="U69" s="164"/>
    </row>
    <row r="70" spans="1:21" ht="12.75" customHeight="1">
      <c r="A70" s="159"/>
      <c r="B70" s="162"/>
      <c r="C70" s="159"/>
      <c r="D70" s="139" t="s">
        <v>67</v>
      </c>
      <c r="E70" s="140"/>
      <c r="F70" s="140"/>
      <c r="G70" s="140"/>
      <c r="H70" s="140"/>
      <c r="I70" s="140"/>
      <c r="J70" s="140"/>
      <c r="K70" s="140"/>
      <c r="L70" s="141"/>
      <c r="M70" s="137"/>
      <c r="N70" s="131"/>
      <c r="O70" s="131"/>
      <c r="P70" s="131"/>
      <c r="Q70" s="131"/>
      <c r="R70" s="131"/>
      <c r="S70" s="131"/>
      <c r="T70" s="131"/>
      <c r="U70" s="165"/>
    </row>
    <row r="71" spans="1:21" ht="13.5" customHeight="1">
      <c r="A71" s="159"/>
      <c r="B71" s="162"/>
      <c r="C71" s="159"/>
      <c r="D71" s="73" t="s">
        <v>50</v>
      </c>
      <c r="E71" s="72">
        <f>F71+G71+H71+I71+J71+K71+L71</f>
        <v>760580818.19</v>
      </c>
      <c r="F71" s="74">
        <f>F11+F17+F23+F29+F35+F41+F47+F65+F53+F59</f>
        <v>101252990.83</v>
      </c>
      <c r="G71" s="74">
        <f>G59+G53+G47+G41+G35+G29+G23+G17+G11</f>
        <v>99591978.73</v>
      </c>
      <c r="H71" s="74">
        <f>H11+H17+H23+H29+H35+H41+H47+H65+H53+H59</f>
        <v>105589302.15</v>
      </c>
      <c r="I71" s="74">
        <f>I11+I17+I23+I29+I35+I41+I47+I65+I53+I59</f>
        <v>113536636.62000002</v>
      </c>
      <c r="J71" s="74">
        <f>J11+J17+J23+J29+J35+J41+J47+J65+J53+J59</f>
        <v>113536636.62000002</v>
      </c>
      <c r="K71" s="74">
        <f>K11+K17+K23+K29+K35+K41+K47+K65+K53+K59</f>
        <v>113536636.62000002</v>
      </c>
      <c r="L71" s="74">
        <f>L11+L17+L23+L29+L35+L41+L47+L65+L53+L59</f>
        <v>113536636.62000002</v>
      </c>
      <c r="M71" s="137"/>
      <c r="N71" s="131"/>
      <c r="O71" s="131"/>
      <c r="P71" s="131"/>
      <c r="Q71" s="131"/>
      <c r="R71" s="131"/>
      <c r="S71" s="131"/>
      <c r="T71" s="131"/>
      <c r="U71" s="165"/>
    </row>
    <row r="72" spans="1:21" ht="13.5" customHeight="1">
      <c r="A72" s="159"/>
      <c r="B72" s="162"/>
      <c r="C72" s="159"/>
      <c r="D72" s="73" t="s">
        <v>48</v>
      </c>
      <c r="E72" s="72">
        <f>F72+G72+H72+I72+J72+K72+L72</f>
        <v>2409882884.24</v>
      </c>
      <c r="F72" s="74">
        <f aca="true" t="shared" si="12" ref="F72:L74">F12+F18+F24+F30+F36+F42+F48+F66+F54+F60</f>
        <v>305582734</v>
      </c>
      <c r="G72" s="74">
        <f t="shared" si="12"/>
        <v>315789569.24</v>
      </c>
      <c r="H72" s="74">
        <f t="shared" si="12"/>
        <v>327649831</v>
      </c>
      <c r="I72" s="74">
        <f t="shared" si="12"/>
        <v>405086095</v>
      </c>
      <c r="J72" s="74">
        <f t="shared" si="12"/>
        <v>351924885</v>
      </c>
      <c r="K72" s="74">
        <f t="shared" si="12"/>
        <v>351924885</v>
      </c>
      <c r="L72" s="74">
        <f t="shared" si="12"/>
        <v>351924885</v>
      </c>
      <c r="M72" s="137"/>
      <c r="N72" s="131"/>
      <c r="O72" s="131"/>
      <c r="P72" s="131"/>
      <c r="Q72" s="131"/>
      <c r="R72" s="131"/>
      <c r="S72" s="131"/>
      <c r="T72" s="131"/>
      <c r="U72" s="165"/>
    </row>
    <row r="73" spans="1:21" ht="13.5" customHeight="1">
      <c r="A73" s="159"/>
      <c r="B73" s="162"/>
      <c r="C73" s="159"/>
      <c r="D73" s="73" t="s">
        <v>49</v>
      </c>
      <c r="E73" s="72">
        <f>F73+G73+H73+I73+J73+K73+L73</f>
        <v>0</v>
      </c>
      <c r="F73" s="74">
        <f t="shared" si="12"/>
        <v>0</v>
      </c>
      <c r="G73" s="74">
        <f t="shared" si="12"/>
        <v>0</v>
      </c>
      <c r="H73" s="74">
        <f t="shared" si="12"/>
        <v>0</v>
      </c>
      <c r="I73" s="74">
        <f t="shared" si="12"/>
        <v>0</v>
      </c>
      <c r="J73" s="74">
        <f t="shared" si="12"/>
        <v>0</v>
      </c>
      <c r="K73" s="74">
        <f t="shared" si="12"/>
        <v>0</v>
      </c>
      <c r="L73" s="74">
        <f t="shared" si="12"/>
        <v>0</v>
      </c>
      <c r="M73" s="137"/>
      <c r="N73" s="131"/>
      <c r="O73" s="131"/>
      <c r="P73" s="131"/>
      <c r="Q73" s="131"/>
      <c r="R73" s="131"/>
      <c r="S73" s="131"/>
      <c r="T73" s="131"/>
      <c r="U73" s="165"/>
    </row>
    <row r="74" spans="1:21" ht="13.5" customHeight="1">
      <c r="A74" s="160"/>
      <c r="B74" s="163"/>
      <c r="C74" s="160"/>
      <c r="D74" s="73" t="s">
        <v>51</v>
      </c>
      <c r="E74" s="72">
        <f>F74+G74+H74+I74+J74+K74+L74</f>
        <v>8010028.07</v>
      </c>
      <c r="F74" s="74">
        <f t="shared" si="12"/>
        <v>862705</v>
      </c>
      <c r="G74" s="74">
        <f t="shared" si="12"/>
        <v>1413208.07</v>
      </c>
      <c r="H74" s="74">
        <f t="shared" si="12"/>
        <v>1573000</v>
      </c>
      <c r="I74" s="74">
        <f t="shared" si="12"/>
        <v>1573000</v>
      </c>
      <c r="J74" s="74">
        <f t="shared" si="12"/>
        <v>862705</v>
      </c>
      <c r="K74" s="74">
        <f t="shared" si="12"/>
        <v>862705</v>
      </c>
      <c r="L74" s="74">
        <f t="shared" si="12"/>
        <v>862705</v>
      </c>
      <c r="M74" s="138"/>
      <c r="N74" s="132"/>
      <c r="O74" s="132"/>
      <c r="P74" s="132"/>
      <c r="Q74" s="132"/>
      <c r="R74" s="132"/>
      <c r="S74" s="132"/>
      <c r="T74" s="132"/>
      <c r="U74" s="166"/>
    </row>
    <row r="75" spans="1:21" ht="12.75">
      <c r="A75" s="34">
        <v>2</v>
      </c>
      <c r="B75" s="115" t="s">
        <v>12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7"/>
    </row>
    <row r="76" spans="1:21" ht="12.75" customHeight="1">
      <c r="A76" s="178" t="s">
        <v>84</v>
      </c>
      <c r="B76" s="172" t="s">
        <v>102</v>
      </c>
      <c r="C76" s="104" t="s">
        <v>40</v>
      </c>
      <c r="D76" s="35" t="s">
        <v>52</v>
      </c>
      <c r="E76" s="36">
        <f>E78+E79+E80+E81</f>
        <v>1398447101.4099998</v>
      </c>
      <c r="F76" s="36">
        <f aca="true" t="shared" si="13" ref="F76:L76">F78+F79+F80+F81</f>
        <v>168802759.17</v>
      </c>
      <c r="G76" s="36">
        <f t="shared" si="13"/>
        <v>175694783.6</v>
      </c>
      <c r="H76" s="36">
        <f t="shared" si="13"/>
        <v>205584063.51999998</v>
      </c>
      <c r="I76" s="36">
        <f t="shared" si="13"/>
        <v>212091373.78</v>
      </c>
      <c r="J76" s="36">
        <f t="shared" si="13"/>
        <v>212091373.78</v>
      </c>
      <c r="K76" s="36">
        <f t="shared" si="13"/>
        <v>212091373.78</v>
      </c>
      <c r="L76" s="36">
        <f t="shared" si="13"/>
        <v>212091373.78</v>
      </c>
      <c r="M76" s="93" t="s">
        <v>18</v>
      </c>
      <c r="N76" s="96">
        <v>100</v>
      </c>
      <c r="O76" s="96">
        <v>100</v>
      </c>
      <c r="P76" s="96">
        <v>100</v>
      </c>
      <c r="Q76" s="96">
        <v>100</v>
      </c>
      <c r="R76" s="96">
        <v>100</v>
      </c>
      <c r="S76" s="96">
        <v>100</v>
      </c>
      <c r="T76" s="96">
        <v>100</v>
      </c>
      <c r="U76" s="107" t="s">
        <v>19</v>
      </c>
    </row>
    <row r="77" spans="1:21" ht="12.75">
      <c r="A77" s="179"/>
      <c r="B77" s="173"/>
      <c r="C77" s="105"/>
      <c r="D77" s="110" t="s">
        <v>67</v>
      </c>
      <c r="E77" s="111"/>
      <c r="F77" s="111"/>
      <c r="G77" s="111"/>
      <c r="H77" s="111"/>
      <c r="I77" s="111"/>
      <c r="J77" s="111"/>
      <c r="K77" s="111"/>
      <c r="L77" s="112"/>
      <c r="M77" s="94"/>
      <c r="N77" s="97"/>
      <c r="O77" s="97"/>
      <c r="P77" s="97"/>
      <c r="Q77" s="97"/>
      <c r="R77" s="97"/>
      <c r="S77" s="97"/>
      <c r="T77" s="97"/>
      <c r="U77" s="108"/>
    </row>
    <row r="78" spans="1:21" ht="12.75">
      <c r="A78" s="179"/>
      <c r="B78" s="173"/>
      <c r="C78" s="105"/>
      <c r="D78" s="35" t="s">
        <v>50</v>
      </c>
      <c r="E78" s="36">
        <f>F78+G78+H78+I78+J78+K78+L78</f>
        <v>1390625691.4099998</v>
      </c>
      <c r="F78" s="37">
        <f>165597360+718349.17</f>
        <v>166315709.17</v>
      </c>
      <c r="G78" s="37">
        <v>173318773.6</v>
      </c>
      <c r="H78" s="37">
        <f>199958653.01+2667060.51</f>
        <v>202625713.51999998</v>
      </c>
      <c r="I78" s="37">
        <f>190950634.75-I90+450370.76+7750043+15040325.27</f>
        <v>212091373.78</v>
      </c>
      <c r="J78" s="37">
        <f>I78</f>
        <v>212091373.78</v>
      </c>
      <c r="K78" s="37">
        <f>J78</f>
        <v>212091373.78</v>
      </c>
      <c r="L78" s="37">
        <f>K78</f>
        <v>212091373.78</v>
      </c>
      <c r="M78" s="94"/>
      <c r="N78" s="97"/>
      <c r="O78" s="97"/>
      <c r="P78" s="97"/>
      <c r="Q78" s="97"/>
      <c r="R78" s="97"/>
      <c r="S78" s="97"/>
      <c r="T78" s="97"/>
      <c r="U78" s="108"/>
    </row>
    <row r="79" spans="1:21" ht="12.75">
      <c r="A79" s="179"/>
      <c r="B79" s="173"/>
      <c r="C79" s="105"/>
      <c r="D79" s="35" t="s">
        <v>48</v>
      </c>
      <c r="E79" s="36">
        <f>F79+G79+H79+I79+J79+K79+L79</f>
        <v>7821410</v>
      </c>
      <c r="F79" s="37">
        <v>2487050</v>
      </c>
      <c r="G79" s="37">
        <v>2376010</v>
      </c>
      <c r="H79" s="37">
        <f>2958350</f>
        <v>2958350</v>
      </c>
      <c r="I79" s="37"/>
      <c r="J79" s="37"/>
      <c r="K79" s="37"/>
      <c r="L79" s="37"/>
      <c r="M79" s="94"/>
      <c r="N79" s="97"/>
      <c r="O79" s="97"/>
      <c r="P79" s="97"/>
      <c r="Q79" s="97"/>
      <c r="R79" s="97"/>
      <c r="S79" s="97"/>
      <c r="T79" s="97"/>
      <c r="U79" s="108"/>
    </row>
    <row r="80" spans="1:21" ht="12.75">
      <c r="A80" s="179"/>
      <c r="B80" s="173"/>
      <c r="C80" s="105"/>
      <c r="D80" s="35" t="s">
        <v>49</v>
      </c>
      <c r="E80" s="36">
        <f>F80+G80+H80+I80+J80+K80+L80</f>
        <v>0</v>
      </c>
      <c r="F80" s="37"/>
      <c r="G80" s="37"/>
      <c r="H80" s="37"/>
      <c r="I80" s="37"/>
      <c r="J80" s="37"/>
      <c r="K80" s="37"/>
      <c r="L80" s="37"/>
      <c r="M80" s="94"/>
      <c r="N80" s="97"/>
      <c r="O80" s="97"/>
      <c r="P80" s="97"/>
      <c r="Q80" s="97"/>
      <c r="R80" s="97"/>
      <c r="S80" s="97"/>
      <c r="T80" s="97"/>
      <c r="U80" s="108"/>
    </row>
    <row r="81" spans="1:21" ht="12.75">
      <c r="A81" s="180"/>
      <c r="B81" s="174"/>
      <c r="C81" s="106"/>
      <c r="D81" s="35" t="s">
        <v>51</v>
      </c>
      <c r="E81" s="36">
        <f>F81+G81+H81+I81+J81+K81+L81</f>
        <v>0</v>
      </c>
      <c r="F81" s="37"/>
      <c r="G81" s="37"/>
      <c r="H81" s="37"/>
      <c r="I81" s="37"/>
      <c r="J81" s="37"/>
      <c r="K81" s="37"/>
      <c r="L81" s="37"/>
      <c r="M81" s="95"/>
      <c r="N81" s="98"/>
      <c r="O81" s="98"/>
      <c r="P81" s="98"/>
      <c r="Q81" s="98"/>
      <c r="R81" s="98"/>
      <c r="S81" s="98"/>
      <c r="T81" s="98"/>
      <c r="U81" s="109"/>
    </row>
    <row r="82" spans="1:21" ht="12.75" customHeight="1">
      <c r="A82" s="178" t="s">
        <v>85</v>
      </c>
      <c r="B82" s="172" t="s">
        <v>103</v>
      </c>
      <c r="C82" s="104" t="s">
        <v>40</v>
      </c>
      <c r="D82" s="35" t="s">
        <v>52</v>
      </c>
      <c r="E82" s="36">
        <f>E84+E85+E86+E87</f>
        <v>25470557.270000003</v>
      </c>
      <c r="F82" s="36">
        <f aca="true" t="shared" si="14" ref="F82:L82">F84+F85+F86+F87</f>
        <v>12512827.97</v>
      </c>
      <c r="G82" s="36">
        <f t="shared" si="14"/>
        <v>12957729.3</v>
      </c>
      <c r="H82" s="36">
        <f t="shared" si="14"/>
        <v>0</v>
      </c>
      <c r="I82" s="36">
        <f t="shared" si="14"/>
        <v>0</v>
      </c>
      <c r="J82" s="36">
        <f t="shared" si="14"/>
        <v>0</v>
      </c>
      <c r="K82" s="36">
        <f t="shared" si="14"/>
        <v>0</v>
      </c>
      <c r="L82" s="36">
        <f t="shared" si="14"/>
        <v>0</v>
      </c>
      <c r="M82" s="93" t="s">
        <v>7</v>
      </c>
      <c r="N82" s="99">
        <v>1</v>
      </c>
      <c r="O82" s="99">
        <v>1</v>
      </c>
      <c r="P82" s="99">
        <v>1</v>
      </c>
      <c r="Q82" s="99">
        <v>1</v>
      </c>
      <c r="R82" s="99">
        <v>1</v>
      </c>
      <c r="S82" s="99">
        <v>1</v>
      </c>
      <c r="T82" s="99">
        <v>1</v>
      </c>
      <c r="U82" s="107" t="s">
        <v>19</v>
      </c>
    </row>
    <row r="83" spans="1:21" ht="12.75">
      <c r="A83" s="179"/>
      <c r="B83" s="173"/>
      <c r="C83" s="105"/>
      <c r="D83" s="110" t="s">
        <v>67</v>
      </c>
      <c r="E83" s="111"/>
      <c r="F83" s="111"/>
      <c r="G83" s="111"/>
      <c r="H83" s="111"/>
      <c r="I83" s="111"/>
      <c r="J83" s="111"/>
      <c r="K83" s="111"/>
      <c r="L83" s="112"/>
      <c r="M83" s="94"/>
      <c r="N83" s="100"/>
      <c r="O83" s="100"/>
      <c r="P83" s="100"/>
      <c r="Q83" s="100"/>
      <c r="R83" s="100"/>
      <c r="S83" s="100"/>
      <c r="T83" s="100"/>
      <c r="U83" s="108"/>
    </row>
    <row r="84" spans="1:21" ht="12.75">
      <c r="A84" s="179"/>
      <c r="B84" s="173"/>
      <c r="C84" s="105"/>
      <c r="D84" s="35" t="s">
        <v>50</v>
      </c>
      <c r="E84" s="36">
        <f>F84+G84+H84+I84+J84+K84+L84</f>
        <v>25470557.270000003</v>
      </c>
      <c r="F84" s="37">
        <v>12512827.97</v>
      </c>
      <c r="G84" s="37">
        <f>13685381-727651.7</f>
        <v>12957729.3</v>
      </c>
      <c r="H84" s="37">
        <v>0</v>
      </c>
      <c r="I84" s="37">
        <v>0</v>
      </c>
      <c r="J84" s="37">
        <f>I84</f>
        <v>0</v>
      </c>
      <c r="K84" s="37">
        <f>J84</f>
        <v>0</v>
      </c>
      <c r="L84" s="37">
        <f>K84</f>
        <v>0</v>
      </c>
      <c r="M84" s="94"/>
      <c r="N84" s="100"/>
      <c r="O84" s="100"/>
      <c r="P84" s="100"/>
      <c r="Q84" s="100"/>
      <c r="R84" s="100"/>
      <c r="S84" s="100"/>
      <c r="T84" s="100"/>
      <c r="U84" s="108"/>
    </row>
    <row r="85" spans="1:21" ht="12.75">
      <c r="A85" s="179"/>
      <c r="B85" s="173"/>
      <c r="C85" s="105"/>
      <c r="D85" s="35" t="s">
        <v>48</v>
      </c>
      <c r="E85" s="36">
        <f>F85+G85+H85+I85+J85+K85+L85</f>
        <v>0</v>
      </c>
      <c r="F85" s="37"/>
      <c r="G85" s="37"/>
      <c r="H85" s="37"/>
      <c r="I85" s="37"/>
      <c r="J85" s="37"/>
      <c r="K85" s="37"/>
      <c r="L85" s="37"/>
      <c r="M85" s="94"/>
      <c r="N85" s="100"/>
      <c r="O85" s="100"/>
      <c r="P85" s="100"/>
      <c r="Q85" s="100"/>
      <c r="R85" s="100"/>
      <c r="S85" s="100"/>
      <c r="T85" s="100"/>
      <c r="U85" s="108"/>
    </row>
    <row r="86" spans="1:21" ht="12.75">
      <c r="A86" s="179"/>
      <c r="B86" s="173"/>
      <c r="C86" s="105"/>
      <c r="D86" s="35" t="s">
        <v>49</v>
      </c>
      <c r="E86" s="36">
        <f>F86+G86+H86+I86+J86+K86+L86</f>
        <v>0</v>
      </c>
      <c r="F86" s="37"/>
      <c r="G86" s="37"/>
      <c r="H86" s="37"/>
      <c r="I86" s="37"/>
      <c r="J86" s="37"/>
      <c r="K86" s="37"/>
      <c r="L86" s="37"/>
      <c r="M86" s="94"/>
      <c r="N86" s="100"/>
      <c r="O86" s="100"/>
      <c r="P86" s="100"/>
      <c r="Q86" s="100"/>
      <c r="R86" s="100"/>
      <c r="S86" s="100"/>
      <c r="T86" s="100"/>
      <c r="U86" s="108"/>
    </row>
    <row r="87" spans="1:21" ht="12.75">
      <c r="A87" s="180"/>
      <c r="B87" s="174"/>
      <c r="C87" s="106"/>
      <c r="D87" s="35" t="s">
        <v>51</v>
      </c>
      <c r="E87" s="36">
        <f>F87+G87+H87+I87+J87+K87+L87</f>
        <v>0</v>
      </c>
      <c r="F87" s="37"/>
      <c r="G87" s="37"/>
      <c r="H87" s="37"/>
      <c r="I87" s="37"/>
      <c r="J87" s="37"/>
      <c r="K87" s="37"/>
      <c r="L87" s="37"/>
      <c r="M87" s="95"/>
      <c r="N87" s="103"/>
      <c r="O87" s="103"/>
      <c r="P87" s="103"/>
      <c r="Q87" s="103"/>
      <c r="R87" s="103"/>
      <c r="S87" s="103"/>
      <c r="T87" s="103"/>
      <c r="U87" s="109"/>
    </row>
    <row r="88" spans="1:21" ht="12.75" customHeight="1">
      <c r="A88" s="178" t="s">
        <v>86</v>
      </c>
      <c r="B88" s="172" t="s">
        <v>112</v>
      </c>
      <c r="C88" s="104" t="s">
        <v>40</v>
      </c>
      <c r="D88" s="35" t="s">
        <v>52</v>
      </c>
      <c r="E88" s="36">
        <f>E90+E91+E92+E93</f>
        <v>13100304.17</v>
      </c>
      <c r="F88" s="36">
        <f aca="true" t="shared" si="15" ref="F88:L88">F90+F91+F92+F93</f>
        <v>0</v>
      </c>
      <c r="G88" s="36">
        <f t="shared" si="15"/>
        <v>2166054.18</v>
      </c>
      <c r="H88" s="36">
        <f t="shared" si="15"/>
        <v>2534249.99</v>
      </c>
      <c r="I88" s="36">
        <f t="shared" si="15"/>
        <v>2100000</v>
      </c>
      <c r="J88" s="36">
        <f t="shared" si="15"/>
        <v>2100000</v>
      </c>
      <c r="K88" s="36">
        <f t="shared" si="15"/>
        <v>2100000</v>
      </c>
      <c r="L88" s="36">
        <f t="shared" si="15"/>
        <v>2100000</v>
      </c>
      <c r="M88" s="93" t="s">
        <v>117</v>
      </c>
      <c r="N88" s="99">
        <v>1</v>
      </c>
      <c r="O88" s="99">
        <v>1</v>
      </c>
      <c r="P88" s="99">
        <v>1</v>
      </c>
      <c r="Q88" s="99">
        <v>1</v>
      </c>
      <c r="R88" s="99">
        <v>1</v>
      </c>
      <c r="S88" s="99">
        <v>1</v>
      </c>
      <c r="T88" s="99">
        <v>1</v>
      </c>
      <c r="U88" s="107" t="s">
        <v>19</v>
      </c>
    </row>
    <row r="89" spans="1:21" ht="12.75">
      <c r="A89" s="179"/>
      <c r="B89" s="173"/>
      <c r="C89" s="105"/>
      <c r="D89" s="110" t="s">
        <v>67</v>
      </c>
      <c r="E89" s="111"/>
      <c r="F89" s="111"/>
      <c r="G89" s="111"/>
      <c r="H89" s="111"/>
      <c r="I89" s="111"/>
      <c r="J89" s="111"/>
      <c r="K89" s="111"/>
      <c r="L89" s="112"/>
      <c r="M89" s="94"/>
      <c r="N89" s="100"/>
      <c r="O89" s="100"/>
      <c r="P89" s="100"/>
      <c r="Q89" s="100"/>
      <c r="R89" s="100"/>
      <c r="S89" s="100"/>
      <c r="T89" s="100"/>
      <c r="U89" s="108"/>
    </row>
    <row r="90" spans="1:21" ht="12.75">
      <c r="A90" s="179"/>
      <c r="B90" s="173"/>
      <c r="C90" s="105"/>
      <c r="D90" s="35" t="s">
        <v>50</v>
      </c>
      <c r="E90" s="36">
        <f>F90+G90+H90+I90+J90+K90+L90</f>
        <v>13100304.17</v>
      </c>
      <c r="F90" s="37">
        <v>0</v>
      </c>
      <c r="G90" s="37">
        <f>2100000-105000.01+171054.19</f>
        <v>2166054.18</v>
      </c>
      <c r="H90" s="37">
        <v>2534249.99</v>
      </c>
      <c r="I90" s="37">
        <v>2100000</v>
      </c>
      <c r="J90" s="37">
        <v>2100000</v>
      </c>
      <c r="K90" s="37">
        <v>2100000</v>
      </c>
      <c r="L90" s="37">
        <v>2100000</v>
      </c>
      <c r="M90" s="94"/>
      <c r="N90" s="100"/>
      <c r="O90" s="100"/>
      <c r="P90" s="100"/>
      <c r="Q90" s="100"/>
      <c r="R90" s="100"/>
      <c r="S90" s="100"/>
      <c r="T90" s="100"/>
      <c r="U90" s="108"/>
    </row>
    <row r="91" spans="1:21" ht="12.75">
      <c r="A91" s="179"/>
      <c r="B91" s="173"/>
      <c r="C91" s="105"/>
      <c r="D91" s="35" t="s">
        <v>48</v>
      </c>
      <c r="E91" s="36">
        <f>F91+G91+H91+I91+J91+K91+L91</f>
        <v>0</v>
      </c>
      <c r="F91" s="37"/>
      <c r="G91" s="37"/>
      <c r="H91" s="37"/>
      <c r="I91" s="37"/>
      <c r="J91" s="37"/>
      <c r="K91" s="37"/>
      <c r="L91" s="37"/>
      <c r="M91" s="94"/>
      <c r="N91" s="100"/>
      <c r="O91" s="100"/>
      <c r="P91" s="100"/>
      <c r="Q91" s="100"/>
      <c r="R91" s="100"/>
      <c r="S91" s="100"/>
      <c r="T91" s="100"/>
      <c r="U91" s="108"/>
    </row>
    <row r="92" spans="1:21" ht="12.75">
      <c r="A92" s="179"/>
      <c r="B92" s="173"/>
      <c r="C92" s="105"/>
      <c r="D92" s="35" t="s">
        <v>49</v>
      </c>
      <c r="E92" s="36">
        <f>F92+G92+H92+I92+J92+K92+L92</f>
        <v>0</v>
      </c>
      <c r="F92" s="37"/>
      <c r="G92" s="37"/>
      <c r="H92" s="37"/>
      <c r="I92" s="37"/>
      <c r="J92" s="37"/>
      <c r="K92" s="37"/>
      <c r="L92" s="37"/>
      <c r="M92" s="94"/>
      <c r="N92" s="100"/>
      <c r="O92" s="100"/>
      <c r="P92" s="100"/>
      <c r="Q92" s="100"/>
      <c r="R92" s="100"/>
      <c r="S92" s="100"/>
      <c r="T92" s="100"/>
      <c r="U92" s="108"/>
    </row>
    <row r="93" spans="1:21" ht="12.75">
      <c r="A93" s="180"/>
      <c r="B93" s="174"/>
      <c r="C93" s="106"/>
      <c r="D93" s="35" t="s">
        <v>51</v>
      </c>
      <c r="E93" s="36">
        <f>F93+G93+H93+I93+J93+K93+L93</f>
        <v>0</v>
      </c>
      <c r="F93" s="37"/>
      <c r="G93" s="37"/>
      <c r="H93" s="37"/>
      <c r="I93" s="37"/>
      <c r="J93" s="37"/>
      <c r="K93" s="37"/>
      <c r="L93" s="37"/>
      <c r="M93" s="95"/>
      <c r="N93" s="103"/>
      <c r="O93" s="103"/>
      <c r="P93" s="103"/>
      <c r="Q93" s="103"/>
      <c r="R93" s="103"/>
      <c r="S93" s="103"/>
      <c r="T93" s="103"/>
      <c r="U93" s="109"/>
    </row>
    <row r="94" spans="1:21" ht="12.75" customHeight="1">
      <c r="A94" s="178" t="s">
        <v>107</v>
      </c>
      <c r="B94" s="172" t="s">
        <v>104</v>
      </c>
      <c r="C94" s="104" t="s">
        <v>40</v>
      </c>
      <c r="D94" s="35" t="s">
        <v>52</v>
      </c>
      <c r="E94" s="36">
        <f>E96+E97+E98+E99</f>
        <v>191383546.66</v>
      </c>
      <c r="F94" s="36">
        <f aca="true" t="shared" si="16" ref="F94:L94">F96+F97+F98+F99</f>
        <v>24365995</v>
      </c>
      <c r="G94" s="36">
        <f t="shared" si="16"/>
        <v>21895744.36</v>
      </c>
      <c r="H94" s="36">
        <f t="shared" si="16"/>
        <v>20844961.15</v>
      </c>
      <c r="I94" s="36">
        <f t="shared" si="16"/>
        <v>20844961.15</v>
      </c>
      <c r="J94" s="36">
        <f t="shared" si="16"/>
        <v>34477295</v>
      </c>
      <c r="K94" s="36">
        <f t="shared" si="16"/>
        <v>34477295</v>
      </c>
      <c r="L94" s="36">
        <f t="shared" si="16"/>
        <v>34477295</v>
      </c>
      <c r="M94" s="181" t="s">
        <v>21</v>
      </c>
      <c r="N94" s="99">
        <v>1</v>
      </c>
      <c r="O94" s="99">
        <v>1</v>
      </c>
      <c r="P94" s="99">
        <v>1</v>
      </c>
      <c r="Q94" s="99">
        <v>1</v>
      </c>
      <c r="R94" s="99">
        <v>1</v>
      </c>
      <c r="S94" s="99">
        <v>1</v>
      </c>
      <c r="T94" s="99">
        <v>1</v>
      </c>
      <c r="U94" s="107" t="s">
        <v>19</v>
      </c>
    </row>
    <row r="95" spans="1:21" ht="12.75">
      <c r="A95" s="179"/>
      <c r="B95" s="173"/>
      <c r="C95" s="105"/>
      <c r="D95" s="110" t="s">
        <v>67</v>
      </c>
      <c r="E95" s="111"/>
      <c r="F95" s="111"/>
      <c r="G95" s="111"/>
      <c r="H95" s="111"/>
      <c r="I95" s="111"/>
      <c r="J95" s="111"/>
      <c r="K95" s="111"/>
      <c r="L95" s="112"/>
      <c r="M95" s="182"/>
      <c r="N95" s="100"/>
      <c r="O95" s="100"/>
      <c r="P95" s="100"/>
      <c r="Q95" s="100"/>
      <c r="R95" s="100"/>
      <c r="S95" s="100"/>
      <c r="T95" s="100"/>
      <c r="U95" s="108"/>
    </row>
    <row r="96" spans="1:21" ht="12.75">
      <c r="A96" s="179"/>
      <c r="B96" s="173"/>
      <c r="C96" s="105"/>
      <c r="D96" s="35" t="s">
        <v>50</v>
      </c>
      <c r="E96" s="36">
        <f>F96+G96+H96+I96+J96+K96+L96</f>
        <v>0</v>
      </c>
      <c r="F96" s="37"/>
      <c r="G96" s="37"/>
      <c r="H96" s="37"/>
      <c r="I96" s="37"/>
      <c r="J96" s="37"/>
      <c r="K96" s="37"/>
      <c r="L96" s="37"/>
      <c r="M96" s="182"/>
      <c r="N96" s="100"/>
      <c r="O96" s="100"/>
      <c r="P96" s="100"/>
      <c r="Q96" s="100"/>
      <c r="R96" s="100"/>
      <c r="S96" s="100"/>
      <c r="T96" s="100"/>
      <c r="U96" s="108"/>
    </row>
    <row r="97" spans="1:21" ht="12.75">
      <c r="A97" s="179"/>
      <c r="B97" s="173"/>
      <c r="C97" s="105"/>
      <c r="D97" s="35" t="s">
        <v>48</v>
      </c>
      <c r="E97" s="36">
        <f>F97+G97+H97+I97+J97+K97+L97</f>
        <v>0</v>
      </c>
      <c r="F97" s="37"/>
      <c r="G97" s="37"/>
      <c r="H97" s="37"/>
      <c r="I97" s="37"/>
      <c r="J97" s="37"/>
      <c r="K97" s="37"/>
      <c r="L97" s="37"/>
      <c r="M97" s="182"/>
      <c r="N97" s="100"/>
      <c r="O97" s="100"/>
      <c r="P97" s="100"/>
      <c r="Q97" s="100"/>
      <c r="R97" s="100"/>
      <c r="S97" s="100"/>
      <c r="T97" s="100"/>
      <c r="U97" s="108"/>
    </row>
    <row r="98" spans="1:21" ht="12.75">
      <c r="A98" s="179"/>
      <c r="B98" s="173"/>
      <c r="C98" s="105"/>
      <c r="D98" s="35" t="s">
        <v>49</v>
      </c>
      <c r="E98" s="36">
        <f>F98+G98+H98+I98+J98+K98+L98</f>
        <v>0</v>
      </c>
      <c r="F98" s="37"/>
      <c r="G98" s="37"/>
      <c r="H98" s="37"/>
      <c r="I98" s="37"/>
      <c r="J98" s="37"/>
      <c r="K98" s="37"/>
      <c r="L98" s="37"/>
      <c r="M98" s="182"/>
      <c r="N98" s="100"/>
      <c r="O98" s="100"/>
      <c r="P98" s="100"/>
      <c r="Q98" s="100"/>
      <c r="R98" s="100"/>
      <c r="S98" s="100"/>
      <c r="T98" s="100"/>
      <c r="U98" s="108"/>
    </row>
    <row r="99" spans="1:21" ht="12.75">
      <c r="A99" s="180"/>
      <c r="B99" s="174"/>
      <c r="C99" s="106"/>
      <c r="D99" s="35" t="s">
        <v>51</v>
      </c>
      <c r="E99" s="36">
        <f>F99+G99+H99+I99+J99+K99+L99</f>
        <v>191383546.66</v>
      </c>
      <c r="F99" s="37">
        <v>24365995</v>
      </c>
      <c r="G99" s="37">
        <v>21895744.36</v>
      </c>
      <c r="H99" s="37">
        <v>20844961.15</v>
      </c>
      <c r="I99" s="37">
        <v>20844961.15</v>
      </c>
      <c r="J99" s="37">
        <v>34477295</v>
      </c>
      <c r="K99" s="37">
        <v>34477295</v>
      </c>
      <c r="L99" s="37">
        <v>34477295</v>
      </c>
      <c r="M99" s="183"/>
      <c r="N99" s="103"/>
      <c r="O99" s="103"/>
      <c r="P99" s="103"/>
      <c r="Q99" s="103"/>
      <c r="R99" s="103"/>
      <c r="S99" s="103"/>
      <c r="T99" s="103"/>
      <c r="U99" s="109"/>
    </row>
    <row r="100" spans="1:21" ht="12.75" customHeight="1">
      <c r="A100" s="178" t="s">
        <v>108</v>
      </c>
      <c r="B100" s="172" t="s">
        <v>0</v>
      </c>
      <c r="C100" s="104" t="s">
        <v>40</v>
      </c>
      <c r="D100" s="35" t="s">
        <v>52</v>
      </c>
      <c r="E100" s="36">
        <f>E102+E103+E104+E105</f>
        <v>7451599</v>
      </c>
      <c r="F100" s="36">
        <f aca="true" t="shared" si="17" ref="F100:L100">F102+F103+F104+F105</f>
        <v>7451599</v>
      </c>
      <c r="G100" s="36">
        <f t="shared" si="17"/>
        <v>0</v>
      </c>
      <c r="H100" s="36">
        <f t="shared" si="17"/>
        <v>0</v>
      </c>
      <c r="I100" s="36">
        <f t="shared" si="17"/>
        <v>0</v>
      </c>
      <c r="J100" s="36">
        <f t="shared" si="17"/>
        <v>0</v>
      </c>
      <c r="K100" s="36">
        <f t="shared" si="17"/>
        <v>0</v>
      </c>
      <c r="L100" s="36">
        <f t="shared" si="17"/>
        <v>0</v>
      </c>
      <c r="M100" s="93" t="s">
        <v>18</v>
      </c>
      <c r="N100" s="96">
        <v>100</v>
      </c>
      <c r="O100" s="96">
        <v>100</v>
      </c>
      <c r="P100" s="96">
        <v>100</v>
      </c>
      <c r="Q100" s="96">
        <v>100</v>
      </c>
      <c r="R100" s="96">
        <v>100</v>
      </c>
      <c r="S100" s="96">
        <v>100</v>
      </c>
      <c r="T100" s="96">
        <v>100</v>
      </c>
      <c r="U100" s="155" t="s">
        <v>20</v>
      </c>
    </row>
    <row r="101" spans="1:21" ht="12.75">
      <c r="A101" s="179"/>
      <c r="B101" s="173"/>
      <c r="C101" s="105"/>
      <c r="D101" s="110" t="s">
        <v>67</v>
      </c>
      <c r="E101" s="111"/>
      <c r="F101" s="111"/>
      <c r="G101" s="111"/>
      <c r="H101" s="111"/>
      <c r="I101" s="111"/>
      <c r="J101" s="111"/>
      <c r="K101" s="111"/>
      <c r="L101" s="112"/>
      <c r="M101" s="94"/>
      <c r="N101" s="97"/>
      <c r="O101" s="97"/>
      <c r="P101" s="97"/>
      <c r="Q101" s="97"/>
      <c r="R101" s="97"/>
      <c r="S101" s="97"/>
      <c r="T101" s="97"/>
      <c r="U101" s="156"/>
    </row>
    <row r="102" spans="1:21" ht="12.75">
      <c r="A102" s="179"/>
      <c r="B102" s="173"/>
      <c r="C102" s="105"/>
      <c r="D102" s="35" t="s">
        <v>50</v>
      </c>
      <c r="E102" s="36">
        <f>F102+G102+H102+I102+J102+K102+L102</f>
        <v>7451599</v>
      </c>
      <c r="F102" s="37">
        <v>7451599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94"/>
      <c r="N102" s="97"/>
      <c r="O102" s="97"/>
      <c r="P102" s="97"/>
      <c r="Q102" s="97"/>
      <c r="R102" s="97"/>
      <c r="S102" s="97"/>
      <c r="T102" s="97"/>
      <c r="U102" s="156"/>
    </row>
    <row r="103" spans="1:21" ht="12.75">
      <c r="A103" s="179"/>
      <c r="B103" s="173"/>
      <c r="C103" s="105"/>
      <c r="D103" s="35" t="s">
        <v>48</v>
      </c>
      <c r="E103" s="36">
        <f>F103+G103+H103+I103+J103+K103+L103</f>
        <v>0</v>
      </c>
      <c r="F103" s="37"/>
      <c r="G103" s="37"/>
      <c r="H103" s="37"/>
      <c r="I103" s="37"/>
      <c r="J103" s="37"/>
      <c r="K103" s="37"/>
      <c r="L103" s="37"/>
      <c r="M103" s="94"/>
      <c r="N103" s="97"/>
      <c r="O103" s="97"/>
      <c r="P103" s="97"/>
      <c r="Q103" s="97"/>
      <c r="R103" s="97"/>
      <c r="S103" s="97"/>
      <c r="T103" s="97"/>
      <c r="U103" s="156"/>
    </row>
    <row r="104" spans="1:21" ht="12.75">
      <c r="A104" s="179"/>
      <c r="B104" s="173"/>
      <c r="C104" s="105"/>
      <c r="D104" s="35" t="s">
        <v>49</v>
      </c>
      <c r="E104" s="36">
        <f>F104+G104+H104+I104+J104+K104+L104</f>
        <v>0</v>
      </c>
      <c r="F104" s="37"/>
      <c r="G104" s="37"/>
      <c r="H104" s="37"/>
      <c r="I104" s="37"/>
      <c r="J104" s="37"/>
      <c r="K104" s="37"/>
      <c r="L104" s="37"/>
      <c r="M104" s="94"/>
      <c r="N104" s="97"/>
      <c r="O104" s="97"/>
      <c r="P104" s="97"/>
      <c r="Q104" s="97"/>
      <c r="R104" s="97"/>
      <c r="S104" s="97"/>
      <c r="T104" s="97"/>
      <c r="U104" s="156"/>
    </row>
    <row r="105" spans="1:21" ht="12.75">
      <c r="A105" s="180"/>
      <c r="B105" s="174"/>
      <c r="C105" s="106"/>
      <c r="D105" s="35" t="s">
        <v>51</v>
      </c>
      <c r="E105" s="36">
        <f>F105+G105+H105+I105+J105+K105+L105</f>
        <v>0</v>
      </c>
      <c r="F105" s="37"/>
      <c r="G105" s="37"/>
      <c r="H105" s="37"/>
      <c r="I105" s="37"/>
      <c r="J105" s="37"/>
      <c r="K105" s="37"/>
      <c r="L105" s="37"/>
      <c r="M105" s="95"/>
      <c r="N105" s="98"/>
      <c r="O105" s="98"/>
      <c r="P105" s="98"/>
      <c r="Q105" s="98"/>
      <c r="R105" s="98"/>
      <c r="S105" s="98"/>
      <c r="T105" s="98"/>
      <c r="U105" s="157"/>
    </row>
    <row r="106" spans="1:21" ht="12.75" customHeight="1">
      <c r="A106" s="178" t="s">
        <v>109</v>
      </c>
      <c r="B106" s="172" t="s">
        <v>105</v>
      </c>
      <c r="C106" s="104" t="s">
        <v>40</v>
      </c>
      <c r="D106" s="35" t="s">
        <v>52</v>
      </c>
      <c r="E106" s="36">
        <f>E108+E109+E110+E111</f>
        <v>575647</v>
      </c>
      <c r="F106" s="36">
        <f aca="true" t="shared" si="18" ref="F106:L106">F108+F109+F110+F111</f>
        <v>575647</v>
      </c>
      <c r="G106" s="36">
        <f t="shared" si="18"/>
        <v>0</v>
      </c>
      <c r="H106" s="36">
        <f t="shared" si="18"/>
        <v>0</v>
      </c>
      <c r="I106" s="36">
        <f t="shared" si="18"/>
        <v>0</v>
      </c>
      <c r="J106" s="36">
        <f t="shared" si="18"/>
        <v>0</v>
      </c>
      <c r="K106" s="36">
        <f t="shared" si="18"/>
        <v>0</v>
      </c>
      <c r="L106" s="36">
        <f t="shared" si="18"/>
        <v>0</v>
      </c>
      <c r="M106" s="93" t="s">
        <v>7</v>
      </c>
      <c r="N106" s="99">
        <v>1</v>
      </c>
      <c r="O106" s="99">
        <v>1</v>
      </c>
      <c r="P106" s="99">
        <v>1</v>
      </c>
      <c r="Q106" s="99">
        <v>1</v>
      </c>
      <c r="R106" s="99">
        <v>1</v>
      </c>
      <c r="S106" s="99">
        <v>1</v>
      </c>
      <c r="T106" s="99">
        <v>1</v>
      </c>
      <c r="U106" s="155" t="s">
        <v>20</v>
      </c>
    </row>
    <row r="107" spans="1:21" ht="12.75">
      <c r="A107" s="179"/>
      <c r="B107" s="173"/>
      <c r="C107" s="105"/>
      <c r="D107" s="110" t="s">
        <v>67</v>
      </c>
      <c r="E107" s="111"/>
      <c r="F107" s="111"/>
      <c r="G107" s="111"/>
      <c r="H107" s="111"/>
      <c r="I107" s="111"/>
      <c r="J107" s="111"/>
      <c r="K107" s="111"/>
      <c r="L107" s="112"/>
      <c r="M107" s="94"/>
      <c r="N107" s="100"/>
      <c r="O107" s="100"/>
      <c r="P107" s="100"/>
      <c r="Q107" s="100"/>
      <c r="R107" s="100"/>
      <c r="S107" s="100"/>
      <c r="T107" s="100"/>
      <c r="U107" s="156"/>
    </row>
    <row r="108" spans="1:21" ht="12.75">
      <c r="A108" s="179"/>
      <c r="B108" s="173"/>
      <c r="C108" s="105"/>
      <c r="D108" s="35" t="s">
        <v>50</v>
      </c>
      <c r="E108" s="36">
        <f>F108+G108+H108+I108+J108+K108+L108</f>
        <v>575647</v>
      </c>
      <c r="F108" s="37">
        <v>575647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94"/>
      <c r="N108" s="100"/>
      <c r="O108" s="100"/>
      <c r="P108" s="100"/>
      <c r="Q108" s="100"/>
      <c r="R108" s="100"/>
      <c r="S108" s="100"/>
      <c r="T108" s="100"/>
      <c r="U108" s="156"/>
    </row>
    <row r="109" spans="1:21" ht="12.75">
      <c r="A109" s="179"/>
      <c r="B109" s="173"/>
      <c r="C109" s="105"/>
      <c r="D109" s="35" t="s">
        <v>48</v>
      </c>
      <c r="E109" s="36">
        <f>F109+G109+H109+I109+J109+K109+L109</f>
        <v>0</v>
      </c>
      <c r="F109" s="37"/>
      <c r="G109" s="37"/>
      <c r="H109" s="37"/>
      <c r="I109" s="37"/>
      <c r="J109" s="37"/>
      <c r="K109" s="37"/>
      <c r="L109" s="37"/>
      <c r="M109" s="94"/>
      <c r="N109" s="100"/>
      <c r="O109" s="100"/>
      <c r="P109" s="100"/>
      <c r="Q109" s="100"/>
      <c r="R109" s="100"/>
      <c r="S109" s="100"/>
      <c r="T109" s="100"/>
      <c r="U109" s="156"/>
    </row>
    <row r="110" spans="1:21" ht="12.75">
      <c r="A110" s="179"/>
      <c r="B110" s="173"/>
      <c r="C110" s="105"/>
      <c r="D110" s="35" t="s">
        <v>49</v>
      </c>
      <c r="E110" s="36">
        <f>F110+G110+H110+I110+J110+K110+L110</f>
        <v>0</v>
      </c>
      <c r="F110" s="37"/>
      <c r="G110" s="37"/>
      <c r="H110" s="37"/>
      <c r="I110" s="37"/>
      <c r="J110" s="37"/>
      <c r="K110" s="37"/>
      <c r="L110" s="37"/>
      <c r="M110" s="94"/>
      <c r="N110" s="100"/>
      <c r="O110" s="100"/>
      <c r="P110" s="100"/>
      <c r="Q110" s="100"/>
      <c r="R110" s="100"/>
      <c r="S110" s="100"/>
      <c r="T110" s="100"/>
      <c r="U110" s="156"/>
    </row>
    <row r="111" spans="1:21" ht="12.75">
      <c r="A111" s="180"/>
      <c r="B111" s="174"/>
      <c r="C111" s="106"/>
      <c r="D111" s="35" t="s">
        <v>51</v>
      </c>
      <c r="E111" s="36">
        <f>F111+G111+H111+I111+J111+K111+L111</f>
        <v>0</v>
      </c>
      <c r="F111" s="37"/>
      <c r="G111" s="37"/>
      <c r="H111" s="37"/>
      <c r="I111" s="37"/>
      <c r="J111" s="37"/>
      <c r="K111" s="37"/>
      <c r="L111" s="37"/>
      <c r="M111" s="95"/>
      <c r="N111" s="103"/>
      <c r="O111" s="103"/>
      <c r="P111" s="103"/>
      <c r="Q111" s="103"/>
      <c r="R111" s="103"/>
      <c r="S111" s="103"/>
      <c r="T111" s="103"/>
      <c r="U111" s="157"/>
    </row>
    <row r="112" spans="1:21" ht="12.75" customHeight="1">
      <c r="A112" s="178" t="s">
        <v>1</v>
      </c>
      <c r="B112" s="172" t="s">
        <v>106</v>
      </c>
      <c r="C112" s="104" t="s">
        <v>40</v>
      </c>
      <c r="D112" s="35" t="s">
        <v>52</v>
      </c>
      <c r="E112" s="36">
        <f>E114+E115+E116+E117</f>
        <v>8750000</v>
      </c>
      <c r="F112" s="36">
        <f aca="true" t="shared" si="19" ref="F112:L112">F114+F115+F116+F117</f>
        <v>8750000</v>
      </c>
      <c r="G112" s="36">
        <f t="shared" si="19"/>
        <v>0</v>
      </c>
      <c r="H112" s="36">
        <f t="shared" si="19"/>
        <v>0</v>
      </c>
      <c r="I112" s="36">
        <f t="shared" si="19"/>
        <v>0</v>
      </c>
      <c r="J112" s="36">
        <f t="shared" si="19"/>
        <v>0</v>
      </c>
      <c r="K112" s="36">
        <f t="shared" si="19"/>
        <v>0</v>
      </c>
      <c r="L112" s="36">
        <f t="shared" si="19"/>
        <v>0</v>
      </c>
      <c r="M112" s="181" t="s">
        <v>21</v>
      </c>
      <c r="N112" s="99">
        <v>1</v>
      </c>
      <c r="O112" s="99">
        <v>1</v>
      </c>
      <c r="P112" s="99">
        <v>1</v>
      </c>
      <c r="Q112" s="99">
        <v>1</v>
      </c>
      <c r="R112" s="99">
        <v>1</v>
      </c>
      <c r="S112" s="99">
        <v>1</v>
      </c>
      <c r="T112" s="99">
        <v>1</v>
      </c>
      <c r="U112" s="155" t="s">
        <v>20</v>
      </c>
    </row>
    <row r="113" spans="1:21" ht="12.75">
      <c r="A113" s="179"/>
      <c r="B113" s="173"/>
      <c r="C113" s="105"/>
      <c r="D113" s="110" t="s">
        <v>67</v>
      </c>
      <c r="E113" s="111"/>
      <c r="F113" s="111"/>
      <c r="G113" s="111"/>
      <c r="H113" s="111"/>
      <c r="I113" s="111"/>
      <c r="J113" s="111"/>
      <c r="K113" s="111"/>
      <c r="L113" s="112"/>
      <c r="M113" s="182"/>
      <c r="N113" s="100"/>
      <c r="O113" s="100"/>
      <c r="P113" s="100"/>
      <c r="Q113" s="100"/>
      <c r="R113" s="100"/>
      <c r="S113" s="100"/>
      <c r="T113" s="100"/>
      <c r="U113" s="156"/>
    </row>
    <row r="114" spans="1:21" ht="12.75">
      <c r="A114" s="179"/>
      <c r="B114" s="173"/>
      <c r="C114" s="105"/>
      <c r="D114" s="35" t="s">
        <v>50</v>
      </c>
      <c r="E114" s="36">
        <f>F114+G114+H114+I114+J114+K114+L114</f>
        <v>0</v>
      </c>
      <c r="F114" s="37"/>
      <c r="G114" s="37"/>
      <c r="H114" s="37"/>
      <c r="I114" s="37"/>
      <c r="J114" s="37"/>
      <c r="K114" s="37"/>
      <c r="L114" s="37"/>
      <c r="M114" s="182"/>
      <c r="N114" s="100"/>
      <c r="O114" s="100"/>
      <c r="P114" s="100"/>
      <c r="Q114" s="100"/>
      <c r="R114" s="100"/>
      <c r="S114" s="100"/>
      <c r="T114" s="100"/>
      <c r="U114" s="156"/>
    </row>
    <row r="115" spans="1:21" ht="12.75">
      <c r="A115" s="179"/>
      <c r="B115" s="173"/>
      <c r="C115" s="105"/>
      <c r="D115" s="35" t="s">
        <v>48</v>
      </c>
      <c r="E115" s="36">
        <f>F115+G115+H115+I115+J115+K115+L115</f>
        <v>0</v>
      </c>
      <c r="F115" s="37"/>
      <c r="G115" s="37"/>
      <c r="H115" s="37"/>
      <c r="I115" s="37"/>
      <c r="J115" s="37"/>
      <c r="K115" s="37"/>
      <c r="L115" s="37"/>
      <c r="M115" s="182"/>
      <c r="N115" s="100"/>
      <c r="O115" s="100"/>
      <c r="P115" s="100"/>
      <c r="Q115" s="100"/>
      <c r="R115" s="100"/>
      <c r="S115" s="100"/>
      <c r="T115" s="100"/>
      <c r="U115" s="156"/>
    </row>
    <row r="116" spans="1:21" ht="12.75">
      <c r="A116" s="179"/>
      <c r="B116" s="173"/>
      <c r="C116" s="105"/>
      <c r="D116" s="35" t="s">
        <v>49</v>
      </c>
      <c r="E116" s="36">
        <f>F116+G116+H116+I116+J116+K116+L116</f>
        <v>0</v>
      </c>
      <c r="F116" s="37"/>
      <c r="G116" s="37"/>
      <c r="H116" s="37"/>
      <c r="I116" s="37"/>
      <c r="J116" s="37"/>
      <c r="K116" s="37"/>
      <c r="L116" s="37"/>
      <c r="M116" s="182"/>
      <c r="N116" s="100"/>
      <c r="O116" s="100"/>
      <c r="P116" s="100"/>
      <c r="Q116" s="100"/>
      <c r="R116" s="100"/>
      <c r="S116" s="100"/>
      <c r="T116" s="100"/>
      <c r="U116" s="156"/>
    </row>
    <row r="117" spans="1:21" ht="12.75">
      <c r="A117" s="180"/>
      <c r="B117" s="174"/>
      <c r="C117" s="106"/>
      <c r="D117" s="35" t="s">
        <v>51</v>
      </c>
      <c r="E117" s="36">
        <f>F117+G117+H117+I117+J117+K117+L117</f>
        <v>8750000</v>
      </c>
      <c r="F117" s="37">
        <v>8750000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183"/>
      <c r="N117" s="103"/>
      <c r="O117" s="103"/>
      <c r="P117" s="103"/>
      <c r="Q117" s="103"/>
      <c r="R117" s="103"/>
      <c r="S117" s="103"/>
      <c r="T117" s="103"/>
      <c r="U117" s="157"/>
    </row>
    <row r="118" spans="1:21" ht="13.5" customHeight="1">
      <c r="A118" s="158"/>
      <c r="B118" s="161" t="s">
        <v>110</v>
      </c>
      <c r="C118" s="158"/>
      <c r="D118" s="71" t="s">
        <v>52</v>
      </c>
      <c r="E118" s="72">
        <f aca="true" t="shared" si="20" ref="E118:L118">E120+E121+E122+E123</f>
        <v>1645178755.51</v>
      </c>
      <c r="F118" s="72">
        <f t="shared" si="20"/>
        <v>222458828.14</v>
      </c>
      <c r="G118" s="72">
        <f t="shared" si="20"/>
        <v>212714311.44</v>
      </c>
      <c r="H118" s="72">
        <f t="shared" si="20"/>
        <v>228963274.66</v>
      </c>
      <c r="I118" s="72">
        <f t="shared" si="20"/>
        <v>235036334.93</v>
      </c>
      <c r="J118" s="72">
        <f t="shared" si="20"/>
        <v>248668668.78</v>
      </c>
      <c r="K118" s="72">
        <f t="shared" si="20"/>
        <v>248668668.78</v>
      </c>
      <c r="L118" s="72">
        <f t="shared" si="20"/>
        <v>248668668.78</v>
      </c>
      <c r="M118" s="136"/>
      <c r="N118" s="130"/>
      <c r="O118" s="130"/>
      <c r="P118" s="130"/>
      <c r="Q118" s="130"/>
      <c r="R118" s="130"/>
      <c r="S118" s="130"/>
      <c r="T118" s="130"/>
      <c r="U118" s="133"/>
    </row>
    <row r="119" spans="1:21" ht="12.75" customHeight="1">
      <c r="A119" s="159"/>
      <c r="B119" s="162"/>
      <c r="C119" s="159"/>
      <c r="D119" s="139" t="s">
        <v>67</v>
      </c>
      <c r="E119" s="140"/>
      <c r="F119" s="140"/>
      <c r="G119" s="140"/>
      <c r="H119" s="140"/>
      <c r="I119" s="140"/>
      <c r="J119" s="140"/>
      <c r="K119" s="140"/>
      <c r="L119" s="141"/>
      <c r="M119" s="137"/>
      <c r="N119" s="131"/>
      <c r="O119" s="131"/>
      <c r="P119" s="131"/>
      <c r="Q119" s="131"/>
      <c r="R119" s="131"/>
      <c r="S119" s="131"/>
      <c r="T119" s="131"/>
      <c r="U119" s="134"/>
    </row>
    <row r="120" spans="1:21" ht="13.5" customHeight="1">
      <c r="A120" s="159"/>
      <c r="B120" s="162"/>
      <c r="C120" s="159"/>
      <c r="D120" s="73" t="s">
        <v>50</v>
      </c>
      <c r="E120" s="72">
        <f>F120+G120+H120+I120+J120+K120+L120</f>
        <v>1437223798.85</v>
      </c>
      <c r="F120" s="74">
        <f aca="true" t="shared" si="21" ref="F120:L123">F78+F84+F96+F102+F108+F114+F90</f>
        <v>186855783.14</v>
      </c>
      <c r="G120" s="74">
        <f t="shared" si="21"/>
        <v>188442557.08</v>
      </c>
      <c r="H120" s="74">
        <f t="shared" si="21"/>
        <v>205159963.51</v>
      </c>
      <c r="I120" s="74">
        <f t="shared" si="21"/>
        <v>214191373.78</v>
      </c>
      <c r="J120" s="74">
        <f t="shared" si="21"/>
        <v>214191373.78</v>
      </c>
      <c r="K120" s="74">
        <f t="shared" si="21"/>
        <v>214191373.78</v>
      </c>
      <c r="L120" s="74">
        <f t="shared" si="21"/>
        <v>214191373.78</v>
      </c>
      <c r="M120" s="137"/>
      <c r="N120" s="131"/>
      <c r="O120" s="131"/>
      <c r="P120" s="131"/>
      <c r="Q120" s="131"/>
      <c r="R120" s="131"/>
      <c r="S120" s="131"/>
      <c r="T120" s="131"/>
      <c r="U120" s="134"/>
    </row>
    <row r="121" spans="1:21" ht="13.5" customHeight="1">
      <c r="A121" s="159"/>
      <c r="B121" s="162"/>
      <c r="C121" s="159"/>
      <c r="D121" s="73" t="s">
        <v>48</v>
      </c>
      <c r="E121" s="72">
        <f>F121+G121+H121+I121+J121+K121+L121</f>
        <v>7821410</v>
      </c>
      <c r="F121" s="74">
        <f t="shared" si="21"/>
        <v>2487050</v>
      </c>
      <c r="G121" s="74">
        <f t="shared" si="21"/>
        <v>2376010</v>
      </c>
      <c r="H121" s="74">
        <f t="shared" si="21"/>
        <v>2958350</v>
      </c>
      <c r="I121" s="74">
        <f t="shared" si="21"/>
        <v>0</v>
      </c>
      <c r="J121" s="74">
        <f t="shared" si="21"/>
        <v>0</v>
      </c>
      <c r="K121" s="74">
        <f t="shared" si="21"/>
        <v>0</v>
      </c>
      <c r="L121" s="74">
        <f t="shared" si="21"/>
        <v>0</v>
      </c>
      <c r="M121" s="137"/>
      <c r="N121" s="131"/>
      <c r="O121" s="131"/>
      <c r="P121" s="131"/>
      <c r="Q121" s="131"/>
      <c r="R121" s="131"/>
      <c r="S121" s="131"/>
      <c r="T121" s="131"/>
      <c r="U121" s="134"/>
    </row>
    <row r="122" spans="1:21" ht="13.5" customHeight="1">
      <c r="A122" s="159"/>
      <c r="B122" s="162"/>
      <c r="C122" s="159"/>
      <c r="D122" s="73" t="s">
        <v>49</v>
      </c>
      <c r="E122" s="72">
        <f>F122+G122+H122+I122+J122+K122+L122</f>
        <v>0</v>
      </c>
      <c r="F122" s="74">
        <f t="shared" si="21"/>
        <v>0</v>
      </c>
      <c r="G122" s="74">
        <f t="shared" si="21"/>
        <v>0</v>
      </c>
      <c r="H122" s="74">
        <f t="shared" si="21"/>
        <v>0</v>
      </c>
      <c r="I122" s="74">
        <f t="shared" si="21"/>
        <v>0</v>
      </c>
      <c r="J122" s="74">
        <f t="shared" si="21"/>
        <v>0</v>
      </c>
      <c r="K122" s="74">
        <f t="shared" si="21"/>
        <v>0</v>
      </c>
      <c r="L122" s="74">
        <f t="shared" si="21"/>
        <v>0</v>
      </c>
      <c r="M122" s="137"/>
      <c r="N122" s="131"/>
      <c r="O122" s="131"/>
      <c r="P122" s="131"/>
      <c r="Q122" s="131"/>
      <c r="R122" s="131"/>
      <c r="S122" s="131"/>
      <c r="T122" s="131"/>
      <c r="U122" s="134"/>
    </row>
    <row r="123" spans="1:21" ht="13.5" customHeight="1">
      <c r="A123" s="160"/>
      <c r="B123" s="163"/>
      <c r="C123" s="160"/>
      <c r="D123" s="73" t="s">
        <v>51</v>
      </c>
      <c r="E123" s="72">
        <f>F123+G123+H123+I123+J123+K123+L123</f>
        <v>200133546.66</v>
      </c>
      <c r="F123" s="74">
        <f t="shared" si="21"/>
        <v>33115995</v>
      </c>
      <c r="G123" s="74">
        <f t="shared" si="21"/>
        <v>21895744.36</v>
      </c>
      <c r="H123" s="74">
        <f t="shared" si="21"/>
        <v>20844961.15</v>
      </c>
      <c r="I123" s="74">
        <f t="shared" si="21"/>
        <v>20844961.15</v>
      </c>
      <c r="J123" s="74">
        <f t="shared" si="21"/>
        <v>34477295</v>
      </c>
      <c r="K123" s="74">
        <f t="shared" si="21"/>
        <v>34477295</v>
      </c>
      <c r="L123" s="74">
        <f t="shared" si="21"/>
        <v>34477295</v>
      </c>
      <c r="M123" s="138"/>
      <c r="N123" s="132"/>
      <c r="O123" s="132"/>
      <c r="P123" s="132"/>
      <c r="Q123" s="132"/>
      <c r="R123" s="132"/>
      <c r="S123" s="132"/>
      <c r="T123" s="132"/>
      <c r="U123" s="135"/>
    </row>
    <row r="124" spans="1:21" s="66" customFormat="1" ht="13.5" customHeight="1">
      <c r="A124" s="158"/>
      <c r="B124" s="161" t="s">
        <v>39</v>
      </c>
      <c r="C124" s="158"/>
      <c r="D124" s="71" t="s">
        <v>52</v>
      </c>
      <c r="E124" s="72">
        <f>E126+E127+E128+E129</f>
        <v>4823652486.009999</v>
      </c>
      <c r="F124" s="72">
        <f aca="true" t="shared" si="22" ref="F124:L124">F118+F69</f>
        <v>630157257.97</v>
      </c>
      <c r="G124" s="72">
        <f t="shared" si="22"/>
        <v>629509067.48</v>
      </c>
      <c r="H124" s="72">
        <f t="shared" si="22"/>
        <v>663775407.81</v>
      </c>
      <c r="I124" s="72">
        <f t="shared" si="22"/>
        <v>755232066.55</v>
      </c>
      <c r="J124" s="72">
        <f t="shared" si="22"/>
        <v>714992895.4</v>
      </c>
      <c r="K124" s="72">
        <f t="shared" si="22"/>
        <v>714992895.4</v>
      </c>
      <c r="L124" s="72">
        <f t="shared" si="22"/>
        <v>714992895.4</v>
      </c>
      <c r="M124" s="136"/>
      <c r="N124" s="130"/>
      <c r="O124" s="130"/>
      <c r="P124" s="130"/>
      <c r="Q124" s="130"/>
      <c r="R124" s="130"/>
      <c r="S124" s="130"/>
      <c r="T124" s="130"/>
      <c r="U124" s="133"/>
    </row>
    <row r="125" spans="1:21" ht="12.75" customHeight="1">
      <c r="A125" s="159"/>
      <c r="B125" s="162"/>
      <c r="C125" s="159"/>
      <c r="D125" s="139" t="s">
        <v>67</v>
      </c>
      <c r="E125" s="140"/>
      <c r="F125" s="140"/>
      <c r="G125" s="140"/>
      <c r="H125" s="140"/>
      <c r="I125" s="140"/>
      <c r="J125" s="140"/>
      <c r="K125" s="140"/>
      <c r="L125" s="141"/>
      <c r="M125" s="137"/>
      <c r="N125" s="131"/>
      <c r="O125" s="131"/>
      <c r="P125" s="131"/>
      <c r="Q125" s="131"/>
      <c r="R125" s="131"/>
      <c r="S125" s="131"/>
      <c r="T125" s="131"/>
      <c r="U125" s="134"/>
    </row>
    <row r="126" spans="1:21" ht="13.5" customHeight="1">
      <c r="A126" s="159"/>
      <c r="B126" s="162"/>
      <c r="C126" s="159"/>
      <c r="D126" s="73" t="s">
        <v>50</v>
      </c>
      <c r="E126" s="72">
        <f>F126+G126+H126+I126+J126+K126+L126</f>
        <v>2197804617.04</v>
      </c>
      <c r="F126" s="74">
        <f aca="true" t="shared" si="23" ref="F126:L129">F71+F120</f>
        <v>288108773.96999997</v>
      </c>
      <c r="G126" s="74">
        <f t="shared" si="23"/>
        <v>288034535.81</v>
      </c>
      <c r="H126" s="74">
        <f t="shared" si="23"/>
        <v>310749265.65999997</v>
      </c>
      <c r="I126" s="74">
        <f t="shared" si="23"/>
        <v>327728010.40000004</v>
      </c>
      <c r="J126" s="74">
        <f t="shared" si="23"/>
        <v>327728010.40000004</v>
      </c>
      <c r="K126" s="74">
        <f t="shared" si="23"/>
        <v>327728010.40000004</v>
      </c>
      <c r="L126" s="74">
        <f t="shared" si="23"/>
        <v>327728010.40000004</v>
      </c>
      <c r="M126" s="137"/>
      <c r="N126" s="131"/>
      <c r="O126" s="131"/>
      <c r="P126" s="131"/>
      <c r="Q126" s="131"/>
      <c r="R126" s="131"/>
      <c r="S126" s="131"/>
      <c r="T126" s="131"/>
      <c r="U126" s="134"/>
    </row>
    <row r="127" spans="1:21" ht="13.5" customHeight="1">
      <c r="A127" s="159"/>
      <c r="B127" s="162"/>
      <c r="C127" s="159"/>
      <c r="D127" s="73" t="s">
        <v>48</v>
      </c>
      <c r="E127" s="72">
        <f>F127+G127+H127+I127+J127+K127+L127</f>
        <v>2417704294.24</v>
      </c>
      <c r="F127" s="74">
        <f t="shared" si="23"/>
        <v>308069784</v>
      </c>
      <c r="G127" s="74">
        <f t="shared" si="23"/>
        <v>318165579.24</v>
      </c>
      <c r="H127" s="74">
        <f t="shared" si="23"/>
        <v>330608181</v>
      </c>
      <c r="I127" s="74">
        <f t="shared" si="23"/>
        <v>405086095</v>
      </c>
      <c r="J127" s="74">
        <f t="shared" si="23"/>
        <v>351924885</v>
      </c>
      <c r="K127" s="74">
        <f t="shared" si="23"/>
        <v>351924885</v>
      </c>
      <c r="L127" s="74">
        <f t="shared" si="23"/>
        <v>351924885</v>
      </c>
      <c r="M127" s="137"/>
      <c r="N127" s="131"/>
      <c r="O127" s="131"/>
      <c r="P127" s="131"/>
      <c r="Q127" s="131"/>
      <c r="R127" s="131"/>
      <c r="S127" s="131"/>
      <c r="T127" s="131"/>
      <c r="U127" s="134"/>
    </row>
    <row r="128" spans="1:21" ht="13.5" customHeight="1">
      <c r="A128" s="159"/>
      <c r="B128" s="162"/>
      <c r="C128" s="159"/>
      <c r="D128" s="73" t="s">
        <v>49</v>
      </c>
      <c r="E128" s="72">
        <f>F128+G128+H128+I128+J128+K128+L128</f>
        <v>0</v>
      </c>
      <c r="F128" s="74">
        <f t="shared" si="23"/>
        <v>0</v>
      </c>
      <c r="G128" s="74">
        <f t="shared" si="23"/>
        <v>0</v>
      </c>
      <c r="H128" s="74">
        <f t="shared" si="23"/>
        <v>0</v>
      </c>
      <c r="I128" s="74">
        <f t="shared" si="23"/>
        <v>0</v>
      </c>
      <c r="J128" s="74">
        <f t="shared" si="23"/>
        <v>0</v>
      </c>
      <c r="K128" s="74">
        <f t="shared" si="23"/>
        <v>0</v>
      </c>
      <c r="L128" s="74">
        <f t="shared" si="23"/>
        <v>0</v>
      </c>
      <c r="M128" s="137"/>
      <c r="N128" s="131"/>
      <c r="O128" s="131"/>
      <c r="P128" s="131"/>
      <c r="Q128" s="131"/>
      <c r="R128" s="131"/>
      <c r="S128" s="131"/>
      <c r="T128" s="131"/>
      <c r="U128" s="134"/>
    </row>
    <row r="129" spans="1:21" ht="13.5" customHeight="1">
      <c r="A129" s="160"/>
      <c r="B129" s="163"/>
      <c r="C129" s="160"/>
      <c r="D129" s="73" t="s">
        <v>51</v>
      </c>
      <c r="E129" s="72">
        <f>F129+G129+H129+I129+J129+K129+L129</f>
        <v>208143574.73</v>
      </c>
      <c r="F129" s="74">
        <f t="shared" si="23"/>
        <v>33978700</v>
      </c>
      <c r="G129" s="74">
        <f t="shared" si="23"/>
        <v>23308952.43</v>
      </c>
      <c r="H129" s="74">
        <f t="shared" si="23"/>
        <v>22417961.15</v>
      </c>
      <c r="I129" s="74">
        <f t="shared" si="23"/>
        <v>22417961.15</v>
      </c>
      <c r="J129" s="74">
        <f t="shared" si="23"/>
        <v>35340000</v>
      </c>
      <c r="K129" s="74">
        <f t="shared" si="23"/>
        <v>35340000</v>
      </c>
      <c r="L129" s="74">
        <f t="shared" si="23"/>
        <v>35340000</v>
      </c>
      <c r="M129" s="138"/>
      <c r="N129" s="132"/>
      <c r="O129" s="132"/>
      <c r="P129" s="132"/>
      <c r="Q129" s="132"/>
      <c r="R129" s="132"/>
      <c r="S129" s="132"/>
      <c r="T129" s="132"/>
      <c r="U129" s="135"/>
    </row>
    <row r="131" spans="5:8" s="45" customFormat="1" ht="12.75">
      <c r="E131" s="46"/>
      <c r="G131" s="65"/>
      <c r="H131" s="65"/>
    </row>
    <row r="132" spans="7:9" ht="12.75">
      <c r="G132" s="65"/>
      <c r="H132" s="65"/>
      <c r="I132" s="45"/>
    </row>
    <row r="133" spans="5:9" ht="12.75">
      <c r="E133" s="38"/>
      <c r="G133" s="47"/>
      <c r="H133" s="65"/>
      <c r="I133" s="67"/>
    </row>
    <row r="134" spans="5:9" ht="12.75">
      <c r="E134" s="38"/>
      <c r="F134" s="48"/>
      <c r="G134" s="49"/>
      <c r="H134" s="68"/>
      <c r="I134" s="68"/>
    </row>
    <row r="135" spans="5:9" ht="12.75">
      <c r="E135" s="38"/>
      <c r="F135" s="48"/>
      <c r="G135" s="47"/>
      <c r="H135" s="67"/>
      <c r="I135" s="67"/>
    </row>
    <row r="136" spans="2:9" ht="12.75">
      <c r="B136" s="38"/>
      <c r="E136" s="38"/>
      <c r="F136" s="50"/>
      <c r="G136" s="51"/>
      <c r="H136" s="38"/>
      <c r="I136" s="38"/>
    </row>
    <row r="137" spans="2:9" ht="12.75">
      <c r="B137" s="38"/>
      <c r="E137" s="38"/>
      <c r="F137" s="52"/>
      <c r="G137" s="51"/>
      <c r="H137" s="38"/>
      <c r="I137" s="38"/>
    </row>
    <row r="138" spans="2:9" ht="12.75">
      <c r="B138" s="38"/>
      <c r="E138" s="38"/>
      <c r="F138" s="50"/>
      <c r="G138" s="51"/>
      <c r="H138" s="38"/>
      <c r="I138" s="38"/>
    </row>
    <row r="139" spans="2:9" ht="12.75">
      <c r="B139" s="38"/>
      <c r="E139" s="49"/>
      <c r="F139" s="50"/>
      <c r="G139" s="53"/>
      <c r="H139" s="38"/>
      <c r="I139" s="38"/>
    </row>
    <row r="140" spans="2:9" ht="12.75">
      <c r="B140" s="38"/>
      <c r="C140" s="48"/>
      <c r="E140" s="38"/>
      <c r="F140" s="50"/>
      <c r="G140" s="53"/>
      <c r="H140" s="38"/>
      <c r="I140" s="38"/>
    </row>
    <row r="141" spans="2:9" ht="12.75">
      <c r="B141" s="38"/>
      <c r="C141" s="48"/>
      <c r="E141" s="38"/>
      <c r="F141" s="50"/>
      <c r="G141" s="54"/>
      <c r="H141" s="38"/>
      <c r="I141" s="38"/>
    </row>
    <row r="142" spans="2:9" ht="12.75">
      <c r="B142" s="38"/>
      <c r="C142" s="55"/>
      <c r="E142" s="38"/>
      <c r="F142" s="50"/>
      <c r="G142" s="56"/>
      <c r="H142" s="54"/>
      <c r="I142" s="38"/>
    </row>
    <row r="143" spans="2:9" ht="12.75">
      <c r="B143" s="38"/>
      <c r="C143" s="48"/>
      <c r="E143" s="51"/>
      <c r="F143" s="50"/>
      <c r="G143" s="54"/>
      <c r="H143" s="38"/>
      <c r="I143" s="38"/>
    </row>
    <row r="144" spans="2:9" ht="12.75">
      <c r="B144" s="38"/>
      <c r="C144" s="48"/>
      <c r="E144" s="51"/>
      <c r="F144" s="50"/>
      <c r="G144" s="53"/>
      <c r="H144" s="57"/>
      <c r="I144" s="57"/>
    </row>
    <row r="145" spans="5:9" ht="12.75">
      <c r="E145" s="49"/>
      <c r="F145" s="50"/>
      <c r="G145" s="53"/>
      <c r="H145" s="57"/>
      <c r="I145" s="57"/>
    </row>
    <row r="146" spans="6:9" ht="12.75">
      <c r="F146" s="50"/>
      <c r="G146" s="53"/>
      <c r="H146" s="57"/>
      <c r="I146" s="57"/>
    </row>
    <row r="147" spans="6:9" ht="12.75">
      <c r="F147" s="50"/>
      <c r="G147" s="53"/>
      <c r="H147" s="58"/>
      <c r="I147" s="58"/>
    </row>
    <row r="148" spans="6:9" ht="12.75">
      <c r="F148" s="50"/>
      <c r="G148" s="53"/>
      <c r="H148" s="57"/>
      <c r="I148" s="57"/>
    </row>
    <row r="149" spans="6:9" ht="12.75">
      <c r="F149" s="50"/>
      <c r="G149" s="53"/>
      <c r="H149" s="57"/>
      <c r="I149" s="57"/>
    </row>
    <row r="150" spans="6:9" ht="12.75">
      <c r="F150" s="50"/>
      <c r="G150" s="53"/>
      <c r="H150" s="57"/>
      <c r="I150" s="57"/>
    </row>
    <row r="151" spans="6:9" ht="12.75">
      <c r="F151" s="50"/>
      <c r="G151" s="53"/>
      <c r="H151" s="58"/>
      <c r="I151" s="58"/>
    </row>
    <row r="152" spans="6:9" ht="12.75">
      <c r="F152" s="50"/>
      <c r="G152" s="59"/>
      <c r="H152" s="57"/>
      <c r="I152" s="57"/>
    </row>
    <row r="153" spans="6:9" ht="12.75">
      <c r="F153" s="50"/>
      <c r="G153" s="53"/>
      <c r="H153" s="58"/>
      <c r="I153" s="58"/>
    </row>
    <row r="154" spans="6:9" ht="12.75">
      <c r="F154" s="50"/>
      <c r="G154" s="54"/>
      <c r="H154" s="57"/>
      <c r="I154" s="38"/>
    </row>
    <row r="155" spans="6:9" ht="12.75">
      <c r="F155" s="50"/>
      <c r="G155" s="51"/>
      <c r="H155" s="57"/>
      <c r="I155" s="38"/>
    </row>
    <row r="156" spans="6:9" ht="12.75">
      <c r="F156" s="48"/>
      <c r="G156" s="38"/>
      <c r="H156" s="51"/>
      <c r="I156" s="38"/>
    </row>
    <row r="157" ht="12.75">
      <c r="F157" s="60"/>
    </row>
    <row r="158" spans="6:7" ht="12.75">
      <c r="F158" s="48"/>
      <c r="G158" s="38"/>
    </row>
    <row r="159" spans="6:8" ht="12.75">
      <c r="F159" s="48"/>
      <c r="G159" s="38"/>
      <c r="H159" s="61"/>
    </row>
    <row r="160" spans="6:7" ht="12.75">
      <c r="F160" s="59"/>
      <c r="G160" s="53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ht="12.75">
      <c r="G166" s="38"/>
    </row>
    <row r="167" spans="6:7" ht="12.75">
      <c r="F167" s="154"/>
      <c r="G167" s="154"/>
    </row>
    <row r="168" ht="12.75">
      <c r="G168" s="38"/>
    </row>
    <row r="169" ht="12.75">
      <c r="G169" s="38"/>
    </row>
    <row r="171" ht="12.75">
      <c r="G171" s="38"/>
    </row>
    <row r="172" ht="12.75">
      <c r="G172" s="38"/>
    </row>
    <row r="174" ht="12.75">
      <c r="F174" s="48" t="s">
        <v>2</v>
      </c>
    </row>
    <row r="175" spans="6:9" ht="12.75">
      <c r="F175" s="32" t="s">
        <v>3</v>
      </c>
      <c r="G175" s="38">
        <f>59/112*G177</f>
        <v>242478.9375</v>
      </c>
      <c r="H175" s="38">
        <f>59/112*H177</f>
        <v>0</v>
      </c>
      <c r="I175" s="38">
        <f>59/112*I177</f>
        <v>0</v>
      </c>
    </row>
    <row r="176" spans="6:9" ht="12.75">
      <c r="F176" s="32" t="s">
        <v>4</v>
      </c>
      <c r="G176" s="38">
        <f>53/112*G177</f>
        <v>217820.0625</v>
      </c>
      <c r="H176" s="38">
        <f>53/112*H177</f>
        <v>0</v>
      </c>
      <c r="I176" s="38">
        <f>53/112*I177</f>
        <v>0</v>
      </c>
    </row>
    <row r="177" spans="6:9" ht="12.75">
      <c r="F177" s="32" t="s">
        <v>5</v>
      </c>
      <c r="G177" s="38">
        <v>460299</v>
      </c>
      <c r="H177" s="38">
        <f>H137</f>
        <v>0</v>
      </c>
      <c r="I177" s="38">
        <f>I137</f>
        <v>0</v>
      </c>
    </row>
  </sheetData>
  <sheetProtection/>
  <mergeCells count="273">
    <mergeCell ref="Q1:U1"/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D83:L83"/>
    <mergeCell ref="M82:M87"/>
    <mergeCell ref="Q76:Q81"/>
    <mergeCell ref="O76:O81"/>
    <mergeCell ref="O69:O74"/>
    <mergeCell ref="P88:P93"/>
    <mergeCell ref="O100:O105"/>
    <mergeCell ref="R100:R105"/>
    <mergeCell ref="S100:S105"/>
    <mergeCell ref="O94:O99"/>
    <mergeCell ref="Q63:Q68"/>
    <mergeCell ref="Q69:Q74"/>
    <mergeCell ref="P94:P99"/>
    <mergeCell ref="M100:M105"/>
    <mergeCell ref="N100:N105"/>
    <mergeCell ref="M94:M99"/>
    <mergeCell ref="U106:U111"/>
    <mergeCell ref="D107:L107"/>
    <mergeCell ref="P106:P111"/>
    <mergeCell ref="Q106:Q111"/>
    <mergeCell ref="R106:R111"/>
    <mergeCell ref="Q100:Q105"/>
    <mergeCell ref="P100:P105"/>
    <mergeCell ref="A106:A111"/>
    <mergeCell ref="B106:B111"/>
    <mergeCell ref="C106:C111"/>
    <mergeCell ref="B100:B105"/>
    <mergeCell ref="C100:C105"/>
    <mergeCell ref="D101:L101"/>
    <mergeCell ref="C94:C99"/>
    <mergeCell ref="U88:U93"/>
    <mergeCell ref="S94:S99"/>
    <mergeCell ref="D89:L89"/>
    <mergeCell ref="N94:N99"/>
    <mergeCell ref="S88:S93"/>
    <mergeCell ref="Q94:Q99"/>
    <mergeCell ref="A100:A105"/>
    <mergeCell ref="A88:A93"/>
    <mergeCell ref="B88:B93"/>
    <mergeCell ref="C88:C93"/>
    <mergeCell ref="M88:M93"/>
    <mergeCell ref="O88:O93"/>
    <mergeCell ref="N88:N93"/>
    <mergeCell ref="D95:L95"/>
    <mergeCell ref="A94:A99"/>
    <mergeCell ref="B94:B99"/>
    <mergeCell ref="R88:R93"/>
    <mergeCell ref="Q88:Q93"/>
    <mergeCell ref="N82:N87"/>
    <mergeCell ref="P82:P87"/>
    <mergeCell ref="Q82:Q87"/>
    <mergeCell ref="O82:O87"/>
    <mergeCell ref="R82:R87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M57:M62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D16:L16"/>
    <mergeCell ref="P15:P20"/>
    <mergeCell ref="R15:R20"/>
    <mergeCell ref="S15:S20"/>
    <mergeCell ref="N21:N26"/>
    <mergeCell ref="O21:O26"/>
    <mergeCell ref="D22:L22"/>
    <mergeCell ref="P21:P26"/>
    <mergeCell ref="A21:A26"/>
    <mergeCell ref="B21:B26"/>
    <mergeCell ref="C21:C26"/>
    <mergeCell ref="M21:M26"/>
    <mergeCell ref="S21:S26"/>
    <mergeCell ref="T21:T26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7:A32"/>
    <mergeCell ref="B27:B32"/>
    <mergeCell ref="C27:C32"/>
    <mergeCell ref="M27:M32"/>
    <mergeCell ref="N27:N32"/>
    <mergeCell ref="O27:O32"/>
    <mergeCell ref="D28:L28"/>
    <mergeCell ref="R33:R38"/>
    <mergeCell ref="R27:R32"/>
    <mergeCell ref="S27:S32"/>
    <mergeCell ref="U33:U38"/>
    <mergeCell ref="S33:S38"/>
    <mergeCell ref="T33:T38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O39:O44"/>
    <mergeCell ref="S39:S44"/>
    <mergeCell ref="P39:P44"/>
    <mergeCell ref="Q39:Q44"/>
    <mergeCell ref="R39:R44"/>
    <mergeCell ref="T39:T44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R45:R50"/>
    <mergeCell ref="S45:S50"/>
    <mergeCell ref="T45:T50"/>
    <mergeCell ref="P51:P56"/>
    <mergeCell ref="Q51:Q56"/>
    <mergeCell ref="R51:R56"/>
    <mergeCell ref="S51:S56"/>
    <mergeCell ref="T51:T56"/>
    <mergeCell ref="A112:A117"/>
    <mergeCell ref="B112:B117"/>
    <mergeCell ref="C112:C117"/>
    <mergeCell ref="M112:M117"/>
    <mergeCell ref="D113:L113"/>
    <mergeCell ref="N112:N117"/>
    <mergeCell ref="O112:O117"/>
    <mergeCell ref="S112:S117"/>
    <mergeCell ref="T112:T117"/>
    <mergeCell ref="P112:P117"/>
    <mergeCell ref="Q112:Q117"/>
    <mergeCell ref="R112:R117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U94:U99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B76:B81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O118:O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Q118:Q123"/>
    <mergeCell ref="R118:R123"/>
    <mergeCell ref="S124:S129"/>
    <mergeCell ref="U124:U129"/>
    <mergeCell ref="S118:S123"/>
    <mergeCell ref="T118:T123"/>
    <mergeCell ref="U118:U123"/>
    <mergeCell ref="T124:T129"/>
    <mergeCell ref="F167:G167"/>
    <mergeCell ref="P124:P129"/>
    <mergeCell ref="Q124:Q129"/>
    <mergeCell ref="R124:R129"/>
    <mergeCell ref="N124:N129"/>
    <mergeCell ref="O124:O12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2016-09-27T06:45:49Z</cp:lastPrinted>
  <dcterms:created xsi:type="dcterms:W3CDTF">2013-06-06T11:09:14Z</dcterms:created>
  <dcterms:modified xsi:type="dcterms:W3CDTF">2016-10-04T06:04:52Z</dcterms:modified>
  <cp:category/>
  <cp:version/>
  <cp:contentType/>
  <cp:contentStatus/>
</cp:coreProperties>
</file>