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Таблица 2 (3)" sheetId="1" r:id="rId1"/>
    <sheet name="Таблица 3 (3)" sheetId="2" r:id="rId2"/>
    <sheet name="Таблица 2 (4)" sheetId="3" r:id="rId3"/>
    <sheet name="Таблица 3 (4)" sheetId="4" r:id="rId4"/>
  </sheets>
  <externalReferences>
    <externalReference r:id="rId7"/>
  </externalReferences>
  <definedNames>
    <definedName name="_xlnm.Print_Area" localSheetId="3">'Таблица 3 (4)'!#REF!</definedName>
  </definedNames>
  <calcPr fullCalcOnLoad="1"/>
</workbook>
</file>

<file path=xl/sharedStrings.xml><?xml version="1.0" encoding="utf-8"?>
<sst xmlns="http://schemas.openxmlformats.org/spreadsheetml/2006/main" count="613" uniqueCount="174">
  <si>
    <t>Таблица № 2 (3)</t>
  </si>
  <si>
    <t xml:space="preserve">4. Обоснование ресурсного обеспечения Подпрограммы 3 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</si>
  <si>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</si>
  <si>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</si>
  <si>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</si>
  <si>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 3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</si>
  <si>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</si>
  <si>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</si>
  <si>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</si>
  <si>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</si>
  <si>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</si>
  <si>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</si>
  <si>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</si>
  <si>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</si>
  <si>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Таблица № 3 (3)</t>
  </si>
  <si>
    <t xml:space="preserve">3. Перечень основных мероприятий Подпрограммы  3 </t>
  </si>
  <si>
    <t>№  п/п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</si>
  <si>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</si>
  <si>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</si>
  <si>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</si>
  <si>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Показатели результативности выполнения мероприятий</t>
  </si>
  <si>
    <t>Исполнитель, перечень организаций, участвующих в реализации основных мероприятий</t>
  </si>
  <si>
    <t>Всего</t>
  </si>
  <si>
    <t xml:space="preserve">2014 </t>
  </si>
  <si>
    <t>2015</t>
  </si>
  <si>
    <t>2016</t>
  </si>
  <si>
    <t>2017</t>
  </si>
  <si>
    <t>2018</t>
  </si>
  <si>
    <t>2019</t>
  </si>
  <si>
    <t>2020</t>
  </si>
  <si>
    <t>Наименование, ед.измерения</t>
  </si>
  <si>
    <t>2014</t>
  </si>
  <si>
    <t xml:space="preserve">Цель Подпрограммы 3: Уменьшение задолженности перед ресурсоснабжающими организациями за жилищно - коммунальные услуги </t>
  </si>
  <si>
    <t>1.</t>
  </si>
  <si>
    <t>Задача 1:  Проведение комплекса мероприятий по уменьшению задолженности за предоставленные жилищно-коммунальные услуги</t>
  </si>
  <si>
    <t>1.1.</t>
  </si>
  <si>
    <t>Взыскание с населения задолженности за оказанные ЖКУ в соответствии с законодательством Российской Федерации</t>
  </si>
  <si>
    <t xml:space="preserve">2014-2020 </t>
  </si>
  <si>
    <t>Доля исковых заявлений удовлетворенных судом, %</t>
  </si>
  <si>
    <t>-</t>
  </si>
  <si>
    <t>МБУ "ЕСЗ"</t>
  </si>
  <si>
    <t>МБ</t>
  </si>
  <si>
    <t>ОБ</t>
  </si>
  <si>
    <t>Доля исполнительных листов оконченных с фактическим исполнением, %</t>
  </si>
  <si>
    <t>ФБ</t>
  </si>
  <si>
    <t>ВБС</t>
  </si>
  <si>
    <t>Итого по задаче 1:</t>
  </si>
  <si>
    <t>в том числе:</t>
  </si>
  <si>
    <t>2.</t>
  </si>
  <si>
    <t>Задача: 2 Проведение мероприятий по содержанию муниципального имущества, находящегося в муниципальной казне</t>
  </si>
  <si>
    <t>2.1.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</si>
  <si>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</si>
  <si>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Процент предоставления субсидии за содержание, текущий ремонт и коммунальные услуги по пустующему муниципальному жилищному фонду, %</t>
  </si>
  <si>
    <t>МКУ "СГХ"</t>
  </si>
  <si>
    <t>2.2.</t>
  </si>
  <si>
    <t>Оплата за содержание, текущий ремонт и коммунальные услуги по пустующему муниципальному жилищному фонду</t>
  </si>
  <si>
    <t>Процент оплаты за содержание, текущий ремонт и коммунальные услуги по пустующему муниципальному жилищному фонду, %</t>
  </si>
  <si>
    <t>МКУ "СГХ", УМС</t>
  </si>
  <si>
    <t>Итого по задаче 2:</t>
  </si>
  <si>
    <t>ВСЕГО по Подпрограмме 3:</t>
  </si>
  <si>
    <t>Таблица № 2 (4)</t>
  </si>
  <si>
    <t xml:space="preserve">4. Обоснование ресурсного обеспечения Подпрограммы 4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</si>
  <si>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</si>
  <si>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</si>
  <si>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</si>
  <si>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</si>
  <si>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</si>
  <si>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</si>
  <si>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</si>
  <si>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Подпрограмме 4</t>
  </si>
  <si>
    <t>Таблица № 3 (4)</t>
  </si>
  <si>
    <t xml:space="preserve">3. Перечень основных мероприятий Подпрограммы  4 </t>
  </si>
  <si>
    <t>Цель Подпрограммы 4: Повышение уровня благоустроенности территории ЗАТО Александровск</t>
  </si>
  <si>
    <t xml:space="preserve">Задача 1.  Развитие и благоустройство территории ЗАТО Александровск </t>
  </si>
  <si>
    <t>Улучшение качества освещения улиц на территории муниципального образования ЗАТО Александровск</t>
  </si>
  <si>
    <t xml:space="preserve">2014 - 2020  </t>
  </si>
  <si>
    <t>Протяженность обслуживаемой рабочей сети  уличного и фасадного освещения муниципального образования ЗАТО Александровск, м</t>
  </si>
  <si>
    <t>Техническое обслуживание и текущий ремонт уличного освещения в г. Полярный</t>
  </si>
  <si>
    <t>06 225.02</t>
  </si>
  <si>
    <t>Техническое обслуживание и текущий ремонт уличного освещения  г. Снежногорск, г. Гаджиево, н.п. Оленья Губа, п. Белокаменка.</t>
  </si>
  <si>
    <t xml:space="preserve">Монтаж опоры уличного освещения </t>
  </si>
  <si>
    <t>2014 год - 06.226.10                               2015 год - 06.310.09</t>
  </si>
  <si>
    <t>Поставка электроэнергии на уличное и фасадное освещение</t>
  </si>
  <si>
    <t>06  223.03</t>
  </si>
  <si>
    <t>1.2.</t>
  </si>
  <si>
    <t>Повышение качества организации содержания лестничных сходов, детских площадок, тротуаров, дорожек и дворовых территорий  муниципального образования ЗАТО Александровск</t>
  </si>
  <si>
    <t>Площадь содержания лестничных сходов, детских площадок, тротуаров, дорожек и дворовых территорий  муниципального образования ЗАТО Александровск, м.кв.</t>
  </si>
  <si>
    <t>Ручная уборка парков, скверов, газонов, тротуаров, лестничных сходов на территории муниципального образования, а так же иных территорий для выполнения разовых работ</t>
  </si>
  <si>
    <t>07  225.01</t>
  </si>
  <si>
    <t xml:space="preserve">Мероприятия, направленные на вывоз ТБО </t>
  </si>
  <si>
    <t>Санитарное содержание детских игровых площадок на межквартальных территориях</t>
  </si>
  <si>
    <t>Техническое обслуживание и ремонт детских игровых площадок на межквартальных территориях</t>
  </si>
  <si>
    <t>07   225.02</t>
  </si>
  <si>
    <t>Зашивка, закладка оконных и дверных проемов, продухов и технических вентиляционных окон в законсервированных домах</t>
  </si>
  <si>
    <t>99  225.06</t>
  </si>
  <si>
    <t>Эвакуация , хранение брошенного и разукомплектованного транспорта, и транспорта от которого отказался владелец</t>
  </si>
  <si>
    <t>99  226.10</t>
  </si>
  <si>
    <t>Ремонт лестничных сходов и подходов(сходов) к ним</t>
  </si>
  <si>
    <t>07  225.02</t>
  </si>
  <si>
    <t>Покос травы, обрезка кустарника, прореживание зеленых насаждений, вывоз веток</t>
  </si>
  <si>
    <t>Санитарное содержание спортивной площадки</t>
  </si>
  <si>
    <t>Техническое обслуживание спортивной площадки</t>
  </si>
  <si>
    <t>Финансовые обязательства прошлых лет</t>
  </si>
  <si>
    <t>аварийные работы (кред.задолж.)</t>
  </si>
  <si>
    <t>таблички (кред.задолж.)</t>
  </si>
  <si>
    <t>09  310.09</t>
  </si>
  <si>
    <t>1.3.</t>
  </si>
  <si>
    <t>Улучшение технического состояния и приведение  в качественное состояние объектов инфраструктуры и благоустройства на территории ЗАТО Александровск</t>
  </si>
  <si>
    <t>Количество выполненных работ, ед.</t>
  </si>
  <si>
    <t>МКУ "СГХ",              МКУ "ОКС"</t>
  </si>
  <si>
    <t>Аварийные работы(ремонт, чистка, монтаж/демонтаж), в т.ч.</t>
  </si>
  <si>
    <t>ремонт трубопровода, водопровода, прочистка канализации)</t>
  </si>
  <si>
    <t>чистка канализации</t>
  </si>
  <si>
    <t xml:space="preserve">Устройство подпорной стены </t>
  </si>
  <si>
    <t>99 225.02</t>
  </si>
  <si>
    <t>Разборка поста</t>
  </si>
  <si>
    <t>Ремонт навеса КПП г.Снежногорска ЗАТО Александровск</t>
  </si>
  <si>
    <t>Капитальный ремонт пешеходного моста г. Полярный</t>
  </si>
  <si>
    <t>09  225.02</t>
  </si>
  <si>
    <t>Капитальный и текущий ремонт объектов муниципальной собственности</t>
  </si>
  <si>
    <t>Мероприятия, связанные со строительством (реконструкцией) объектов муниципальной собственности</t>
  </si>
  <si>
    <t>1.3.1.</t>
  </si>
  <si>
    <t>Прохождение государственной экспертизы "Проекта реконструкции моста в г.Полярный ЗАТО Александровск в районе ул..Душенова и ул.Моисеева"</t>
  </si>
  <si>
    <t>Количество экспертиз, ед.</t>
  </si>
  <si>
    <t>МКУ "ОКС"</t>
  </si>
  <si>
    <t>1.4.</t>
  </si>
  <si>
    <t>Организация ритуальных услуг и содержание мест захоронения</t>
  </si>
  <si>
    <t>Количество мест захоронений находящихся на содержании, ед.</t>
  </si>
  <si>
    <t>Содержание кладбищ</t>
  </si>
  <si>
    <t>Транспортировка с места обнаружения или происшествия в морг умерших (погибших), не имеющих супруга, близких родственников и иных родственников либо законного представителя умершего на территории ЗАТО Александровск</t>
  </si>
  <si>
    <t>99  222.02</t>
  </si>
  <si>
    <t>Задача 2.  Создание комфортной и безопасной среды для проживания в ЗАТО Александровск</t>
  </si>
  <si>
    <t xml:space="preserve">                                                                                                                                                   Создание условий и организация обустройства мест массового отдыха населения</t>
  </si>
  <si>
    <t>Количество  мероприятий, проведенных в целях создания благоприятных условия для комфортного отдыха населения, ед.</t>
  </si>
  <si>
    <t>Благоустройство скверов</t>
  </si>
  <si>
    <t>07 225.02</t>
  </si>
  <si>
    <t>99 226.10</t>
  </si>
  <si>
    <t>Санитарное содержание памятников и мест массового отдыха</t>
  </si>
  <si>
    <t>Ремонт, окраска объектов и малых архитектурных форм (мангалы, скамейки, беседки, )расположенных в зонах отдыха</t>
  </si>
  <si>
    <t>Организация и участие в праздничных мероприятиях, в том числе</t>
  </si>
  <si>
    <t>Монтаж/демонтаж фонтанов, ялика, фигур лебедей, скамеек</t>
  </si>
  <si>
    <t>Закупка семян, и зеленых насаждений</t>
  </si>
  <si>
    <t>99  340.07</t>
  </si>
  <si>
    <t xml:space="preserve">Подготовка почвы под цветники, благоустройство клумб </t>
  </si>
  <si>
    <t>Ремонт   новогодней иллюминации</t>
  </si>
  <si>
    <t>Приобретение флагов, баннеров, информационных табличек, лебедей</t>
  </si>
  <si>
    <t xml:space="preserve">Монтаж/демонтаж флагов,  баннеров на территории муниципального образования </t>
  </si>
  <si>
    <t xml:space="preserve">Монтаж/демонтаж новогодней иллюминации, елочных гирлянд </t>
  </si>
  <si>
    <t>Монтаж/демонтаж новогодних елей</t>
  </si>
  <si>
    <t>Приобретение основных средств (новогодние ели, тепловизор, насос, новогодняя иллюминация)</t>
  </si>
  <si>
    <t>99  310.09</t>
  </si>
  <si>
    <t xml:space="preserve">Завоз грунта и пескосоляной смеси  </t>
  </si>
  <si>
    <t>99 222.02</t>
  </si>
  <si>
    <t>Монтаж/демонтаж  ограждений зеленых зон (скверов, парков, дорог, мостов)</t>
  </si>
  <si>
    <t>Ремонт ограждений зеленых зон (скверов, парков)</t>
  </si>
  <si>
    <t>Приобретение хозяйственного инвентаря</t>
  </si>
  <si>
    <t>Благоустройство территории в районе дома (укладка тротуарной плитки, устройство подстилающих и выравнивающих слоев оснований из щебня)</t>
  </si>
  <si>
    <t>Установка металлических заграждений</t>
  </si>
  <si>
    <t xml:space="preserve"> Создание условий и организация обустройства мест массового отдыха населения</t>
  </si>
  <si>
    <t xml:space="preserve">                                                                                                                                                  Организация регулирования численности безнадзорных животных</t>
  </si>
  <si>
    <t>Количество отловленных безнадзорных животных, ед.</t>
  </si>
  <si>
    <t>ВСЕГО по Подпрограмме 4:</t>
  </si>
  <si>
    <t>Благоустройство</t>
  </si>
  <si>
    <t>Лимиты</t>
  </si>
  <si>
    <t>06  225.02</t>
  </si>
  <si>
    <t>06  226.10</t>
  </si>
  <si>
    <t>06  310.09</t>
  </si>
  <si>
    <t>08  226.10</t>
  </si>
  <si>
    <t>66 226.10</t>
  </si>
  <si>
    <t>Проверка</t>
  </si>
  <si>
    <t>Приложение №1   к постановлению администрации ЗАТО Александровск от « 11 » марта 2016 г. № 526</t>
  </si>
  <si>
    <t>Приложение №2 к постановлению администрации ЗАТО Александровск от « 11 » марта 2016 г. № 526</t>
  </si>
  <si>
    <t>Приложение №3 к постановлению администрации ЗАТО Александровск отот « 11 » марта 2016 г. № 526</t>
  </si>
  <si>
    <t>Приложение №4 к постановлению администрации ЗАТО Александровск отот « 11 » марта 2016 г. № 526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</si>
</sst>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vertical="center"/>
    </xf>
    <xf numFmtId="4" fontId="16" fillId="33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11" xfId="0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4" fontId="15" fillId="34" borderId="11" xfId="0" applyNumberFormat="1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4" fontId="16" fillId="34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7" fillId="35" borderId="11" xfId="0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4" fontId="18" fillId="35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4" fontId="19" fillId="36" borderId="11" xfId="0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 wrapText="1"/>
    </xf>
    <xf numFmtId="4" fontId="20" fillId="36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Fill="1" applyAlignment="1">
      <alignment horizontal="right" vertical="center"/>
    </xf>
    <xf numFmtId="4" fontId="2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16" fillId="35" borderId="13" xfId="0" applyNumberFormat="1" applyFont="1" applyFill="1" applyBorder="1" applyAlignment="1">
      <alignment horizontal="center" vertical="center"/>
    </xf>
    <xf numFmtId="2" fontId="16" fillId="35" borderId="14" xfId="0" applyNumberFormat="1" applyFont="1" applyFill="1" applyBorder="1" applyAlignment="1">
      <alignment horizontal="center" vertical="center"/>
    </xf>
    <xf numFmtId="2" fontId="16" fillId="35" borderId="15" xfId="0" applyNumberFormat="1" applyFont="1" applyFill="1" applyBorder="1" applyAlignment="1">
      <alignment horizontal="center" vertical="center"/>
    </xf>
    <xf numFmtId="4" fontId="15" fillId="34" borderId="13" xfId="0" applyNumberFormat="1" applyFont="1" applyFill="1" applyBorder="1" applyAlignment="1">
      <alignment horizontal="center" vertical="center"/>
    </xf>
    <xf numFmtId="4" fontId="15" fillId="34" borderId="14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2" fontId="16" fillId="34" borderId="13" xfId="0" applyNumberFormat="1" applyFont="1" applyFill="1" applyBorder="1" applyAlignment="1">
      <alignment horizontal="center" vertical="center"/>
    </xf>
    <xf numFmtId="2" fontId="16" fillId="34" borderId="14" xfId="0" applyNumberFormat="1" applyFont="1" applyFill="1" applyBorder="1" applyAlignment="1">
      <alignment horizontal="center" vertical="center"/>
    </xf>
    <xf numFmtId="2" fontId="16" fillId="34" borderId="15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horizontal="left" vertical="center"/>
    </xf>
    <xf numFmtId="0" fontId="18" fillId="35" borderId="16" xfId="0" applyFont="1" applyFill="1" applyBorder="1" applyAlignment="1">
      <alignment horizontal="left" vertical="center"/>
    </xf>
    <xf numFmtId="4" fontId="15" fillId="35" borderId="13" xfId="0" applyNumberFormat="1" applyFont="1" applyFill="1" applyBorder="1" applyAlignment="1">
      <alignment horizontal="center" vertical="center"/>
    </xf>
    <xf numFmtId="4" fontId="15" fillId="35" borderId="14" xfId="0" applyNumberFormat="1" applyFont="1" applyFill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0" fontId="16" fillId="35" borderId="11" xfId="0" applyNumberFormat="1" applyFont="1" applyFill="1" applyBorder="1" applyAlignment="1">
      <alignment horizontal="center" vertical="center" wrapText="1"/>
    </xf>
    <xf numFmtId="0" fontId="17" fillId="35" borderId="11" xfId="0" applyNumberFormat="1" applyFont="1" applyFill="1" applyBorder="1" applyAlignment="1">
      <alignment horizontal="left" vertical="center" wrapText="1"/>
    </xf>
    <xf numFmtId="2" fontId="18" fillId="35" borderId="13" xfId="0" applyNumberFormat="1" applyFont="1" applyFill="1" applyBorder="1" applyAlignment="1">
      <alignment horizontal="left" vertical="center" wrapText="1"/>
    </xf>
    <xf numFmtId="2" fontId="18" fillId="35" borderId="14" xfId="0" applyNumberFormat="1" applyFont="1" applyFill="1" applyBorder="1" applyAlignment="1">
      <alignment horizontal="left" vertical="center" wrapText="1"/>
    </xf>
    <xf numFmtId="2" fontId="18" fillId="35" borderId="15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0" fontId="16" fillId="34" borderId="11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left" vertical="center" wrapText="1"/>
    </xf>
    <xf numFmtId="2" fontId="16" fillId="34" borderId="13" xfId="0" applyNumberFormat="1" applyFont="1" applyFill="1" applyBorder="1" applyAlignment="1">
      <alignment horizontal="left" vertical="center" wrapText="1"/>
    </xf>
    <xf numFmtId="2" fontId="16" fillId="34" borderId="14" xfId="0" applyNumberFormat="1" applyFont="1" applyFill="1" applyBorder="1" applyAlignment="1">
      <alignment horizontal="left" vertical="center" wrapText="1"/>
    </xf>
    <xf numFmtId="2" fontId="16" fillId="34" borderId="15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horizontal="left" vertical="center"/>
    </xf>
    <xf numFmtId="0" fontId="16" fillId="34" borderId="16" xfId="0" applyFont="1" applyFill="1" applyBorder="1" applyAlignment="1">
      <alignment horizontal="left" vertical="center"/>
    </xf>
    <xf numFmtId="4" fontId="11" fillId="0" borderId="1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left" vertical="center" wrapText="1"/>
    </xf>
    <xf numFmtId="2" fontId="16" fillId="0" borderId="14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2" fontId="16" fillId="0" borderId="11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16" fillId="33" borderId="13" xfId="0" applyNumberFormat="1" applyFont="1" applyFill="1" applyBorder="1" applyAlignment="1">
      <alignment horizontal="center" vertical="center"/>
    </xf>
    <xf numFmtId="4" fontId="16" fillId="33" borderId="14" xfId="0" applyNumberFormat="1" applyFont="1" applyFill="1" applyBorder="1" applyAlignment="1">
      <alignment horizontal="center" vertical="center"/>
    </xf>
    <xf numFmtId="4" fontId="16" fillId="33" borderId="15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left" vertical="center" wrapText="1"/>
    </xf>
    <xf numFmtId="2" fontId="16" fillId="33" borderId="14" xfId="0" applyNumberFormat="1" applyFont="1" applyFill="1" applyBorder="1" applyAlignment="1">
      <alignment horizontal="left" vertical="center" wrapText="1"/>
    </xf>
    <xf numFmtId="2" fontId="16" fillId="33" borderId="15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6" fillId="33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6" fillId="37" borderId="11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14" fontId="1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6%20&#1075;&#1086;&#1076;\&#1050;&#1086;&#1084;&#1092;&#1086;&#1088;&#1090;&#1085;&#1072;&#1103;%20&#1089;&#1088;&#1077;&#1076;&#1072;\&#1055;&#1088;&#1080;&#1083;.%20&#1050;&#1086;&#1084;&#1092;.&#1089;&#1088;&#1077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 (1)"/>
      <sheetName val="Таблица 3 (1)"/>
      <sheetName val="Таблица 2 (2)"/>
      <sheetName val="Таблица 3 (2)"/>
      <sheetName val="Таблица 2 (3)"/>
      <sheetName val="Таблица 3 (3)"/>
      <sheetName val="Таблица 2 (4)"/>
      <sheetName val="Таблица 3 (4)"/>
      <sheetName val="Таблица 2 (5)"/>
      <sheetName val="Таблица 3 (5)"/>
      <sheetName val="Таблица 2 (6)"/>
      <sheetName val="Таблица 3 (6)"/>
      <sheetName val="Таблица 1 (7)"/>
      <sheetName val="Таблица 2 (7)"/>
      <sheetName val="Таблица 3 (7)"/>
      <sheetName val="Лист1"/>
    </sheetNames>
    <sheetDataSet>
      <sheetData sheetId="5">
        <row r="40">
          <cell r="F40">
            <v>34833730.58</v>
          </cell>
          <cell r="G40">
            <v>44245477.419999994</v>
          </cell>
          <cell r="H40">
            <v>22947782.669999998</v>
          </cell>
          <cell r="I40">
            <v>13175690</v>
          </cell>
          <cell r="J40">
            <v>13175690</v>
          </cell>
          <cell r="K40">
            <v>13175690</v>
          </cell>
          <cell r="L40">
            <v>13175690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</sheetData>
      <sheetData sheetId="7">
        <row r="314">
          <cell r="F314">
            <v>36075022.67</v>
          </cell>
          <cell r="G314">
            <v>37371436.104</v>
          </cell>
          <cell r="H314">
            <v>35181189.47</v>
          </cell>
          <cell r="I314">
            <v>33899917</v>
          </cell>
          <cell r="J314">
            <v>33447999.999999996</v>
          </cell>
          <cell r="K314">
            <v>28447999.999999996</v>
          </cell>
          <cell r="L314">
            <v>28447999.999999996</v>
          </cell>
        </row>
        <row r="315">
          <cell r="F315">
            <v>0</v>
          </cell>
          <cell r="G315">
            <v>1439490</v>
          </cell>
          <cell r="H315">
            <v>1760542.6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1"/>
  <sheetViews>
    <sheetView tabSelected="1" zoomScalePageLayoutView="0" workbookViewId="0" topLeftCell="A1">
      <selection activeCell="F1" sqref="F1:J1"/>
    </sheetView>
  </sheetViews>
  <sheetFormatPr defaultColWidth="9.140625" defaultRowHeight="15"/>
  <cols>
    <col min="1" max="1" width="32.140625" style="1" customWidth="1"/>
    <col min="2" max="2" width="15.57421875" style="1" bestFit="1" customWidth="1"/>
    <col min="3" max="9" width="14.28125" style="1" bestFit="1" customWidth="1"/>
    <col min="10" max="16384" width="9.140625" style="1" customWidth="1"/>
  </cols>
  <sheetData>
    <row r="1" spans="5:10" ht="42.75" customHeight="1">
      <c r="E1" s="2"/>
      <c r="F1" s="101" t="s">
        <v>170</v>
      </c>
      <c r="G1" s="102"/>
      <c r="H1" s="102"/>
      <c r="I1" s="102"/>
      <c r="J1" s="102"/>
    </row>
    <row r="2" spans="7:9" ht="27.75" customHeight="1">
      <c r="G2" s="103" t="s">
        <v>0</v>
      </c>
      <c r="H2" s="103"/>
      <c r="I2" s="103"/>
    </row>
    <row r="3" spans="1:9" ht="36.75" customHeight="1">
      <c r="A3" s="104" t="s">
        <v>1</v>
      </c>
      <c r="B3" s="104"/>
      <c r="C3" s="104"/>
      <c r="D3" s="104"/>
      <c r="E3" s="104"/>
      <c r="F3" s="104"/>
      <c r="G3" s="104"/>
      <c r="H3" s="104"/>
      <c r="I3" s="104"/>
    </row>
    <row r="5" spans="1:9" ht="30" customHeight="1">
      <c r="A5" s="105" t="s">
        <v>2</v>
      </c>
      <c r="B5" s="107" t="s">
        <v>3</v>
      </c>
      <c r="C5" s="109" t="s">
        <v>4</v>
      </c>
      <c r="D5" s="109"/>
      <c r="E5" s="109"/>
      <c r="F5" s="109"/>
      <c r="G5" s="109"/>
      <c r="H5" s="109"/>
      <c r="I5" s="109"/>
    </row>
    <row r="6" spans="1:9" ht="16.5" customHeight="1">
      <c r="A6" s="106"/>
      <c r="B6" s="108"/>
      <c r="C6" s="3">
        <v>2014</v>
      </c>
      <c r="D6" s="3">
        <v>2015</v>
      </c>
      <c r="E6" s="3">
        <v>2016</v>
      </c>
      <c r="F6" s="3">
        <v>2017</v>
      </c>
      <c r="G6" s="3">
        <v>2018</v>
      </c>
      <c r="H6" s="3">
        <v>2019</v>
      </c>
      <c r="I6" s="4">
        <v>2020</v>
      </c>
    </row>
    <row r="7" spans="1:9" ht="16.5" customHeight="1">
      <c r="A7" s="5">
        <v>1</v>
      </c>
      <c r="B7" s="6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4">
        <v>9</v>
      </c>
    </row>
    <row r="8" spans="1:9" ht="19.5" customHeight="1">
      <c r="A8" s="7" t="s">
        <v>5</v>
      </c>
      <c r="B8" s="8">
        <f>B10+B11+B12+B13</f>
        <v>154729750.67000002</v>
      </c>
      <c r="C8" s="8">
        <f aca="true" t="shared" si="0" ref="C8:I8">C10+C11+C12+C13</f>
        <v>34833730.58</v>
      </c>
      <c r="D8" s="8">
        <f t="shared" si="0"/>
        <v>44245477.419999994</v>
      </c>
      <c r="E8" s="8">
        <f t="shared" si="0"/>
        <v>22947782.669999998</v>
      </c>
      <c r="F8" s="8">
        <f t="shared" si="0"/>
        <v>13175690</v>
      </c>
      <c r="G8" s="8">
        <f t="shared" si="0"/>
        <v>13175690</v>
      </c>
      <c r="H8" s="8">
        <f t="shared" si="0"/>
        <v>13175690</v>
      </c>
      <c r="I8" s="8">
        <f t="shared" si="0"/>
        <v>13175690</v>
      </c>
    </row>
    <row r="9" spans="1:9" ht="16.5" customHeight="1">
      <c r="A9" s="95" t="s">
        <v>6</v>
      </c>
      <c r="B9" s="96"/>
      <c r="C9" s="96"/>
      <c r="D9" s="96"/>
      <c r="E9" s="96"/>
      <c r="F9" s="96"/>
      <c r="G9" s="96"/>
      <c r="H9" s="96"/>
      <c r="I9" s="97"/>
    </row>
    <row r="10" spans="1:9" ht="16.5" customHeight="1">
      <c r="A10" s="9" t="s">
        <v>7</v>
      </c>
      <c r="B10" s="10">
        <f>C10+D10+E10+F10+G10+H10+I10</f>
        <v>154729750.67000002</v>
      </c>
      <c r="C10" s="11">
        <f>C17</f>
        <v>34833730.58</v>
      </c>
      <c r="D10" s="11">
        <f aca="true" t="shared" si="1" ref="D10:I10">D17</f>
        <v>44245477.419999994</v>
      </c>
      <c r="E10" s="11">
        <f t="shared" si="1"/>
        <v>22947782.669999998</v>
      </c>
      <c r="F10" s="11">
        <f t="shared" si="1"/>
        <v>13175690</v>
      </c>
      <c r="G10" s="11">
        <f t="shared" si="1"/>
        <v>13175690</v>
      </c>
      <c r="H10" s="11">
        <f t="shared" si="1"/>
        <v>13175690</v>
      </c>
      <c r="I10" s="11">
        <f t="shared" si="1"/>
        <v>13175690</v>
      </c>
    </row>
    <row r="11" spans="1:9" ht="16.5" customHeight="1">
      <c r="A11" s="9" t="s">
        <v>8</v>
      </c>
      <c r="B11" s="10">
        <f>C11+D11+E11+F11+G11+H11+I11</f>
        <v>0</v>
      </c>
      <c r="C11" s="11">
        <f aca="true" t="shared" si="2" ref="C11:I13">C18</f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</row>
    <row r="12" spans="1:9" ht="16.5" customHeight="1">
      <c r="A12" s="9" t="s">
        <v>9</v>
      </c>
      <c r="B12" s="10">
        <f>C12+D12+E12+F12+G12+H12+I12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ht="16.5" customHeight="1">
      <c r="A13" s="9" t="s">
        <v>10</v>
      </c>
      <c r="B13" s="10">
        <f>C13+D13+E13+F13+G13+H13+I13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1:9" ht="16.5" customHeight="1">
      <c r="A14" s="98" t="s">
        <v>11</v>
      </c>
      <c r="B14" s="99"/>
      <c r="C14" s="99"/>
      <c r="D14" s="99"/>
      <c r="E14" s="99"/>
      <c r="F14" s="99"/>
      <c r="G14" s="99"/>
      <c r="H14" s="99"/>
      <c r="I14" s="100"/>
    </row>
    <row r="15" spans="1:9" ht="61.5" customHeight="1">
      <c r="A15" s="12" t="s">
        <v>12</v>
      </c>
      <c r="B15" s="8">
        <f>B17+B18+B19+B20</f>
        <v>154729750.67000002</v>
      </c>
      <c r="C15" s="8">
        <f aca="true" t="shared" si="3" ref="C15:I15">C17+C18+C19+C20</f>
        <v>34833730.58</v>
      </c>
      <c r="D15" s="8">
        <f t="shared" si="3"/>
        <v>44245477.419999994</v>
      </c>
      <c r="E15" s="8">
        <f t="shared" si="3"/>
        <v>22947782.669999998</v>
      </c>
      <c r="F15" s="8">
        <f t="shared" si="3"/>
        <v>13175690</v>
      </c>
      <c r="G15" s="8">
        <f t="shared" si="3"/>
        <v>13175690</v>
      </c>
      <c r="H15" s="8">
        <f t="shared" si="3"/>
        <v>13175690</v>
      </c>
      <c r="I15" s="8">
        <f t="shared" si="3"/>
        <v>13175690</v>
      </c>
    </row>
    <row r="16" spans="1:9" ht="16.5" customHeight="1">
      <c r="A16" s="95" t="s">
        <v>6</v>
      </c>
      <c r="B16" s="96"/>
      <c r="C16" s="96"/>
      <c r="D16" s="96"/>
      <c r="E16" s="96"/>
      <c r="F16" s="96"/>
      <c r="G16" s="96"/>
      <c r="H16" s="96"/>
      <c r="I16" s="97"/>
    </row>
    <row r="17" spans="1:9" ht="16.5" customHeight="1">
      <c r="A17" s="9" t="s">
        <v>7</v>
      </c>
      <c r="B17" s="10">
        <f>C17+D17+E17+F17+G17+H17+I17</f>
        <v>154729750.67000002</v>
      </c>
      <c r="C17" s="11">
        <f>'[1]Таблица 3 (3)'!F40</f>
        <v>34833730.58</v>
      </c>
      <c r="D17" s="11">
        <f>'[1]Таблица 3 (3)'!G40</f>
        <v>44245477.419999994</v>
      </c>
      <c r="E17" s="11">
        <f>'[1]Таблица 3 (3)'!H40</f>
        <v>22947782.669999998</v>
      </c>
      <c r="F17" s="11">
        <f>'[1]Таблица 3 (3)'!I40</f>
        <v>13175690</v>
      </c>
      <c r="G17" s="11">
        <f>'[1]Таблица 3 (3)'!J40</f>
        <v>13175690</v>
      </c>
      <c r="H17" s="11">
        <f>'[1]Таблица 3 (3)'!K40</f>
        <v>13175690</v>
      </c>
      <c r="I17" s="11">
        <f>'[1]Таблица 3 (3)'!L40</f>
        <v>13175690</v>
      </c>
    </row>
    <row r="18" spans="1:9" ht="16.5" customHeight="1">
      <c r="A18" s="9" t="s">
        <v>8</v>
      </c>
      <c r="B18" s="10">
        <f>C18+D18+E18+F18+G18+H18+I18</f>
        <v>0</v>
      </c>
      <c r="C18" s="11">
        <f>'[1]Таблица 3 (3)'!F41</f>
        <v>0</v>
      </c>
      <c r="D18" s="11">
        <f>'[1]Таблица 3 (3)'!G41</f>
        <v>0</v>
      </c>
      <c r="E18" s="11">
        <f>'[1]Таблица 3 (3)'!H41</f>
        <v>0</v>
      </c>
      <c r="F18" s="11">
        <f>'[1]Таблица 3 (3)'!I41</f>
        <v>0</v>
      </c>
      <c r="G18" s="11">
        <f>'[1]Таблица 3 (3)'!J41</f>
        <v>0</v>
      </c>
      <c r="H18" s="11">
        <f>'[1]Таблица 3 (3)'!K41</f>
        <v>0</v>
      </c>
      <c r="I18" s="11">
        <f>'[1]Таблица 3 (3)'!L41</f>
        <v>0</v>
      </c>
    </row>
    <row r="19" spans="1:9" ht="16.5" customHeight="1">
      <c r="A19" s="9" t="s">
        <v>9</v>
      </c>
      <c r="B19" s="10">
        <f>C19+D19+E19+F19+G19+H19+I19</f>
        <v>0</v>
      </c>
      <c r="C19" s="11">
        <f>'[1]Таблица 3 (3)'!F42</f>
        <v>0</v>
      </c>
      <c r="D19" s="11">
        <f>'[1]Таблица 3 (3)'!G42</f>
        <v>0</v>
      </c>
      <c r="E19" s="11">
        <f>'[1]Таблица 3 (3)'!H42</f>
        <v>0</v>
      </c>
      <c r="F19" s="11">
        <f>'[1]Таблица 3 (3)'!I42</f>
        <v>0</v>
      </c>
      <c r="G19" s="11">
        <f>'[1]Таблица 3 (3)'!J42</f>
        <v>0</v>
      </c>
      <c r="H19" s="11">
        <f>'[1]Таблица 3 (3)'!K42</f>
        <v>0</v>
      </c>
      <c r="I19" s="11">
        <f>'[1]Таблица 3 (3)'!L42</f>
        <v>0</v>
      </c>
    </row>
    <row r="20" spans="1:9" ht="16.5" customHeight="1">
      <c r="A20" s="9" t="s">
        <v>10</v>
      </c>
      <c r="B20" s="10">
        <f>C20+D20+E20+F20+G20+H20+I20</f>
        <v>0</v>
      </c>
      <c r="C20" s="11">
        <f>'[1]Таблица 3 (3)'!F43</f>
        <v>0</v>
      </c>
      <c r="D20" s="11">
        <f>'[1]Таблица 3 (3)'!G43</f>
        <v>0</v>
      </c>
      <c r="E20" s="11">
        <f>'[1]Таблица 3 (3)'!H43</f>
        <v>0</v>
      </c>
      <c r="F20" s="11">
        <f>'[1]Таблица 3 (3)'!I43</f>
        <v>0</v>
      </c>
      <c r="G20" s="11">
        <f>'[1]Таблица 3 (3)'!J43</f>
        <v>0</v>
      </c>
      <c r="H20" s="11">
        <f>'[1]Таблица 3 (3)'!K43</f>
        <v>0</v>
      </c>
      <c r="I20" s="11">
        <f>'[1]Таблица 3 (3)'!L43</f>
        <v>0</v>
      </c>
    </row>
    <row r="21" spans="1:9" ht="31.5">
      <c r="A21" s="13" t="s">
        <v>13</v>
      </c>
      <c r="B21" s="10">
        <f>C21+D21+E21+F21+G21+H21+I21</f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</sheetData>
  <sheetProtection/>
  <mergeCells count="9">
    <mergeCell ref="A9:I9"/>
    <mergeCell ref="A14:I14"/>
    <mergeCell ref="A16:I16"/>
    <mergeCell ref="F1:J1"/>
    <mergeCell ref="G2:I2"/>
    <mergeCell ref="A3:I3"/>
    <mergeCell ref="A5:A6"/>
    <mergeCell ref="B5:B6"/>
    <mergeCell ref="C5:I5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49"/>
  <sheetViews>
    <sheetView zoomScalePageLayoutView="0" workbookViewId="0" topLeftCell="K2">
      <selection activeCell="N2" sqref="N2:U2"/>
    </sheetView>
  </sheetViews>
  <sheetFormatPr defaultColWidth="9.140625" defaultRowHeight="15"/>
  <cols>
    <col min="1" max="1" width="5.57421875" style="38" customWidth="1"/>
    <col min="2" max="2" width="28.57421875" style="14" customWidth="1"/>
    <col min="3" max="3" width="10.7109375" style="15" customWidth="1"/>
    <col min="4" max="4" width="12.00390625" style="15" customWidth="1"/>
    <col min="5" max="5" width="14.00390625" style="15" customWidth="1"/>
    <col min="6" max="12" width="12.8515625" style="15" bestFit="1" customWidth="1"/>
    <col min="13" max="13" width="27.7109375" style="15" customWidth="1"/>
    <col min="14" max="20" width="4.421875" style="14" bestFit="1" customWidth="1"/>
    <col min="21" max="21" width="12.7109375" style="14" customWidth="1"/>
    <col min="22" max="16384" width="9.140625" style="14" customWidth="1"/>
  </cols>
  <sheetData>
    <row r="1" ht="25.5" customHeight="1" hidden="1">
      <c r="A1" s="14"/>
    </row>
    <row r="2" spans="1:21" ht="55.5" customHeight="1">
      <c r="A2" s="14"/>
      <c r="N2" s="101" t="s">
        <v>171</v>
      </c>
      <c r="O2" s="102"/>
      <c r="P2" s="102"/>
      <c r="Q2" s="102"/>
      <c r="R2" s="102"/>
      <c r="S2" s="102"/>
      <c r="T2" s="102"/>
      <c r="U2" s="102"/>
    </row>
    <row r="3" spans="13:21" s="16" customFormat="1" ht="15.75">
      <c r="M3" s="17"/>
      <c r="N3" s="17"/>
      <c r="O3" s="17"/>
      <c r="P3" s="17"/>
      <c r="Q3" s="17"/>
      <c r="R3" s="17"/>
      <c r="S3" s="164" t="s">
        <v>14</v>
      </c>
      <c r="T3" s="164"/>
      <c r="U3" s="164"/>
    </row>
    <row r="4" spans="1:21" s="16" customFormat="1" ht="33.7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16" customFormat="1" ht="31.5" customHeight="1">
      <c r="A5" s="165" t="s">
        <v>16</v>
      </c>
      <c r="B5" s="165" t="s">
        <v>17</v>
      </c>
      <c r="C5" s="165" t="s">
        <v>18</v>
      </c>
      <c r="D5" s="166" t="s">
        <v>2</v>
      </c>
      <c r="E5" s="165" t="s">
        <v>19</v>
      </c>
      <c r="F5" s="165"/>
      <c r="G5" s="165"/>
      <c r="H5" s="165"/>
      <c r="I5" s="165"/>
      <c r="J5" s="165"/>
      <c r="K5" s="165"/>
      <c r="L5" s="165"/>
      <c r="M5" s="165" t="s">
        <v>20</v>
      </c>
      <c r="N5" s="165"/>
      <c r="O5" s="165"/>
      <c r="P5" s="165"/>
      <c r="Q5" s="165"/>
      <c r="R5" s="165"/>
      <c r="S5" s="165"/>
      <c r="T5" s="165"/>
      <c r="U5" s="168" t="s">
        <v>21</v>
      </c>
    </row>
    <row r="6" spans="1:21" s="16" customFormat="1" ht="51" customHeight="1">
      <c r="A6" s="165"/>
      <c r="B6" s="165"/>
      <c r="C6" s="165"/>
      <c r="D6" s="167"/>
      <c r="E6" s="18" t="s">
        <v>22</v>
      </c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9" t="s">
        <v>29</v>
      </c>
      <c r="M6" s="20" t="s">
        <v>30</v>
      </c>
      <c r="N6" s="19" t="s">
        <v>31</v>
      </c>
      <c r="O6" s="19" t="s">
        <v>24</v>
      </c>
      <c r="P6" s="19" t="s">
        <v>25</v>
      </c>
      <c r="Q6" s="19" t="s">
        <v>26</v>
      </c>
      <c r="R6" s="19" t="s">
        <v>27</v>
      </c>
      <c r="S6" s="19" t="s">
        <v>28</v>
      </c>
      <c r="T6" s="19" t="s">
        <v>29</v>
      </c>
      <c r="U6" s="169"/>
    </row>
    <row r="7" spans="1:21" s="16" customFormat="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</row>
    <row r="8" spans="1:21" s="16" customFormat="1" ht="21" customHeight="1">
      <c r="A8" s="22"/>
      <c r="B8" s="159" t="s">
        <v>32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/>
    </row>
    <row r="9" spans="1:21" s="16" customFormat="1" ht="21" customHeight="1">
      <c r="A9" s="23" t="s">
        <v>33</v>
      </c>
      <c r="B9" s="150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2"/>
    </row>
    <row r="10" spans="1:22" s="26" customFormat="1" ht="12.75" customHeight="1">
      <c r="A10" s="142" t="s">
        <v>35</v>
      </c>
      <c r="B10" s="143" t="s">
        <v>36</v>
      </c>
      <c r="C10" s="142" t="s">
        <v>37</v>
      </c>
      <c r="D10" s="24" t="s">
        <v>22</v>
      </c>
      <c r="E10" s="25">
        <f aca="true" t="shared" si="0" ref="E10:L10">E11+E12+E13+E14</f>
        <v>36070933.79</v>
      </c>
      <c r="F10" s="25">
        <f t="shared" si="0"/>
        <v>5743368.59</v>
      </c>
      <c r="G10" s="25">
        <f t="shared" si="0"/>
        <v>5282605.2</v>
      </c>
      <c r="H10" s="25">
        <f t="shared" si="0"/>
        <v>0</v>
      </c>
      <c r="I10" s="25">
        <f t="shared" si="0"/>
        <v>6261240</v>
      </c>
      <c r="J10" s="25">
        <f t="shared" si="0"/>
        <v>6261240</v>
      </c>
      <c r="K10" s="25">
        <f t="shared" si="0"/>
        <v>6261240</v>
      </c>
      <c r="L10" s="25">
        <f t="shared" si="0"/>
        <v>6261240</v>
      </c>
      <c r="M10" s="162" t="s">
        <v>38</v>
      </c>
      <c r="N10" s="163">
        <v>100</v>
      </c>
      <c r="O10" s="163" t="s">
        <v>39</v>
      </c>
      <c r="P10" s="163" t="s">
        <v>39</v>
      </c>
      <c r="Q10" s="163" t="s">
        <v>39</v>
      </c>
      <c r="R10" s="163" t="s">
        <v>39</v>
      </c>
      <c r="S10" s="163" t="s">
        <v>39</v>
      </c>
      <c r="T10" s="163" t="s">
        <v>39</v>
      </c>
      <c r="U10" s="153" t="s">
        <v>40</v>
      </c>
      <c r="V10" s="141"/>
    </row>
    <row r="11" spans="1:22" s="26" customFormat="1" ht="12.75">
      <c r="A11" s="142"/>
      <c r="B11" s="143"/>
      <c r="C11" s="142"/>
      <c r="D11" s="27" t="s">
        <v>41</v>
      </c>
      <c r="E11" s="28">
        <f>F11+G11+H11+I11+J11+K11+L11</f>
        <v>36070933.79</v>
      </c>
      <c r="F11" s="28">
        <v>5743368.59</v>
      </c>
      <c r="G11" s="28">
        <f>5867410-293370.5-291434.3</f>
        <v>5282605.2</v>
      </c>
      <c r="H11" s="28"/>
      <c r="I11" s="28">
        <v>6261240</v>
      </c>
      <c r="J11" s="28">
        <v>6261240</v>
      </c>
      <c r="K11" s="28">
        <v>6261240</v>
      </c>
      <c r="L11" s="28">
        <v>6261240</v>
      </c>
      <c r="M11" s="162"/>
      <c r="N11" s="163"/>
      <c r="O11" s="163"/>
      <c r="P11" s="163"/>
      <c r="Q11" s="163"/>
      <c r="R11" s="163"/>
      <c r="S11" s="163"/>
      <c r="T11" s="163"/>
      <c r="U11" s="154"/>
      <c r="V11" s="141"/>
    </row>
    <row r="12" spans="1:22" s="26" customFormat="1" ht="12.75">
      <c r="A12" s="142"/>
      <c r="B12" s="143"/>
      <c r="C12" s="142"/>
      <c r="D12" s="27" t="s">
        <v>42</v>
      </c>
      <c r="E12" s="28">
        <f>F12+G12+H12+I12+J12+K12+L12</f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144" t="s">
        <v>43</v>
      </c>
      <c r="N12" s="130" t="s">
        <v>39</v>
      </c>
      <c r="O12" s="156">
        <v>12.2</v>
      </c>
      <c r="P12" s="156">
        <v>0</v>
      </c>
      <c r="Q12" s="156">
        <v>15.4</v>
      </c>
      <c r="R12" s="156">
        <v>16.3</v>
      </c>
      <c r="S12" s="156">
        <v>17.6</v>
      </c>
      <c r="T12" s="156">
        <v>18.9</v>
      </c>
      <c r="U12" s="154"/>
      <c r="V12" s="141"/>
    </row>
    <row r="13" spans="1:22" s="26" customFormat="1" ht="12.75" customHeight="1">
      <c r="A13" s="142"/>
      <c r="B13" s="143"/>
      <c r="C13" s="142"/>
      <c r="D13" s="27" t="s">
        <v>44</v>
      </c>
      <c r="E13" s="28">
        <f>F13+G13+H13+I13+J13+K13+L13</f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145"/>
      <c r="N13" s="131"/>
      <c r="O13" s="157"/>
      <c r="P13" s="157"/>
      <c r="Q13" s="157"/>
      <c r="R13" s="157"/>
      <c r="S13" s="157"/>
      <c r="T13" s="157"/>
      <c r="U13" s="154"/>
      <c r="V13" s="141"/>
    </row>
    <row r="14" spans="1:22" s="26" customFormat="1" ht="12.75">
      <c r="A14" s="142"/>
      <c r="B14" s="143"/>
      <c r="C14" s="142"/>
      <c r="D14" s="27" t="s">
        <v>45</v>
      </c>
      <c r="E14" s="28">
        <f>F14+G14+H14+I14+J14+K14+L14</f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146"/>
      <c r="N14" s="132"/>
      <c r="O14" s="158"/>
      <c r="P14" s="158"/>
      <c r="Q14" s="158"/>
      <c r="R14" s="158"/>
      <c r="S14" s="158"/>
      <c r="T14" s="158"/>
      <c r="U14" s="155"/>
      <c r="V14" s="141"/>
    </row>
    <row r="15" spans="1:21" s="26" customFormat="1" ht="12.75" customHeight="1">
      <c r="A15" s="133"/>
      <c r="B15" s="134" t="s">
        <v>46</v>
      </c>
      <c r="C15" s="133"/>
      <c r="D15" s="29" t="s">
        <v>22</v>
      </c>
      <c r="E15" s="30">
        <f>E17+E18+E19+E20</f>
        <v>36070933.79</v>
      </c>
      <c r="F15" s="30">
        <f>F17+F18+F19+F20</f>
        <v>5743368.59</v>
      </c>
      <c r="G15" s="30">
        <f aca="true" t="shared" si="1" ref="G15:L15">G17+G18+G19+G20</f>
        <v>5282605.2</v>
      </c>
      <c r="H15" s="30">
        <f t="shared" si="1"/>
        <v>0</v>
      </c>
      <c r="I15" s="30">
        <f t="shared" si="1"/>
        <v>6261240</v>
      </c>
      <c r="J15" s="30">
        <f t="shared" si="1"/>
        <v>6261240</v>
      </c>
      <c r="K15" s="30">
        <f t="shared" si="1"/>
        <v>6261240</v>
      </c>
      <c r="L15" s="30">
        <f t="shared" si="1"/>
        <v>6261240</v>
      </c>
      <c r="M15" s="135"/>
      <c r="N15" s="113"/>
      <c r="O15" s="113"/>
      <c r="P15" s="113"/>
      <c r="Q15" s="113"/>
      <c r="R15" s="113"/>
      <c r="S15" s="113"/>
      <c r="T15" s="113"/>
      <c r="U15" s="116"/>
    </row>
    <row r="16" spans="1:21" s="26" customFormat="1" ht="12.75">
      <c r="A16" s="133"/>
      <c r="B16" s="134"/>
      <c r="C16" s="133"/>
      <c r="D16" s="138" t="s">
        <v>47</v>
      </c>
      <c r="E16" s="139"/>
      <c r="F16" s="139"/>
      <c r="G16" s="139"/>
      <c r="H16" s="139"/>
      <c r="I16" s="139"/>
      <c r="J16" s="139"/>
      <c r="K16" s="139"/>
      <c r="L16" s="140"/>
      <c r="M16" s="136"/>
      <c r="N16" s="114"/>
      <c r="O16" s="114"/>
      <c r="P16" s="114"/>
      <c r="Q16" s="114"/>
      <c r="R16" s="114"/>
      <c r="S16" s="114"/>
      <c r="T16" s="114"/>
      <c r="U16" s="117"/>
    </row>
    <row r="17" spans="1:24" s="26" customFormat="1" ht="12.75">
      <c r="A17" s="133"/>
      <c r="B17" s="134"/>
      <c r="C17" s="133"/>
      <c r="D17" s="31" t="s">
        <v>41</v>
      </c>
      <c r="E17" s="30">
        <f>F17+G17+H17+I17+J17+K17+L17</f>
        <v>36070933.79</v>
      </c>
      <c r="F17" s="32">
        <f>F11</f>
        <v>5743368.59</v>
      </c>
      <c r="G17" s="32">
        <f aca="true" t="shared" si="2" ref="G17:L17">G11</f>
        <v>5282605.2</v>
      </c>
      <c r="H17" s="32">
        <f t="shared" si="2"/>
        <v>0</v>
      </c>
      <c r="I17" s="32">
        <f t="shared" si="2"/>
        <v>6261240</v>
      </c>
      <c r="J17" s="32">
        <f t="shared" si="2"/>
        <v>6261240</v>
      </c>
      <c r="K17" s="32">
        <f t="shared" si="2"/>
        <v>6261240</v>
      </c>
      <c r="L17" s="32">
        <f t="shared" si="2"/>
        <v>6261240</v>
      </c>
      <c r="M17" s="136"/>
      <c r="N17" s="114"/>
      <c r="O17" s="114"/>
      <c r="P17" s="114"/>
      <c r="Q17" s="114"/>
      <c r="R17" s="114"/>
      <c r="S17" s="114"/>
      <c r="T17" s="114"/>
      <c r="U17" s="117"/>
      <c r="X17" s="33"/>
    </row>
    <row r="18" spans="1:21" s="26" customFormat="1" ht="12.75">
      <c r="A18" s="133"/>
      <c r="B18" s="134"/>
      <c r="C18" s="133"/>
      <c r="D18" s="31" t="s">
        <v>42</v>
      </c>
      <c r="E18" s="30">
        <f>F18+G18+H18+I18+J18+K18+L18</f>
        <v>0</v>
      </c>
      <c r="F18" s="32"/>
      <c r="G18" s="32"/>
      <c r="H18" s="32"/>
      <c r="I18" s="32"/>
      <c r="J18" s="32"/>
      <c r="K18" s="32"/>
      <c r="L18" s="32"/>
      <c r="M18" s="136"/>
      <c r="N18" s="114"/>
      <c r="O18" s="114"/>
      <c r="P18" s="114"/>
      <c r="Q18" s="114"/>
      <c r="R18" s="114"/>
      <c r="S18" s="114"/>
      <c r="T18" s="114"/>
      <c r="U18" s="117"/>
    </row>
    <row r="19" spans="1:21" s="26" customFormat="1" ht="12.75">
      <c r="A19" s="133"/>
      <c r="B19" s="134"/>
      <c r="C19" s="133"/>
      <c r="D19" s="31" t="s">
        <v>44</v>
      </c>
      <c r="E19" s="30">
        <f>F19+G19+H19+I19+J19+K19+L19</f>
        <v>0</v>
      </c>
      <c r="F19" s="32">
        <f aca="true" t="shared" si="3" ref="F19:L20">F8+F13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136"/>
      <c r="N19" s="114"/>
      <c r="O19" s="114"/>
      <c r="P19" s="114"/>
      <c r="Q19" s="114"/>
      <c r="R19" s="114"/>
      <c r="S19" s="114"/>
      <c r="T19" s="114"/>
      <c r="U19" s="117"/>
    </row>
    <row r="20" spans="1:21" s="26" customFormat="1" ht="12.75">
      <c r="A20" s="133"/>
      <c r="B20" s="134"/>
      <c r="C20" s="133"/>
      <c r="D20" s="31" t="s">
        <v>45</v>
      </c>
      <c r="E20" s="30">
        <f>F20+G20+H20+I20+J20+K20+L20</f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137"/>
      <c r="N20" s="115"/>
      <c r="O20" s="115"/>
      <c r="P20" s="115"/>
      <c r="Q20" s="115"/>
      <c r="R20" s="115"/>
      <c r="S20" s="115"/>
      <c r="T20" s="115"/>
      <c r="U20" s="118"/>
    </row>
    <row r="21" spans="1:21" s="16" customFormat="1" ht="12.75">
      <c r="A21" s="23" t="s">
        <v>48</v>
      </c>
      <c r="B21" s="150" t="s">
        <v>49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2"/>
    </row>
    <row r="22" spans="1:22" s="26" customFormat="1" ht="12.75" customHeight="1">
      <c r="A22" s="142" t="s">
        <v>50</v>
      </c>
      <c r="B22" s="143" t="s">
        <v>51</v>
      </c>
      <c r="C22" s="142" t="s">
        <v>37</v>
      </c>
      <c r="D22" s="24" t="s">
        <v>22</v>
      </c>
      <c r="E22" s="25">
        <f aca="true" t="shared" si="4" ref="E22:L22">E23+E24+E25+E26</f>
        <v>103248988.91999999</v>
      </c>
      <c r="F22" s="25">
        <f t="shared" si="4"/>
        <v>26659851.240000002</v>
      </c>
      <c r="G22" s="25">
        <f t="shared" si="4"/>
        <v>37747895.20999999</v>
      </c>
      <c r="H22" s="25">
        <f t="shared" si="4"/>
        <v>20449402.47</v>
      </c>
      <c r="I22" s="25">
        <f t="shared" si="4"/>
        <v>4597960</v>
      </c>
      <c r="J22" s="25">
        <f t="shared" si="4"/>
        <v>4597960</v>
      </c>
      <c r="K22" s="25">
        <f t="shared" si="4"/>
        <v>4597960</v>
      </c>
      <c r="L22" s="25">
        <f t="shared" si="4"/>
        <v>4597960</v>
      </c>
      <c r="M22" s="144" t="s">
        <v>52</v>
      </c>
      <c r="N22" s="130">
        <v>100</v>
      </c>
      <c r="O22" s="130">
        <v>100</v>
      </c>
      <c r="P22" s="130">
        <v>100</v>
      </c>
      <c r="Q22" s="130">
        <v>100</v>
      </c>
      <c r="R22" s="130">
        <v>100</v>
      </c>
      <c r="S22" s="130">
        <v>100</v>
      </c>
      <c r="T22" s="130">
        <v>100</v>
      </c>
      <c r="U22" s="153" t="s">
        <v>53</v>
      </c>
      <c r="V22" s="141"/>
    </row>
    <row r="23" spans="1:22" s="26" customFormat="1" ht="12.75">
      <c r="A23" s="142"/>
      <c r="B23" s="143"/>
      <c r="C23" s="142"/>
      <c r="D23" s="27" t="s">
        <v>41</v>
      </c>
      <c r="E23" s="28">
        <f>F23+G23+H23+I23+J23+K23+L23</f>
        <v>103248988.91999999</v>
      </c>
      <c r="F23" s="28">
        <f>26863114.67-203263.43</f>
        <v>26659851.240000002</v>
      </c>
      <c r="G23" s="28">
        <f>22837682-1141884.1-743341.14-896.21+782263.39+16796334.66-782263.39</f>
        <v>37747895.20999999</v>
      </c>
      <c r="H23" s="28">
        <v>20449402.47</v>
      </c>
      <c r="I23" s="28">
        <f>4597960</f>
        <v>4597960</v>
      </c>
      <c r="J23" s="28">
        <f>4597960</f>
        <v>4597960</v>
      </c>
      <c r="K23" s="28">
        <f>4597960</f>
        <v>4597960</v>
      </c>
      <c r="L23" s="28">
        <f>4597960</f>
        <v>4597960</v>
      </c>
      <c r="M23" s="145"/>
      <c r="N23" s="131"/>
      <c r="O23" s="131"/>
      <c r="P23" s="131"/>
      <c r="Q23" s="131"/>
      <c r="R23" s="131"/>
      <c r="S23" s="131"/>
      <c r="T23" s="131"/>
      <c r="U23" s="154"/>
      <c r="V23" s="141"/>
    </row>
    <row r="24" spans="1:22" s="26" customFormat="1" ht="12.75">
      <c r="A24" s="142"/>
      <c r="B24" s="143"/>
      <c r="C24" s="142"/>
      <c r="D24" s="27" t="s">
        <v>42</v>
      </c>
      <c r="E24" s="28">
        <f>F24+G24+H24+I24+J24+K24+L24</f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145"/>
      <c r="N24" s="131"/>
      <c r="O24" s="131"/>
      <c r="P24" s="131"/>
      <c r="Q24" s="131"/>
      <c r="R24" s="131"/>
      <c r="S24" s="131"/>
      <c r="T24" s="131"/>
      <c r="U24" s="154"/>
      <c r="V24" s="141"/>
    </row>
    <row r="25" spans="1:22" s="26" customFormat="1" ht="12.75" customHeight="1">
      <c r="A25" s="142"/>
      <c r="B25" s="143"/>
      <c r="C25" s="142"/>
      <c r="D25" s="27" t="s">
        <v>44</v>
      </c>
      <c r="E25" s="28">
        <f>F25+G25+H25+I25+J25+K25+L25</f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45"/>
      <c r="N25" s="131"/>
      <c r="O25" s="131"/>
      <c r="P25" s="131"/>
      <c r="Q25" s="131"/>
      <c r="R25" s="131"/>
      <c r="S25" s="131"/>
      <c r="T25" s="131"/>
      <c r="U25" s="154"/>
      <c r="V25" s="141"/>
    </row>
    <row r="26" spans="1:22" s="26" customFormat="1" ht="27" customHeight="1">
      <c r="A26" s="142"/>
      <c r="B26" s="143"/>
      <c r="C26" s="142"/>
      <c r="D26" s="27" t="s">
        <v>45</v>
      </c>
      <c r="E26" s="28">
        <f>F26+G26+H26+I26+J26+K26+L26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46"/>
      <c r="N26" s="132"/>
      <c r="O26" s="132"/>
      <c r="P26" s="132"/>
      <c r="Q26" s="132"/>
      <c r="R26" s="132"/>
      <c r="S26" s="132"/>
      <c r="T26" s="132"/>
      <c r="U26" s="155"/>
      <c r="V26" s="141"/>
    </row>
    <row r="27" spans="1:22" s="26" customFormat="1" ht="12.75" customHeight="1">
      <c r="A27" s="142" t="s">
        <v>54</v>
      </c>
      <c r="B27" s="143" t="s">
        <v>55</v>
      </c>
      <c r="C27" s="142" t="s">
        <v>37</v>
      </c>
      <c r="D27" s="24" t="s">
        <v>22</v>
      </c>
      <c r="E27" s="25">
        <f aca="true" t="shared" si="5" ref="E27:L27">E28+E29+E30+E31</f>
        <v>15409827.96</v>
      </c>
      <c r="F27" s="25">
        <f t="shared" si="5"/>
        <v>2430510.75</v>
      </c>
      <c r="G27" s="25">
        <f t="shared" si="5"/>
        <v>1214977.01</v>
      </c>
      <c r="H27" s="25">
        <f t="shared" si="5"/>
        <v>2498380.2</v>
      </c>
      <c r="I27" s="25">
        <f t="shared" si="5"/>
        <v>2316490</v>
      </c>
      <c r="J27" s="25">
        <f t="shared" si="5"/>
        <v>2316490</v>
      </c>
      <c r="K27" s="25">
        <f t="shared" si="5"/>
        <v>2316490</v>
      </c>
      <c r="L27" s="25">
        <f t="shared" si="5"/>
        <v>2316490</v>
      </c>
      <c r="M27" s="144" t="s">
        <v>56</v>
      </c>
      <c r="N27" s="130">
        <v>100</v>
      </c>
      <c r="O27" s="130">
        <v>100</v>
      </c>
      <c r="P27" s="130">
        <v>100</v>
      </c>
      <c r="Q27" s="130">
        <v>100</v>
      </c>
      <c r="R27" s="130">
        <v>100</v>
      </c>
      <c r="S27" s="130">
        <v>100</v>
      </c>
      <c r="T27" s="130">
        <v>100</v>
      </c>
      <c r="U27" s="147" t="s">
        <v>57</v>
      </c>
      <c r="V27" s="141"/>
    </row>
    <row r="28" spans="1:22" s="26" customFormat="1" ht="12.75">
      <c r="A28" s="142"/>
      <c r="B28" s="143"/>
      <c r="C28" s="142"/>
      <c r="D28" s="27" t="s">
        <v>41</v>
      </c>
      <c r="E28" s="28">
        <f>F28+G28+H28+I28+J28+K28+L28</f>
        <v>15409827.96</v>
      </c>
      <c r="F28" s="28">
        <f>2052306.83+378203.92</f>
        <v>2430510.75</v>
      </c>
      <c r="G28" s="28">
        <f>2047940-222223.78-985252.56-323381.5+442342.57+255552.28</f>
        <v>1214977.01</v>
      </c>
      <c r="H28" s="28">
        <f>2531425.85-33045.65</f>
        <v>2498380.2</v>
      </c>
      <c r="I28" s="28">
        <v>2316490</v>
      </c>
      <c r="J28" s="28">
        <v>2316490</v>
      </c>
      <c r="K28" s="28">
        <v>2316490</v>
      </c>
      <c r="L28" s="28">
        <v>2316490</v>
      </c>
      <c r="M28" s="145"/>
      <c r="N28" s="131"/>
      <c r="O28" s="131"/>
      <c r="P28" s="131"/>
      <c r="Q28" s="131"/>
      <c r="R28" s="131"/>
      <c r="S28" s="131"/>
      <c r="T28" s="131"/>
      <c r="U28" s="148"/>
      <c r="V28" s="141"/>
    </row>
    <row r="29" spans="1:22" s="26" customFormat="1" ht="12.75">
      <c r="A29" s="142"/>
      <c r="B29" s="143"/>
      <c r="C29" s="142"/>
      <c r="D29" s="27" t="s">
        <v>42</v>
      </c>
      <c r="E29" s="28">
        <f>F29+G29+H29+I29+J29+K29+L29</f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145"/>
      <c r="N29" s="131"/>
      <c r="O29" s="131"/>
      <c r="P29" s="131"/>
      <c r="Q29" s="131"/>
      <c r="R29" s="131"/>
      <c r="S29" s="131"/>
      <c r="T29" s="131"/>
      <c r="U29" s="148"/>
      <c r="V29" s="141"/>
    </row>
    <row r="30" spans="1:22" s="26" customFormat="1" ht="12.75" customHeight="1">
      <c r="A30" s="142"/>
      <c r="B30" s="143"/>
      <c r="C30" s="142"/>
      <c r="D30" s="27" t="s">
        <v>44</v>
      </c>
      <c r="E30" s="28">
        <f>F30+G30+H30+I30+J30+K30+L30</f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145"/>
      <c r="N30" s="131"/>
      <c r="O30" s="131"/>
      <c r="P30" s="131"/>
      <c r="Q30" s="131"/>
      <c r="R30" s="131"/>
      <c r="S30" s="131"/>
      <c r="T30" s="131"/>
      <c r="U30" s="148"/>
      <c r="V30" s="141"/>
    </row>
    <row r="31" spans="1:22" s="26" customFormat="1" ht="12.75">
      <c r="A31" s="142"/>
      <c r="B31" s="143"/>
      <c r="C31" s="142"/>
      <c r="D31" s="27" t="s">
        <v>45</v>
      </c>
      <c r="E31" s="28">
        <f>F31+G31+H31+I31+J31+K31+L31</f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146"/>
      <c r="N31" s="132"/>
      <c r="O31" s="132"/>
      <c r="P31" s="132"/>
      <c r="Q31" s="132"/>
      <c r="R31" s="132"/>
      <c r="S31" s="132"/>
      <c r="T31" s="132"/>
      <c r="U31" s="149"/>
      <c r="V31" s="141"/>
    </row>
    <row r="32" spans="1:21" s="26" customFormat="1" ht="12.75" customHeight="1">
      <c r="A32" s="133"/>
      <c r="B32" s="134" t="s">
        <v>58</v>
      </c>
      <c r="C32" s="133"/>
      <c r="D32" s="29" t="s">
        <v>22</v>
      </c>
      <c r="E32" s="30">
        <f>E34+E35+E36+E37</f>
        <v>118658816.88</v>
      </c>
      <c r="F32" s="30">
        <f>F34+F35+F36+F37</f>
        <v>29090361.990000002</v>
      </c>
      <c r="G32" s="30">
        <f aca="true" t="shared" si="6" ref="G32:L32">G34+G35+G36+G37</f>
        <v>38962872.21999999</v>
      </c>
      <c r="H32" s="30">
        <f t="shared" si="6"/>
        <v>22947782.669999998</v>
      </c>
      <c r="I32" s="30">
        <f t="shared" si="6"/>
        <v>6914450</v>
      </c>
      <c r="J32" s="30">
        <f t="shared" si="6"/>
        <v>6914450</v>
      </c>
      <c r="K32" s="30">
        <f t="shared" si="6"/>
        <v>6914450</v>
      </c>
      <c r="L32" s="30">
        <f t="shared" si="6"/>
        <v>6914450</v>
      </c>
      <c r="M32" s="135"/>
      <c r="N32" s="113"/>
      <c r="O32" s="113"/>
      <c r="P32" s="113"/>
      <c r="Q32" s="113"/>
      <c r="R32" s="113"/>
      <c r="S32" s="113"/>
      <c r="T32" s="113"/>
      <c r="U32" s="116"/>
    </row>
    <row r="33" spans="1:21" s="26" customFormat="1" ht="12.75">
      <c r="A33" s="133"/>
      <c r="B33" s="134"/>
      <c r="C33" s="133"/>
      <c r="D33" s="138" t="s">
        <v>47</v>
      </c>
      <c r="E33" s="139"/>
      <c r="F33" s="139"/>
      <c r="G33" s="139"/>
      <c r="H33" s="139"/>
      <c r="I33" s="139"/>
      <c r="J33" s="139"/>
      <c r="K33" s="139"/>
      <c r="L33" s="140"/>
      <c r="M33" s="136"/>
      <c r="N33" s="114"/>
      <c r="O33" s="114"/>
      <c r="P33" s="114"/>
      <c r="Q33" s="114"/>
      <c r="R33" s="114"/>
      <c r="S33" s="114"/>
      <c r="T33" s="114"/>
      <c r="U33" s="117"/>
    </row>
    <row r="34" spans="1:24" s="26" customFormat="1" ht="12.75">
      <c r="A34" s="133"/>
      <c r="B34" s="134"/>
      <c r="C34" s="133"/>
      <c r="D34" s="31" t="s">
        <v>41</v>
      </c>
      <c r="E34" s="30">
        <f>F34+G34+H34+I34+J34+K34+L34</f>
        <v>118658816.88</v>
      </c>
      <c r="F34" s="32">
        <f>F23+F28</f>
        <v>29090361.990000002</v>
      </c>
      <c r="G34" s="32">
        <f aca="true" t="shared" si="7" ref="G34:L34">G23+G28</f>
        <v>38962872.21999999</v>
      </c>
      <c r="H34" s="32">
        <f t="shared" si="7"/>
        <v>22947782.669999998</v>
      </c>
      <c r="I34" s="32">
        <f t="shared" si="7"/>
        <v>6914450</v>
      </c>
      <c r="J34" s="32">
        <f t="shared" si="7"/>
        <v>6914450</v>
      </c>
      <c r="K34" s="32">
        <f t="shared" si="7"/>
        <v>6914450</v>
      </c>
      <c r="L34" s="32">
        <f t="shared" si="7"/>
        <v>6914450</v>
      </c>
      <c r="M34" s="136"/>
      <c r="N34" s="114"/>
      <c r="O34" s="114"/>
      <c r="P34" s="114"/>
      <c r="Q34" s="114"/>
      <c r="R34" s="114"/>
      <c r="S34" s="114"/>
      <c r="T34" s="114"/>
      <c r="U34" s="117"/>
      <c r="X34" s="33"/>
    </row>
    <row r="35" spans="1:21" s="26" customFormat="1" ht="12.75">
      <c r="A35" s="133"/>
      <c r="B35" s="134"/>
      <c r="C35" s="133"/>
      <c r="D35" s="31" t="s">
        <v>42</v>
      </c>
      <c r="E35" s="30">
        <f>F35+G35+H35+I35+J35+K35+L35</f>
        <v>0</v>
      </c>
      <c r="F35" s="32">
        <f aca="true" t="shared" si="8" ref="F35:L37">F24+F29</f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136"/>
      <c r="N35" s="114"/>
      <c r="O35" s="114"/>
      <c r="P35" s="114"/>
      <c r="Q35" s="114"/>
      <c r="R35" s="114"/>
      <c r="S35" s="114"/>
      <c r="T35" s="114"/>
      <c r="U35" s="117"/>
    </row>
    <row r="36" spans="1:21" s="26" customFormat="1" ht="12.75">
      <c r="A36" s="133"/>
      <c r="B36" s="134"/>
      <c r="C36" s="133"/>
      <c r="D36" s="31" t="s">
        <v>44</v>
      </c>
      <c r="E36" s="30">
        <f>F36+G36+H36+I36+J36+K36+L36</f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136"/>
      <c r="N36" s="114"/>
      <c r="O36" s="114"/>
      <c r="P36" s="114"/>
      <c r="Q36" s="114"/>
      <c r="R36" s="114"/>
      <c r="S36" s="114"/>
      <c r="T36" s="114"/>
      <c r="U36" s="117"/>
    </row>
    <row r="37" spans="1:21" s="26" customFormat="1" ht="12.75">
      <c r="A37" s="133"/>
      <c r="B37" s="134"/>
      <c r="C37" s="133"/>
      <c r="D37" s="31" t="s">
        <v>45</v>
      </c>
      <c r="E37" s="30">
        <f>F37+G37+H37+I37+J37+K37+L37</f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137"/>
      <c r="N37" s="115"/>
      <c r="O37" s="115"/>
      <c r="P37" s="115"/>
      <c r="Q37" s="115"/>
      <c r="R37" s="115"/>
      <c r="S37" s="115"/>
      <c r="T37" s="115"/>
      <c r="U37" s="118"/>
    </row>
    <row r="38" spans="1:21" s="26" customFormat="1" ht="13.5" customHeight="1">
      <c r="A38" s="125"/>
      <c r="B38" s="126" t="s">
        <v>59</v>
      </c>
      <c r="C38" s="125"/>
      <c r="D38" s="34" t="s">
        <v>22</v>
      </c>
      <c r="E38" s="35">
        <f aca="true" t="shared" si="9" ref="E38:L38">E40+E41+E42+E43</f>
        <v>154729750.67000002</v>
      </c>
      <c r="F38" s="35">
        <f>F40+F41+F42+F43</f>
        <v>34833730.58</v>
      </c>
      <c r="G38" s="35">
        <f t="shared" si="9"/>
        <v>44245477.419999994</v>
      </c>
      <c r="H38" s="35">
        <f t="shared" si="9"/>
        <v>22947782.669999998</v>
      </c>
      <c r="I38" s="35">
        <f t="shared" si="9"/>
        <v>13175690</v>
      </c>
      <c r="J38" s="35">
        <f t="shared" si="9"/>
        <v>13175690</v>
      </c>
      <c r="K38" s="35">
        <f t="shared" si="9"/>
        <v>13175690</v>
      </c>
      <c r="L38" s="35">
        <f t="shared" si="9"/>
        <v>13175690</v>
      </c>
      <c r="M38" s="127"/>
      <c r="N38" s="122"/>
      <c r="O38" s="122"/>
      <c r="P38" s="122"/>
      <c r="Q38" s="122"/>
      <c r="R38" s="122"/>
      <c r="S38" s="122"/>
      <c r="T38" s="122"/>
      <c r="U38" s="110"/>
    </row>
    <row r="39" spans="1:21" s="26" customFormat="1" ht="12.75">
      <c r="A39" s="125"/>
      <c r="B39" s="126"/>
      <c r="C39" s="125"/>
      <c r="D39" s="119" t="s">
        <v>47</v>
      </c>
      <c r="E39" s="120"/>
      <c r="F39" s="120"/>
      <c r="G39" s="120"/>
      <c r="H39" s="120"/>
      <c r="I39" s="120"/>
      <c r="J39" s="120"/>
      <c r="K39" s="120"/>
      <c r="L39" s="121"/>
      <c r="M39" s="128"/>
      <c r="N39" s="123"/>
      <c r="O39" s="123"/>
      <c r="P39" s="123"/>
      <c r="Q39" s="123"/>
      <c r="R39" s="123"/>
      <c r="S39" s="123"/>
      <c r="T39" s="123"/>
      <c r="U39" s="111"/>
    </row>
    <row r="40" spans="1:21" s="26" customFormat="1" ht="13.5">
      <c r="A40" s="125"/>
      <c r="B40" s="126"/>
      <c r="C40" s="125"/>
      <c r="D40" s="36" t="s">
        <v>41</v>
      </c>
      <c r="E40" s="35">
        <f>F40+G40+H40+I40+J40+K40+L40</f>
        <v>154729750.67000002</v>
      </c>
      <c r="F40" s="37">
        <f>F34+F17</f>
        <v>34833730.58</v>
      </c>
      <c r="G40" s="37">
        <f aca="true" t="shared" si="10" ref="G40:L40">G34+G17</f>
        <v>44245477.419999994</v>
      </c>
      <c r="H40" s="37">
        <f t="shared" si="10"/>
        <v>22947782.669999998</v>
      </c>
      <c r="I40" s="37">
        <f t="shared" si="10"/>
        <v>13175690</v>
      </c>
      <c r="J40" s="37">
        <f t="shared" si="10"/>
        <v>13175690</v>
      </c>
      <c r="K40" s="37">
        <f t="shared" si="10"/>
        <v>13175690</v>
      </c>
      <c r="L40" s="37">
        <f t="shared" si="10"/>
        <v>13175690</v>
      </c>
      <c r="M40" s="128"/>
      <c r="N40" s="123"/>
      <c r="O40" s="123"/>
      <c r="P40" s="123"/>
      <c r="Q40" s="123"/>
      <c r="R40" s="123"/>
      <c r="S40" s="123"/>
      <c r="T40" s="123"/>
      <c r="U40" s="111"/>
    </row>
    <row r="41" spans="1:21" s="26" customFormat="1" ht="13.5">
      <c r="A41" s="125"/>
      <c r="B41" s="126"/>
      <c r="C41" s="125"/>
      <c r="D41" s="36" t="s">
        <v>42</v>
      </c>
      <c r="E41" s="35">
        <f>F41+G41+H41+I41+J41+K41+L41</f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128"/>
      <c r="N41" s="123"/>
      <c r="O41" s="123"/>
      <c r="P41" s="123"/>
      <c r="Q41" s="123"/>
      <c r="R41" s="123"/>
      <c r="S41" s="123"/>
      <c r="T41" s="123"/>
      <c r="U41" s="111"/>
    </row>
    <row r="42" spans="1:21" s="26" customFormat="1" ht="13.5">
      <c r="A42" s="125"/>
      <c r="B42" s="126"/>
      <c r="C42" s="125"/>
      <c r="D42" s="36" t="s">
        <v>44</v>
      </c>
      <c r="E42" s="35">
        <f>F42+G42+H42+I42+J42+K42+L42</f>
        <v>0</v>
      </c>
      <c r="F42" s="37">
        <f aca="true" t="shared" si="11" ref="F42:L43">F36+F19</f>
        <v>0</v>
      </c>
      <c r="G42" s="37">
        <f t="shared" si="11"/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37">
        <f t="shared" si="11"/>
        <v>0</v>
      </c>
      <c r="L42" s="37">
        <f t="shared" si="11"/>
        <v>0</v>
      </c>
      <c r="M42" s="128"/>
      <c r="N42" s="123"/>
      <c r="O42" s="123"/>
      <c r="P42" s="123"/>
      <c r="Q42" s="123"/>
      <c r="R42" s="123"/>
      <c r="S42" s="123"/>
      <c r="T42" s="123"/>
      <c r="U42" s="111"/>
    </row>
    <row r="43" spans="1:21" s="26" customFormat="1" ht="13.5">
      <c r="A43" s="125"/>
      <c r="B43" s="126"/>
      <c r="C43" s="125"/>
      <c r="D43" s="36" t="s">
        <v>45</v>
      </c>
      <c r="E43" s="35">
        <f>F43+G43+H43+I43+J43+K43+L43</f>
        <v>0</v>
      </c>
      <c r="F43" s="37">
        <f t="shared" si="11"/>
        <v>0</v>
      </c>
      <c r="G43" s="37">
        <f t="shared" si="11"/>
        <v>0</v>
      </c>
      <c r="H43" s="37">
        <f t="shared" si="11"/>
        <v>0</v>
      </c>
      <c r="I43" s="37">
        <f t="shared" si="11"/>
        <v>0</v>
      </c>
      <c r="J43" s="37">
        <f t="shared" si="11"/>
        <v>0</v>
      </c>
      <c r="K43" s="37">
        <f t="shared" si="11"/>
        <v>0</v>
      </c>
      <c r="L43" s="37">
        <f t="shared" si="11"/>
        <v>0</v>
      </c>
      <c r="M43" s="129"/>
      <c r="N43" s="124"/>
      <c r="O43" s="124"/>
      <c r="P43" s="124"/>
      <c r="Q43" s="124"/>
      <c r="R43" s="124"/>
      <c r="S43" s="124"/>
      <c r="T43" s="124"/>
      <c r="U43" s="112"/>
    </row>
    <row r="44" s="16" customFormat="1" ht="12.75"/>
    <row r="45" ht="12.75">
      <c r="B45" s="39"/>
    </row>
    <row r="46" ht="12.75">
      <c r="B46" s="39"/>
    </row>
    <row r="47" spans="2:9" ht="12.75">
      <c r="B47" s="39"/>
      <c r="F47" s="40"/>
      <c r="H47" s="40"/>
      <c r="I47" s="40"/>
    </row>
    <row r="48" ht="12.75">
      <c r="B48" s="39"/>
    </row>
    <row r="49" ht="12.75">
      <c r="B49" s="39"/>
    </row>
  </sheetData>
  <sheetProtection/>
  <mergeCells count="99">
    <mergeCell ref="N2:U2"/>
    <mergeCell ref="S3:U3"/>
    <mergeCell ref="A4:U4"/>
    <mergeCell ref="A5:A6"/>
    <mergeCell ref="B5:B6"/>
    <mergeCell ref="C5:C6"/>
    <mergeCell ref="D5:D6"/>
    <mergeCell ref="E5:L5"/>
    <mergeCell ref="M5:T5"/>
    <mergeCell ref="U5:U6"/>
    <mergeCell ref="A10:A14"/>
    <mergeCell ref="B10:B14"/>
    <mergeCell ref="C10:C14"/>
    <mergeCell ref="M10:M11"/>
    <mergeCell ref="N10:N11"/>
    <mergeCell ref="R15:R20"/>
    <mergeCell ref="S15:S20"/>
    <mergeCell ref="T15:T20"/>
    <mergeCell ref="B8:U8"/>
    <mergeCell ref="B9:U9"/>
    <mergeCell ref="O10:O11"/>
    <mergeCell ref="P10:P11"/>
    <mergeCell ref="Q10:Q11"/>
    <mergeCell ref="R10:R11"/>
    <mergeCell ref="S10:S11"/>
    <mergeCell ref="T10:T11"/>
    <mergeCell ref="U10:U14"/>
    <mergeCell ref="C15:C20"/>
    <mergeCell ref="M15:M20"/>
    <mergeCell ref="N15:N20"/>
    <mergeCell ref="V10:V14"/>
    <mergeCell ref="D16:L16"/>
    <mergeCell ref="R12:R14"/>
    <mergeCell ref="S12:S14"/>
    <mergeCell ref="T12:T14"/>
    <mergeCell ref="O15:O20"/>
    <mergeCell ref="P15:P20"/>
    <mergeCell ref="M12:M14"/>
    <mergeCell ref="N12:N14"/>
    <mergeCell ref="O12:O14"/>
    <mergeCell ref="P12:P14"/>
    <mergeCell ref="Q12:Q14"/>
    <mergeCell ref="Q15:Q20"/>
    <mergeCell ref="U15:U20"/>
    <mergeCell ref="B21:U21"/>
    <mergeCell ref="A22:A26"/>
    <mergeCell ref="B22:B26"/>
    <mergeCell ref="C22:C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A15:A20"/>
    <mergeCell ref="B15:B20"/>
    <mergeCell ref="V22:V26"/>
    <mergeCell ref="A27:A31"/>
    <mergeCell ref="B27:B31"/>
    <mergeCell ref="C27:C31"/>
    <mergeCell ref="M27:M31"/>
    <mergeCell ref="N27:N31"/>
    <mergeCell ref="O27:O31"/>
    <mergeCell ref="V27:V31"/>
    <mergeCell ref="S27:S31"/>
    <mergeCell ref="T27:T31"/>
    <mergeCell ref="U27:U31"/>
    <mergeCell ref="P27:P31"/>
    <mergeCell ref="Q27:Q31"/>
    <mergeCell ref="R27:R31"/>
    <mergeCell ref="A32:A37"/>
    <mergeCell ref="B32:B37"/>
    <mergeCell ref="C32:C37"/>
    <mergeCell ref="M32:M37"/>
    <mergeCell ref="N32:N37"/>
    <mergeCell ref="D33:L33"/>
    <mergeCell ref="A38:A43"/>
    <mergeCell ref="B38:B43"/>
    <mergeCell ref="C38:C43"/>
    <mergeCell ref="M38:M43"/>
    <mergeCell ref="T38:T43"/>
    <mergeCell ref="U38:U43"/>
    <mergeCell ref="S32:S37"/>
    <mergeCell ref="T32:T37"/>
    <mergeCell ref="U32:U37"/>
    <mergeCell ref="D39:L39"/>
    <mergeCell ref="P38:P43"/>
    <mergeCell ref="Q38:Q43"/>
    <mergeCell ref="R38:R43"/>
    <mergeCell ref="S38:S43"/>
    <mergeCell ref="N38:N43"/>
    <mergeCell ref="O38:O43"/>
    <mergeCell ref="O32:O37"/>
    <mergeCell ref="P32:P37"/>
    <mergeCell ref="Q32:Q37"/>
    <mergeCell ref="R32:R37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24"/>
  <sheetViews>
    <sheetView zoomScaleSheetLayoutView="100" zoomScalePageLayoutView="0" workbookViewId="0" topLeftCell="A1">
      <selection activeCell="F1" sqref="F1:I1"/>
    </sheetView>
  </sheetViews>
  <sheetFormatPr defaultColWidth="15.140625" defaultRowHeight="15"/>
  <cols>
    <col min="1" max="1" width="31.00390625" style="1" customWidth="1"/>
    <col min="2" max="2" width="15.57421875" style="1" bestFit="1" customWidth="1"/>
    <col min="3" max="9" width="14.28125" style="1" bestFit="1" customWidth="1"/>
    <col min="10" max="246" width="9.140625" style="1" customWidth="1"/>
    <col min="247" max="247" width="21.8515625" style="1" customWidth="1"/>
    <col min="248" max="248" width="5.7109375" style="1" customWidth="1"/>
    <col min="249" max="249" width="12.57421875" style="1" customWidth="1"/>
    <col min="250" max="250" width="11.57421875" style="1" customWidth="1"/>
    <col min="251" max="16384" width="15.140625" style="1" customWidth="1"/>
  </cols>
  <sheetData>
    <row r="1" spans="6:9" ht="35.25" customHeight="1">
      <c r="F1" s="172" t="s">
        <v>172</v>
      </c>
      <c r="G1" s="172"/>
      <c r="H1" s="172"/>
      <c r="I1" s="172"/>
    </row>
    <row r="2" spans="5:10" ht="39" customHeight="1">
      <c r="E2" s="2"/>
      <c r="F2" s="41"/>
      <c r="G2" s="103" t="s">
        <v>60</v>
      </c>
      <c r="H2" s="103"/>
      <c r="I2" s="103"/>
      <c r="J2" s="42"/>
    </row>
    <row r="3" ht="15.75">
      <c r="F3" s="41"/>
    </row>
    <row r="4" spans="1:9" ht="15.75">
      <c r="A4" s="104" t="s">
        <v>61</v>
      </c>
      <c r="B4" s="104"/>
      <c r="C4" s="104"/>
      <c r="D4" s="104"/>
      <c r="E4" s="104"/>
      <c r="F4" s="104"/>
      <c r="G4" s="104"/>
      <c r="H4" s="104"/>
      <c r="I4" s="104"/>
    </row>
    <row r="6" spans="1:9" ht="30" customHeight="1">
      <c r="A6" s="109" t="s">
        <v>2</v>
      </c>
      <c r="B6" s="109" t="s">
        <v>3</v>
      </c>
      <c r="C6" s="109" t="s">
        <v>4</v>
      </c>
      <c r="D6" s="109"/>
      <c r="E6" s="109"/>
      <c r="F6" s="109"/>
      <c r="G6" s="109"/>
      <c r="H6" s="109"/>
      <c r="I6" s="109"/>
    </row>
    <row r="7" spans="1:9" ht="16.5" customHeight="1">
      <c r="A7" s="109"/>
      <c r="B7" s="109"/>
      <c r="C7" s="5" t="s">
        <v>62</v>
      </c>
      <c r="D7" s="5" t="s">
        <v>63</v>
      </c>
      <c r="E7" s="5" t="s">
        <v>64</v>
      </c>
      <c r="F7" s="5" t="s">
        <v>65</v>
      </c>
      <c r="G7" s="5" t="s">
        <v>66</v>
      </c>
      <c r="H7" s="5" t="s">
        <v>67</v>
      </c>
      <c r="I7" s="5" t="s">
        <v>68</v>
      </c>
    </row>
    <row r="8" spans="1:9" ht="16.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9" ht="19.5" customHeight="1">
      <c r="A9" s="7" t="s">
        <v>69</v>
      </c>
      <c r="B9" s="8">
        <f>B11+B12+B13+B14</f>
        <v>236071597.844</v>
      </c>
      <c r="C9" s="8">
        <f aca="true" t="shared" si="0" ref="C9:I9">C11+C12+C13+C14</f>
        <v>36075022.67</v>
      </c>
      <c r="D9" s="8">
        <f t="shared" si="0"/>
        <v>38810926.104</v>
      </c>
      <c r="E9" s="8">
        <f t="shared" si="0"/>
        <v>36941732.07</v>
      </c>
      <c r="F9" s="8">
        <f t="shared" si="0"/>
        <v>33899917</v>
      </c>
      <c r="G9" s="8">
        <f t="shared" si="0"/>
        <v>33447999.999999996</v>
      </c>
      <c r="H9" s="8">
        <f t="shared" si="0"/>
        <v>28447999.999999996</v>
      </c>
      <c r="I9" s="8">
        <f t="shared" si="0"/>
        <v>28447999.999999996</v>
      </c>
    </row>
    <row r="10" spans="1:9" ht="16.5" customHeight="1">
      <c r="A10" s="170" t="s">
        <v>6</v>
      </c>
      <c r="B10" s="170"/>
      <c r="C10" s="170"/>
      <c r="D10" s="170"/>
      <c r="E10" s="170"/>
      <c r="F10" s="170"/>
      <c r="G10" s="170"/>
      <c r="H10" s="170"/>
      <c r="I10" s="170"/>
    </row>
    <row r="11" spans="1:9" ht="16.5" customHeight="1">
      <c r="A11" s="9" t="s">
        <v>7</v>
      </c>
      <c r="B11" s="10">
        <f>SUM(C11:I11)</f>
        <v>232871565.24400002</v>
      </c>
      <c r="C11" s="11">
        <f>C18+C25+C32</f>
        <v>36075022.67</v>
      </c>
      <c r="D11" s="11">
        <f aca="true" t="shared" si="1" ref="D11:I11">D18+D25+D32</f>
        <v>37371436.104</v>
      </c>
      <c r="E11" s="11">
        <f t="shared" si="1"/>
        <v>35181189.47</v>
      </c>
      <c r="F11" s="11">
        <f t="shared" si="1"/>
        <v>33899917</v>
      </c>
      <c r="G11" s="11">
        <f t="shared" si="1"/>
        <v>33447999.999999996</v>
      </c>
      <c r="H11" s="11">
        <f t="shared" si="1"/>
        <v>28447999.999999996</v>
      </c>
      <c r="I11" s="11">
        <f t="shared" si="1"/>
        <v>28447999.999999996</v>
      </c>
    </row>
    <row r="12" spans="1:9" ht="15.75">
      <c r="A12" s="9" t="s">
        <v>8</v>
      </c>
      <c r="B12" s="10">
        <f>SUM(C12:I12)</f>
        <v>3200032.6</v>
      </c>
      <c r="C12" s="11">
        <f aca="true" t="shared" si="2" ref="C12:I14">C19+C26+C33</f>
        <v>0</v>
      </c>
      <c r="D12" s="11">
        <f t="shared" si="2"/>
        <v>1439490</v>
      </c>
      <c r="E12" s="11">
        <f t="shared" si="2"/>
        <v>1760542.6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ht="15.75">
      <c r="A13" s="9" t="s">
        <v>9</v>
      </c>
      <c r="B13" s="10">
        <f>SUM(C13:I13)</f>
        <v>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1:9" ht="16.5" customHeight="1">
      <c r="A14" s="9" t="s">
        <v>10</v>
      </c>
      <c r="B14" s="10">
        <f>SUM(C14:I14)</f>
        <v>0</v>
      </c>
      <c r="C14" s="11">
        <f t="shared" si="2"/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1:9" ht="15.75">
      <c r="A15" s="171" t="s">
        <v>11</v>
      </c>
      <c r="B15" s="171"/>
      <c r="C15" s="171"/>
      <c r="D15" s="171"/>
      <c r="E15" s="171"/>
      <c r="F15" s="171"/>
      <c r="G15" s="171"/>
      <c r="H15" s="171"/>
      <c r="I15" s="171"/>
    </row>
    <row r="16" spans="1:9" ht="78.75">
      <c r="A16" s="12" t="s">
        <v>12</v>
      </c>
      <c r="B16" s="8">
        <f>B18+B19+B20+B21</f>
        <v>236071597.844</v>
      </c>
      <c r="C16" s="8">
        <f aca="true" t="shared" si="3" ref="C16:I16">C18+C19+C20+C21</f>
        <v>36075022.67</v>
      </c>
      <c r="D16" s="8">
        <f t="shared" si="3"/>
        <v>38810926.104</v>
      </c>
      <c r="E16" s="8">
        <f t="shared" si="3"/>
        <v>36941732.07</v>
      </c>
      <c r="F16" s="8">
        <f t="shared" si="3"/>
        <v>33899917</v>
      </c>
      <c r="G16" s="8">
        <f t="shared" si="3"/>
        <v>33447999.999999996</v>
      </c>
      <c r="H16" s="8">
        <f t="shared" si="3"/>
        <v>28447999.999999996</v>
      </c>
      <c r="I16" s="8">
        <f t="shared" si="3"/>
        <v>28447999.999999996</v>
      </c>
    </row>
    <row r="17" spans="1:9" ht="16.5" customHeight="1">
      <c r="A17" s="170" t="s">
        <v>6</v>
      </c>
      <c r="B17" s="170"/>
      <c r="C17" s="170"/>
      <c r="D17" s="170"/>
      <c r="E17" s="170"/>
      <c r="F17" s="170"/>
      <c r="G17" s="170"/>
      <c r="H17" s="170"/>
      <c r="I17" s="170"/>
    </row>
    <row r="18" spans="1:9" ht="16.5" customHeight="1">
      <c r="A18" s="9" t="s">
        <v>7</v>
      </c>
      <c r="B18" s="10">
        <f>SUM(C18:I18)</f>
        <v>232871565.24400002</v>
      </c>
      <c r="C18" s="11">
        <f>'[1]Таблица 3 (4)'!F314</f>
        <v>36075022.67</v>
      </c>
      <c r="D18" s="11">
        <f>'[1]Таблица 3 (4)'!G314</f>
        <v>37371436.104</v>
      </c>
      <c r="E18" s="11">
        <f>'[1]Таблица 3 (4)'!H314</f>
        <v>35181189.47</v>
      </c>
      <c r="F18" s="11">
        <f>'[1]Таблица 3 (4)'!I314</f>
        <v>33899917</v>
      </c>
      <c r="G18" s="11">
        <f>'[1]Таблица 3 (4)'!J314</f>
        <v>33447999.999999996</v>
      </c>
      <c r="H18" s="11">
        <f>'[1]Таблица 3 (4)'!K314</f>
        <v>28447999.999999996</v>
      </c>
      <c r="I18" s="11">
        <f>'[1]Таблица 3 (4)'!L314</f>
        <v>28447999.999999996</v>
      </c>
    </row>
    <row r="19" spans="1:9" ht="16.5" customHeight="1">
      <c r="A19" s="9" t="s">
        <v>8</v>
      </c>
      <c r="B19" s="10">
        <f>SUM(C19:I19)</f>
        <v>3200032.6</v>
      </c>
      <c r="C19" s="11">
        <f>'[1]Таблица 3 (4)'!F315</f>
        <v>0</v>
      </c>
      <c r="D19" s="11">
        <f>'[1]Таблица 3 (4)'!G315</f>
        <v>1439490</v>
      </c>
      <c r="E19" s="11">
        <f>'[1]Таблица 3 (4)'!H315</f>
        <v>1760542.6</v>
      </c>
      <c r="F19" s="11">
        <f>'[1]Таблица 3 (4)'!I315</f>
        <v>0</v>
      </c>
      <c r="G19" s="11">
        <f>'[1]Таблица 3 (4)'!J315</f>
        <v>0</v>
      </c>
      <c r="H19" s="11">
        <f>'[1]Таблица 3 (4)'!K315</f>
        <v>0</v>
      </c>
      <c r="I19" s="11">
        <f>'[1]Таблица 3 (4)'!L315</f>
        <v>0</v>
      </c>
    </row>
    <row r="20" spans="1:9" ht="16.5" customHeight="1">
      <c r="A20" s="9" t="s">
        <v>9</v>
      </c>
      <c r="B20" s="10">
        <f>SUM(C20:I20)</f>
        <v>0</v>
      </c>
      <c r="C20" s="11">
        <f>'[1]Таблица 3 (4)'!F316</f>
        <v>0</v>
      </c>
      <c r="D20" s="11">
        <f>'[1]Таблица 3 (4)'!G316</f>
        <v>0</v>
      </c>
      <c r="E20" s="11">
        <f>'[1]Таблица 3 (4)'!H316</f>
        <v>0</v>
      </c>
      <c r="F20" s="11">
        <f>'[1]Таблица 3 (4)'!I316</f>
        <v>0</v>
      </c>
      <c r="G20" s="11">
        <f>'[1]Таблица 3 (4)'!J316</f>
        <v>0</v>
      </c>
      <c r="H20" s="11">
        <f>'[1]Таблица 3 (4)'!K316</f>
        <v>0</v>
      </c>
      <c r="I20" s="11">
        <f>'[1]Таблица 3 (4)'!L316</f>
        <v>0</v>
      </c>
    </row>
    <row r="21" spans="1:9" ht="16.5" customHeight="1">
      <c r="A21" s="9" t="s">
        <v>10</v>
      </c>
      <c r="B21" s="10">
        <f>SUM(C21:I21)</f>
        <v>0</v>
      </c>
      <c r="C21" s="11">
        <f>'[1]Таблица 3 (4)'!F317</f>
        <v>0</v>
      </c>
      <c r="D21" s="11">
        <f>'[1]Таблица 3 (4)'!G317</f>
        <v>0</v>
      </c>
      <c r="E21" s="11">
        <f>'[1]Таблица 3 (4)'!H317</f>
        <v>0</v>
      </c>
      <c r="F21" s="11">
        <f>'[1]Таблица 3 (4)'!I317</f>
        <v>0</v>
      </c>
      <c r="G21" s="11">
        <f>'[1]Таблица 3 (4)'!J317</f>
        <v>0</v>
      </c>
      <c r="H21" s="11">
        <f>'[1]Таблица 3 (4)'!K317</f>
        <v>0</v>
      </c>
      <c r="I21" s="11">
        <f>'[1]Таблица 3 (4)'!L317</f>
        <v>0</v>
      </c>
    </row>
    <row r="22" spans="1:9" ht="31.5">
      <c r="A22" s="13" t="s">
        <v>13</v>
      </c>
      <c r="B22" s="44">
        <f>SUM(C22:I22)</f>
        <v>6928569.3100000005</v>
      </c>
      <c r="C22" s="45">
        <v>3728569.31</v>
      </c>
      <c r="D22" s="46">
        <v>600000</v>
      </c>
      <c r="E22" s="47">
        <v>2600000</v>
      </c>
      <c r="F22" s="45">
        <v>0</v>
      </c>
      <c r="G22" s="45">
        <v>0</v>
      </c>
      <c r="H22" s="45">
        <v>0</v>
      </c>
      <c r="I22" s="45">
        <v>0</v>
      </c>
    </row>
    <row r="24" ht="15.75">
      <c r="E24" s="48"/>
    </row>
  </sheetData>
  <sheetProtection/>
  <mergeCells count="9">
    <mergeCell ref="A10:I10"/>
    <mergeCell ref="A15:I15"/>
    <mergeCell ref="A17:I17"/>
    <mergeCell ref="F1:I1"/>
    <mergeCell ref="G2:I2"/>
    <mergeCell ref="A4:I4"/>
    <mergeCell ref="A6:A7"/>
    <mergeCell ref="B6:B7"/>
    <mergeCell ref="C6:I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U335"/>
  <sheetViews>
    <sheetView zoomScaleSheetLayoutView="100" zoomScalePageLayoutView="0" workbookViewId="0" topLeftCell="L1">
      <selection activeCell="R1" sqref="R1:U1"/>
    </sheetView>
  </sheetViews>
  <sheetFormatPr defaultColWidth="9.140625" defaultRowHeight="15"/>
  <cols>
    <col min="1" max="1" width="5.8515625" style="16" customWidth="1"/>
    <col min="2" max="2" width="37.57421875" style="16" customWidth="1"/>
    <col min="3" max="3" width="16.00390625" style="16" customWidth="1"/>
    <col min="4" max="4" width="13.421875" style="16" customWidth="1"/>
    <col min="5" max="5" width="14.00390625" style="16" customWidth="1"/>
    <col min="6" max="6" width="12.8515625" style="16" customWidth="1"/>
    <col min="7" max="7" width="12.8515625" style="16" bestFit="1" customWidth="1"/>
    <col min="8" max="12" width="12.8515625" style="16" customWidth="1"/>
    <col min="13" max="13" width="30.57421875" style="16" customWidth="1"/>
    <col min="14" max="20" width="8.7109375" style="16" customWidth="1"/>
    <col min="21" max="21" width="17.140625" style="85" customWidth="1"/>
    <col min="22" max="16384" width="9.140625" style="16" customWidth="1"/>
  </cols>
  <sheetData>
    <row r="1" spans="18:21" ht="48.75" customHeight="1">
      <c r="R1" s="212" t="s">
        <v>173</v>
      </c>
      <c r="S1" s="212"/>
      <c r="T1" s="212"/>
      <c r="U1" s="212"/>
    </row>
    <row r="2" spans="20:21" ht="24.75" customHeight="1">
      <c r="T2" s="164" t="s">
        <v>70</v>
      </c>
      <c r="U2" s="164"/>
    </row>
    <row r="3" spans="1:21" ht="15.75">
      <c r="A3" s="104" t="s">
        <v>71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2.75" customHeight="1">
      <c r="A4" s="165" t="s">
        <v>16</v>
      </c>
      <c r="B4" s="165" t="s">
        <v>17</v>
      </c>
      <c r="C4" s="165" t="s">
        <v>18</v>
      </c>
      <c r="D4" s="166" t="s">
        <v>2</v>
      </c>
      <c r="E4" s="165" t="s">
        <v>19</v>
      </c>
      <c r="F4" s="165"/>
      <c r="G4" s="165"/>
      <c r="H4" s="165"/>
      <c r="I4" s="165"/>
      <c r="J4" s="165"/>
      <c r="K4" s="165"/>
      <c r="L4" s="165"/>
      <c r="M4" s="165" t="s">
        <v>20</v>
      </c>
      <c r="N4" s="165"/>
      <c r="O4" s="165"/>
      <c r="P4" s="165"/>
      <c r="Q4" s="165"/>
      <c r="R4" s="165"/>
      <c r="S4" s="165"/>
      <c r="T4" s="165"/>
      <c r="U4" s="168" t="s">
        <v>21</v>
      </c>
    </row>
    <row r="5" spans="1:21" ht="45.75" customHeight="1">
      <c r="A5" s="165"/>
      <c r="B5" s="165"/>
      <c r="C5" s="165"/>
      <c r="D5" s="167"/>
      <c r="E5" s="18" t="s">
        <v>22</v>
      </c>
      <c r="F5" s="19" t="s">
        <v>23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20" t="s">
        <v>30</v>
      </c>
      <c r="N5" s="19" t="s">
        <v>31</v>
      </c>
      <c r="O5" s="19" t="s">
        <v>24</v>
      </c>
      <c r="P5" s="19" t="s">
        <v>25</v>
      </c>
      <c r="Q5" s="19" t="s">
        <v>26</v>
      </c>
      <c r="R5" s="19" t="s">
        <v>27</v>
      </c>
      <c r="S5" s="19" t="s">
        <v>28</v>
      </c>
      <c r="T5" s="19" t="s">
        <v>29</v>
      </c>
      <c r="U5" s="169"/>
    </row>
    <row r="6" spans="1:2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</row>
    <row r="7" spans="1:21" ht="12.75">
      <c r="A7" s="49"/>
      <c r="B7" s="208" t="s">
        <v>72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10"/>
    </row>
    <row r="8" spans="1:21" ht="12.75">
      <c r="A8" s="50">
        <v>1</v>
      </c>
      <c r="B8" s="150" t="s">
        <v>73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/>
    </row>
    <row r="9" spans="1:21" ht="42" customHeight="1">
      <c r="A9" s="211" t="s">
        <v>35</v>
      </c>
      <c r="B9" s="201" t="s">
        <v>74</v>
      </c>
      <c r="C9" s="181" t="s">
        <v>75</v>
      </c>
      <c r="D9" s="24" t="s">
        <v>22</v>
      </c>
      <c r="E9" s="25">
        <f aca="true" t="shared" si="0" ref="E9:E72">F9+G9+H9+I9+J9+K9+L9</f>
        <v>98161518.53</v>
      </c>
      <c r="F9" s="25">
        <f>F10+F11+F12+F13</f>
        <v>12943311.3</v>
      </c>
      <c r="G9" s="25">
        <f aca="true" t="shared" si="1" ref="G9:L9">G10+G11+G12+G13</f>
        <v>19230295.47</v>
      </c>
      <c r="H9" s="25">
        <f t="shared" si="1"/>
        <v>15810911.76</v>
      </c>
      <c r="I9" s="25">
        <f t="shared" si="1"/>
        <v>12544250</v>
      </c>
      <c r="J9" s="25">
        <f t="shared" si="1"/>
        <v>12544250</v>
      </c>
      <c r="K9" s="25">
        <f t="shared" si="1"/>
        <v>12544250</v>
      </c>
      <c r="L9" s="25">
        <f t="shared" si="1"/>
        <v>12544250</v>
      </c>
      <c r="M9" s="182" t="s">
        <v>76</v>
      </c>
      <c r="N9" s="173">
        <v>57150</v>
      </c>
      <c r="O9" s="173">
        <v>57150</v>
      </c>
      <c r="P9" s="173">
        <v>57150</v>
      </c>
      <c r="Q9" s="173">
        <v>57150</v>
      </c>
      <c r="R9" s="173">
        <v>57150</v>
      </c>
      <c r="S9" s="173">
        <v>57150</v>
      </c>
      <c r="T9" s="173">
        <v>57150</v>
      </c>
      <c r="U9" s="176" t="s">
        <v>53</v>
      </c>
    </row>
    <row r="10" spans="1:21" ht="30.75" customHeight="1">
      <c r="A10" s="181"/>
      <c r="B10" s="201"/>
      <c r="C10" s="181"/>
      <c r="D10" s="24" t="s">
        <v>41</v>
      </c>
      <c r="E10" s="25">
        <f t="shared" si="0"/>
        <v>98161518.53</v>
      </c>
      <c r="F10" s="25">
        <f>F15+F20+F25+F30</f>
        <v>12943311.3</v>
      </c>
      <c r="G10" s="25">
        <f>G15+G20+G25+G30</f>
        <v>19230295.47</v>
      </c>
      <c r="H10" s="25">
        <f>H15+H20+H25+H30+H35</f>
        <v>15810911.76</v>
      </c>
      <c r="I10" s="25">
        <f>I15+I20+I25+I30</f>
        <v>12544250</v>
      </c>
      <c r="J10" s="25">
        <f>J15+J20+J25+J30</f>
        <v>12544250</v>
      </c>
      <c r="K10" s="25">
        <f>K15+K20+K25+K30</f>
        <v>12544250</v>
      </c>
      <c r="L10" s="25">
        <f>L15+L20+L25+L30</f>
        <v>12544250</v>
      </c>
      <c r="M10" s="183"/>
      <c r="N10" s="174"/>
      <c r="O10" s="174"/>
      <c r="P10" s="174"/>
      <c r="Q10" s="174"/>
      <c r="R10" s="174"/>
      <c r="S10" s="174"/>
      <c r="T10" s="174"/>
      <c r="U10" s="177"/>
    </row>
    <row r="11" spans="1:21" ht="12.75">
      <c r="A11" s="181"/>
      <c r="B11" s="201"/>
      <c r="C11" s="181"/>
      <c r="D11" s="24" t="s">
        <v>42</v>
      </c>
      <c r="E11" s="25">
        <f t="shared" si="0"/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183"/>
      <c r="N11" s="174"/>
      <c r="O11" s="174"/>
      <c r="P11" s="174"/>
      <c r="Q11" s="174"/>
      <c r="R11" s="174"/>
      <c r="S11" s="174"/>
      <c r="T11" s="174"/>
      <c r="U11" s="177"/>
    </row>
    <row r="12" spans="1:21" ht="12.75">
      <c r="A12" s="181"/>
      <c r="B12" s="201"/>
      <c r="C12" s="181"/>
      <c r="D12" s="24" t="s">
        <v>44</v>
      </c>
      <c r="E12" s="25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183"/>
      <c r="N12" s="174"/>
      <c r="O12" s="174"/>
      <c r="P12" s="174"/>
      <c r="Q12" s="174"/>
      <c r="R12" s="174"/>
      <c r="S12" s="174"/>
      <c r="T12" s="174"/>
      <c r="U12" s="177"/>
    </row>
    <row r="13" spans="1:21" ht="12.75">
      <c r="A13" s="181"/>
      <c r="B13" s="201"/>
      <c r="C13" s="181"/>
      <c r="D13" s="24" t="s">
        <v>45</v>
      </c>
      <c r="E13" s="25">
        <f t="shared" si="0"/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184"/>
      <c r="N13" s="175"/>
      <c r="O13" s="175"/>
      <c r="P13" s="175"/>
      <c r="Q13" s="175"/>
      <c r="R13" s="175"/>
      <c r="S13" s="175"/>
      <c r="T13" s="175"/>
      <c r="U13" s="178"/>
    </row>
    <row r="14" spans="1:21" ht="12.75" hidden="1">
      <c r="A14" s="207"/>
      <c r="B14" s="143" t="s">
        <v>77</v>
      </c>
      <c r="C14" s="190"/>
      <c r="D14" s="27" t="s">
        <v>22</v>
      </c>
      <c r="E14" s="51">
        <f t="shared" si="0"/>
        <v>16739453.08</v>
      </c>
      <c r="F14" s="51">
        <f>F15+F16+F17+F18</f>
        <v>2200222.5</v>
      </c>
      <c r="G14" s="51">
        <f aca="true" t="shared" si="2" ref="G14:L14">G15+G16+G17+G18</f>
        <v>5695230.58</v>
      </c>
      <c r="H14" s="51">
        <f t="shared" si="2"/>
        <v>0</v>
      </c>
      <c r="I14" s="51">
        <f t="shared" si="2"/>
        <v>2211000</v>
      </c>
      <c r="J14" s="51">
        <f t="shared" si="2"/>
        <v>2211000</v>
      </c>
      <c r="K14" s="51">
        <f t="shared" si="2"/>
        <v>2211000</v>
      </c>
      <c r="L14" s="51">
        <f t="shared" si="2"/>
        <v>2211000</v>
      </c>
      <c r="M14" s="190" t="s">
        <v>78</v>
      </c>
      <c r="N14" s="185"/>
      <c r="O14" s="185"/>
      <c r="P14" s="185"/>
      <c r="Q14" s="185"/>
      <c r="R14" s="185"/>
      <c r="S14" s="185"/>
      <c r="T14" s="185"/>
      <c r="U14" s="144"/>
    </row>
    <row r="15" spans="1:21" ht="12.75" hidden="1">
      <c r="A15" s="142"/>
      <c r="B15" s="143"/>
      <c r="C15" s="191"/>
      <c r="D15" s="27" t="s">
        <v>41</v>
      </c>
      <c r="E15" s="28">
        <f t="shared" si="0"/>
        <v>16739453.08</v>
      </c>
      <c r="F15" s="28">
        <v>2200222.5</v>
      </c>
      <c r="G15" s="28">
        <v>5695230.58</v>
      </c>
      <c r="H15" s="28">
        <v>0</v>
      </c>
      <c r="I15" s="28">
        <v>2211000</v>
      </c>
      <c r="J15" s="28">
        <v>2211000</v>
      </c>
      <c r="K15" s="28">
        <v>2211000</v>
      </c>
      <c r="L15" s="28">
        <v>2211000</v>
      </c>
      <c r="M15" s="191"/>
      <c r="N15" s="186"/>
      <c r="O15" s="186"/>
      <c r="P15" s="186"/>
      <c r="Q15" s="186"/>
      <c r="R15" s="186"/>
      <c r="S15" s="186"/>
      <c r="T15" s="186"/>
      <c r="U15" s="145"/>
    </row>
    <row r="16" spans="1:21" ht="12.75" hidden="1">
      <c r="A16" s="142"/>
      <c r="B16" s="143"/>
      <c r="C16" s="191"/>
      <c r="D16" s="27" t="s">
        <v>42</v>
      </c>
      <c r="E16" s="28">
        <f t="shared" si="0"/>
        <v>0</v>
      </c>
      <c r="F16" s="28">
        <v>0</v>
      </c>
      <c r="G16" s="28">
        <v>0</v>
      </c>
      <c r="H16" s="28"/>
      <c r="I16" s="28"/>
      <c r="J16" s="28"/>
      <c r="K16" s="28"/>
      <c r="L16" s="28"/>
      <c r="M16" s="191"/>
      <c r="N16" s="186"/>
      <c r="O16" s="186"/>
      <c r="P16" s="186"/>
      <c r="Q16" s="186"/>
      <c r="R16" s="186"/>
      <c r="S16" s="186"/>
      <c r="T16" s="186"/>
      <c r="U16" s="145"/>
    </row>
    <row r="17" spans="1:21" ht="12.75" hidden="1">
      <c r="A17" s="142"/>
      <c r="B17" s="143"/>
      <c r="C17" s="191"/>
      <c r="D17" s="27" t="s">
        <v>44</v>
      </c>
      <c r="E17" s="28">
        <f t="shared" si="0"/>
        <v>0</v>
      </c>
      <c r="F17" s="28">
        <v>0</v>
      </c>
      <c r="G17" s="28">
        <v>0</v>
      </c>
      <c r="H17" s="28"/>
      <c r="I17" s="28"/>
      <c r="J17" s="28"/>
      <c r="K17" s="28"/>
      <c r="L17" s="28"/>
      <c r="M17" s="191"/>
      <c r="N17" s="186"/>
      <c r="O17" s="186"/>
      <c r="P17" s="186"/>
      <c r="Q17" s="186"/>
      <c r="R17" s="186"/>
      <c r="S17" s="186"/>
      <c r="T17" s="186"/>
      <c r="U17" s="145"/>
    </row>
    <row r="18" spans="1:21" ht="12.75" hidden="1">
      <c r="A18" s="142"/>
      <c r="B18" s="143"/>
      <c r="C18" s="192"/>
      <c r="D18" s="27" t="s">
        <v>45</v>
      </c>
      <c r="E18" s="28">
        <f t="shared" si="0"/>
        <v>0</v>
      </c>
      <c r="F18" s="28">
        <v>0</v>
      </c>
      <c r="G18" s="28">
        <v>0</v>
      </c>
      <c r="H18" s="28"/>
      <c r="I18" s="28"/>
      <c r="J18" s="28"/>
      <c r="K18" s="28"/>
      <c r="L18" s="28"/>
      <c r="M18" s="192"/>
      <c r="N18" s="187"/>
      <c r="O18" s="187"/>
      <c r="P18" s="187"/>
      <c r="Q18" s="187"/>
      <c r="R18" s="187"/>
      <c r="S18" s="187"/>
      <c r="T18" s="187"/>
      <c r="U18" s="146"/>
    </row>
    <row r="19" spans="1:21" ht="12.75" hidden="1">
      <c r="A19" s="207"/>
      <c r="B19" s="143" t="s">
        <v>79</v>
      </c>
      <c r="C19" s="190"/>
      <c r="D19" s="27" t="s">
        <v>22</v>
      </c>
      <c r="E19" s="51">
        <f>F19+G19+H19+I19+J19+K19+L19</f>
        <v>19854840.82</v>
      </c>
      <c r="F19" s="51">
        <f>F20+F21+F22+F23</f>
        <v>3038200.79</v>
      </c>
      <c r="G19" s="51">
        <f aca="true" t="shared" si="3" ref="G19:L19">G20+G21+G22+G23</f>
        <v>6216640.03</v>
      </c>
      <c r="H19" s="51">
        <f t="shared" si="3"/>
        <v>0</v>
      </c>
      <c r="I19" s="51">
        <f t="shared" si="3"/>
        <v>2650000</v>
      </c>
      <c r="J19" s="51">
        <f t="shared" si="3"/>
        <v>2650000</v>
      </c>
      <c r="K19" s="51">
        <f t="shared" si="3"/>
        <v>2650000</v>
      </c>
      <c r="L19" s="51">
        <f t="shared" si="3"/>
        <v>2650000</v>
      </c>
      <c r="M19" s="190" t="s">
        <v>78</v>
      </c>
      <c r="N19" s="185"/>
      <c r="O19" s="185"/>
      <c r="P19" s="185"/>
      <c r="Q19" s="185"/>
      <c r="R19" s="185"/>
      <c r="S19" s="185"/>
      <c r="T19" s="185"/>
      <c r="U19" s="144"/>
    </row>
    <row r="20" spans="1:21" ht="12.75" hidden="1">
      <c r="A20" s="142"/>
      <c r="B20" s="143"/>
      <c r="C20" s="191"/>
      <c r="D20" s="27" t="s">
        <v>41</v>
      </c>
      <c r="E20" s="28">
        <f t="shared" si="0"/>
        <v>19854840.82</v>
      </c>
      <c r="F20" s="28">
        <v>3038200.79</v>
      </c>
      <c r="G20" s="28">
        <v>6216640.03</v>
      </c>
      <c r="H20" s="28">
        <v>0</v>
      </c>
      <c r="I20" s="28">
        <v>2650000</v>
      </c>
      <c r="J20" s="28">
        <v>2650000</v>
      </c>
      <c r="K20" s="28">
        <v>2650000</v>
      </c>
      <c r="L20" s="28">
        <v>2650000</v>
      </c>
      <c r="M20" s="191"/>
      <c r="N20" s="186"/>
      <c r="O20" s="186"/>
      <c r="P20" s="186"/>
      <c r="Q20" s="186"/>
      <c r="R20" s="186"/>
      <c r="S20" s="186"/>
      <c r="T20" s="186"/>
      <c r="U20" s="145"/>
    </row>
    <row r="21" spans="1:21" ht="12.75" hidden="1">
      <c r="A21" s="142"/>
      <c r="B21" s="143"/>
      <c r="C21" s="191"/>
      <c r="D21" s="27" t="s">
        <v>42</v>
      </c>
      <c r="E21" s="28">
        <f t="shared" si="0"/>
        <v>0</v>
      </c>
      <c r="F21" s="28">
        <v>0</v>
      </c>
      <c r="G21" s="28">
        <v>0</v>
      </c>
      <c r="H21" s="28"/>
      <c r="I21" s="28"/>
      <c r="J21" s="28"/>
      <c r="K21" s="28"/>
      <c r="L21" s="28"/>
      <c r="M21" s="191"/>
      <c r="N21" s="186"/>
      <c r="O21" s="186"/>
      <c r="P21" s="186"/>
      <c r="Q21" s="186"/>
      <c r="R21" s="186"/>
      <c r="S21" s="186"/>
      <c r="T21" s="186"/>
      <c r="U21" s="145"/>
    </row>
    <row r="22" spans="1:21" ht="12.75" hidden="1">
      <c r="A22" s="142"/>
      <c r="B22" s="143"/>
      <c r="C22" s="191"/>
      <c r="D22" s="27" t="s">
        <v>44</v>
      </c>
      <c r="E22" s="28">
        <f t="shared" si="0"/>
        <v>0</v>
      </c>
      <c r="F22" s="28">
        <v>0</v>
      </c>
      <c r="G22" s="28">
        <v>0</v>
      </c>
      <c r="H22" s="28"/>
      <c r="I22" s="28"/>
      <c r="J22" s="28"/>
      <c r="K22" s="28"/>
      <c r="L22" s="28"/>
      <c r="M22" s="191"/>
      <c r="N22" s="186"/>
      <c r="O22" s="186"/>
      <c r="P22" s="186"/>
      <c r="Q22" s="186"/>
      <c r="R22" s="186"/>
      <c r="S22" s="186"/>
      <c r="T22" s="186"/>
      <c r="U22" s="145"/>
    </row>
    <row r="23" spans="1:21" ht="12.75" hidden="1">
      <c r="A23" s="142"/>
      <c r="B23" s="143"/>
      <c r="C23" s="192"/>
      <c r="D23" s="27" t="s">
        <v>45</v>
      </c>
      <c r="E23" s="28">
        <f t="shared" si="0"/>
        <v>0</v>
      </c>
      <c r="F23" s="28">
        <v>0</v>
      </c>
      <c r="G23" s="28">
        <v>0</v>
      </c>
      <c r="H23" s="28"/>
      <c r="I23" s="28"/>
      <c r="J23" s="28"/>
      <c r="K23" s="28"/>
      <c r="L23" s="28"/>
      <c r="M23" s="192"/>
      <c r="N23" s="187"/>
      <c r="O23" s="187"/>
      <c r="P23" s="187"/>
      <c r="Q23" s="187"/>
      <c r="R23" s="187"/>
      <c r="S23" s="187"/>
      <c r="T23" s="187"/>
      <c r="U23" s="146"/>
    </row>
    <row r="24" spans="1:21" ht="12.75" hidden="1">
      <c r="A24" s="207"/>
      <c r="B24" s="143" t="s">
        <v>80</v>
      </c>
      <c r="C24" s="190"/>
      <c r="D24" s="27" t="s">
        <v>22</v>
      </c>
      <c r="E24" s="51">
        <f t="shared" si="0"/>
        <v>1075701.12</v>
      </c>
      <c r="F24" s="51">
        <f>F25+F26+F27+F28</f>
        <v>1075701.12</v>
      </c>
      <c r="G24" s="51">
        <f aca="true" t="shared" si="4" ref="G24:L24">G25+G26+G27+G28</f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190" t="s">
        <v>81</v>
      </c>
      <c r="N24" s="185"/>
      <c r="O24" s="185"/>
      <c r="P24" s="185"/>
      <c r="Q24" s="185"/>
      <c r="R24" s="185"/>
      <c r="S24" s="185"/>
      <c r="T24" s="185"/>
      <c r="U24" s="144"/>
    </row>
    <row r="25" spans="1:21" ht="12.75" hidden="1">
      <c r="A25" s="142"/>
      <c r="B25" s="143"/>
      <c r="C25" s="191"/>
      <c r="D25" s="27" t="s">
        <v>41</v>
      </c>
      <c r="E25" s="28">
        <f t="shared" si="0"/>
        <v>1075701.12</v>
      </c>
      <c r="F25" s="28">
        <v>1075701.12</v>
      </c>
      <c r="G25" s="28">
        <f>1319758.22-775715.95-544042.27</f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191"/>
      <c r="N25" s="186"/>
      <c r="O25" s="186"/>
      <c r="P25" s="186"/>
      <c r="Q25" s="186"/>
      <c r="R25" s="186"/>
      <c r="S25" s="186"/>
      <c r="T25" s="186"/>
      <c r="U25" s="145"/>
    </row>
    <row r="26" spans="1:21" ht="12.75" hidden="1">
      <c r="A26" s="142"/>
      <c r="B26" s="143"/>
      <c r="C26" s="191"/>
      <c r="D26" s="27" t="s">
        <v>42</v>
      </c>
      <c r="E26" s="28">
        <f t="shared" si="0"/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91"/>
      <c r="N26" s="186"/>
      <c r="O26" s="186"/>
      <c r="P26" s="186"/>
      <c r="Q26" s="186"/>
      <c r="R26" s="186"/>
      <c r="S26" s="186"/>
      <c r="T26" s="186"/>
      <c r="U26" s="145"/>
    </row>
    <row r="27" spans="1:21" ht="12.75" hidden="1">
      <c r="A27" s="142"/>
      <c r="B27" s="143"/>
      <c r="C27" s="191"/>
      <c r="D27" s="27" t="s">
        <v>44</v>
      </c>
      <c r="E27" s="28">
        <f t="shared" si="0"/>
        <v>0</v>
      </c>
      <c r="F27" s="28">
        <v>0</v>
      </c>
      <c r="G27" s="28">
        <v>0</v>
      </c>
      <c r="H27" s="28"/>
      <c r="I27" s="28"/>
      <c r="J27" s="28"/>
      <c r="K27" s="28"/>
      <c r="L27" s="28"/>
      <c r="M27" s="191"/>
      <c r="N27" s="186"/>
      <c r="O27" s="186"/>
      <c r="P27" s="186"/>
      <c r="Q27" s="186"/>
      <c r="R27" s="186"/>
      <c r="S27" s="186"/>
      <c r="T27" s="186"/>
      <c r="U27" s="145"/>
    </row>
    <row r="28" spans="1:21" ht="12.75" hidden="1">
      <c r="A28" s="142"/>
      <c r="B28" s="143"/>
      <c r="C28" s="192"/>
      <c r="D28" s="27" t="s">
        <v>45</v>
      </c>
      <c r="E28" s="28">
        <f t="shared" si="0"/>
        <v>0</v>
      </c>
      <c r="F28" s="28">
        <v>0</v>
      </c>
      <c r="G28" s="28">
        <v>0</v>
      </c>
      <c r="H28" s="28"/>
      <c r="I28" s="28"/>
      <c r="J28" s="28"/>
      <c r="K28" s="28"/>
      <c r="L28" s="28"/>
      <c r="M28" s="192"/>
      <c r="N28" s="187"/>
      <c r="O28" s="187"/>
      <c r="P28" s="187"/>
      <c r="Q28" s="187"/>
      <c r="R28" s="187"/>
      <c r="S28" s="187"/>
      <c r="T28" s="187"/>
      <c r="U28" s="146"/>
    </row>
    <row r="29" spans="1:21" ht="12.75" hidden="1">
      <c r="A29" s="207"/>
      <c r="B29" s="143" t="s">
        <v>82</v>
      </c>
      <c r="C29" s="190"/>
      <c r="D29" s="27" t="s">
        <v>22</v>
      </c>
      <c r="E29" s="51">
        <f t="shared" si="0"/>
        <v>44680611.75</v>
      </c>
      <c r="F29" s="51">
        <f>F30+F31+F32+F33</f>
        <v>6629186.890000001</v>
      </c>
      <c r="G29" s="51">
        <f aca="true" t="shared" si="5" ref="G29:L29">G30+G31+G32+G33</f>
        <v>7318424.86</v>
      </c>
      <c r="H29" s="51">
        <f t="shared" si="5"/>
        <v>0</v>
      </c>
      <c r="I29" s="51">
        <f t="shared" si="5"/>
        <v>7683250</v>
      </c>
      <c r="J29" s="51">
        <f t="shared" si="5"/>
        <v>7683250</v>
      </c>
      <c r="K29" s="51">
        <f t="shared" si="5"/>
        <v>7683250</v>
      </c>
      <c r="L29" s="51">
        <f t="shared" si="5"/>
        <v>7683250</v>
      </c>
      <c r="M29" s="190" t="s">
        <v>83</v>
      </c>
      <c r="N29" s="185"/>
      <c r="O29" s="185"/>
      <c r="P29" s="185"/>
      <c r="Q29" s="185"/>
      <c r="R29" s="185"/>
      <c r="S29" s="185"/>
      <c r="T29" s="185"/>
      <c r="U29" s="144"/>
    </row>
    <row r="30" spans="1:21" ht="12.75" hidden="1">
      <c r="A30" s="142"/>
      <c r="B30" s="143"/>
      <c r="C30" s="191"/>
      <c r="D30" s="27" t="s">
        <v>41</v>
      </c>
      <c r="E30" s="28">
        <f t="shared" si="0"/>
        <v>44680611.75</v>
      </c>
      <c r="F30" s="28">
        <f>6528283.57+100903.32</f>
        <v>6629186.890000001</v>
      </c>
      <c r="G30" s="28">
        <f>6864000+454424.86</f>
        <v>7318424.86</v>
      </c>
      <c r="H30" s="28">
        <v>0</v>
      </c>
      <c r="I30" s="28">
        <v>7683250</v>
      </c>
      <c r="J30" s="28">
        <v>7683250</v>
      </c>
      <c r="K30" s="28">
        <v>7683250</v>
      </c>
      <c r="L30" s="28">
        <v>7683250</v>
      </c>
      <c r="M30" s="191"/>
      <c r="N30" s="186"/>
      <c r="O30" s="186"/>
      <c r="P30" s="186"/>
      <c r="Q30" s="186"/>
      <c r="R30" s="186"/>
      <c r="S30" s="186"/>
      <c r="T30" s="186"/>
      <c r="U30" s="145"/>
    </row>
    <row r="31" spans="1:21" ht="12.75" hidden="1">
      <c r="A31" s="142"/>
      <c r="B31" s="143"/>
      <c r="C31" s="191"/>
      <c r="D31" s="27" t="s">
        <v>42</v>
      </c>
      <c r="E31" s="28">
        <f t="shared" si="0"/>
        <v>0</v>
      </c>
      <c r="F31" s="28">
        <v>0</v>
      </c>
      <c r="G31" s="28">
        <v>0</v>
      </c>
      <c r="H31" s="28"/>
      <c r="I31" s="28"/>
      <c r="J31" s="28"/>
      <c r="K31" s="28"/>
      <c r="L31" s="28"/>
      <c r="M31" s="191"/>
      <c r="N31" s="186"/>
      <c r="O31" s="186"/>
      <c r="P31" s="186"/>
      <c r="Q31" s="186"/>
      <c r="R31" s="186"/>
      <c r="S31" s="186"/>
      <c r="T31" s="186"/>
      <c r="U31" s="145"/>
    </row>
    <row r="32" spans="1:21" ht="12.75" hidden="1">
      <c r="A32" s="142"/>
      <c r="B32" s="143"/>
      <c r="C32" s="191"/>
      <c r="D32" s="27" t="s">
        <v>44</v>
      </c>
      <c r="E32" s="28">
        <f t="shared" si="0"/>
        <v>0</v>
      </c>
      <c r="F32" s="28">
        <v>0</v>
      </c>
      <c r="G32" s="28">
        <v>0</v>
      </c>
      <c r="H32" s="28"/>
      <c r="I32" s="28"/>
      <c r="J32" s="28"/>
      <c r="K32" s="28"/>
      <c r="L32" s="28"/>
      <c r="M32" s="191"/>
      <c r="N32" s="186"/>
      <c r="O32" s="186"/>
      <c r="P32" s="186"/>
      <c r="Q32" s="186"/>
      <c r="R32" s="186"/>
      <c r="S32" s="186"/>
      <c r="T32" s="186"/>
      <c r="U32" s="145"/>
    </row>
    <row r="33" spans="1:21" ht="12.75" hidden="1">
      <c r="A33" s="142"/>
      <c r="B33" s="143"/>
      <c r="C33" s="192"/>
      <c r="D33" s="27" t="s">
        <v>45</v>
      </c>
      <c r="E33" s="28">
        <f t="shared" si="0"/>
        <v>0</v>
      </c>
      <c r="F33" s="28">
        <v>0</v>
      </c>
      <c r="G33" s="28">
        <v>0</v>
      </c>
      <c r="H33" s="28"/>
      <c r="I33" s="28"/>
      <c r="J33" s="28"/>
      <c r="K33" s="28"/>
      <c r="L33" s="28"/>
      <c r="M33" s="192"/>
      <c r="N33" s="187"/>
      <c r="O33" s="187"/>
      <c r="P33" s="187"/>
      <c r="Q33" s="187"/>
      <c r="R33" s="187"/>
      <c r="S33" s="187"/>
      <c r="T33" s="187"/>
      <c r="U33" s="146"/>
    </row>
    <row r="34" spans="1:21" ht="12.75" customHeight="1" hidden="1">
      <c r="A34" s="207"/>
      <c r="B34" s="206" t="s">
        <v>74</v>
      </c>
      <c r="C34" s="190"/>
      <c r="D34" s="27" t="s">
        <v>22</v>
      </c>
      <c r="E34" s="51">
        <f t="shared" si="0"/>
        <v>15810911.76</v>
      </c>
      <c r="F34" s="51">
        <f>F35+F36+F37+F38</f>
        <v>0</v>
      </c>
      <c r="G34" s="51">
        <f aca="true" t="shared" si="6" ref="G34:L34">G35+G36+G37+G38</f>
        <v>0</v>
      </c>
      <c r="H34" s="51">
        <f t="shared" si="6"/>
        <v>15810911.76</v>
      </c>
      <c r="I34" s="51">
        <f t="shared" si="6"/>
        <v>0</v>
      </c>
      <c r="J34" s="51">
        <f t="shared" si="6"/>
        <v>0</v>
      </c>
      <c r="K34" s="51">
        <f t="shared" si="6"/>
        <v>0</v>
      </c>
      <c r="L34" s="51">
        <f t="shared" si="6"/>
        <v>0</v>
      </c>
      <c r="M34" s="52"/>
      <c r="N34" s="53"/>
      <c r="O34" s="53"/>
      <c r="P34" s="53"/>
      <c r="Q34" s="53"/>
      <c r="R34" s="53"/>
      <c r="S34" s="53"/>
      <c r="T34" s="53"/>
      <c r="U34" s="54"/>
    </row>
    <row r="35" spans="1:21" ht="12.75" hidden="1">
      <c r="A35" s="142"/>
      <c r="B35" s="206"/>
      <c r="C35" s="191"/>
      <c r="D35" s="27" t="s">
        <v>41</v>
      </c>
      <c r="E35" s="28">
        <f t="shared" si="0"/>
        <v>15810911.76</v>
      </c>
      <c r="F35" s="28">
        <v>0</v>
      </c>
      <c r="G35" s="28">
        <f>1319758.22-775715.95-544042.27</f>
        <v>0</v>
      </c>
      <c r="H35" s="28">
        <v>15810911.76</v>
      </c>
      <c r="I35" s="28">
        <v>0</v>
      </c>
      <c r="J35" s="28">
        <v>0</v>
      </c>
      <c r="K35" s="28">
        <v>0</v>
      </c>
      <c r="L35" s="28">
        <v>0</v>
      </c>
      <c r="M35" s="52"/>
      <c r="N35" s="53"/>
      <c r="O35" s="53"/>
      <c r="P35" s="53"/>
      <c r="Q35" s="53"/>
      <c r="R35" s="53"/>
      <c r="S35" s="53"/>
      <c r="T35" s="53"/>
      <c r="U35" s="54"/>
    </row>
    <row r="36" spans="1:21" ht="12.75" hidden="1">
      <c r="A36" s="142"/>
      <c r="B36" s="206"/>
      <c r="C36" s="191"/>
      <c r="D36" s="27" t="s">
        <v>42</v>
      </c>
      <c r="E36" s="28">
        <f t="shared" si="0"/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52"/>
      <c r="N36" s="53"/>
      <c r="O36" s="53"/>
      <c r="P36" s="53"/>
      <c r="Q36" s="53"/>
      <c r="R36" s="53"/>
      <c r="S36" s="53"/>
      <c r="T36" s="53"/>
      <c r="U36" s="54"/>
    </row>
    <row r="37" spans="1:21" ht="12.75" hidden="1">
      <c r="A37" s="142"/>
      <c r="B37" s="206"/>
      <c r="C37" s="191"/>
      <c r="D37" s="27" t="s">
        <v>44</v>
      </c>
      <c r="E37" s="28">
        <f t="shared" si="0"/>
        <v>0</v>
      </c>
      <c r="F37" s="28">
        <v>0</v>
      </c>
      <c r="G37" s="28">
        <v>0</v>
      </c>
      <c r="H37" s="28"/>
      <c r="I37" s="28"/>
      <c r="J37" s="28"/>
      <c r="K37" s="28"/>
      <c r="L37" s="28"/>
      <c r="M37" s="52"/>
      <c r="N37" s="53"/>
      <c r="O37" s="53"/>
      <c r="P37" s="53"/>
      <c r="Q37" s="53"/>
      <c r="R37" s="53"/>
      <c r="S37" s="53"/>
      <c r="T37" s="53"/>
      <c r="U37" s="54"/>
    </row>
    <row r="38" spans="1:21" ht="12.75" hidden="1">
      <c r="A38" s="142"/>
      <c r="B38" s="206"/>
      <c r="C38" s="192"/>
      <c r="D38" s="27" t="s">
        <v>45</v>
      </c>
      <c r="E38" s="28">
        <f t="shared" si="0"/>
        <v>0</v>
      </c>
      <c r="F38" s="28">
        <v>0</v>
      </c>
      <c r="G38" s="28">
        <v>0</v>
      </c>
      <c r="H38" s="28"/>
      <c r="I38" s="28"/>
      <c r="J38" s="28"/>
      <c r="K38" s="28"/>
      <c r="L38" s="28"/>
      <c r="M38" s="52"/>
      <c r="N38" s="53"/>
      <c r="O38" s="53"/>
      <c r="P38" s="53"/>
      <c r="Q38" s="53"/>
      <c r="R38" s="53"/>
      <c r="S38" s="53"/>
      <c r="T38" s="53"/>
      <c r="U38" s="54"/>
    </row>
    <row r="39" spans="1:21" ht="30.75" customHeight="1">
      <c r="A39" s="181" t="s">
        <v>84</v>
      </c>
      <c r="B39" s="201" t="s">
        <v>85</v>
      </c>
      <c r="C39" s="181" t="s">
        <v>75</v>
      </c>
      <c r="D39" s="24" t="s">
        <v>22</v>
      </c>
      <c r="E39" s="25">
        <f t="shared" si="0"/>
        <v>72741354.11999999</v>
      </c>
      <c r="F39" s="25">
        <f aca="true" t="shared" si="7" ref="F39:L39">F40+F41+F42+F43</f>
        <v>10062475.190000001</v>
      </c>
      <c r="G39" s="25">
        <f>G40+G41+G42+G43</f>
        <v>10849176.29</v>
      </c>
      <c r="H39" s="25">
        <f t="shared" si="7"/>
        <v>10828325.16</v>
      </c>
      <c r="I39" s="25">
        <f t="shared" si="7"/>
        <v>10250344.37</v>
      </c>
      <c r="J39" s="25">
        <f t="shared" si="7"/>
        <v>10250344.37</v>
      </c>
      <c r="K39" s="25">
        <f t="shared" si="7"/>
        <v>10250344.37</v>
      </c>
      <c r="L39" s="25">
        <f t="shared" si="7"/>
        <v>10250344.37</v>
      </c>
      <c r="M39" s="182" t="s">
        <v>86</v>
      </c>
      <c r="N39" s="173">
        <v>116134.89</v>
      </c>
      <c r="O39" s="173">
        <v>125953.39</v>
      </c>
      <c r="P39" s="173">
        <v>125953.39</v>
      </c>
      <c r="Q39" s="173">
        <v>125313.39</v>
      </c>
      <c r="R39" s="173">
        <v>125313.39</v>
      </c>
      <c r="S39" s="173">
        <v>125313.39</v>
      </c>
      <c r="T39" s="173">
        <v>125313.39</v>
      </c>
      <c r="U39" s="176" t="s">
        <v>53</v>
      </c>
    </row>
    <row r="40" spans="1:21" ht="33" customHeight="1">
      <c r="A40" s="181"/>
      <c r="B40" s="201"/>
      <c r="C40" s="181"/>
      <c r="D40" s="24" t="s">
        <v>41</v>
      </c>
      <c r="E40" s="25">
        <f t="shared" si="0"/>
        <v>72741354.11999999</v>
      </c>
      <c r="F40" s="25">
        <f aca="true" t="shared" si="8" ref="F40:L40">F45+F50+F55+F60+F65+F70+F75+F80+F95</f>
        <v>10062475.190000001</v>
      </c>
      <c r="G40" s="25">
        <f>G45+G50+G55+G60+G65+G70+G75+G80+G95+G85+G90</f>
        <v>10849176.29</v>
      </c>
      <c r="H40" s="25">
        <f>H101</f>
        <v>10828325.16</v>
      </c>
      <c r="I40" s="25">
        <f t="shared" si="8"/>
        <v>10250344.37</v>
      </c>
      <c r="J40" s="25">
        <f t="shared" si="8"/>
        <v>10250344.37</v>
      </c>
      <c r="K40" s="25">
        <f t="shared" si="8"/>
        <v>10250344.37</v>
      </c>
      <c r="L40" s="25">
        <f t="shared" si="8"/>
        <v>10250344.37</v>
      </c>
      <c r="M40" s="183"/>
      <c r="N40" s="174"/>
      <c r="O40" s="174"/>
      <c r="P40" s="174"/>
      <c r="Q40" s="174"/>
      <c r="R40" s="174"/>
      <c r="S40" s="174"/>
      <c r="T40" s="174"/>
      <c r="U40" s="177"/>
    </row>
    <row r="41" spans="1:21" ht="12.75" customHeight="1">
      <c r="A41" s="181"/>
      <c r="B41" s="201"/>
      <c r="C41" s="181"/>
      <c r="D41" s="24" t="s">
        <v>42</v>
      </c>
      <c r="E41" s="25">
        <f t="shared" si="0"/>
        <v>0</v>
      </c>
      <c r="F41" s="25">
        <v>0</v>
      </c>
      <c r="G41" s="25">
        <v>0</v>
      </c>
      <c r="H41" s="25"/>
      <c r="I41" s="25"/>
      <c r="J41" s="25"/>
      <c r="K41" s="25"/>
      <c r="L41" s="25"/>
      <c r="M41" s="183"/>
      <c r="N41" s="174"/>
      <c r="O41" s="174"/>
      <c r="P41" s="174"/>
      <c r="Q41" s="174"/>
      <c r="R41" s="174"/>
      <c r="S41" s="174"/>
      <c r="T41" s="174"/>
      <c r="U41" s="177"/>
    </row>
    <row r="42" spans="1:21" ht="12.75" customHeight="1">
      <c r="A42" s="181"/>
      <c r="B42" s="201"/>
      <c r="C42" s="181"/>
      <c r="D42" s="24" t="s">
        <v>44</v>
      </c>
      <c r="E42" s="25">
        <f t="shared" si="0"/>
        <v>0</v>
      </c>
      <c r="F42" s="25">
        <v>0</v>
      </c>
      <c r="G42" s="25">
        <v>0</v>
      </c>
      <c r="H42" s="25"/>
      <c r="I42" s="25"/>
      <c r="J42" s="25"/>
      <c r="K42" s="25"/>
      <c r="L42" s="25"/>
      <c r="M42" s="183"/>
      <c r="N42" s="174"/>
      <c r="O42" s="174"/>
      <c r="P42" s="174"/>
      <c r="Q42" s="174"/>
      <c r="R42" s="174"/>
      <c r="S42" s="174"/>
      <c r="T42" s="174"/>
      <c r="U42" s="177"/>
    </row>
    <row r="43" spans="1:21" ht="12.75" customHeight="1">
      <c r="A43" s="181"/>
      <c r="B43" s="201"/>
      <c r="C43" s="181"/>
      <c r="D43" s="24" t="s">
        <v>45</v>
      </c>
      <c r="E43" s="25">
        <f t="shared" si="0"/>
        <v>0</v>
      </c>
      <c r="F43" s="25">
        <v>0</v>
      </c>
      <c r="G43" s="25">
        <v>0</v>
      </c>
      <c r="H43" s="25"/>
      <c r="I43" s="25"/>
      <c r="J43" s="25"/>
      <c r="K43" s="25"/>
      <c r="L43" s="25"/>
      <c r="M43" s="184"/>
      <c r="N43" s="175"/>
      <c r="O43" s="175"/>
      <c r="P43" s="175"/>
      <c r="Q43" s="175"/>
      <c r="R43" s="175"/>
      <c r="S43" s="175"/>
      <c r="T43" s="175"/>
      <c r="U43" s="178"/>
    </row>
    <row r="44" spans="1:21" ht="12.75" customHeight="1" hidden="1">
      <c r="A44" s="142"/>
      <c r="B44" s="143" t="s">
        <v>87</v>
      </c>
      <c r="C44" s="202"/>
      <c r="D44" s="27" t="s">
        <v>22</v>
      </c>
      <c r="E44" s="51">
        <f t="shared" si="0"/>
        <v>43331246.849999994</v>
      </c>
      <c r="F44" s="51">
        <f aca="true" t="shared" si="9" ref="F44:L44">F45+F46+F47+F48</f>
        <v>6868979.25</v>
      </c>
      <c r="G44" s="51">
        <f t="shared" si="9"/>
        <v>7422112.4</v>
      </c>
      <c r="H44" s="51">
        <f t="shared" si="9"/>
        <v>0</v>
      </c>
      <c r="I44" s="51">
        <f t="shared" si="9"/>
        <v>7260038.8</v>
      </c>
      <c r="J44" s="51">
        <f t="shared" si="9"/>
        <v>7260038.8</v>
      </c>
      <c r="K44" s="51">
        <f t="shared" si="9"/>
        <v>7260038.8</v>
      </c>
      <c r="L44" s="51">
        <f t="shared" si="9"/>
        <v>7260038.8</v>
      </c>
      <c r="M44" s="190" t="s">
        <v>88</v>
      </c>
      <c r="N44" s="185"/>
      <c r="O44" s="185"/>
      <c r="P44" s="185"/>
      <c r="Q44" s="185"/>
      <c r="R44" s="185"/>
      <c r="S44" s="185"/>
      <c r="T44" s="185"/>
      <c r="U44" s="144"/>
    </row>
    <row r="45" spans="1:21" ht="12.75" customHeight="1" hidden="1">
      <c r="A45" s="142"/>
      <c r="B45" s="143"/>
      <c r="C45" s="142"/>
      <c r="D45" s="27" t="s">
        <v>41</v>
      </c>
      <c r="E45" s="28">
        <f t="shared" si="0"/>
        <v>43331246.849999994</v>
      </c>
      <c r="F45" s="28">
        <f>6879118.49-10139.24</f>
        <v>6868979.25</v>
      </c>
      <c r="G45" s="28">
        <v>7422112.4</v>
      </c>
      <c r="H45" s="28">
        <v>0</v>
      </c>
      <c r="I45" s="28">
        <f>7600000-339961.2</f>
        <v>7260038.8</v>
      </c>
      <c r="J45" s="28">
        <f>7600000-339961.2</f>
        <v>7260038.8</v>
      </c>
      <c r="K45" s="28">
        <f>7600000-339961.2</f>
        <v>7260038.8</v>
      </c>
      <c r="L45" s="28">
        <f>7600000-339961.2</f>
        <v>7260038.8</v>
      </c>
      <c r="M45" s="191"/>
      <c r="N45" s="186"/>
      <c r="O45" s="186"/>
      <c r="P45" s="186"/>
      <c r="Q45" s="186"/>
      <c r="R45" s="186"/>
      <c r="S45" s="186"/>
      <c r="T45" s="186"/>
      <c r="U45" s="145"/>
    </row>
    <row r="46" spans="1:21" ht="12.75" customHeight="1" hidden="1">
      <c r="A46" s="142"/>
      <c r="B46" s="143"/>
      <c r="C46" s="142"/>
      <c r="D46" s="27" t="s">
        <v>42</v>
      </c>
      <c r="E46" s="28">
        <f t="shared" si="0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191"/>
      <c r="N46" s="186"/>
      <c r="O46" s="186"/>
      <c r="P46" s="186"/>
      <c r="Q46" s="186"/>
      <c r="R46" s="186"/>
      <c r="S46" s="186"/>
      <c r="T46" s="186"/>
      <c r="U46" s="145"/>
    </row>
    <row r="47" spans="1:21" ht="12.75" customHeight="1" hidden="1">
      <c r="A47" s="142"/>
      <c r="B47" s="143"/>
      <c r="C47" s="142"/>
      <c r="D47" s="27" t="s">
        <v>44</v>
      </c>
      <c r="E47" s="28">
        <f t="shared" si="0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191"/>
      <c r="N47" s="186"/>
      <c r="O47" s="186"/>
      <c r="P47" s="186"/>
      <c r="Q47" s="186"/>
      <c r="R47" s="186"/>
      <c r="S47" s="186"/>
      <c r="T47" s="186"/>
      <c r="U47" s="145"/>
    </row>
    <row r="48" spans="1:21" ht="12.75" customHeight="1" hidden="1">
      <c r="A48" s="142"/>
      <c r="B48" s="143"/>
      <c r="C48" s="142"/>
      <c r="D48" s="27" t="s">
        <v>45</v>
      </c>
      <c r="E48" s="28">
        <f t="shared" si="0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192"/>
      <c r="N48" s="187"/>
      <c r="O48" s="187"/>
      <c r="P48" s="187"/>
      <c r="Q48" s="187"/>
      <c r="R48" s="187"/>
      <c r="S48" s="187"/>
      <c r="T48" s="187"/>
      <c r="U48" s="146"/>
    </row>
    <row r="49" spans="1:21" ht="12.75" customHeight="1" hidden="1">
      <c r="A49" s="142"/>
      <c r="B49" s="143" t="s">
        <v>89</v>
      </c>
      <c r="C49" s="202"/>
      <c r="D49" s="27" t="s">
        <v>22</v>
      </c>
      <c r="E49" s="51">
        <f t="shared" si="0"/>
        <v>901708.9299999999</v>
      </c>
      <c r="F49" s="51">
        <f aca="true" t="shared" si="10" ref="F49:L49">F50+F51+F52+F53</f>
        <v>385200</v>
      </c>
      <c r="G49" s="51">
        <f t="shared" si="10"/>
        <v>516508.93</v>
      </c>
      <c r="H49" s="51">
        <f t="shared" si="10"/>
        <v>0</v>
      </c>
      <c r="I49" s="51">
        <f t="shared" si="10"/>
        <v>0</v>
      </c>
      <c r="J49" s="51">
        <f t="shared" si="10"/>
        <v>0</v>
      </c>
      <c r="K49" s="51">
        <f t="shared" si="10"/>
        <v>0</v>
      </c>
      <c r="L49" s="51">
        <f t="shared" si="10"/>
        <v>0</v>
      </c>
      <c r="M49" s="190" t="s">
        <v>88</v>
      </c>
      <c r="N49" s="185"/>
      <c r="O49" s="185"/>
      <c r="P49" s="185"/>
      <c r="Q49" s="185"/>
      <c r="R49" s="185"/>
      <c r="S49" s="185"/>
      <c r="T49" s="185"/>
      <c r="U49" s="144"/>
    </row>
    <row r="50" spans="1:21" ht="12.75" customHeight="1" hidden="1">
      <c r="A50" s="142"/>
      <c r="B50" s="143"/>
      <c r="C50" s="142"/>
      <c r="D50" s="27" t="s">
        <v>41</v>
      </c>
      <c r="E50" s="28">
        <f t="shared" si="0"/>
        <v>901708.9299999999</v>
      </c>
      <c r="F50" s="28">
        <v>385200</v>
      </c>
      <c r="G50" s="28">
        <v>516508.93</v>
      </c>
      <c r="H50" s="28">
        <v>0</v>
      </c>
      <c r="I50" s="28">
        <v>0</v>
      </c>
      <c r="J50" s="28"/>
      <c r="K50" s="28"/>
      <c r="L50" s="28"/>
      <c r="M50" s="191"/>
      <c r="N50" s="186"/>
      <c r="O50" s="186"/>
      <c r="P50" s="186"/>
      <c r="Q50" s="186"/>
      <c r="R50" s="186"/>
      <c r="S50" s="186"/>
      <c r="T50" s="186"/>
      <c r="U50" s="145"/>
    </row>
    <row r="51" spans="1:21" ht="12.75" customHeight="1" hidden="1">
      <c r="A51" s="142"/>
      <c r="B51" s="143"/>
      <c r="C51" s="142"/>
      <c r="D51" s="27" t="s">
        <v>42</v>
      </c>
      <c r="E51" s="28">
        <f t="shared" si="0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191"/>
      <c r="N51" s="186"/>
      <c r="O51" s="186"/>
      <c r="P51" s="186"/>
      <c r="Q51" s="186"/>
      <c r="R51" s="186"/>
      <c r="S51" s="186"/>
      <c r="T51" s="186"/>
      <c r="U51" s="145"/>
    </row>
    <row r="52" spans="1:21" ht="12.75" customHeight="1" hidden="1">
      <c r="A52" s="142"/>
      <c r="B52" s="143"/>
      <c r="C52" s="142"/>
      <c r="D52" s="27" t="s">
        <v>44</v>
      </c>
      <c r="E52" s="28">
        <f t="shared" si="0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191"/>
      <c r="N52" s="186"/>
      <c r="O52" s="186"/>
      <c r="P52" s="186"/>
      <c r="Q52" s="186"/>
      <c r="R52" s="186"/>
      <c r="S52" s="186"/>
      <c r="T52" s="186"/>
      <c r="U52" s="145"/>
    </row>
    <row r="53" spans="1:21" ht="12.75" customHeight="1" hidden="1">
      <c r="A53" s="142"/>
      <c r="B53" s="143"/>
      <c r="C53" s="142"/>
      <c r="D53" s="27" t="s">
        <v>45</v>
      </c>
      <c r="E53" s="28">
        <f t="shared" si="0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192"/>
      <c r="N53" s="187"/>
      <c r="O53" s="187"/>
      <c r="P53" s="187"/>
      <c r="Q53" s="187"/>
      <c r="R53" s="187"/>
      <c r="S53" s="187"/>
      <c r="T53" s="187"/>
      <c r="U53" s="146"/>
    </row>
    <row r="54" spans="1:21" ht="12.75" customHeight="1" hidden="1">
      <c r="A54" s="142"/>
      <c r="B54" s="143" t="s">
        <v>90</v>
      </c>
      <c r="C54" s="202"/>
      <c r="D54" s="27" t="s">
        <v>22</v>
      </c>
      <c r="E54" s="51">
        <f t="shared" si="0"/>
        <v>6981691.680000001</v>
      </c>
      <c r="F54" s="51">
        <f aca="true" t="shared" si="11" ref="F54:L54">F55+F56+F57+F58</f>
        <v>734339.6</v>
      </c>
      <c r="G54" s="51">
        <f t="shared" si="11"/>
        <v>1238283.28</v>
      </c>
      <c r="H54" s="51">
        <f t="shared" si="11"/>
        <v>0</v>
      </c>
      <c r="I54" s="51">
        <f t="shared" si="11"/>
        <v>1252267.2</v>
      </c>
      <c r="J54" s="51">
        <f t="shared" si="11"/>
        <v>1252267.2</v>
      </c>
      <c r="K54" s="51">
        <f t="shared" si="11"/>
        <v>1252267.2</v>
      </c>
      <c r="L54" s="51">
        <f t="shared" si="11"/>
        <v>1252267.2</v>
      </c>
      <c r="M54" s="190" t="s">
        <v>88</v>
      </c>
      <c r="N54" s="185"/>
      <c r="O54" s="185"/>
      <c r="P54" s="185"/>
      <c r="Q54" s="185"/>
      <c r="R54" s="185"/>
      <c r="S54" s="185"/>
      <c r="T54" s="185"/>
      <c r="U54" s="144"/>
    </row>
    <row r="55" spans="1:21" ht="12.75" customHeight="1" hidden="1">
      <c r="A55" s="142"/>
      <c r="B55" s="143"/>
      <c r="C55" s="142"/>
      <c r="D55" s="27" t="s">
        <v>41</v>
      </c>
      <c r="E55" s="28">
        <f t="shared" si="0"/>
        <v>6981691.680000001</v>
      </c>
      <c r="F55" s="28">
        <v>734339.6</v>
      </c>
      <c r="G55" s="28">
        <v>1238283.28</v>
      </c>
      <c r="H55" s="28">
        <v>0</v>
      </c>
      <c r="I55" s="28">
        <v>1252267.2</v>
      </c>
      <c r="J55" s="28">
        <v>1252267.2</v>
      </c>
      <c r="K55" s="28">
        <v>1252267.2</v>
      </c>
      <c r="L55" s="28">
        <v>1252267.2</v>
      </c>
      <c r="M55" s="191"/>
      <c r="N55" s="186"/>
      <c r="O55" s="186"/>
      <c r="P55" s="186"/>
      <c r="Q55" s="186"/>
      <c r="R55" s="186"/>
      <c r="S55" s="186"/>
      <c r="T55" s="186"/>
      <c r="U55" s="145"/>
    </row>
    <row r="56" spans="1:21" ht="12.75" customHeight="1" hidden="1">
      <c r="A56" s="142"/>
      <c r="B56" s="143"/>
      <c r="C56" s="142"/>
      <c r="D56" s="27" t="s">
        <v>42</v>
      </c>
      <c r="E56" s="28">
        <f t="shared" si="0"/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191"/>
      <c r="N56" s="186"/>
      <c r="O56" s="186"/>
      <c r="P56" s="186"/>
      <c r="Q56" s="186"/>
      <c r="R56" s="186"/>
      <c r="S56" s="186"/>
      <c r="T56" s="186"/>
      <c r="U56" s="145"/>
    </row>
    <row r="57" spans="1:21" ht="12.75" customHeight="1" hidden="1">
      <c r="A57" s="142"/>
      <c r="B57" s="143"/>
      <c r="C57" s="142"/>
      <c r="D57" s="27" t="s">
        <v>44</v>
      </c>
      <c r="E57" s="28">
        <f t="shared" si="0"/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191"/>
      <c r="N57" s="186"/>
      <c r="O57" s="186"/>
      <c r="P57" s="186"/>
      <c r="Q57" s="186"/>
      <c r="R57" s="186"/>
      <c r="S57" s="186"/>
      <c r="T57" s="186"/>
      <c r="U57" s="145"/>
    </row>
    <row r="58" spans="1:21" ht="12.75" customHeight="1" hidden="1">
      <c r="A58" s="142"/>
      <c r="B58" s="143"/>
      <c r="C58" s="142"/>
      <c r="D58" s="27" t="s">
        <v>45</v>
      </c>
      <c r="E58" s="28">
        <f t="shared" si="0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192"/>
      <c r="N58" s="187"/>
      <c r="O58" s="187"/>
      <c r="P58" s="187"/>
      <c r="Q58" s="187"/>
      <c r="R58" s="187"/>
      <c r="S58" s="187"/>
      <c r="T58" s="187"/>
      <c r="U58" s="146"/>
    </row>
    <row r="59" spans="1:21" ht="12.75" customHeight="1" hidden="1">
      <c r="A59" s="142"/>
      <c r="B59" s="143" t="s">
        <v>91</v>
      </c>
      <c r="C59" s="202"/>
      <c r="D59" s="27" t="s">
        <v>22</v>
      </c>
      <c r="E59" s="51">
        <f t="shared" si="0"/>
        <v>5254559.43</v>
      </c>
      <c r="F59" s="51">
        <f aca="true" t="shared" si="12" ref="F59:L59">F60+F61+F62+F63</f>
        <v>630726.72</v>
      </c>
      <c r="G59" s="51">
        <f t="shared" si="12"/>
        <v>900512.71</v>
      </c>
      <c r="H59" s="51">
        <f t="shared" si="12"/>
        <v>0</v>
      </c>
      <c r="I59" s="51">
        <f t="shared" si="12"/>
        <v>930830</v>
      </c>
      <c r="J59" s="51">
        <f t="shared" si="12"/>
        <v>930830</v>
      </c>
      <c r="K59" s="51">
        <f t="shared" si="12"/>
        <v>930830</v>
      </c>
      <c r="L59" s="51">
        <f t="shared" si="12"/>
        <v>930830</v>
      </c>
      <c r="M59" s="190" t="s">
        <v>92</v>
      </c>
      <c r="N59" s="185"/>
      <c r="O59" s="185"/>
      <c r="P59" s="185"/>
      <c r="Q59" s="185"/>
      <c r="R59" s="185"/>
      <c r="S59" s="185"/>
      <c r="T59" s="185"/>
      <c r="U59" s="144"/>
    </row>
    <row r="60" spans="1:21" ht="12.75" customHeight="1" hidden="1">
      <c r="A60" s="142"/>
      <c r="B60" s="143"/>
      <c r="C60" s="142"/>
      <c r="D60" s="27" t="s">
        <v>41</v>
      </c>
      <c r="E60" s="28">
        <f t="shared" si="0"/>
        <v>5254559.43</v>
      </c>
      <c r="F60" s="28">
        <v>630726.72</v>
      </c>
      <c r="G60" s="28">
        <v>900512.71</v>
      </c>
      <c r="H60" s="28">
        <v>0</v>
      </c>
      <c r="I60" s="28">
        <v>930830</v>
      </c>
      <c r="J60" s="28">
        <v>930830</v>
      </c>
      <c r="K60" s="28">
        <v>930830</v>
      </c>
      <c r="L60" s="28">
        <v>930830</v>
      </c>
      <c r="M60" s="191"/>
      <c r="N60" s="186"/>
      <c r="O60" s="186"/>
      <c r="P60" s="186"/>
      <c r="Q60" s="186"/>
      <c r="R60" s="186"/>
      <c r="S60" s="186"/>
      <c r="T60" s="186"/>
      <c r="U60" s="145"/>
    </row>
    <row r="61" spans="1:21" ht="12.75" customHeight="1" hidden="1">
      <c r="A61" s="142"/>
      <c r="B61" s="143"/>
      <c r="C61" s="142"/>
      <c r="D61" s="27" t="s">
        <v>42</v>
      </c>
      <c r="E61" s="28">
        <f t="shared" si="0"/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191"/>
      <c r="N61" s="186"/>
      <c r="O61" s="186"/>
      <c r="P61" s="186"/>
      <c r="Q61" s="186"/>
      <c r="R61" s="186"/>
      <c r="S61" s="186"/>
      <c r="T61" s="186"/>
      <c r="U61" s="145"/>
    </row>
    <row r="62" spans="1:21" ht="12.75" customHeight="1" hidden="1">
      <c r="A62" s="142"/>
      <c r="B62" s="143"/>
      <c r="C62" s="142"/>
      <c r="D62" s="27" t="s">
        <v>44</v>
      </c>
      <c r="E62" s="28">
        <f t="shared" si="0"/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191"/>
      <c r="N62" s="186"/>
      <c r="O62" s="186"/>
      <c r="P62" s="186"/>
      <c r="Q62" s="186"/>
      <c r="R62" s="186"/>
      <c r="S62" s="186"/>
      <c r="T62" s="186"/>
      <c r="U62" s="145"/>
    </row>
    <row r="63" spans="1:21" ht="12.75" customHeight="1" hidden="1">
      <c r="A63" s="142"/>
      <c r="B63" s="143"/>
      <c r="C63" s="142"/>
      <c r="D63" s="27" t="s">
        <v>45</v>
      </c>
      <c r="E63" s="28">
        <f t="shared" si="0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192"/>
      <c r="N63" s="187"/>
      <c r="O63" s="187"/>
      <c r="P63" s="187"/>
      <c r="Q63" s="187"/>
      <c r="R63" s="187"/>
      <c r="S63" s="187"/>
      <c r="T63" s="187"/>
      <c r="U63" s="146"/>
    </row>
    <row r="64" spans="1:21" ht="12.75" customHeight="1" hidden="1">
      <c r="A64" s="142"/>
      <c r="B64" s="143" t="s">
        <v>93</v>
      </c>
      <c r="C64" s="202"/>
      <c r="D64" s="55" t="s">
        <v>22</v>
      </c>
      <c r="E64" s="51">
        <f t="shared" si="0"/>
        <v>277547.06</v>
      </c>
      <c r="F64" s="51">
        <f aca="true" t="shared" si="13" ref="F64:L64">F65+F66+F67+F68</f>
        <v>177666.48</v>
      </c>
      <c r="G64" s="51">
        <f t="shared" si="13"/>
        <v>99880.58</v>
      </c>
      <c r="H64" s="51">
        <f t="shared" si="13"/>
        <v>0</v>
      </c>
      <c r="I64" s="51">
        <f t="shared" si="13"/>
        <v>0</v>
      </c>
      <c r="J64" s="51">
        <f t="shared" si="13"/>
        <v>0</v>
      </c>
      <c r="K64" s="51">
        <f t="shared" si="13"/>
        <v>0</v>
      </c>
      <c r="L64" s="51">
        <f t="shared" si="13"/>
        <v>0</v>
      </c>
      <c r="M64" s="190" t="s">
        <v>94</v>
      </c>
      <c r="N64" s="185"/>
      <c r="O64" s="185"/>
      <c r="P64" s="185"/>
      <c r="Q64" s="185"/>
      <c r="R64" s="185"/>
      <c r="S64" s="185"/>
      <c r="T64" s="185"/>
      <c r="U64" s="144"/>
    </row>
    <row r="65" spans="1:21" ht="12.75" customHeight="1" hidden="1">
      <c r="A65" s="142"/>
      <c r="B65" s="143"/>
      <c r="C65" s="142"/>
      <c r="D65" s="27" t="s">
        <v>41</v>
      </c>
      <c r="E65" s="28">
        <f t="shared" si="0"/>
        <v>277547.06</v>
      </c>
      <c r="F65" s="28">
        <v>177666.48</v>
      </c>
      <c r="G65" s="28">
        <v>99880.58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191"/>
      <c r="N65" s="186"/>
      <c r="O65" s="186"/>
      <c r="P65" s="186"/>
      <c r="Q65" s="186"/>
      <c r="R65" s="186"/>
      <c r="S65" s="186"/>
      <c r="T65" s="186"/>
      <c r="U65" s="145"/>
    </row>
    <row r="66" spans="1:21" ht="12.75" customHeight="1" hidden="1">
      <c r="A66" s="142"/>
      <c r="B66" s="143"/>
      <c r="C66" s="142"/>
      <c r="D66" s="27" t="s">
        <v>42</v>
      </c>
      <c r="E66" s="28">
        <f t="shared" si="0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191"/>
      <c r="N66" s="186"/>
      <c r="O66" s="186"/>
      <c r="P66" s="186"/>
      <c r="Q66" s="186"/>
      <c r="R66" s="186"/>
      <c r="S66" s="186"/>
      <c r="T66" s="186"/>
      <c r="U66" s="145"/>
    </row>
    <row r="67" spans="1:21" ht="12.75" customHeight="1" hidden="1">
      <c r="A67" s="142"/>
      <c r="B67" s="143"/>
      <c r="C67" s="142"/>
      <c r="D67" s="27" t="s">
        <v>44</v>
      </c>
      <c r="E67" s="28">
        <f t="shared" si="0"/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191"/>
      <c r="N67" s="186"/>
      <c r="O67" s="186"/>
      <c r="P67" s="186"/>
      <c r="Q67" s="186"/>
      <c r="R67" s="186"/>
      <c r="S67" s="186"/>
      <c r="T67" s="186"/>
      <c r="U67" s="145"/>
    </row>
    <row r="68" spans="1:21" ht="12.75" customHeight="1" hidden="1">
      <c r="A68" s="142"/>
      <c r="B68" s="143"/>
      <c r="C68" s="142"/>
      <c r="D68" s="27" t="s">
        <v>45</v>
      </c>
      <c r="E68" s="28">
        <f t="shared" si="0"/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192"/>
      <c r="N68" s="187"/>
      <c r="O68" s="187"/>
      <c r="P68" s="187"/>
      <c r="Q68" s="187"/>
      <c r="R68" s="187"/>
      <c r="S68" s="187"/>
      <c r="T68" s="187"/>
      <c r="U68" s="146"/>
    </row>
    <row r="69" spans="1:21" ht="12.75" customHeight="1" hidden="1">
      <c r="A69" s="142"/>
      <c r="B69" s="143" t="s">
        <v>95</v>
      </c>
      <c r="C69" s="202"/>
      <c r="D69" s="27" t="s">
        <v>22</v>
      </c>
      <c r="E69" s="51">
        <f t="shared" si="0"/>
        <v>1614664</v>
      </c>
      <c r="F69" s="51">
        <f aca="true" t="shared" si="14" ref="F69:L69">F70+F71+F72+F73</f>
        <v>389550</v>
      </c>
      <c r="G69" s="51">
        <f t="shared" si="14"/>
        <v>425114</v>
      </c>
      <c r="H69" s="51">
        <f t="shared" si="14"/>
        <v>0</v>
      </c>
      <c r="I69" s="51">
        <f t="shared" si="14"/>
        <v>200000</v>
      </c>
      <c r="J69" s="51">
        <f t="shared" si="14"/>
        <v>200000</v>
      </c>
      <c r="K69" s="51">
        <f t="shared" si="14"/>
        <v>200000</v>
      </c>
      <c r="L69" s="51">
        <f t="shared" si="14"/>
        <v>200000</v>
      </c>
      <c r="M69" s="190" t="s">
        <v>96</v>
      </c>
      <c r="N69" s="185"/>
      <c r="O69" s="185"/>
      <c r="P69" s="185"/>
      <c r="Q69" s="185"/>
      <c r="R69" s="185"/>
      <c r="S69" s="185"/>
      <c r="T69" s="185"/>
      <c r="U69" s="144"/>
    </row>
    <row r="70" spans="1:21" ht="12.75" customHeight="1" hidden="1">
      <c r="A70" s="142"/>
      <c r="B70" s="143"/>
      <c r="C70" s="142"/>
      <c r="D70" s="27" t="s">
        <v>41</v>
      </c>
      <c r="E70" s="28">
        <f t="shared" si="0"/>
        <v>1614664</v>
      </c>
      <c r="F70" s="28">
        <v>389550</v>
      </c>
      <c r="G70" s="28">
        <v>425114</v>
      </c>
      <c r="H70" s="28">
        <v>0</v>
      </c>
      <c r="I70" s="28">
        <v>200000</v>
      </c>
      <c r="J70" s="28">
        <v>200000</v>
      </c>
      <c r="K70" s="28">
        <v>200000</v>
      </c>
      <c r="L70" s="28">
        <v>200000</v>
      </c>
      <c r="M70" s="191"/>
      <c r="N70" s="186"/>
      <c r="O70" s="186"/>
      <c r="P70" s="186"/>
      <c r="Q70" s="186"/>
      <c r="R70" s="186"/>
      <c r="S70" s="186"/>
      <c r="T70" s="186"/>
      <c r="U70" s="145"/>
    </row>
    <row r="71" spans="1:21" ht="12.75" customHeight="1" hidden="1">
      <c r="A71" s="142"/>
      <c r="B71" s="143"/>
      <c r="C71" s="142"/>
      <c r="D71" s="27" t="s">
        <v>42</v>
      </c>
      <c r="E71" s="28">
        <f t="shared" si="0"/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191"/>
      <c r="N71" s="186"/>
      <c r="O71" s="186"/>
      <c r="P71" s="186"/>
      <c r="Q71" s="186"/>
      <c r="R71" s="186"/>
      <c r="S71" s="186"/>
      <c r="T71" s="186"/>
      <c r="U71" s="145"/>
    </row>
    <row r="72" spans="1:21" ht="12.75" customHeight="1" hidden="1">
      <c r="A72" s="142"/>
      <c r="B72" s="143"/>
      <c r="C72" s="142"/>
      <c r="D72" s="27" t="s">
        <v>44</v>
      </c>
      <c r="E72" s="28">
        <f t="shared" si="0"/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191"/>
      <c r="N72" s="186"/>
      <c r="O72" s="186"/>
      <c r="P72" s="186"/>
      <c r="Q72" s="186"/>
      <c r="R72" s="186"/>
      <c r="S72" s="186"/>
      <c r="T72" s="186"/>
      <c r="U72" s="145"/>
    </row>
    <row r="73" spans="1:21" ht="12.75" customHeight="1" hidden="1">
      <c r="A73" s="142"/>
      <c r="B73" s="143"/>
      <c r="C73" s="142"/>
      <c r="D73" s="27" t="s">
        <v>45</v>
      </c>
      <c r="E73" s="28">
        <f aca="true" t="shared" si="15" ref="E73:E103">F73+G73+H73+I73+J73+K73+L73</f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192"/>
      <c r="N73" s="187"/>
      <c r="O73" s="187"/>
      <c r="P73" s="187"/>
      <c r="Q73" s="187"/>
      <c r="R73" s="187"/>
      <c r="S73" s="187"/>
      <c r="T73" s="187"/>
      <c r="U73" s="146"/>
    </row>
    <row r="74" spans="1:21" ht="12.75" customHeight="1" hidden="1">
      <c r="A74" s="142"/>
      <c r="B74" s="143" t="s">
        <v>97</v>
      </c>
      <c r="C74" s="202"/>
      <c r="D74" s="27" t="s">
        <v>22</v>
      </c>
      <c r="E74" s="51">
        <f t="shared" si="15"/>
        <v>2814147</v>
      </c>
      <c r="F74" s="51">
        <f aca="true" t="shared" si="16" ref="F74:L74">F75+F76+F77+F78</f>
        <v>700082.38</v>
      </c>
      <c r="G74" s="51">
        <f t="shared" si="16"/>
        <v>114064.62</v>
      </c>
      <c r="H74" s="51">
        <f t="shared" si="16"/>
        <v>0</v>
      </c>
      <c r="I74" s="51">
        <f t="shared" si="16"/>
        <v>500000</v>
      </c>
      <c r="J74" s="51">
        <f t="shared" si="16"/>
        <v>500000</v>
      </c>
      <c r="K74" s="51">
        <f t="shared" si="16"/>
        <v>500000</v>
      </c>
      <c r="L74" s="51">
        <f t="shared" si="16"/>
        <v>500000</v>
      </c>
      <c r="M74" s="190" t="s">
        <v>98</v>
      </c>
      <c r="N74" s="185"/>
      <c r="O74" s="185"/>
      <c r="P74" s="185"/>
      <c r="Q74" s="185"/>
      <c r="R74" s="185"/>
      <c r="S74" s="185"/>
      <c r="T74" s="185"/>
      <c r="U74" s="144"/>
    </row>
    <row r="75" spans="1:21" ht="12.75" customHeight="1" hidden="1">
      <c r="A75" s="142"/>
      <c r="B75" s="143"/>
      <c r="C75" s="142"/>
      <c r="D75" s="27" t="s">
        <v>41</v>
      </c>
      <c r="E75" s="28">
        <f t="shared" si="15"/>
        <v>2814147</v>
      </c>
      <c r="F75" s="28">
        <v>700082.38</v>
      </c>
      <c r="G75" s="28">
        <v>114064.62</v>
      </c>
      <c r="H75" s="28">
        <v>0</v>
      </c>
      <c r="I75" s="28">
        <v>500000</v>
      </c>
      <c r="J75" s="28">
        <v>500000</v>
      </c>
      <c r="K75" s="28">
        <v>500000</v>
      </c>
      <c r="L75" s="28">
        <v>500000</v>
      </c>
      <c r="M75" s="191"/>
      <c r="N75" s="186"/>
      <c r="O75" s="186"/>
      <c r="P75" s="186"/>
      <c r="Q75" s="186"/>
      <c r="R75" s="186"/>
      <c r="S75" s="186"/>
      <c r="T75" s="186"/>
      <c r="U75" s="145"/>
    </row>
    <row r="76" spans="1:21" ht="12.75" customHeight="1" hidden="1">
      <c r="A76" s="142"/>
      <c r="B76" s="143"/>
      <c r="C76" s="142"/>
      <c r="D76" s="27" t="s">
        <v>42</v>
      </c>
      <c r="E76" s="28">
        <f t="shared" si="15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191"/>
      <c r="N76" s="186"/>
      <c r="O76" s="186"/>
      <c r="P76" s="186"/>
      <c r="Q76" s="186"/>
      <c r="R76" s="186"/>
      <c r="S76" s="186"/>
      <c r="T76" s="186"/>
      <c r="U76" s="145"/>
    </row>
    <row r="77" spans="1:21" ht="12.75" customHeight="1" hidden="1">
      <c r="A77" s="142"/>
      <c r="B77" s="143"/>
      <c r="C77" s="142"/>
      <c r="D77" s="27" t="s">
        <v>44</v>
      </c>
      <c r="E77" s="28">
        <f t="shared" si="15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191"/>
      <c r="N77" s="186"/>
      <c r="O77" s="186"/>
      <c r="P77" s="186"/>
      <c r="Q77" s="186"/>
      <c r="R77" s="186"/>
      <c r="S77" s="186"/>
      <c r="T77" s="186"/>
      <c r="U77" s="145"/>
    </row>
    <row r="78" spans="1:21" ht="12.75" customHeight="1" hidden="1">
      <c r="A78" s="142"/>
      <c r="B78" s="143"/>
      <c r="C78" s="142"/>
      <c r="D78" s="27" t="s">
        <v>45</v>
      </c>
      <c r="E78" s="28">
        <f t="shared" si="15"/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192"/>
      <c r="N78" s="187"/>
      <c r="O78" s="187"/>
      <c r="P78" s="187"/>
      <c r="Q78" s="187"/>
      <c r="R78" s="187"/>
      <c r="S78" s="187"/>
      <c r="T78" s="187"/>
      <c r="U78" s="146"/>
    </row>
    <row r="79" spans="1:21" ht="12.75" customHeight="1" hidden="1">
      <c r="A79" s="142"/>
      <c r="B79" s="143" t="s">
        <v>99</v>
      </c>
      <c r="C79" s="202"/>
      <c r="D79" s="55" t="s">
        <v>22</v>
      </c>
      <c r="E79" s="51">
        <f t="shared" si="15"/>
        <v>589786.59</v>
      </c>
      <c r="F79" s="51">
        <f aca="true" t="shared" si="17" ref="F79:L79">F80+F81+F82+F83</f>
        <v>78073.84</v>
      </c>
      <c r="G79" s="51">
        <f t="shared" si="17"/>
        <v>82879.27</v>
      </c>
      <c r="H79" s="51">
        <f t="shared" si="17"/>
        <v>0</v>
      </c>
      <c r="I79" s="51">
        <f t="shared" si="17"/>
        <v>107208.37</v>
      </c>
      <c r="J79" s="51">
        <f t="shared" si="17"/>
        <v>107208.37</v>
      </c>
      <c r="K79" s="51">
        <f t="shared" si="17"/>
        <v>107208.37</v>
      </c>
      <c r="L79" s="51">
        <f t="shared" si="17"/>
        <v>107208.37</v>
      </c>
      <c r="M79" s="191"/>
      <c r="N79" s="185"/>
      <c r="O79" s="185"/>
      <c r="P79" s="185"/>
      <c r="Q79" s="185"/>
      <c r="R79" s="185"/>
      <c r="S79" s="185"/>
      <c r="T79" s="185"/>
      <c r="U79" s="144"/>
    </row>
    <row r="80" spans="1:21" ht="12.75" customHeight="1" hidden="1">
      <c r="A80" s="142"/>
      <c r="B80" s="143"/>
      <c r="C80" s="142"/>
      <c r="D80" s="27" t="s">
        <v>41</v>
      </c>
      <c r="E80" s="28">
        <f t="shared" si="15"/>
        <v>589786.59</v>
      </c>
      <c r="F80" s="28">
        <v>78073.84</v>
      </c>
      <c r="G80" s="28">
        <v>82879.27</v>
      </c>
      <c r="H80" s="28">
        <v>0</v>
      </c>
      <c r="I80" s="28">
        <v>107208.37</v>
      </c>
      <c r="J80" s="28">
        <v>107208.37</v>
      </c>
      <c r="K80" s="28">
        <v>107208.37</v>
      </c>
      <c r="L80" s="28">
        <v>107208.37</v>
      </c>
      <c r="M80" s="192"/>
      <c r="N80" s="186"/>
      <c r="O80" s="186"/>
      <c r="P80" s="186"/>
      <c r="Q80" s="186"/>
      <c r="R80" s="186"/>
      <c r="S80" s="186"/>
      <c r="T80" s="186"/>
      <c r="U80" s="145"/>
    </row>
    <row r="81" spans="1:21" ht="12.75" customHeight="1" hidden="1">
      <c r="A81" s="142"/>
      <c r="B81" s="143"/>
      <c r="C81" s="142"/>
      <c r="D81" s="27" t="s">
        <v>42</v>
      </c>
      <c r="E81" s="28">
        <f t="shared" si="15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190" t="s">
        <v>96</v>
      </c>
      <c r="N81" s="186"/>
      <c r="O81" s="186"/>
      <c r="P81" s="186"/>
      <c r="Q81" s="186"/>
      <c r="R81" s="186"/>
      <c r="S81" s="186"/>
      <c r="T81" s="186"/>
      <c r="U81" s="145"/>
    </row>
    <row r="82" spans="1:21" ht="12.75" customHeight="1" hidden="1">
      <c r="A82" s="142"/>
      <c r="B82" s="143"/>
      <c r="C82" s="142"/>
      <c r="D82" s="27" t="s">
        <v>44</v>
      </c>
      <c r="E82" s="28">
        <f t="shared" si="15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191"/>
      <c r="N82" s="186"/>
      <c r="O82" s="186"/>
      <c r="P82" s="186"/>
      <c r="Q82" s="186"/>
      <c r="R82" s="186"/>
      <c r="S82" s="186"/>
      <c r="T82" s="186"/>
      <c r="U82" s="145"/>
    </row>
    <row r="83" spans="1:21" ht="12.75" customHeight="1" hidden="1">
      <c r="A83" s="142"/>
      <c r="B83" s="143"/>
      <c r="C83" s="142"/>
      <c r="D83" s="27" t="s">
        <v>45</v>
      </c>
      <c r="E83" s="28">
        <f t="shared" si="15"/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191"/>
      <c r="N83" s="187"/>
      <c r="O83" s="187"/>
      <c r="P83" s="187"/>
      <c r="Q83" s="187"/>
      <c r="R83" s="187"/>
      <c r="S83" s="187"/>
      <c r="T83" s="187"/>
      <c r="U83" s="146"/>
    </row>
    <row r="84" spans="1:21" ht="12.75" customHeight="1" hidden="1">
      <c r="A84" s="142"/>
      <c r="B84" s="143" t="s">
        <v>100</v>
      </c>
      <c r="C84" s="202"/>
      <c r="D84" s="55" t="s">
        <v>22</v>
      </c>
      <c r="E84" s="51">
        <f t="shared" si="15"/>
        <v>39808</v>
      </c>
      <c r="F84" s="51">
        <f aca="true" t="shared" si="18" ref="F84:L84">F85+F86+F87+F88</f>
        <v>0</v>
      </c>
      <c r="G84" s="51">
        <f t="shared" si="18"/>
        <v>39808</v>
      </c>
      <c r="H84" s="51">
        <f t="shared" si="18"/>
        <v>0</v>
      </c>
      <c r="I84" s="51">
        <f t="shared" si="18"/>
        <v>0</v>
      </c>
      <c r="J84" s="51">
        <f t="shared" si="18"/>
        <v>0</v>
      </c>
      <c r="K84" s="51">
        <f t="shared" si="18"/>
        <v>0</v>
      </c>
      <c r="L84" s="51">
        <f t="shared" si="18"/>
        <v>0</v>
      </c>
      <c r="M84" s="191"/>
      <c r="N84" s="53"/>
      <c r="O84" s="53"/>
      <c r="P84" s="53"/>
      <c r="Q84" s="53"/>
      <c r="R84" s="53"/>
      <c r="S84" s="53"/>
      <c r="T84" s="53"/>
      <c r="U84" s="54"/>
    </row>
    <row r="85" spans="1:21" ht="12.75" customHeight="1" hidden="1">
      <c r="A85" s="142"/>
      <c r="B85" s="143"/>
      <c r="C85" s="142"/>
      <c r="D85" s="27" t="s">
        <v>41</v>
      </c>
      <c r="E85" s="28">
        <f t="shared" si="15"/>
        <v>39808</v>
      </c>
      <c r="F85" s="28">
        <v>0</v>
      </c>
      <c r="G85" s="28">
        <v>39808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191"/>
      <c r="N85" s="53"/>
      <c r="O85" s="53"/>
      <c r="P85" s="53"/>
      <c r="Q85" s="53"/>
      <c r="R85" s="53"/>
      <c r="S85" s="53"/>
      <c r="T85" s="53"/>
      <c r="U85" s="54"/>
    </row>
    <row r="86" spans="1:21" ht="12.75" customHeight="1" hidden="1">
      <c r="A86" s="142"/>
      <c r="B86" s="143"/>
      <c r="C86" s="142"/>
      <c r="D86" s="27" t="s">
        <v>42</v>
      </c>
      <c r="E86" s="28">
        <f t="shared" si="15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191"/>
      <c r="N86" s="53"/>
      <c r="O86" s="53"/>
      <c r="P86" s="53"/>
      <c r="Q86" s="53"/>
      <c r="R86" s="53"/>
      <c r="S86" s="53"/>
      <c r="T86" s="53"/>
      <c r="U86" s="54"/>
    </row>
    <row r="87" spans="1:21" ht="12.75" customHeight="1" hidden="1">
      <c r="A87" s="142"/>
      <c r="B87" s="143"/>
      <c r="C87" s="142"/>
      <c r="D87" s="27" t="s">
        <v>44</v>
      </c>
      <c r="E87" s="28">
        <f t="shared" si="15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191"/>
      <c r="N87" s="53"/>
      <c r="O87" s="53"/>
      <c r="P87" s="53"/>
      <c r="Q87" s="53"/>
      <c r="R87" s="53"/>
      <c r="S87" s="53"/>
      <c r="T87" s="53"/>
      <c r="U87" s="54"/>
    </row>
    <row r="88" spans="1:21" ht="12.75" customHeight="1" hidden="1">
      <c r="A88" s="142"/>
      <c r="B88" s="143"/>
      <c r="C88" s="142"/>
      <c r="D88" s="27" t="s">
        <v>45</v>
      </c>
      <c r="E88" s="28">
        <f t="shared" si="15"/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191"/>
      <c r="N88" s="53"/>
      <c r="O88" s="53"/>
      <c r="P88" s="53"/>
      <c r="Q88" s="53"/>
      <c r="R88" s="53"/>
      <c r="S88" s="53"/>
      <c r="T88" s="53"/>
      <c r="U88" s="54"/>
    </row>
    <row r="89" spans="1:21" ht="12.75" customHeight="1" hidden="1">
      <c r="A89" s="142"/>
      <c r="B89" s="143" t="s">
        <v>101</v>
      </c>
      <c r="C89" s="202"/>
      <c r="D89" s="55" t="s">
        <v>22</v>
      </c>
      <c r="E89" s="51">
        <f t="shared" si="15"/>
        <v>10012.5</v>
      </c>
      <c r="F89" s="51">
        <f aca="true" t="shared" si="19" ref="F89:L89">F90+F91+F92+F93</f>
        <v>0</v>
      </c>
      <c r="G89" s="51">
        <f t="shared" si="19"/>
        <v>10012.5</v>
      </c>
      <c r="H89" s="51">
        <f t="shared" si="19"/>
        <v>0</v>
      </c>
      <c r="I89" s="51">
        <f t="shared" si="19"/>
        <v>0</v>
      </c>
      <c r="J89" s="51">
        <f t="shared" si="19"/>
        <v>0</v>
      </c>
      <c r="K89" s="51">
        <f t="shared" si="19"/>
        <v>0</v>
      </c>
      <c r="L89" s="51">
        <f t="shared" si="19"/>
        <v>0</v>
      </c>
      <c r="M89" s="191"/>
      <c r="N89" s="53"/>
      <c r="O89" s="53"/>
      <c r="P89" s="53"/>
      <c r="Q89" s="53"/>
      <c r="R89" s="53"/>
      <c r="S89" s="53"/>
      <c r="T89" s="53"/>
      <c r="U89" s="54"/>
    </row>
    <row r="90" spans="1:21" ht="12.75" customHeight="1" hidden="1">
      <c r="A90" s="142"/>
      <c r="B90" s="143"/>
      <c r="C90" s="142"/>
      <c r="D90" s="27" t="s">
        <v>41</v>
      </c>
      <c r="E90" s="28">
        <f t="shared" si="15"/>
        <v>10012.5</v>
      </c>
      <c r="F90" s="28">
        <v>0</v>
      </c>
      <c r="G90" s="28">
        <v>10012.5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191"/>
      <c r="N90" s="53"/>
      <c r="O90" s="53"/>
      <c r="P90" s="53"/>
      <c r="Q90" s="53"/>
      <c r="R90" s="53"/>
      <c r="S90" s="53"/>
      <c r="T90" s="53"/>
      <c r="U90" s="54"/>
    </row>
    <row r="91" spans="1:21" ht="12.75" customHeight="1" hidden="1">
      <c r="A91" s="142"/>
      <c r="B91" s="143"/>
      <c r="C91" s="142"/>
      <c r="D91" s="27" t="s">
        <v>42</v>
      </c>
      <c r="E91" s="28">
        <f t="shared" si="15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191"/>
      <c r="N91" s="53"/>
      <c r="O91" s="53"/>
      <c r="P91" s="53"/>
      <c r="Q91" s="53"/>
      <c r="R91" s="53"/>
      <c r="S91" s="53"/>
      <c r="T91" s="53"/>
      <c r="U91" s="54"/>
    </row>
    <row r="92" spans="1:21" ht="12.75" customHeight="1" hidden="1">
      <c r="A92" s="142"/>
      <c r="B92" s="143"/>
      <c r="C92" s="142"/>
      <c r="D92" s="27" t="s">
        <v>44</v>
      </c>
      <c r="E92" s="28">
        <f t="shared" si="15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191"/>
      <c r="N92" s="53"/>
      <c r="O92" s="53"/>
      <c r="P92" s="53"/>
      <c r="Q92" s="53"/>
      <c r="R92" s="53"/>
      <c r="S92" s="53"/>
      <c r="T92" s="53"/>
      <c r="U92" s="54"/>
    </row>
    <row r="93" spans="1:21" ht="12.75" customHeight="1" hidden="1">
      <c r="A93" s="142"/>
      <c r="B93" s="143"/>
      <c r="C93" s="142"/>
      <c r="D93" s="27" t="s">
        <v>45</v>
      </c>
      <c r="E93" s="28">
        <f t="shared" si="15"/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191"/>
      <c r="N93" s="53"/>
      <c r="O93" s="53"/>
      <c r="P93" s="53"/>
      <c r="Q93" s="53"/>
      <c r="R93" s="53"/>
      <c r="S93" s="53"/>
      <c r="T93" s="53"/>
      <c r="U93" s="54"/>
    </row>
    <row r="94" spans="1:21" ht="12.75" customHeight="1" hidden="1">
      <c r="A94" s="142"/>
      <c r="B94" s="194" t="s">
        <v>102</v>
      </c>
      <c r="C94" s="56"/>
      <c r="D94" s="55" t="s">
        <v>22</v>
      </c>
      <c r="E94" s="51">
        <f t="shared" si="15"/>
        <v>97856.92000000001</v>
      </c>
      <c r="F94" s="51">
        <f aca="true" t="shared" si="20" ref="F94:L94">F95+F98+F99+F100</f>
        <v>97856.92000000001</v>
      </c>
      <c r="G94" s="51">
        <f t="shared" si="20"/>
        <v>0</v>
      </c>
      <c r="H94" s="51">
        <f t="shared" si="20"/>
        <v>0</v>
      </c>
      <c r="I94" s="51">
        <f t="shared" si="20"/>
        <v>0</v>
      </c>
      <c r="J94" s="51">
        <f t="shared" si="20"/>
        <v>0</v>
      </c>
      <c r="K94" s="51">
        <f t="shared" si="20"/>
        <v>0</v>
      </c>
      <c r="L94" s="51">
        <f t="shared" si="20"/>
        <v>0</v>
      </c>
      <c r="M94" s="191"/>
      <c r="N94" s="185"/>
      <c r="O94" s="185"/>
      <c r="P94" s="185"/>
      <c r="Q94" s="185"/>
      <c r="R94" s="185"/>
      <c r="S94" s="185"/>
      <c r="T94" s="185"/>
      <c r="U94" s="144"/>
    </row>
    <row r="95" spans="1:21" ht="12.75" customHeight="1" hidden="1">
      <c r="A95" s="142"/>
      <c r="B95" s="195"/>
      <c r="C95" s="57"/>
      <c r="D95" s="27" t="s">
        <v>41</v>
      </c>
      <c r="E95" s="28">
        <f t="shared" si="15"/>
        <v>97856.92000000001</v>
      </c>
      <c r="F95" s="28">
        <f>F96+F97</f>
        <v>97856.92000000001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192"/>
      <c r="N95" s="186"/>
      <c r="O95" s="186"/>
      <c r="P95" s="186"/>
      <c r="Q95" s="186"/>
      <c r="R95" s="186"/>
      <c r="S95" s="186"/>
      <c r="T95" s="186"/>
      <c r="U95" s="145"/>
    </row>
    <row r="96" spans="1:21" ht="12.75" customHeight="1" hidden="1">
      <c r="A96" s="142"/>
      <c r="B96" s="58" t="s">
        <v>103</v>
      </c>
      <c r="C96" s="59"/>
      <c r="D96" s="27"/>
      <c r="E96" s="28">
        <f t="shared" si="15"/>
        <v>69441.82</v>
      </c>
      <c r="F96" s="28">
        <v>69441.82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60" t="s">
        <v>98</v>
      </c>
      <c r="N96" s="186"/>
      <c r="O96" s="186"/>
      <c r="P96" s="186"/>
      <c r="Q96" s="186"/>
      <c r="R96" s="186"/>
      <c r="S96" s="186"/>
      <c r="T96" s="186"/>
      <c r="U96" s="145"/>
    </row>
    <row r="97" spans="1:21" ht="12.75" customHeight="1" hidden="1">
      <c r="A97" s="142"/>
      <c r="B97" s="58" t="s">
        <v>104</v>
      </c>
      <c r="C97" s="59"/>
      <c r="D97" s="27"/>
      <c r="E97" s="28">
        <f t="shared" si="15"/>
        <v>28415.1</v>
      </c>
      <c r="F97" s="28">
        <v>28415.1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60" t="s">
        <v>105</v>
      </c>
      <c r="N97" s="186"/>
      <c r="O97" s="186"/>
      <c r="P97" s="186"/>
      <c r="Q97" s="186"/>
      <c r="R97" s="186"/>
      <c r="S97" s="186"/>
      <c r="T97" s="186"/>
      <c r="U97" s="145"/>
    </row>
    <row r="98" spans="1:21" ht="12.75" customHeight="1" hidden="1">
      <c r="A98" s="142"/>
      <c r="B98" s="57"/>
      <c r="C98" s="61"/>
      <c r="D98" s="27" t="s">
        <v>42</v>
      </c>
      <c r="E98" s="28">
        <f t="shared" si="15"/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62"/>
      <c r="N98" s="186"/>
      <c r="O98" s="186"/>
      <c r="P98" s="186"/>
      <c r="Q98" s="186"/>
      <c r="R98" s="186"/>
      <c r="S98" s="186"/>
      <c r="T98" s="186"/>
      <c r="U98" s="145"/>
    </row>
    <row r="99" spans="1:21" ht="12.75" customHeight="1" hidden="1">
      <c r="A99" s="142"/>
      <c r="B99" s="57"/>
      <c r="C99" s="56"/>
      <c r="D99" s="27" t="s">
        <v>44</v>
      </c>
      <c r="E99" s="28">
        <f t="shared" si="15"/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62"/>
      <c r="N99" s="186"/>
      <c r="O99" s="186"/>
      <c r="P99" s="186"/>
      <c r="Q99" s="186"/>
      <c r="R99" s="186"/>
      <c r="S99" s="186"/>
      <c r="T99" s="186"/>
      <c r="U99" s="145"/>
    </row>
    <row r="100" spans="1:21" ht="12.75" customHeight="1" hidden="1">
      <c r="A100" s="142"/>
      <c r="B100" s="61"/>
      <c r="C100" s="57"/>
      <c r="D100" s="27" t="s">
        <v>45</v>
      </c>
      <c r="E100" s="28">
        <f t="shared" si="15"/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63"/>
      <c r="N100" s="187"/>
      <c r="O100" s="187"/>
      <c r="P100" s="187"/>
      <c r="Q100" s="187"/>
      <c r="R100" s="187"/>
      <c r="S100" s="187"/>
      <c r="T100" s="187"/>
      <c r="U100" s="146"/>
    </row>
    <row r="101" spans="1:21" ht="12.75" customHeight="1" hidden="1">
      <c r="A101" s="142"/>
      <c r="B101" s="206" t="s">
        <v>85</v>
      </c>
      <c r="C101" s="202"/>
      <c r="D101" s="55" t="s">
        <v>22</v>
      </c>
      <c r="E101" s="51">
        <f t="shared" si="15"/>
        <v>10828325.16</v>
      </c>
      <c r="F101" s="51">
        <f aca="true" t="shared" si="21" ref="F101:L101">F102+F103+F104+F105</f>
        <v>0</v>
      </c>
      <c r="G101" s="51">
        <f t="shared" si="21"/>
        <v>0</v>
      </c>
      <c r="H101" s="51">
        <f t="shared" si="21"/>
        <v>10828325.16</v>
      </c>
      <c r="I101" s="51">
        <f t="shared" si="21"/>
        <v>0</v>
      </c>
      <c r="J101" s="51">
        <f t="shared" si="21"/>
        <v>0</v>
      </c>
      <c r="K101" s="51">
        <f t="shared" si="21"/>
        <v>0</v>
      </c>
      <c r="L101" s="51">
        <f t="shared" si="21"/>
        <v>0</v>
      </c>
      <c r="M101" s="62"/>
      <c r="N101" s="53"/>
      <c r="O101" s="53"/>
      <c r="P101" s="53"/>
      <c r="Q101" s="53"/>
      <c r="R101" s="53"/>
      <c r="S101" s="53"/>
      <c r="T101" s="53"/>
      <c r="U101" s="54"/>
    </row>
    <row r="102" spans="1:21" ht="12.75" customHeight="1" hidden="1">
      <c r="A102" s="142"/>
      <c r="B102" s="206"/>
      <c r="C102" s="142"/>
      <c r="D102" s="27" t="s">
        <v>41</v>
      </c>
      <c r="E102" s="28">
        <f t="shared" si="15"/>
        <v>10828325.16</v>
      </c>
      <c r="F102" s="28">
        <v>0</v>
      </c>
      <c r="G102" s="28">
        <v>0</v>
      </c>
      <c r="H102" s="28">
        <v>10828325.16</v>
      </c>
      <c r="I102" s="28">
        <v>0</v>
      </c>
      <c r="J102" s="28">
        <v>0</v>
      </c>
      <c r="K102" s="28">
        <v>0</v>
      </c>
      <c r="L102" s="28">
        <v>0</v>
      </c>
      <c r="M102" s="62"/>
      <c r="N102" s="53"/>
      <c r="O102" s="53"/>
      <c r="P102" s="53"/>
      <c r="Q102" s="53"/>
      <c r="R102" s="53"/>
      <c r="S102" s="53"/>
      <c r="T102" s="53"/>
      <c r="U102" s="54"/>
    </row>
    <row r="103" spans="1:21" ht="12.75" customHeight="1" hidden="1">
      <c r="A103" s="142"/>
      <c r="B103" s="206"/>
      <c r="C103" s="142"/>
      <c r="D103" s="27" t="s">
        <v>42</v>
      </c>
      <c r="E103" s="28">
        <f t="shared" si="15"/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62"/>
      <c r="N103" s="53"/>
      <c r="O103" s="53"/>
      <c r="P103" s="53"/>
      <c r="Q103" s="53"/>
      <c r="R103" s="53"/>
      <c r="S103" s="53"/>
      <c r="T103" s="53"/>
      <c r="U103" s="54"/>
    </row>
    <row r="104" spans="1:21" ht="12.75" customHeight="1" hidden="1">
      <c r="A104" s="142"/>
      <c r="B104" s="206"/>
      <c r="C104" s="142"/>
      <c r="D104" s="27" t="s">
        <v>44</v>
      </c>
      <c r="E104" s="28">
        <f>F104+G104+H104+I104+J104+K104+L104</f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62"/>
      <c r="N104" s="53"/>
      <c r="O104" s="53"/>
      <c r="P104" s="53"/>
      <c r="Q104" s="53"/>
      <c r="R104" s="53"/>
      <c r="S104" s="53"/>
      <c r="T104" s="53"/>
      <c r="U104" s="54"/>
    </row>
    <row r="105" spans="1:21" ht="12.75" customHeight="1" hidden="1">
      <c r="A105" s="142"/>
      <c r="B105" s="206"/>
      <c r="C105" s="142"/>
      <c r="D105" s="27" t="s">
        <v>45</v>
      </c>
      <c r="E105" s="28">
        <f>F105+G105+H105+I105+J105+K105+L105</f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62"/>
      <c r="N105" s="53"/>
      <c r="O105" s="53"/>
      <c r="P105" s="53"/>
      <c r="Q105" s="53"/>
      <c r="R105" s="53"/>
      <c r="S105" s="53"/>
      <c r="T105" s="53"/>
      <c r="U105" s="54"/>
    </row>
    <row r="106" spans="1:21" ht="15" customHeight="1">
      <c r="A106" s="181" t="s">
        <v>106</v>
      </c>
      <c r="B106" s="201" t="s">
        <v>107</v>
      </c>
      <c r="C106" s="181" t="s">
        <v>75</v>
      </c>
      <c r="D106" s="24" t="s">
        <v>22</v>
      </c>
      <c r="E106" s="25">
        <f>F106+G106+H106+I106+J106+K106+L106</f>
        <v>20097844.92</v>
      </c>
      <c r="F106" s="25">
        <f aca="true" t="shared" si="22" ref="F106:L106">F107+F108+F109+F110</f>
        <v>3571879.83</v>
      </c>
      <c r="G106" s="25">
        <f t="shared" si="22"/>
        <v>772118.12</v>
      </c>
      <c r="H106" s="25">
        <f t="shared" si="22"/>
        <v>1366125.97</v>
      </c>
      <c r="I106" s="25">
        <f t="shared" si="22"/>
        <v>6435868</v>
      </c>
      <c r="J106" s="25">
        <f t="shared" si="22"/>
        <v>5983951</v>
      </c>
      <c r="K106" s="25">
        <f t="shared" si="22"/>
        <v>983951</v>
      </c>
      <c r="L106" s="25">
        <f t="shared" si="22"/>
        <v>983951</v>
      </c>
      <c r="M106" s="182" t="s">
        <v>108</v>
      </c>
      <c r="N106" s="173">
        <v>26</v>
      </c>
      <c r="O106" s="173">
        <v>12</v>
      </c>
      <c r="P106" s="173">
        <v>20</v>
      </c>
      <c r="Q106" s="173">
        <v>20</v>
      </c>
      <c r="R106" s="173">
        <v>20</v>
      </c>
      <c r="S106" s="173">
        <v>20</v>
      </c>
      <c r="T106" s="173">
        <v>20</v>
      </c>
      <c r="U106" s="176" t="s">
        <v>109</v>
      </c>
    </row>
    <row r="107" spans="1:21" ht="37.5" customHeight="1">
      <c r="A107" s="181"/>
      <c r="B107" s="201"/>
      <c r="C107" s="181"/>
      <c r="D107" s="24" t="s">
        <v>41</v>
      </c>
      <c r="E107" s="25">
        <f>F107+G107+H107+I107+J107+K107+L107</f>
        <v>20097844.92</v>
      </c>
      <c r="F107" s="25">
        <f aca="true" t="shared" si="23" ref="F107:L107">F112+F119+F125+F135</f>
        <v>3571879.83</v>
      </c>
      <c r="G107" s="25">
        <f>G112+G119+G125+G135+G130</f>
        <v>772118.12</v>
      </c>
      <c r="H107" s="25">
        <f>H139+H144</f>
        <v>1366125.97</v>
      </c>
      <c r="I107" s="25">
        <f t="shared" si="23"/>
        <v>6435868</v>
      </c>
      <c r="J107" s="25">
        <f t="shared" si="23"/>
        <v>5983951</v>
      </c>
      <c r="K107" s="25">
        <f t="shared" si="23"/>
        <v>983951</v>
      </c>
      <c r="L107" s="25">
        <f t="shared" si="23"/>
        <v>983951</v>
      </c>
      <c r="M107" s="183"/>
      <c r="N107" s="174"/>
      <c r="O107" s="174"/>
      <c r="P107" s="174"/>
      <c r="Q107" s="174"/>
      <c r="R107" s="174"/>
      <c r="S107" s="174"/>
      <c r="T107" s="174"/>
      <c r="U107" s="177"/>
    </row>
    <row r="108" spans="1:21" ht="12.75">
      <c r="A108" s="181"/>
      <c r="B108" s="201"/>
      <c r="C108" s="181"/>
      <c r="D108" s="24" t="s">
        <v>42</v>
      </c>
      <c r="E108" s="25">
        <f aca="true" t="shared" si="24" ref="E108:E128">F108+G108+H108+I108+J108+K108+L108</f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183"/>
      <c r="N108" s="174"/>
      <c r="O108" s="174"/>
      <c r="P108" s="174"/>
      <c r="Q108" s="174"/>
      <c r="R108" s="174"/>
      <c r="S108" s="174"/>
      <c r="T108" s="174"/>
      <c r="U108" s="177"/>
    </row>
    <row r="109" spans="1:21" ht="12.75">
      <c r="A109" s="181"/>
      <c r="B109" s="201"/>
      <c r="C109" s="181"/>
      <c r="D109" s="24" t="s">
        <v>44</v>
      </c>
      <c r="E109" s="25">
        <f t="shared" si="24"/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183"/>
      <c r="N109" s="174"/>
      <c r="O109" s="174"/>
      <c r="P109" s="174"/>
      <c r="Q109" s="174"/>
      <c r="R109" s="174"/>
      <c r="S109" s="174"/>
      <c r="T109" s="174"/>
      <c r="U109" s="177"/>
    </row>
    <row r="110" spans="1:21" ht="12.75">
      <c r="A110" s="181"/>
      <c r="B110" s="201"/>
      <c r="C110" s="181"/>
      <c r="D110" s="24" t="s">
        <v>45</v>
      </c>
      <c r="E110" s="25">
        <f t="shared" si="24"/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184"/>
      <c r="N110" s="175"/>
      <c r="O110" s="175"/>
      <c r="P110" s="175"/>
      <c r="Q110" s="175"/>
      <c r="R110" s="175"/>
      <c r="S110" s="175"/>
      <c r="T110" s="175"/>
      <c r="U110" s="178"/>
    </row>
    <row r="111" spans="1:21" ht="12.75" customHeight="1" hidden="1">
      <c r="A111" s="142"/>
      <c r="B111" s="194" t="s">
        <v>110</v>
      </c>
      <c r="C111" s="56"/>
      <c r="D111" s="55" t="s">
        <v>22</v>
      </c>
      <c r="E111" s="51">
        <f t="shared" si="24"/>
        <v>6128359.82</v>
      </c>
      <c r="F111" s="51">
        <f aca="true" t="shared" si="25" ref="F111:L111">F112+F115+F116+F117</f>
        <v>1831484.55</v>
      </c>
      <c r="G111" s="51">
        <f t="shared" si="25"/>
        <v>361071.27</v>
      </c>
      <c r="H111" s="51">
        <f t="shared" si="25"/>
        <v>0</v>
      </c>
      <c r="I111" s="51">
        <f t="shared" si="25"/>
        <v>983951</v>
      </c>
      <c r="J111" s="51">
        <f t="shared" si="25"/>
        <v>983951</v>
      </c>
      <c r="K111" s="51">
        <f t="shared" si="25"/>
        <v>983951</v>
      </c>
      <c r="L111" s="51">
        <f t="shared" si="25"/>
        <v>983951</v>
      </c>
      <c r="M111" s="64"/>
      <c r="N111" s="185"/>
      <c r="O111" s="185"/>
      <c r="P111" s="185"/>
      <c r="Q111" s="185"/>
      <c r="R111" s="185"/>
      <c r="S111" s="185"/>
      <c r="T111" s="185"/>
      <c r="U111" s="144"/>
    </row>
    <row r="112" spans="1:21" ht="12.75" customHeight="1" hidden="1">
      <c r="A112" s="142"/>
      <c r="B112" s="195"/>
      <c r="C112" s="61"/>
      <c r="D112" s="27" t="s">
        <v>41</v>
      </c>
      <c r="E112" s="28">
        <f t="shared" si="24"/>
        <v>6128359.82</v>
      </c>
      <c r="F112" s="28">
        <f>F113+F114</f>
        <v>1831484.55</v>
      </c>
      <c r="G112" s="28">
        <f aca="true" t="shared" si="26" ref="G112:L112">G113+G114</f>
        <v>361071.27</v>
      </c>
      <c r="H112" s="28">
        <f t="shared" si="26"/>
        <v>0</v>
      </c>
      <c r="I112" s="28">
        <f t="shared" si="26"/>
        <v>983951</v>
      </c>
      <c r="J112" s="28">
        <f t="shared" si="26"/>
        <v>983951</v>
      </c>
      <c r="K112" s="28">
        <f t="shared" si="26"/>
        <v>983951</v>
      </c>
      <c r="L112" s="28">
        <f t="shared" si="26"/>
        <v>983951</v>
      </c>
      <c r="M112" s="62"/>
      <c r="N112" s="186"/>
      <c r="O112" s="186"/>
      <c r="P112" s="186"/>
      <c r="Q112" s="186"/>
      <c r="R112" s="186"/>
      <c r="S112" s="186"/>
      <c r="T112" s="186"/>
      <c r="U112" s="145"/>
    </row>
    <row r="113" spans="1:21" ht="25.5" customHeight="1" hidden="1">
      <c r="A113" s="142"/>
      <c r="B113" s="65" t="s">
        <v>111</v>
      </c>
      <c r="C113" s="66"/>
      <c r="D113" s="27"/>
      <c r="E113" s="28">
        <f t="shared" si="24"/>
        <v>5916121.26</v>
      </c>
      <c r="F113" s="28">
        <f>1628584.99-26339+17000</f>
        <v>1619245.99</v>
      </c>
      <c r="G113" s="28">
        <f>664200-184866.75-118261.98</f>
        <v>361071.27</v>
      </c>
      <c r="H113" s="28">
        <v>0</v>
      </c>
      <c r="I113" s="28">
        <f>1000000-16049</f>
        <v>983951</v>
      </c>
      <c r="J113" s="28">
        <f>1000000-16049</f>
        <v>983951</v>
      </c>
      <c r="K113" s="28">
        <f>1000000-16049</f>
        <v>983951</v>
      </c>
      <c r="L113" s="28">
        <f>1000000-16049</f>
        <v>983951</v>
      </c>
      <c r="M113" s="60" t="s">
        <v>98</v>
      </c>
      <c r="N113" s="186"/>
      <c r="O113" s="186"/>
      <c r="P113" s="186"/>
      <c r="Q113" s="186"/>
      <c r="R113" s="186"/>
      <c r="S113" s="186"/>
      <c r="T113" s="186"/>
      <c r="U113" s="145"/>
    </row>
    <row r="114" spans="1:21" ht="12.75" customHeight="1" hidden="1">
      <c r="A114" s="142"/>
      <c r="B114" s="58" t="s">
        <v>112</v>
      </c>
      <c r="C114" s="67"/>
      <c r="D114" s="27"/>
      <c r="E114" s="28">
        <f t="shared" si="24"/>
        <v>212238.56</v>
      </c>
      <c r="F114" s="28">
        <v>212238.56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60" t="s">
        <v>88</v>
      </c>
      <c r="N114" s="186"/>
      <c r="O114" s="186"/>
      <c r="P114" s="186"/>
      <c r="Q114" s="186"/>
      <c r="R114" s="186"/>
      <c r="S114" s="186"/>
      <c r="T114" s="186"/>
      <c r="U114" s="145"/>
    </row>
    <row r="115" spans="1:21" ht="12.75" customHeight="1" hidden="1">
      <c r="A115" s="142"/>
      <c r="B115" s="57"/>
      <c r="C115" s="67"/>
      <c r="D115" s="27" t="s">
        <v>42</v>
      </c>
      <c r="E115" s="28">
        <f t="shared" si="24"/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54"/>
      <c r="N115" s="186"/>
      <c r="O115" s="186"/>
      <c r="P115" s="186"/>
      <c r="Q115" s="186"/>
      <c r="R115" s="186"/>
      <c r="S115" s="186"/>
      <c r="T115" s="186"/>
      <c r="U115" s="145"/>
    </row>
    <row r="116" spans="1:21" ht="12.75" customHeight="1" hidden="1">
      <c r="A116" s="142"/>
      <c r="B116" s="57"/>
      <c r="C116" s="57"/>
      <c r="D116" s="27" t="s">
        <v>44</v>
      </c>
      <c r="E116" s="28">
        <f t="shared" si="24"/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54"/>
      <c r="N116" s="186"/>
      <c r="O116" s="186"/>
      <c r="P116" s="186"/>
      <c r="Q116" s="186"/>
      <c r="R116" s="186"/>
      <c r="S116" s="186"/>
      <c r="T116" s="186"/>
      <c r="U116" s="145"/>
    </row>
    <row r="117" spans="1:21" ht="12.75" customHeight="1" hidden="1">
      <c r="A117" s="142"/>
      <c r="B117" s="61"/>
      <c r="C117" s="57"/>
      <c r="D117" s="27" t="s">
        <v>45</v>
      </c>
      <c r="E117" s="28">
        <f t="shared" si="24"/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54"/>
      <c r="N117" s="187"/>
      <c r="O117" s="187"/>
      <c r="P117" s="187"/>
      <c r="Q117" s="187"/>
      <c r="R117" s="187"/>
      <c r="S117" s="187"/>
      <c r="T117" s="187"/>
      <c r="U117" s="146"/>
    </row>
    <row r="118" spans="1:21" ht="12.75" customHeight="1" hidden="1">
      <c r="A118" s="188"/>
      <c r="B118" s="203" t="s">
        <v>113</v>
      </c>
      <c r="C118" s="57"/>
      <c r="D118" s="68" t="s">
        <v>22</v>
      </c>
      <c r="E118" s="51">
        <f t="shared" si="24"/>
        <v>2072009.12</v>
      </c>
      <c r="F118" s="51">
        <f aca="true" t="shared" si="27" ref="F118:L118">F119+F121+F122+F123</f>
        <v>1696243.12</v>
      </c>
      <c r="G118" s="51">
        <f t="shared" si="27"/>
        <v>375766</v>
      </c>
      <c r="H118" s="51">
        <f t="shared" si="27"/>
        <v>0</v>
      </c>
      <c r="I118" s="51">
        <f t="shared" si="27"/>
        <v>0</v>
      </c>
      <c r="J118" s="51">
        <f t="shared" si="27"/>
        <v>0</v>
      </c>
      <c r="K118" s="51">
        <f t="shared" si="27"/>
        <v>0</v>
      </c>
      <c r="L118" s="51">
        <f t="shared" si="27"/>
        <v>0</v>
      </c>
      <c r="M118" s="64"/>
      <c r="N118" s="185"/>
      <c r="O118" s="185"/>
      <c r="P118" s="185"/>
      <c r="Q118" s="185"/>
      <c r="R118" s="185"/>
      <c r="S118" s="185"/>
      <c r="T118" s="185"/>
      <c r="U118" s="144"/>
    </row>
    <row r="119" spans="1:21" ht="12.75" customHeight="1" hidden="1">
      <c r="A119" s="188"/>
      <c r="B119" s="204"/>
      <c r="C119" s="192"/>
      <c r="D119" s="27" t="s">
        <v>41</v>
      </c>
      <c r="E119" s="28">
        <f t="shared" si="24"/>
        <v>2072009.12</v>
      </c>
      <c r="F119" s="69">
        <f>F120</f>
        <v>1696243.12</v>
      </c>
      <c r="G119" s="69">
        <f aca="true" t="shared" si="28" ref="G119:L119">G120</f>
        <v>375766</v>
      </c>
      <c r="H119" s="69">
        <f t="shared" si="28"/>
        <v>0</v>
      </c>
      <c r="I119" s="69">
        <f t="shared" si="28"/>
        <v>0</v>
      </c>
      <c r="J119" s="69">
        <f t="shared" si="28"/>
        <v>0</v>
      </c>
      <c r="K119" s="69">
        <f t="shared" si="28"/>
        <v>0</v>
      </c>
      <c r="L119" s="69">
        <f t="shared" si="28"/>
        <v>0</v>
      </c>
      <c r="M119" s="62"/>
      <c r="N119" s="186"/>
      <c r="O119" s="186"/>
      <c r="P119" s="186"/>
      <c r="Q119" s="186"/>
      <c r="R119" s="186"/>
      <c r="S119" s="186"/>
      <c r="T119" s="186"/>
      <c r="U119" s="145"/>
    </row>
    <row r="120" spans="1:21" ht="12.75" customHeight="1" hidden="1">
      <c r="A120" s="188"/>
      <c r="B120" s="204"/>
      <c r="C120" s="142"/>
      <c r="D120" s="27"/>
      <c r="E120" s="28">
        <f t="shared" si="24"/>
        <v>2072009.12</v>
      </c>
      <c r="F120" s="69">
        <v>1696243.12</v>
      </c>
      <c r="G120" s="69">
        <v>375766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52" t="s">
        <v>114</v>
      </c>
      <c r="N120" s="186"/>
      <c r="O120" s="186"/>
      <c r="P120" s="186"/>
      <c r="Q120" s="186"/>
      <c r="R120" s="186"/>
      <c r="S120" s="186"/>
      <c r="T120" s="186"/>
      <c r="U120" s="145"/>
    </row>
    <row r="121" spans="1:21" ht="12.75" customHeight="1" hidden="1">
      <c r="A121" s="188"/>
      <c r="B121" s="204"/>
      <c r="C121" s="142"/>
      <c r="D121" s="27" t="s">
        <v>42</v>
      </c>
      <c r="E121" s="28">
        <f t="shared" si="24"/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2"/>
      <c r="N121" s="186"/>
      <c r="O121" s="186"/>
      <c r="P121" s="186"/>
      <c r="Q121" s="186"/>
      <c r="R121" s="186"/>
      <c r="S121" s="186"/>
      <c r="T121" s="186"/>
      <c r="U121" s="145"/>
    </row>
    <row r="122" spans="1:21" ht="12.75" customHeight="1" hidden="1">
      <c r="A122" s="188"/>
      <c r="B122" s="204"/>
      <c r="C122" s="142"/>
      <c r="D122" s="27" t="s">
        <v>44</v>
      </c>
      <c r="E122" s="28">
        <f t="shared" si="24"/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2"/>
      <c r="N122" s="186"/>
      <c r="O122" s="186"/>
      <c r="P122" s="186"/>
      <c r="Q122" s="186"/>
      <c r="R122" s="186"/>
      <c r="S122" s="186"/>
      <c r="T122" s="186"/>
      <c r="U122" s="145"/>
    </row>
    <row r="123" spans="1:21" ht="12.75" customHeight="1" hidden="1">
      <c r="A123" s="188"/>
      <c r="B123" s="205"/>
      <c r="C123" s="142"/>
      <c r="D123" s="27" t="s">
        <v>45</v>
      </c>
      <c r="E123" s="28">
        <f t="shared" si="24"/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69">
        <v>0</v>
      </c>
      <c r="M123" s="63"/>
      <c r="N123" s="187"/>
      <c r="O123" s="187"/>
      <c r="P123" s="187"/>
      <c r="Q123" s="187"/>
      <c r="R123" s="187"/>
      <c r="S123" s="187"/>
      <c r="T123" s="187"/>
      <c r="U123" s="146"/>
    </row>
    <row r="124" spans="1:21" ht="12.75" customHeight="1" hidden="1">
      <c r="A124" s="188"/>
      <c r="B124" s="189" t="s">
        <v>115</v>
      </c>
      <c r="C124" s="202"/>
      <c r="D124" s="27" t="s">
        <v>22</v>
      </c>
      <c r="E124" s="51">
        <f t="shared" si="24"/>
        <v>44152.16</v>
      </c>
      <c r="F124" s="51">
        <f>F125+F126+F127+F128</f>
        <v>44152.16</v>
      </c>
      <c r="G124" s="51">
        <f aca="true" t="shared" si="29" ref="G124:L124">G125+G126+G127+G128</f>
        <v>0</v>
      </c>
      <c r="H124" s="51">
        <f t="shared" si="29"/>
        <v>0</v>
      </c>
      <c r="I124" s="51">
        <f t="shared" si="29"/>
        <v>0</v>
      </c>
      <c r="J124" s="51">
        <f t="shared" si="29"/>
        <v>0</v>
      </c>
      <c r="K124" s="51">
        <f t="shared" si="29"/>
        <v>0</v>
      </c>
      <c r="L124" s="51">
        <f t="shared" si="29"/>
        <v>0</v>
      </c>
      <c r="M124" s="190" t="s">
        <v>96</v>
      </c>
      <c r="N124" s="185"/>
      <c r="O124" s="185"/>
      <c r="P124" s="185"/>
      <c r="Q124" s="185"/>
      <c r="R124" s="185"/>
      <c r="S124" s="185"/>
      <c r="T124" s="185"/>
      <c r="U124" s="144"/>
    </row>
    <row r="125" spans="1:21" ht="12.75" customHeight="1" hidden="1">
      <c r="A125" s="188"/>
      <c r="B125" s="189"/>
      <c r="C125" s="142"/>
      <c r="D125" s="27" t="s">
        <v>41</v>
      </c>
      <c r="E125" s="28">
        <f t="shared" si="24"/>
        <v>44152.16</v>
      </c>
      <c r="F125" s="69">
        <v>44152.16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191"/>
      <c r="N125" s="186"/>
      <c r="O125" s="186"/>
      <c r="P125" s="186"/>
      <c r="Q125" s="186"/>
      <c r="R125" s="186"/>
      <c r="S125" s="186"/>
      <c r="T125" s="186"/>
      <c r="U125" s="145"/>
    </row>
    <row r="126" spans="1:21" ht="12.75" customHeight="1" hidden="1">
      <c r="A126" s="188"/>
      <c r="B126" s="189"/>
      <c r="C126" s="142"/>
      <c r="D126" s="27" t="s">
        <v>42</v>
      </c>
      <c r="E126" s="28">
        <f t="shared" si="24"/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191"/>
      <c r="N126" s="186"/>
      <c r="O126" s="186"/>
      <c r="P126" s="186"/>
      <c r="Q126" s="186"/>
      <c r="R126" s="186"/>
      <c r="S126" s="186"/>
      <c r="T126" s="186"/>
      <c r="U126" s="145"/>
    </row>
    <row r="127" spans="1:21" ht="12.75" customHeight="1" hidden="1">
      <c r="A127" s="188"/>
      <c r="B127" s="189"/>
      <c r="C127" s="142"/>
      <c r="D127" s="27" t="s">
        <v>44</v>
      </c>
      <c r="E127" s="28">
        <f t="shared" si="24"/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191"/>
      <c r="N127" s="186"/>
      <c r="O127" s="186"/>
      <c r="P127" s="186"/>
      <c r="Q127" s="186"/>
      <c r="R127" s="186"/>
      <c r="S127" s="186"/>
      <c r="T127" s="186"/>
      <c r="U127" s="145"/>
    </row>
    <row r="128" spans="1:21" ht="12.75" customHeight="1" hidden="1">
      <c r="A128" s="188"/>
      <c r="B128" s="189"/>
      <c r="C128" s="142"/>
      <c r="D128" s="27" t="s">
        <v>45</v>
      </c>
      <c r="E128" s="28">
        <f t="shared" si="24"/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9">
        <v>0</v>
      </c>
      <c r="M128" s="192"/>
      <c r="N128" s="187"/>
      <c r="O128" s="187"/>
      <c r="P128" s="187"/>
      <c r="Q128" s="187"/>
      <c r="R128" s="187"/>
      <c r="S128" s="187"/>
      <c r="T128" s="187"/>
      <c r="U128" s="146"/>
    </row>
    <row r="129" spans="1:21" ht="12.75" customHeight="1" hidden="1">
      <c r="A129" s="188"/>
      <c r="B129" s="143" t="s">
        <v>116</v>
      </c>
      <c r="C129" s="202"/>
      <c r="D129" s="27" t="s">
        <v>22</v>
      </c>
      <c r="E129" s="51">
        <f>F129+G129+H129+I129+J129+K129+L129</f>
        <v>35280.85</v>
      </c>
      <c r="F129" s="51">
        <f>F130+F131+F132+F133</f>
        <v>0</v>
      </c>
      <c r="G129" s="51">
        <f aca="true" t="shared" si="30" ref="G129:L129">G130+G131+G132+G133</f>
        <v>35280.85</v>
      </c>
      <c r="H129" s="51">
        <f t="shared" si="30"/>
        <v>0</v>
      </c>
      <c r="I129" s="51">
        <f t="shared" si="30"/>
        <v>0</v>
      </c>
      <c r="J129" s="51">
        <f t="shared" si="30"/>
        <v>0</v>
      </c>
      <c r="K129" s="51">
        <f t="shared" si="30"/>
        <v>0</v>
      </c>
      <c r="L129" s="51">
        <f t="shared" si="30"/>
        <v>0</v>
      </c>
      <c r="M129" s="190"/>
      <c r="N129" s="185"/>
      <c r="O129" s="185"/>
      <c r="P129" s="185"/>
      <c r="Q129" s="185"/>
      <c r="R129" s="185"/>
      <c r="S129" s="185"/>
      <c r="T129" s="185"/>
      <c r="U129" s="144"/>
    </row>
    <row r="130" spans="1:21" ht="12.75" customHeight="1" hidden="1">
      <c r="A130" s="188"/>
      <c r="B130" s="143"/>
      <c r="C130" s="142"/>
      <c r="D130" s="27" t="s">
        <v>41</v>
      </c>
      <c r="E130" s="28">
        <f>F130+G130+H130+I130+J130+K130+L130</f>
        <v>35280.85</v>
      </c>
      <c r="F130" s="69">
        <v>0</v>
      </c>
      <c r="G130" s="69">
        <v>35280.85</v>
      </c>
      <c r="H130" s="69">
        <v>0</v>
      </c>
      <c r="I130" s="69">
        <v>0</v>
      </c>
      <c r="J130" s="69">
        <v>0</v>
      </c>
      <c r="K130" s="69">
        <v>0</v>
      </c>
      <c r="L130" s="69">
        <v>0</v>
      </c>
      <c r="M130" s="191"/>
      <c r="N130" s="186"/>
      <c r="O130" s="186"/>
      <c r="P130" s="186"/>
      <c r="Q130" s="186"/>
      <c r="R130" s="186"/>
      <c r="S130" s="186"/>
      <c r="T130" s="186"/>
      <c r="U130" s="145"/>
    </row>
    <row r="131" spans="1:21" ht="12.75" customHeight="1" hidden="1">
      <c r="A131" s="188"/>
      <c r="B131" s="143"/>
      <c r="C131" s="142"/>
      <c r="D131" s="27" t="s">
        <v>42</v>
      </c>
      <c r="E131" s="28">
        <f>F131+G131+H131+I131+J131+K131+L131</f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191"/>
      <c r="N131" s="186"/>
      <c r="O131" s="186"/>
      <c r="P131" s="186"/>
      <c r="Q131" s="186"/>
      <c r="R131" s="186"/>
      <c r="S131" s="186"/>
      <c r="T131" s="186"/>
      <c r="U131" s="145"/>
    </row>
    <row r="132" spans="1:21" ht="12.75" customHeight="1" hidden="1">
      <c r="A132" s="188"/>
      <c r="B132" s="143"/>
      <c r="C132" s="142"/>
      <c r="D132" s="27" t="s">
        <v>44</v>
      </c>
      <c r="E132" s="28">
        <f>F132+G132+H132+I132+J132+K132+L132</f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191"/>
      <c r="N132" s="186"/>
      <c r="O132" s="186"/>
      <c r="P132" s="186"/>
      <c r="Q132" s="186"/>
      <c r="R132" s="186"/>
      <c r="S132" s="186"/>
      <c r="T132" s="186"/>
      <c r="U132" s="145"/>
    </row>
    <row r="133" spans="1:21" ht="12.75" customHeight="1" hidden="1">
      <c r="A133" s="188"/>
      <c r="B133" s="143"/>
      <c r="C133" s="142"/>
      <c r="D133" s="27" t="s">
        <v>45</v>
      </c>
      <c r="E133" s="28">
        <f>F133+G133+H133+I133+J133+K133+L133</f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192"/>
      <c r="N133" s="187"/>
      <c r="O133" s="187"/>
      <c r="P133" s="187"/>
      <c r="Q133" s="187"/>
      <c r="R133" s="187"/>
      <c r="S133" s="187"/>
      <c r="T133" s="187"/>
      <c r="U133" s="146"/>
    </row>
    <row r="134" spans="1:21" ht="12.75" customHeight="1" hidden="1">
      <c r="A134" s="188"/>
      <c r="B134" s="189" t="s">
        <v>117</v>
      </c>
      <c r="C134" s="202"/>
      <c r="D134" s="27" t="s">
        <v>22</v>
      </c>
      <c r="E134" s="51">
        <f aca="true" t="shared" si="31" ref="E134:E153">F134+G134+H134+I134+J134+K134+L134</f>
        <v>10451917</v>
      </c>
      <c r="F134" s="51">
        <f>F135+F136+F137+F138</f>
        <v>0</v>
      </c>
      <c r="G134" s="51">
        <f aca="true" t="shared" si="32" ref="G134:L134">G135+G136+G137+G138</f>
        <v>0</v>
      </c>
      <c r="H134" s="51">
        <f t="shared" si="32"/>
        <v>0</v>
      </c>
      <c r="I134" s="51">
        <f t="shared" si="32"/>
        <v>5451917</v>
      </c>
      <c r="J134" s="51">
        <f t="shared" si="32"/>
        <v>5000000</v>
      </c>
      <c r="K134" s="51">
        <f t="shared" si="32"/>
        <v>0</v>
      </c>
      <c r="L134" s="51">
        <f t="shared" si="32"/>
        <v>0</v>
      </c>
      <c r="M134" s="190" t="s">
        <v>118</v>
      </c>
      <c r="N134" s="185"/>
      <c r="O134" s="185"/>
      <c r="P134" s="185"/>
      <c r="Q134" s="185"/>
      <c r="R134" s="185"/>
      <c r="S134" s="185"/>
      <c r="T134" s="185"/>
      <c r="U134" s="144"/>
    </row>
    <row r="135" spans="1:21" ht="12.75" customHeight="1" hidden="1">
      <c r="A135" s="188"/>
      <c r="B135" s="189"/>
      <c r="C135" s="142"/>
      <c r="D135" s="27" t="s">
        <v>41</v>
      </c>
      <c r="E135" s="28">
        <f t="shared" si="31"/>
        <v>10451917</v>
      </c>
      <c r="F135" s="69">
        <v>0</v>
      </c>
      <c r="G135" s="69"/>
      <c r="H135" s="69">
        <v>0</v>
      </c>
      <c r="I135" s="69">
        <v>5451917</v>
      </c>
      <c r="J135" s="69">
        <v>5000000</v>
      </c>
      <c r="K135" s="69">
        <v>0</v>
      </c>
      <c r="L135" s="69">
        <v>0</v>
      </c>
      <c r="M135" s="191"/>
      <c r="N135" s="186"/>
      <c r="O135" s="186"/>
      <c r="P135" s="186"/>
      <c r="Q135" s="186"/>
      <c r="R135" s="186"/>
      <c r="S135" s="186"/>
      <c r="T135" s="186"/>
      <c r="U135" s="145"/>
    </row>
    <row r="136" spans="1:21" ht="12.75" customHeight="1" hidden="1">
      <c r="A136" s="188"/>
      <c r="B136" s="189"/>
      <c r="C136" s="142"/>
      <c r="D136" s="27" t="s">
        <v>42</v>
      </c>
      <c r="E136" s="28">
        <f t="shared" si="31"/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191"/>
      <c r="N136" s="186"/>
      <c r="O136" s="186"/>
      <c r="P136" s="186"/>
      <c r="Q136" s="186"/>
      <c r="R136" s="186"/>
      <c r="S136" s="186"/>
      <c r="T136" s="186"/>
      <c r="U136" s="145"/>
    </row>
    <row r="137" spans="1:21" ht="12.75" customHeight="1" hidden="1">
      <c r="A137" s="188"/>
      <c r="B137" s="189"/>
      <c r="C137" s="142"/>
      <c r="D137" s="27" t="s">
        <v>44</v>
      </c>
      <c r="E137" s="28">
        <f t="shared" si="31"/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191"/>
      <c r="N137" s="186"/>
      <c r="O137" s="186"/>
      <c r="P137" s="186"/>
      <c r="Q137" s="186"/>
      <c r="R137" s="186"/>
      <c r="S137" s="186"/>
      <c r="T137" s="186"/>
      <c r="U137" s="145"/>
    </row>
    <row r="138" spans="1:21" ht="12.75" customHeight="1" hidden="1">
      <c r="A138" s="188"/>
      <c r="B138" s="189"/>
      <c r="C138" s="142"/>
      <c r="D138" s="27" t="s">
        <v>45</v>
      </c>
      <c r="E138" s="28">
        <f t="shared" si="31"/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192"/>
      <c r="N138" s="187"/>
      <c r="O138" s="187"/>
      <c r="P138" s="187"/>
      <c r="Q138" s="187"/>
      <c r="R138" s="187"/>
      <c r="S138" s="187"/>
      <c r="T138" s="187"/>
      <c r="U138" s="146"/>
    </row>
    <row r="139" spans="1:21" ht="12.75" customHeight="1" hidden="1">
      <c r="A139" s="188"/>
      <c r="B139" s="143" t="s">
        <v>119</v>
      </c>
      <c r="C139" s="202"/>
      <c r="D139" s="27" t="s">
        <v>22</v>
      </c>
      <c r="E139" s="51">
        <f t="shared" si="31"/>
        <v>766125.97</v>
      </c>
      <c r="F139" s="51">
        <f>F140+F141+F142+F143</f>
        <v>0</v>
      </c>
      <c r="G139" s="51">
        <f aca="true" t="shared" si="33" ref="G139:L139">G140+G141+G142+G143</f>
        <v>0</v>
      </c>
      <c r="H139" s="51">
        <f t="shared" si="33"/>
        <v>766125.97</v>
      </c>
      <c r="I139" s="51">
        <f t="shared" si="33"/>
        <v>0</v>
      </c>
      <c r="J139" s="51">
        <f t="shared" si="33"/>
        <v>0</v>
      </c>
      <c r="K139" s="51">
        <f t="shared" si="33"/>
        <v>0</v>
      </c>
      <c r="L139" s="51">
        <f t="shared" si="33"/>
        <v>0</v>
      </c>
      <c r="M139" s="52"/>
      <c r="N139" s="53"/>
      <c r="O139" s="53"/>
      <c r="P139" s="53"/>
      <c r="Q139" s="53"/>
      <c r="R139" s="53"/>
      <c r="S139" s="53"/>
      <c r="T139" s="53"/>
      <c r="U139" s="54"/>
    </row>
    <row r="140" spans="1:21" ht="12.75" customHeight="1" hidden="1">
      <c r="A140" s="188"/>
      <c r="B140" s="143"/>
      <c r="C140" s="142"/>
      <c r="D140" s="27" t="s">
        <v>41</v>
      </c>
      <c r="E140" s="28">
        <f t="shared" si="31"/>
        <v>766125.97</v>
      </c>
      <c r="F140" s="69">
        <v>0</v>
      </c>
      <c r="G140" s="69"/>
      <c r="H140" s="28">
        <v>766125.97</v>
      </c>
      <c r="I140" s="28">
        <v>0</v>
      </c>
      <c r="J140" s="69">
        <v>0</v>
      </c>
      <c r="K140" s="69">
        <v>0</v>
      </c>
      <c r="L140" s="69">
        <v>0</v>
      </c>
      <c r="M140" s="52"/>
      <c r="N140" s="53"/>
      <c r="O140" s="53"/>
      <c r="P140" s="53"/>
      <c r="Q140" s="53"/>
      <c r="R140" s="53"/>
      <c r="S140" s="53"/>
      <c r="T140" s="53"/>
      <c r="U140" s="54"/>
    </row>
    <row r="141" spans="1:21" ht="12.75" customHeight="1" hidden="1">
      <c r="A141" s="188"/>
      <c r="B141" s="143"/>
      <c r="C141" s="142"/>
      <c r="D141" s="27" t="s">
        <v>42</v>
      </c>
      <c r="E141" s="28">
        <f t="shared" si="31"/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52"/>
      <c r="N141" s="53"/>
      <c r="O141" s="53"/>
      <c r="P141" s="53"/>
      <c r="Q141" s="53"/>
      <c r="R141" s="53"/>
      <c r="S141" s="53"/>
      <c r="T141" s="53"/>
      <c r="U141" s="54"/>
    </row>
    <row r="142" spans="1:21" ht="12.75" customHeight="1" hidden="1">
      <c r="A142" s="188"/>
      <c r="B142" s="143"/>
      <c r="C142" s="142"/>
      <c r="D142" s="27" t="s">
        <v>44</v>
      </c>
      <c r="E142" s="28">
        <f t="shared" si="31"/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52"/>
      <c r="N142" s="53"/>
      <c r="O142" s="53"/>
      <c r="P142" s="53"/>
      <c r="Q142" s="53"/>
      <c r="R142" s="53"/>
      <c r="S142" s="53"/>
      <c r="T142" s="53"/>
      <c r="U142" s="54"/>
    </row>
    <row r="143" spans="1:21" ht="12.75" customHeight="1" hidden="1">
      <c r="A143" s="188"/>
      <c r="B143" s="143"/>
      <c r="C143" s="142"/>
      <c r="D143" s="27" t="s">
        <v>45</v>
      </c>
      <c r="E143" s="28">
        <f t="shared" si="31"/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52"/>
      <c r="N143" s="53"/>
      <c r="O143" s="53"/>
      <c r="P143" s="53"/>
      <c r="Q143" s="53"/>
      <c r="R143" s="53"/>
      <c r="S143" s="53"/>
      <c r="T143" s="53"/>
      <c r="U143" s="54"/>
    </row>
    <row r="144" spans="1:21" ht="12.75" customHeight="1" hidden="1">
      <c r="A144" s="188"/>
      <c r="B144" s="143" t="s">
        <v>120</v>
      </c>
      <c r="C144" s="202"/>
      <c r="D144" s="27" t="s">
        <v>22</v>
      </c>
      <c r="E144" s="51">
        <f t="shared" si="31"/>
        <v>600000</v>
      </c>
      <c r="F144" s="51">
        <f>F145+F146+F147+F148</f>
        <v>0</v>
      </c>
      <c r="G144" s="51">
        <f aca="true" t="shared" si="34" ref="G144:L144">G145+G146+G147+G148</f>
        <v>0</v>
      </c>
      <c r="H144" s="51">
        <f t="shared" si="34"/>
        <v>600000</v>
      </c>
      <c r="I144" s="51">
        <f t="shared" si="34"/>
        <v>0</v>
      </c>
      <c r="J144" s="51">
        <f t="shared" si="34"/>
        <v>0</v>
      </c>
      <c r="K144" s="51">
        <f t="shared" si="34"/>
        <v>0</v>
      </c>
      <c r="L144" s="51">
        <f t="shared" si="34"/>
        <v>0</v>
      </c>
      <c r="M144" s="52"/>
      <c r="N144" s="53"/>
      <c r="O144" s="53"/>
      <c r="P144" s="53"/>
      <c r="Q144" s="53"/>
      <c r="R144" s="53"/>
      <c r="S144" s="53"/>
      <c r="T144" s="53"/>
      <c r="U144" s="54"/>
    </row>
    <row r="145" spans="1:21" ht="12.75" customHeight="1" hidden="1">
      <c r="A145" s="188"/>
      <c r="B145" s="143"/>
      <c r="C145" s="142"/>
      <c r="D145" s="27" t="s">
        <v>41</v>
      </c>
      <c r="E145" s="28">
        <f t="shared" si="31"/>
        <v>600000</v>
      </c>
      <c r="F145" s="69">
        <v>0</v>
      </c>
      <c r="G145" s="69"/>
      <c r="H145" s="28">
        <v>600000</v>
      </c>
      <c r="I145" s="28">
        <v>0</v>
      </c>
      <c r="J145" s="69">
        <v>0</v>
      </c>
      <c r="K145" s="69">
        <v>0</v>
      </c>
      <c r="L145" s="69">
        <v>0</v>
      </c>
      <c r="M145" s="52"/>
      <c r="N145" s="53"/>
      <c r="O145" s="53"/>
      <c r="P145" s="53"/>
      <c r="Q145" s="53"/>
      <c r="R145" s="53"/>
      <c r="S145" s="53"/>
      <c r="T145" s="53"/>
      <c r="U145" s="54"/>
    </row>
    <row r="146" spans="1:21" ht="12.75" customHeight="1" hidden="1">
      <c r="A146" s="188"/>
      <c r="B146" s="143"/>
      <c r="C146" s="142"/>
      <c r="D146" s="27" t="s">
        <v>42</v>
      </c>
      <c r="E146" s="28">
        <f t="shared" si="31"/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52"/>
      <c r="N146" s="53"/>
      <c r="O146" s="53"/>
      <c r="P146" s="53"/>
      <c r="Q146" s="53"/>
      <c r="R146" s="53"/>
      <c r="S146" s="53"/>
      <c r="T146" s="53"/>
      <c r="U146" s="54"/>
    </row>
    <row r="147" spans="1:21" ht="12.75" customHeight="1" hidden="1">
      <c r="A147" s="188"/>
      <c r="B147" s="143"/>
      <c r="C147" s="142"/>
      <c r="D147" s="27" t="s">
        <v>44</v>
      </c>
      <c r="E147" s="28">
        <f t="shared" si="31"/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52"/>
      <c r="N147" s="53"/>
      <c r="O147" s="53"/>
      <c r="P147" s="53"/>
      <c r="Q147" s="53"/>
      <c r="R147" s="53"/>
      <c r="S147" s="53"/>
      <c r="T147" s="53"/>
      <c r="U147" s="54"/>
    </row>
    <row r="148" spans="1:21" ht="12.75" customHeight="1" hidden="1">
      <c r="A148" s="188"/>
      <c r="B148" s="143"/>
      <c r="C148" s="142"/>
      <c r="D148" s="27" t="s">
        <v>45</v>
      </c>
      <c r="E148" s="28">
        <f t="shared" si="31"/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52"/>
      <c r="N148" s="53"/>
      <c r="O148" s="53"/>
      <c r="P148" s="53"/>
      <c r="Q148" s="53"/>
      <c r="R148" s="53"/>
      <c r="S148" s="53"/>
      <c r="T148" s="53"/>
      <c r="U148" s="54"/>
    </row>
    <row r="149" spans="1:21" ht="12.75" customHeight="1">
      <c r="A149" s="181" t="s">
        <v>121</v>
      </c>
      <c r="B149" s="201" t="s">
        <v>122</v>
      </c>
      <c r="C149" s="181" t="s">
        <v>75</v>
      </c>
      <c r="D149" s="24" t="s">
        <v>22</v>
      </c>
      <c r="E149" s="25">
        <f t="shared" si="31"/>
        <v>600000</v>
      </c>
      <c r="F149" s="25">
        <v>0</v>
      </c>
      <c r="G149" s="25">
        <f aca="true" t="shared" si="35" ref="G149:L149">G150+G151+G152+G153</f>
        <v>600000</v>
      </c>
      <c r="H149" s="25">
        <f t="shared" si="35"/>
        <v>0</v>
      </c>
      <c r="I149" s="25">
        <f t="shared" si="35"/>
        <v>0</v>
      </c>
      <c r="J149" s="25">
        <f t="shared" si="35"/>
        <v>0</v>
      </c>
      <c r="K149" s="25">
        <f t="shared" si="35"/>
        <v>0</v>
      </c>
      <c r="L149" s="25">
        <f t="shared" si="35"/>
        <v>0</v>
      </c>
      <c r="M149" s="182" t="s">
        <v>123</v>
      </c>
      <c r="N149" s="173"/>
      <c r="O149" s="173">
        <v>1</v>
      </c>
      <c r="P149" s="173"/>
      <c r="Q149" s="173"/>
      <c r="R149" s="173"/>
      <c r="S149" s="173"/>
      <c r="T149" s="173"/>
      <c r="U149" s="176" t="s">
        <v>124</v>
      </c>
    </row>
    <row r="150" spans="1:21" ht="43.5" customHeight="1">
      <c r="A150" s="181"/>
      <c r="B150" s="201"/>
      <c r="C150" s="181"/>
      <c r="D150" s="24" t="s">
        <v>41</v>
      </c>
      <c r="E150" s="25">
        <f t="shared" si="31"/>
        <v>600000</v>
      </c>
      <c r="F150" s="25">
        <v>0</v>
      </c>
      <c r="G150" s="25">
        <v>600000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183"/>
      <c r="N150" s="174"/>
      <c r="O150" s="174"/>
      <c r="P150" s="174"/>
      <c r="Q150" s="174"/>
      <c r="R150" s="174"/>
      <c r="S150" s="174"/>
      <c r="T150" s="174"/>
      <c r="U150" s="177"/>
    </row>
    <row r="151" spans="1:21" ht="12.75" customHeight="1" hidden="1">
      <c r="A151" s="181"/>
      <c r="B151" s="201"/>
      <c r="C151" s="181"/>
      <c r="D151" s="24" t="s">
        <v>42</v>
      </c>
      <c r="E151" s="25">
        <f t="shared" si="31"/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183"/>
      <c r="N151" s="174"/>
      <c r="O151" s="174"/>
      <c r="P151" s="174"/>
      <c r="Q151" s="174"/>
      <c r="R151" s="174"/>
      <c r="S151" s="174"/>
      <c r="T151" s="174"/>
      <c r="U151" s="177"/>
    </row>
    <row r="152" spans="1:21" ht="12.75" customHeight="1" hidden="1">
      <c r="A152" s="181"/>
      <c r="B152" s="201"/>
      <c r="C152" s="181"/>
      <c r="D152" s="24" t="s">
        <v>44</v>
      </c>
      <c r="E152" s="25">
        <f t="shared" si="31"/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183"/>
      <c r="N152" s="174"/>
      <c r="O152" s="174"/>
      <c r="P152" s="174"/>
      <c r="Q152" s="174"/>
      <c r="R152" s="174"/>
      <c r="S152" s="174"/>
      <c r="T152" s="174"/>
      <c r="U152" s="177"/>
    </row>
    <row r="153" spans="1:21" ht="12.75" customHeight="1" hidden="1">
      <c r="A153" s="181"/>
      <c r="B153" s="201"/>
      <c r="C153" s="181"/>
      <c r="D153" s="24" t="s">
        <v>45</v>
      </c>
      <c r="E153" s="25">
        <f t="shared" si="31"/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184"/>
      <c r="N153" s="175"/>
      <c r="O153" s="175"/>
      <c r="P153" s="175"/>
      <c r="Q153" s="175"/>
      <c r="R153" s="175"/>
      <c r="S153" s="175"/>
      <c r="T153" s="175"/>
      <c r="U153" s="178"/>
    </row>
    <row r="154" spans="1:21" ht="12.75" customHeight="1">
      <c r="A154" s="181" t="s">
        <v>125</v>
      </c>
      <c r="B154" s="201" t="s">
        <v>126</v>
      </c>
      <c r="C154" s="181" t="s">
        <v>75</v>
      </c>
      <c r="D154" s="24" t="s">
        <v>22</v>
      </c>
      <c r="E154" s="25">
        <f>F154+G154+H154+I154+J154+K154+L154</f>
        <v>8136192.32</v>
      </c>
      <c r="F154" s="25">
        <f aca="true" t="shared" si="36" ref="F154:L154">F155+F156+F157+F158</f>
        <v>577624.27</v>
      </c>
      <c r="G154" s="25">
        <f t="shared" si="36"/>
        <v>851153.62</v>
      </c>
      <c r="H154" s="25">
        <f t="shared" si="36"/>
        <v>2936558.43</v>
      </c>
      <c r="I154" s="25">
        <f t="shared" si="36"/>
        <v>942714</v>
      </c>
      <c r="J154" s="25">
        <f t="shared" si="36"/>
        <v>942714</v>
      </c>
      <c r="K154" s="25">
        <f t="shared" si="36"/>
        <v>942714</v>
      </c>
      <c r="L154" s="25">
        <f t="shared" si="36"/>
        <v>942714</v>
      </c>
      <c r="M154" s="182" t="s">
        <v>127</v>
      </c>
      <c r="N154" s="173">
        <v>2</v>
      </c>
      <c r="O154" s="173">
        <v>2</v>
      </c>
      <c r="P154" s="173">
        <v>3</v>
      </c>
      <c r="Q154" s="173">
        <v>2</v>
      </c>
      <c r="R154" s="173">
        <v>2</v>
      </c>
      <c r="S154" s="173">
        <v>2</v>
      </c>
      <c r="T154" s="173">
        <v>2</v>
      </c>
      <c r="U154" s="176" t="s">
        <v>53</v>
      </c>
    </row>
    <row r="155" spans="1:21" ht="12.75">
      <c r="A155" s="181"/>
      <c r="B155" s="201"/>
      <c r="C155" s="181"/>
      <c r="D155" s="24" t="s">
        <v>41</v>
      </c>
      <c r="E155" s="25">
        <f aca="true" t="shared" si="37" ref="E155:E173">F155+G155+H155+I155+J155+K155+L155</f>
        <v>8136192.32</v>
      </c>
      <c r="F155" s="25">
        <f>F160+F165</f>
        <v>577624.27</v>
      </c>
      <c r="G155" s="25">
        <f>G160+G165</f>
        <v>851153.62</v>
      </c>
      <c r="H155" s="25">
        <f>H170+H175+H160</f>
        <v>2936558.43</v>
      </c>
      <c r="I155" s="25">
        <f>I160+I165</f>
        <v>942714</v>
      </c>
      <c r="J155" s="25">
        <f>J160+J165</f>
        <v>942714</v>
      </c>
      <c r="K155" s="25">
        <f>K160+K165</f>
        <v>942714</v>
      </c>
      <c r="L155" s="25">
        <f>L160+L165</f>
        <v>942714</v>
      </c>
      <c r="M155" s="183"/>
      <c r="N155" s="174"/>
      <c r="O155" s="174"/>
      <c r="P155" s="174"/>
      <c r="Q155" s="174"/>
      <c r="R155" s="174"/>
      <c r="S155" s="174"/>
      <c r="T155" s="174"/>
      <c r="U155" s="177"/>
    </row>
    <row r="156" spans="1:21" ht="12.75" customHeight="1">
      <c r="A156" s="181"/>
      <c r="B156" s="201"/>
      <c r="C156" s="181"/>
      <c r="D156" s="24" t="s">
        <v>42</v>
      </c>
      <c r="E156" s="25">
        <f t="shared" si="37"/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183"/>
      <c r="N156" s="174"/>
      <c r="O156" s="174"/>
      <c r="P156" s="174"/>
      <c r="Q156" s="174"/>
      <c r="R156" s="174"/>
      <c r="S156" s="174"/>
      <c r="T156" s="174"/>
      <c r="U156" s="177"/>
    </row>
    <row r="157" spans="1:21" ht="12.75" customHeight="1">
      <c r="A157" s="181"/>
      <c r="B157" s="201"/>
      <c r="C157" s="181"/>
      <c r="D157" s="24" t="s">
        <v>44</v>
      </c>
      <c r="E157" s="25">
        <f t="shared" si="37"/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183"/>
      <c r="N157" s="174"/>
      <c r="O157" s="174"/>
      <c r="P157" s="174"/>
      <c r="Q157" s="174"/>
      <c r="R157" s="174"/>
      <c r="S157" s="174"/>
      <c r="T157" s="174"/>
      <c r="U157" s="177"/>
    </row>
    <row r="158" spans="1:21" ht="12.75" customHeight="1">
      <c r="A158" s="181"/>
      <c r="B158" s="201"/>
      <c r="C158" s="181"/>
      <c r="D158" s="24" t="s">
        <v>45</v>
      </c>
      <c r="E158" s="25">
        <f t="shared" si="37"/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184"/>
      <c r="N158" s="175"/>
      <c r="O158" s="175"/>
      <c r="P158" s="175"/>
      <c r="Q158" s="175"/>
      <c r="R158" s="175"/>
      <c r="S158" s="175"/>
      <c r="T158" s="175"/>
      <c r="U158" s="178"/>
    </row>
    <row r="159" spans="1:21" ht="12.75" hidden="1">
      <c r="A159" s="142"/>
      <c r="B159" s="143" t="s">
        <v>128</v>
      </c>
      <c r="C159" s="190"/>
      <c r="D159" s="27" t="s">
        <v>22</v>
      </c>
      <c r="E159" s="51">
        <f t="shared" si="37"/>
        <v>5851423.32</v>
      </c>
      <c r="F159" s="51">
        <f aca="true" t="shared" si="38" ref="F159:L159">F160+F161+F162+F163</f>
        <v>522855.27</v>
      </c>
      <c r="G159" s="51">
        <f t="shared" si="38"/>
        <v>821153.62</v>
      </c>
      <c r="H159" s="51">
        <f t="shared" si="38"/>
        <v>936558.43</v>
      </c>
      <c r="I159" s="51">
        <f t="shared" si="38"/>
        <v>892714</v>
      </c>
      <c r="J159" s="51">
        <f t="shared" si="38"/>
        <v>892714</v>
      </c>
      <c r="K159" s="51">
        <f t="shared" si="38"/>
        <v>892714</v>
      </c>
      <c r="L159" s="51">
        <f t="shared" si="38"/>
        <v>892714</v>
      </c>
      <c r="M159" s="190" t="s">
        <v>88</v>
      </c>
      <c r="N159" s="185"/>
      <c r="O159" s="185">
        <v>2</v>
      </c>
      <c r="P159" s="185">
        <v>2</v>
      </c>
      <c r="Q159" s="185"/>
      <c r="R159" s="185"/>
      <c r="S159" s="185"/>
      <c r="T159" s="185"/>
      <c r="U159" s="144"/>
    </row>
    <row r="160" spans="1:21" ht="12.75" hidden="1">
      <c r="A160" s="142"/>
      <c r="B160" s="143"/>
      <c r="C160" s="191"/>
      <c r="D160" s="27" t="s">
        <v>41</v>
      </c>
      <c r="E160" s="28">
        <f t="shared" si="37"/>
        <v>5851423.32</v>
      </c>
      <c r="F160" s="28">
        <v>522855.27</v>
      </c>
      <c r="G160" s="28">
        <v>821153.62</v>
      </c>
      <c r="H160" s="28">
        <v>936558.43</v>
      </c>
      <c r="I160" s="28">
        <v>892714</v>
      </c>
      <c r="J160" s="28">
        <v>892714</v>
      </c>
      <c r="K160" s="28">
        <v>892714</v>
      </c>
      <c r="L160" s="28">
        <v>892714</v>
      </c>
      <c r="M160" s="191"/>
      <c r="N160" s="186"/>
      <c r="O160" s="186"/>
      <c r="P160" s="186"/>
      <c r="Q160" s="186"/>
      <c r="R160" s="186"/>
      <c r="S160" s="186"/>
      <c r="T160" s="186"/>
      <c r="U160" s="145"/>
    </row>
    <row r="161" spans="1:21" ht="12.75" hidden="1">
      <c r="A161" s="142"/>
      <c r="B161" s="143"/>
      <c r="C161" s="191"/>
      <c r="D161" s="27" t="s">
        <v>42</v>
      </c>
      <c r="E161" s="28">
        <f t="shared" si="37"/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191"/>
      <c r="N161" s="186"/>
      <c r="O161" s="186"/>
      <c r="P161" s="186"/>
      <c r="Q161" s="186"/>
      <c r="R161" s="186"/>
      <c r="S161" s="186"/>
      <c r="T161" s="186"/>
      <c r="U161" s="145"/>
    </row>
    <row r="162" spans="1:21" ht="12.75" hidden="1">
      <c r="A162" s="142"/>
      <c r="B162" s="143"/>
      <c r="C162" s="191"/>
      <c r="D162" s="27" t="s">
        <v>44</v>
      </c>
      <c r="E162" s="28">
        <f t="shared" si="37"/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191"/>
      <c r="N162" s="186"/>
      <c r="O162" s="186"/>
      <c r="P162" s="186"/>
      <c r="Q162" s="186"/>
      <c r="R162" s="186"/>
      <c r="S162" s="186"/>
      <c r="T162" s="186"/>
      <c r="U162" s="145"/>
    </row>
    <row r="163" spans="1:21" ht="12.75" hidden="1">
      <c r="A163" s="142"/>
      <c r="B163" s="143"/>
      <c r="C163" s="192"/>
      <c r="D163" s="27" t="s">
        <v>45</v>
      </c>
      <c r="E163" s="28">
        <f t="shared" si="37"/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192"/>
      <c r="N163" s="187"/>
      <c r="O163" s="187"/>
      <c r="P163" s="187"/>
      <c r="Q163" s="187"/>
      <c r="R163" s="187"/>
      <c r="S163" s="187"/>
      <c r="T163" s="187"/>
      <c r="U163" s="146"/>
    </row>
    <row r="164" spans="1:21" ht="12.75" hidden="1">
      <c r="A164" s="142"/>
      <c r="B164" s="143" t="s">
        <v>129</v>
      </c>
      <c r="C164" s="190"/>
      <c r="D164" s="27" t="s">
        <v>22</v>
      </c>
      <c r="E164" s="51">
        <f t="shared" si="37"/>
        <v>284769</v>
      </c>
      <c r="F164" s="51">
        <f aca="true" t="shared" si="39" ref="F164:L164">F165+F166+F167+F168</f>
        <v>54769</v>
      </c>
      <c r="G164" s="51">
        <f t="shared" si="39"/>
        <v>30000</v>
      </c>
      <c r="H164" s="51">
        <f t="shared" si="39"/>
        <v>0</v>
      </c>
      <c r="I164" s="51">
        <f t="shared" si="39"/>
        <v>50000</v>
      </c>
      <c r="J164" s="51">
        <f t="shared" si="39"/>
        <v>50000</v>
      </c>
      <c r="K164" s="51">
        <f t="shared" si="39"/>
        <v>50000</v>
      </c>
      <c r="L164" s="51">
        <f t="shared" si="39"/>
        <v>50000</v>
      </c>
      <c r="M164" s="190" t="s">
        <v>130</v>
      </c>
      <c r="N164" s="185"/>
      <c r="O164" s="185"/>
      <c r="P164" s="185"/>
      <c r="Q164" s="185"/>
      <c r="R164" s="185"/>
      <c r="S164" s="185"/>
      <c r="T164" s="185"/>
      <c r="U164" s="144"/>
    </row>
    <row r="165" spans="1:21" ht="12.75" hidden="1">
      <c r="A165" s="142"/>
      <c r="B165" s="143"/>
      <c r="C165" s="191"/>
      <c r="D165" s="27" t="s">
        <v>41</v>
      </c>
      <c r="E165" s="28">
        <f t="shared" si="37"/>
        <v>284769</v>
      </c>
      <c r="F165" s="28">
        <f>84600-29831</f>
        <v>54769</v>
      </c>
      <c r="G165" s="28">
        <v>30000</v>
      </c>
      <c r="H165" s="28">
        <v>0</v>
      </c>
      <c r="I165" s="28">
        <v>50000</v>
      </c>
      <c r="J165" s="28">
        <v>50000</v>
      </c>
      <c r="K165" s="28">
        <v>50000</v>
      </c>
      <c r="L165" s="28">
        <v>50000</v>
      </c>
      <c r="M165" s="191"/>
      <c r="N165" s="186"/>
      <c r="O165" s="186"/>
      <c r="P165" s="186"/>
      <c r="Q165" s="186"/>
      <c r="R165" s="186"/>
      <c r="S165" s="186"/>
      <c r="T165" s="186"/>
      <c r="U165" s="145"/>
    </row>
    <row r="166" spans="1:21" ht="12.75" hidden="1">
      <c r="A166" s="142"/>
      <c r="B166" s="143"/>
      <c r="C166" s="191"/>
      <c r="D166" s="27" t="s">
        <v>42</v>
      </c>
      <c r="E166" s="28">
        <f t="shared" si="37"/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191"/>
      <c r="N166" s="186"/>
      <c r="O166" s="186"/>
      <c r="P166" s="186"/>
      <c r="Q166" s="186"/>
      <c r="R166" s="186"/>
      <c r="S166" s="186"/>
      <c r="T166" s="186"/>
      <c r="U166" s="145"/>
    </row>
    <row r="167" spans="1:21" ht="12.75" hidden="1">
      <c r="A167" s="142"/>
      <c r="B167" s="143"/>
      <c r="C167" s="191"/>
      <c r="D167" s="27" t="s">
        <v>44</v>
      </c>
      <c r="E167" s="28">
        <f t="shared" si="37"/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191"/>
      <c r="N167" s="186"/>
      <c r="O167" s="186"/>
      <c r="P167" s="186"/>
      <c r="Q167" s="186"/>
      <c r="R167" s="186"/>
      <c r="S167" s="186"/>
      <c r="T167" s="186"/>
      <c r="U167" s="145"/>
    </row>
    <row r="168" spans="1:21" ht="12.75" hidden="1">
      <c r="A168" s="142"/>
      <c r="B168" s="143"/>
      <c r="C168" s="192"/>
      <c r="D168" s="27" t="s">
        <v>45</v>
      </c>
      <c r="E168" s="28">
        <f t="shared" si="37"/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192"/>
      <c r="N168" s="187"/>
      <c r="O168" s="187"/>
      <c r="P168" s="187"/>
      <c r="Q168" s="187"/>
      <c r="R168" s="187"/>
      <c r="S168" s="187"/>
      <c r="T168" s="187"/>
      <c r="U168" s="146"/>
    </row>
    <row r="169" spans="1:21" ht="12.75" hidden="1">
      <c r="A169" s="142"/>
      <c r="B169" s="143" t="s">
        <v>126</v>
      </c>
      <c r="C169" s="190"/>
      <c r="D169" s="27" t="s">
        <v>22</v>
      </c>
      <c r="E169" s="51">
        <f t="shared" si="37"/>
        <v>0</v>
      </c>
      <c r="F169" s="51">
        <f aca="true" t="shared" si="40" ref="F169:L169">F170+F171+F172+F173</f>
        <v>0</v>
      </c>
      <c r="G169" s="51">
        <f t="shared" si="40"/>
        <v>0</v>
      </c>
      <c r="H169" s="51">
        <f t="shared" si="40"/>
        <v>0</v>
      </c>
      <c r="I169" s="51">
        <f t="shared" si="40"/>
        <v>0</v>
      </c>
      <c r="J169" s="51">
        <f t="shared" si="40"/>
        <v>0</v>
      </c>
      <c r="K169" s="51">
        <f t="shared" si="40"/>
        <v>0</v>
      </c>
      <c r="L169" s="51">
        <f t="shared" si="40"/>
        <v>0</v>
      </c>
      <c r="M169" s="190"/>
      <c r="N169" s="185"/>
      <c r="O169" s="185"/>
      <c r="P169" s="185"/>
      <c r="Q169" s="185"/>
      <c r="R169" s="185"/>
      <c r="S169" s="185"/>
      <c r="T169" s="185"/>
      <c r="U169" s="144"/>
    </row>
    <row r="170" spans="1:21" ht="12.75" hidden="1">
      <c r="A170" s="142"/>
      <c r="B170" s="143"/>
      <c r="C170" s="191"/>
      <c r="D170" s="27" t="s">
        <v>41</v>
      </c>
      <c r="E170" s="28">
        <f t="shared" si="37"/>
        <v>0</v>
      </c>
      <c r="F170" s="28">
        <v>0</v>
      </c>
      <c r="G170" s="28">
        <v>0</v>
      </c>
      <c r="H170" s="28"/>
      <c r="I170" s="28">
        <v>0</v>
      </c>
      <c r="J170" s="28">
        <v>0</v>
      </c>
      <c r="K170" s="28">
        <v>0</v>
      </c>
      <c r="L170" s="28">
        <v>0</v>
      </c>
      <c r="M170" s="191"/>
      <c r="N170" s="186"/>
      <c r="O170" s="186"/>
      <c r="P170" s="186"/>
      <c r="Q170" s="186"/>
      <c r="R170" s="186"/>
      <c r="S170" s="186"/>
      <c r="T170" s="186"/>
      <c r="U170" s="145"/>
    </row>
    <row r="171" spans="1:21" ht="12.75" hidden="1">
      <c r="A171" s="142"/>
      <c r="B171" s="143"/>
      <c r="C171" s="191"/>
      <c r="D171" s="27" t="s">
        <v>42</v>
      </c>
      <c r="E171" s="28">
        <f t="shared" si="37"/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191"/>
      <c r="N171" s="186"/>
      <c r="O171" s="186"/>
      <c r="P171" s="186"/>
      <c r="Q171" s="186"/>
      <c r="R171" s="186"/>
      <c r="S171" s="186"/>
      <c r="T171" s="186"/>
      <c r="U171" s="145"/>
    </row>
    <row r="172" spans="1:21" ht="12.75" hidden="1">
      <c r="A172" s="142"/>
      <c r="B172" s="143"/>
      <c r="C172" s="191"/>
      <c r="D172" s="27" t="s">
        <v>44</v>
      </c>
      <c r="E172" s="28">
        <f t="shared" si="37"/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191"/>
      <c r="N172" s="186"/>
      <c r="O172" s="186"/>
      <c r="P172" s="186"/>
      <c r="Q172" s="186"/>
      <c r="R172" s="186"/>
      <c r="S172" s="186"/>
      <c r="T172" s="186"/>
      <c r="U172" s="145"/>
    </row>
    <row r="173" spans="1:21" ht="12.75" hidden="1">
      <c r="A173" s="142"/>
      <c r="B173" s="143"/>
      <c r="C173" s="192"/>
      <c r="D173" s="27" t="s">
        <v>45</v>
      </c>
      <c r="E173" s="28">
        <f t="shared" si="37"/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192"/>
      <c r="N173" s="187"/>
      <c r="O173" s="187"/>
      <c r="P173" s="187"/>
      <c r="Q173" s="187"/>
      <c r="R173" s="187"/>
      <c r="S173" s="187"/>
      <c r="T173" s="187"/>
      <c r="U173" s="146"/>
    </row>
    <row r="174" spans="1:21" ht="12.75" hidden="1">
      <c r="A174" s="142"/>
      <c r="B174" s="143" t="s">
        <v>126</v>
      </c>
      <c r="C174" s="190"/>
      <c r="D174" s="27" t="s">
        <v>22</v>
      </c>
      <c r="E174" s="51">
        <f>F174+G174+H174+I174+J174+K174+L174</f>
        <v>2000000</v>
      </c>
      <c r="F174" s="51">
        <f aca="true" t="shared" si="41" ref="F174:L174">F175+F176+F177+F178</f>
        <v>0</v>
      </c>
      <c r="G174" s="51">
        <f t="shared" si="41"/>
        <v>0</v>
      </c>
      <c r="H174" s="51">
        <f t="shared" si="41"/>
        <v>2000000</v>
      </c>
      <c r="I174" s="51">
        <f t="shared" si="41"/>
        <v>0</v>
      </c>
      <c r="J174" s="51">
        <f t="shared" si="41"/>
        <v>0</v>
      </c>
      <c r="K174" s="51">
        <f t="shared" si="41"/>
        <v>0</v>
      </c>
      <c r="L174" s="51">
        <f t="shared" si="41"/>
        <v>0</v>
      </c>
      <c r="M174" s="190"/>
      <c r="N174" s="185"/>
      <c r="O174" s="185"/>
      <c r="P174" s="185">
        <v>1</v>
      </c>
      <c r="Q174" s="185"/>
      <c r="R174" s="185"/>
      <c r="S174" s="185"/>
      <c r="T174" s="185"/>
      <c r="U174" s="144"/>
    </row>
    <row r="175" spans="1:21" ht="12.75" hidden="1">
      <c r="A175" s="142"/>
      <c r="B175" s="143"/>
      <c r="C175" s="191"/>
      <c r="D175" s="27" t="s">
        <v>41</v>
      </c>
      <c r="E175" s="28">
        <f>F175+G175+H175+I175+J175+K175+L175</f>
        <v>2000000</v>
      </c>
      <c r="F175" s="28">
        <v>0</v>
      </c>
      <c r="G175" s="28">
        <v>0</v>
      </c>
      <c r="H175" s="28">
        <f>18614556-16614556</f>
        <v>2000000</v>
      </c>
      <c r="I175" s="28">
        <v>0</v>
      </c>
      <c r="J175" s="28">
        <v>0</v>
      </c>
      <c r="K175" s="28">
        <v>0</v>
      </c>
      <c r="L175" s="28">
        <v>0</v>
      </c>
      <c r="M175" s="191"/>
      <c r="N175" s="186"/>
      <c r="O175" s="186"/>
      <c r="P175" s="186"/>
      <c r="Q175" s="186"/>
      <c r="R175" s="186"/>
      <c r="S175" s="186"/>
      <c r="T175" s="186"/>
      <c r="U175" s="145"/>
    </row>
    <row r="176" spans="1:21" ht="12.75" hidden="1">
      <c r="A176" s="142"/>
      <c r="B176" s="143"/>
      <c r="C176" s="191"/>
      <c r="D176" s="27" t="s">
        <v>42</v>
      </c>
      <c r="E176" s="28">
        <f>F176+G176+H176+I176+J176+K176+L176</f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191"/>
      <c r="N176" s="186"/>
      <c r="O176" s="186"/>
      <c r="P176" s="186"/>
      <c r="Q176" s="186"/>
      <c r="R176" s="186"/>
      <c r="S176" s="186"/>
      <c r="T176" s="186"/>
      <c r="U176" s="145"/>
    </row>
    <row r="177" spans="1:21" ht="12.75" hidden="1">
      <c r="A177" s="142"/>
      <c r="B177" s="143"/>
      <c r="C177" s="191"/>
      <c r="D177" s="27" t="s">
        <v>44</v>
      </c>
      <c r="E177" s="28">
        <f>F177+G177+H177+I177+J177+K177+L177</f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191"/>
      <c r="N177" s="186"/>
      <c r="O177" s="186"/>
      <c r="P177" s="186"/>
      <c r="Q177" s="186"/>
      <c r="R177" s="186"/>
      <c r="S177" s="186"/>
      <c r="T177" s="186"/>
      <c r="U177" s="145"/>
    </row>
    <row r="178" spans="1:21" ht="12.75" hidden="1">
      <c r="A178" s="142"/>
      <c r="B178" s="143"/>
      <c r="C178" s="192"/>
      <c r="D178" s="27" t="s">
        <v>45</v>
      </c>
      <c r="E178" s="28">
        <f>F178+G178+H178+I178+J178+K178+L178</f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192"/>
      <c r="N178" s="187"/>
      <c r="O178" s="187"/>
      <c r="P178" s="187"/>
      <c r="Q178" s="187"/>
      <c r="R178" s="187"/>
      <c r="S178" s="187"/>
      <c r="T178" s="187"/>
      <c r="U178" s="146"/>
    </row>
    <row r="179" spans="1:21" ht="12.75">
      <c r="A179" s="133"/>
      <c r="B179" s="134" t="s">
        <v>46</v>
      </c>
      <c r="C179" s="133"/>
      <c r="D179" s="29" t="s">
        <v>22</v>
      </c>
      <c r="E179" s="30">
        <f aca="true" t="shared" si="42" ref="E179:L179">E181+E182+E183+E184</f>
        <v>199736909.89000002</v>
      </c>
      <c r="F179" s="30">
        <f t="shared" si="42"/>
        <v>27155290.590000004</v>
      </c>
      <c r="G179" s="30">
        <f t="shared" si="42"/>
        <v>32302743.5</v>
      </c>
      <c r="H179" s="30">
        <f t="shared" si="42"/>
        <v>30941921.32</v>
      </c>
      <c r="I179" s="30">
        <f t="shared" si="42"/>
        <v>30173176.369999997</v>
      </c>
      <c r="J179" s="30">
        <f t="shared" si="42"/>
        <v>29721259.369999997</v>
      </c>
      <c r="K179" s="30">
        <f t="shared" si="42"/>
        <v>24721259.369999997</v>
      </c>
      <c r="L179" s="30">
        <f t="shared" si="42"/>
        <v>24721259.369999997</v>
      </c>
      <c r="M179" s="135"/>
      <c r="N179" s="113"/>
      <c r="O179" s="113"/>
      <c r="P179" s="113"/>
      <c r="Q179" s="113"/>
      <c r="R179" s="113"/>
      <c r="S179" s="113"/>
      <c r="T179" s="113"/>
      <c r="U179" s="116"/>
    </row>
    <row r="180" spans="1:21" ht="12.75">
      <c r="A180" s="133"/>
      <c r="B180" s="134"/>
      <c r="C180" s="133"/>
      <c r="D180" s="138" t="s">
        <v>47</v>
      </c>
      <c r="E180" s="139"/>
      <c r="F180" s="139"/>
      <c r="G180" s="139"/>
      <c r="H180" s="139"/>
      <c r="I180" s="139"/>
      <c r="J180" s="139"/>
      <c r="K180" s="139"/>
      <c r="L180" s="140"/>
      <c r="M180" s="136"/>
      <c r="N180" s="114"/>
      <c r="O180" s="114"/>
      <c r="P180" s="114"/>
      <c r="Q180" s="114"/>
      <c r="R180" s="114"/>
      <c r="S180" s="114"/>
      <c r="T180" s="114"/>
      <c r="U180" s="117"/>
    </row>
    <row r="181" spans="1:21" ht="12.75">
      <c r="A181" s="133"/>
      <c r="B181" s="134"/>
      <c r="C181" s="133"/>
      <c r="D181" s="31" t="s">
        <v>41</v>
      </c>
      <c r="E181" s="30">
        <f>F181+G181+H181+I181+J181+K181+L181</f>
        <v>199736909.89000002</v>
      </c>
      <c r="F181" s="32">
        <f>F10+F40+F155+F107</f>
        <v>27155290.590000004</v>
      </c>
      <c r="G181" s="32">
        <f>G10+G40+G155+G107+G150</f>
        <v>32302743.5</v>
      </c>
      <c r="H181" s="32">
        <f>H10+H40+H155+H107</f>
        <v>30941921.32</v>
      </c>
      <c r="I181" s="32">
        <f>I10+I40+I155+I107</f>
        <v>30173176.369999997</v>
      </c>
      <c r="J181" s="32">
        <f>J10+J40+J155+J107</f>
        <v>29721259.369999997</v>
      </c>
      <c r="K181" s="32">
        <f>K10+K40+K155+K107</f>
        <v>24721259.369999997</v>
      </c>
      <c r="L181" s="32">
        <f>L10+L40+L155+L107</f>
        <v>24721259.369999997</v>
      </c>
      <c r="M181" s="136"/>
      <c r="N181" s="114"/>
      <c r="O181" s="114"/>
      <c r="P181" s="114"/>
      <c r="Q181" s="114"/>
      <c r="R181" s="114"/>
      <c r="S181" s="114"/>
      <c r="T181" s="114"/>
      <c r="U181" s="117"/>
    </row>
    <row r="182" spans="1:21" ht="12.75">
      <c r="A182" s="133"/>
      <c r="B182" s="134"/>
      <c r="C182" s="133"/>
      <c r="D182" s="31" t="s">
        <v>42</v>
      </c>
      <c r="E182" s="30">
        <f>F182+G182+H182+I182+J182+K182+L182</f>
        <v>0</v>
      </c>
      <c r="F182" s="32">
        <f aca="true" t="shared" si="43" ref="F182:L184">F11+F41+F156</f>
        <v>0</v>
      </c>
      <c r="G182" s="32">
        <f t="shared" si="43"/>
        <v>0</v>
      </c>
      <c r="H182" s="32">
        <f t="shared" si="43"/>
        <v>0</v>
      </c>
      <c r="I182" s="32">
        <f t="shared" si="43"/>
        <v>0</v>
      </c>
      <c r="J182" s="32">
        <f t="shared" si="43"/>
        <v>0</v>
      </c>
      <c r="K182" s="32">
        <f t="shared" si="43"/>
        <v>0</v>
      </c>
      <c r="L182" s="32">
        <f t="shared" si="43"/>
        <v>0</v>
      </c>
      <c r="M182" s="136"/>
      <c r="N182" s="114"/>
      <c r="O182" s="114"/>
      <c r="P182" s="114"/>
      <c r="Q182" s="114"/>
      <c r="R182" s="114"/>
      <c r="S182" s="114"/>
      <c r="T182" s="114"/>
      <c r="U182" s="117"/>
    </row>
    <row r="183" spans="1:21" ht="12.75">
      <c r="A183" s="133"/>
      <c r="B183" s="134"/>
      <c r="C183" s="133"/>
      <c r="D183" s="31" t="s">
        <v>44</v>
      </c>
      <c r="E183" s="30">
        <f>F183+G183+H183+I183+J183+K183+L183</f>
        <v>0</v>
      </c>
      <c r="F183" s="32">
        <f t="shared" si="43"/>
        <v>0</v>
      </c>
      <c r="G183" s="32">
        <f t="shared" si="43"/>
        <v>0</v>
      </c>
      <c r="H183" s="32">
        <f t="shared" si="43"/>
        <v>0</v>
      </c>
      <c r="I183" s="32">
        <f t="shared" si="43"/>
        <v>0</v>
      </c>
      <c r="J183" s="32">
        <f t="shared" si="43"/>
        <v>0</v>
      </c>
      <c r="K183" s="32">
        <f t="shared" si="43"/>
        <v>0</v>
      </c>
      <c r="L183" s="32">
        <f t="shared" si="43"/>
        <v>0</v>
      </c>
      <c r="M183" s="136"/>
      <c r="N183" s="114"/>
      <c r="O183" s="114"/>
      <c r="P183" s="114"/>
      <c r="Q183" s="114"/>
      <c r="R183" s="114"/>
      <c r="S183" s="114"/>
      <c r="T183" s="114"/>
      <c r="U183" s="117"/>
    </row>
    <row r="184" spans="1:21" ht="12.75">
      <c r="A184" s="133"/>
      <c r="B184" s="134"/>
      <c r="C184" s="133"/>
      <c r="D184" s="31" t="s">
        <v>45</v>
      </c>
      <c r="E184" s="30">
        <f>F184+G184+H184+I184+J184+K184+L184</f>
        <v>0</v>
      </c>
      <c r="F184" s="32">
        <f t="shared" si="43"/>
        <v>0</v>
      </c>
      <c r="G184" s="32">
        <f t="shared" si="43"/>
        <v>0</v>
      </c>
      <c r="H184" s="32">
        <f t="shared" si="43"/>
        <v>0</v>
      </c>
      <c r="I184" s="32">
        <f t="shared" si="43"/>
        <v>0</v>
      </c>
      <c r="J184" s="32">
        <f t="shared" si="43"/>
        <v>0</v>
      </c>
      <c r="K184" s="32">
        <f t="shared" si="43"/>
        <v>0</v>
      </c>
      <c r="L184" s="32">
        <f t="shared" si="43"/>
        <v>0</v>
      </c>
      <c r="M184" s="137"/>
      <c r="N184" s="115"/>
      <c r="O184" s="115"/>
      <c r="P184" s="115"/>
      <c r="Q184" s="115"/>
      <c r="R184" s="115"/>
      <c r="S184" s="115"/>
      <c r="T184" s="115"/>
      <c r="U184" s="118"/>
    </row>
    <row r="185" spans="1:21" ht="12.75">
      <c r="A185" s="70">
        <v>2</v>
      </c>
      <c r="B185" s="198" t="s">
        <v>131</v>
      </c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200"/>
    </row>
    <row r="186" spans="1:21" ht="12.75">
      <c r="A186" s="179" t="s">
        <v>50</v>
      </c>
      <c r="B186" s="180" t="s">
        <v>132</v>
      </c>
      <c r="C186" s="181" t="s">
        <v>75</v>
      </c>
      <c r="D186" s="24" t="s">
        <v>22</v>
      </c>
      <c r="E186" s="25">
        <f>F186+G186+H186+I186+J186+K186+L186</f>
        <v>28524099.353999995</v>
      </c>
      <c r="F186" s="25">
        <f aca="true" t="shared" si="44" ref="F186:L186">F187+F188+F189+F190</f>
        <v>8087732.079999999</v>
      </c>
      <c r="G186" s="25">
        <f t="shared" si="44"/>
        <v>4431096.603999999</v>
      </c>
      <c r="H186" s="25">
        <f t="shared" si="44"/>
        <v>4239268.15</v>
      </c>
      <c r="I186" s="25">
        <f t="shared" si="44"/>
        <v>2941500.63</v>
      </c>
      <c r="J186" s="25">
        <f t="shared" si="44"/>
        <v>2941500.63</v>
      </c>
      <c r="K186" s="25">
        <f t="shared" si="44"/>
        <v>2941500.63</v>
      </c>
      <c r="L186" s="25">
        <f t="shared" si="44"/>
        <v>2941500.63</v>
      </c>
      <c r="M186" s="182" t="s">
        <v>133</v>
      </c>
      <c r="N186" s="173">
        <v>17</v>
      </c>
      <c r="O186" s="173">
        <v>20</v>
      </c>
      <c r="P186" s="173">
        <v>20</v>
      </c>
      <c r="Q186" s="173">
        <v>20</v>
      </c>
      <c r="R186" s="173">
        <v>20</v>
      </c>
      <c r="S186" s="173">
        <v>20</v>
      </c>
      <c r="T186" s="173">
        <v>20</v>
      </c>
      <c r="U186" s="176" t="s">
        <v>53</v>
      </c>
    </row>
    <row r="187" spans="1:21" ht="12.75">
      <c r="A187" s="179"/>
      <c r="B187" s="180"/>
      <c r="C187" s="181"/>
      <c r="D187" s="24" t="s">
        <v>41</v>
      </c>
      <c r="E187" s="25">
        <f aca="true" t="shared" si="45" ref="E187:E252">F187+G187+H187+I187+J187+K187+L187</f>
        <v>28524099.353999995</v>
      </c>
      <c r="F187" s="71">
        <f aca="true" t="shared" si="46" ref="F187:L187">F192+F199+F204+F209+F216+F221+F226+F231+F236+F241+F246+F251+F256+F261+F267+F272+F277+F292</f>
        <v>8087732.079999999</v>
      </c>
      <c r="G187" s="25">
        <f>G192+G199+G204+G209+G216+G221+G226+G231+G236+G241+G246+G251+G256+G261+G267+G272+G277+G292+G282+G287</f>
        <v>4431096.603999999</v>
      </c>
      <c r="H187" s="71">
        <f>H192+H199+H204+H209+H216+H221+H226+H231+H236+H241+H246+H251+H256+H261+H267+H272+H277+H292+H297</f>
        <v>4239268.15</v>
      </c>
      <c r="I187" s="71">
        <f t="shared" si="46"/>
        <v>2941500.63</v>
      </c>
      <c r="J187" s="71">
        <f t="shared" si="46"/>
        <v>2941500.63</v>
      </c>
      <c r="K187" s="71">
        <f t="shared" si="46"/>
        <v>2941500.63</v>
      </c>
      <c r="L187" s="71">
        <f t="shared" si="46"/>
        <v>2941500.63</v>
      </c>
      <c r="M187" s="183"/>
      <c r="N187" s="174"/>
      <c r="O187" s="174"/>
      <c r="P187" s="174"/>
      <c r="Q187" s="174"/>
      <c r="R187" s="174"/>
      <c r="S187" s="174"/>
      <c r="T187" s="174"/>
      <c r="U187" s="177"/>
    </row>
    <row r="188" spans="1:21" ht="12.75">
      <c r="A188" s="179"/>
      <c r="B188" s="180"/>
      <c r="C188" s="181"/>
      <c r="D188" s="24" t="s">
        <v>42</v>
      </c>
      <c r="E188" s="25">
        <f t="shared" si="45"/>
        <v>0</v>
      </c>
      <c r="F188" s="71">
        <v>0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183"/>
      <c r="N188" s="174"/>
      <c r="O188" s="174"/>
      <c r="P188" s="174"/>
      <c r="Q188" s="174"/>
      <c r="R188" s="174"/>
      <c r="S188" s="174"/>
      <c r="T188" s="174"/>
      <c r="U188" s="177"/>
    </row>
    <row r="189" spans="1:21" ht="12.75">
      <c r="A189" s="179"/>
      <c r="B189" s="180"/>
      <c r="C189" s="181"/>
      <c r="D189" s="24" t="s">
        <v>44</v>
      </c>
      <c r="E189" s="25">
        <f t="shared" si="45"/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0</v>
      </c>
      <c r="M189" s="183"/>
      <c r="N189" s="174"/>
      <c r="O189" s="174"/>
      <c r="P189" s="174"/>
      <c r="Q189" s="174"/>
      <c r="R189" s="174"/>
      <c r="S189" s="174"/>
      <c r="T189" s="174"/>
      <c r="U189" s="177"/>
    </row>
    <row r="190" spans="1:21" ht="12.75">
      <c r="A190" s="179"/>
      <c r="B190" s="180"/>
      <c r="C190" s="181"/>
      <c r="D190" s="24" t="s">
        <v>45</v>
      </c>
      <c r="E190" s="25">
        <f t="shared" si="45"/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184"/>
      <c r="N190" s="175"/>
      <c r="O190" s="175"/>
      <c r="P190" s="175"/>
      <c r="Q190" s="175"/>
      <c r="R190" s="175"/>
      <c r="S190" s="175"/>
      <c r="T190" s="175"/>
      <c r="U190" s="178"/>
    </row>
    <row r="191" spans="1:21" ht="12.75" customHeight="1" hidden="1">
      <c r="A191" s="188"/>
      <c r="B191" s="189" t="s">
        <v>134</v>
      </c>
      <c r="C191" s="56"/>
      <c r="D191" s="27" t="s">
        <v>22</v>
      </c>
      <c r="E191" s="51">
        <f t="shared" si="45"/>
        <v>255500</v>
      </c>
      <c r="F191" s="51">
        <f>F192+F195+F196+F197</f>
        <v>255500</v>
      </c>
      <c r="G191" s="51">
        <f aca="true" t="shared" si="47" ref="G191:L191">G192+G195+G196+G197</f>
        <v>0</v>
      </c>
      <c r="H191" s="51">
        <f t="shared" si="47"/>
        <v>0</v>
      </c>
      <c r="I191" s="51">
        <f t="shared" si="47"/>
        <v>0</v>
      </c>
      <c r="J191" s="51">
        <f t="shared" si="47"/>
        <v>0</v>
      </c>
      <c r="K191" s="51">
        <f t="shared" si="47"/>
        <v>0</v>
      </c>
      <c r="L191" s="51">
        <f t="shared" si="47"/>
        <v>0</v>
      </c>
      <c r="M191" s="64"/>
      <c r="N191" s="185"/>
      <c r="O191" s="185"/>
      <c r="P191" s="185"/>
      <c r="Q191" s="185"/>
      <c r="R191" s="185"/>
      <c r="S191" s="185"/>
      <c r="T191" s="185"/>
      <c r="U191" s="144"/>
    </row>
    <row r="192" spans="1:21" ht="12.75" customHeight="1" hidden="1">
      <c r="A192" s="188"/>
      <c r="B192" s="189"/>
      <c r="C192" s="57"/>
      <c r="D192" s="27" t="s">
        <v>41</v>
      </c>
      <c r="E192" s="28">
        <f t="shared" si="45"/>
        <v>255500</v>
      </c>
      <c r="F192" s="69">
        <f>F193+F194</f>
        <v>255500</v>
      </c>
      <c r="G192" s="69">
        <f aca="true" t="shared" si="48" ref="G192:L192">G193+G194</f>
        <v>0</v>
      </c>
      <c r="H192" s="28">
        <v>0</v>
      </c>
      <c r="I192" s="69">
        <f t="shared" si="48"/>
        <v>0</v>
      </c>
      <c r="J192" s="69">
        <f t="shared" si="48"/>
        <v>0</v>
      </c>
      <c r="K192" s="69">
        <f t="shared" si="48"/>
        <v>0</v>
      </c>
      <c r="L192" s="69">
        <f t="shared" si="48"/>
        <v>0</v>
      </c>
      <c r="M192" s="62"/>
      <c r="N192" s="186"/>
      <c r="O192" s="186"/>
      <c r="P192" s="186"/>
      <c r="Q192" s="186"/>
      <c r="R192" s="186"/>
      <c r="S192" s="186"/>
      <c r="T192" s="186"/>
      <c r="U192" s="145"/>
    </row>
    <row r="193" spans="1:21" ht="12.75" customHeight="1" hidden="1">
      <c r="A193" s="188"/>
      <c r="B193" s="189"/>
      <c r="C193" s="59"/>
      <c r="D193" s="27"/>
      <c r="E193" s="28">
        <f t="shared" si="45"/>
        <v>26339</v>
      </c>
      <c r="F193" s="69">
        <v>26339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0</v>
      </c>
      <c r="M193" s="60" t="s">
        <v>135</v>
      </c>
      <c r="N193" s="186"/>
      <c r="O193" s="186"/>
      <c r="P193" s="186"/>
      <c r="Q193" s="186"/>
      <c r="R193" s="186"/>
      <c r="S193" s="186"/>
      <c r="T193" s="186"/>
      <c r="U193" s="145"/>
    </row>
    <row r="194" spans="1:21" ht="12.75" customHeight="1" hidden="1">
      <c r="A194" s="188"/>
      <c r="B194" s="189"/>
      <c r="C194" s="66"/>
      <c r="D194" s="27"/>
      <c r="E194" s="28">
        <f t="shared" si="45"/>
        <v>229161</v>
      </c>
      <c r="F194" s="69">
        <f>255500-26339</f>
        <v>229161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0" t="s">
        <v>136</v>
      </c>
      <c r="N194" s="186"/>
      <c r="O194" s="186"/>
      <c r="P194" s="186"/>
      <c r="Q194" s="186"/>
      <c r="R194" s="186"/>
      <c r="S194" s="186"/>
      <c r="T194" s="186"/>
      <c r="U194" s="145"/>
    </row>
    <row r="195" spans="1:21" ht="12.75" customHeight="1" hidden="1">
      <c r="A195" s="188"/>
      <c r="B195" s="189"/>
      <c r="C195" s="61"/>
      <c r="D195" s="27" t="s">
        <v>42</v>
      </c>
      <c r="E195" s="28">
        <f t="shared" si="45"/>
        <v>0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2"/>
      <c r="N195" s="186"/>
      <c r="O195" s="186"/>
      <c r="P195" s="186"/>
      <c r="Q195" s="186"/>
      <c r="R195" s="186"/>
      <c r="S195" s="186"/>
      <c r="T195" s="186"/>
      <c r="U195" s="145"/>
    </row>
    <row r="196" spans="1:21" ht="12.75" customHeight="1" hidden="1">
      <c r="A196" s="188"/>
      <c r="B196" s="189"/>
      <c r="C196" s="142"/>
      <c r="D196" s="27" t="s">
        <v>44</v>
      </c>
      <c r="E196" s="28">
        <f t="shared" si="45"/>
        <v>0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2"/>
      <c r="N196" s="186"/>
      <c r="O196" s="186"/>
      <c r="P196" s="186"/>
      <c r="Q196" s="186"/>
      <c r="R196" s="186"/>
      <c r="S196" s="186"/>
      <c r="T196" s="186"/>
      <c r="U196" s="145"/>
    </row>
    <row r="197" spans="1:21" ht="12.75" customHeight="1" hidden="1">
      <c r="A197" s="188"/>
      <c r="B197" s="189"/>
      <c r="C197" s="142"/>
      <c r="D197" s="27" t="s">
        <v>45</v>
      </c>
      <c r="E197" s="28">
        <f t="shared" si="45"/>
        <v>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3"/>
      <c r="N197" s="187"/>
      <c r="O197" s="187"/>
      <c r="P197" s="187"/>
      <c r="Q197" s="187"/>
      <c r="R197" s="187"/>
      <c r="S197" s="187"/>
      <c r="T197" s="187"/>
      <c r="U197" s="146"/>
    </row>
    <row r="198" spans="1:21" ht="12.75" customHeight="1" hidden="1">
      <c r="A198" s="188"/>
      <c r="B198" s="143" t="s">
        <v>137</v>
      </c>
      <c r="C198" s="142"/>
      <c r="D198" s="27" t="s">
        <v>22</v>
      </c>
      <c r="E198" s="51">
        <f t="shared" si="45"/>
        <v>645577.8400000001</v>
      </c>
      <c r="F198" s="51">
        <f>F199+F200+F201+F202</f>
        <v>370856.07</v>
      </c>
      <c r="G198" s="51">
        <f aca="true" t="shared" si="49" ref="G198:L198">G199+G200+G201+G202</f>
        <v>274721.77</v>
      </c>
      <c r="H198" s="51">
        <f t="shared" si="49"/>
        <v>0</v>
      </c>
      <c r="I198" s="51">
        <f t="shared" si="49"/>
        <v>0</v>
      </c>
      <c r="J198" s="51">
        <f t="shared" si="49"/>
        <v>0</v>
      </c>
      <c r="K198" s="51">
        <f t="shared" si="49"/>
        <v>0</v>
      </c>
      <c r="L198" s="51">
        <f t="shared" si="49"/>
        <v>0</v>
      </c>
      <c r="M198" s="190" t="s">
        <v>88</v>
      </c>
      <c r="N198" s="185"/>
      <c r="O198" s="185"/>
      <c r="P198" s="185"/>
      <c r="Q198" s="185"/>
      <c r="R198" s="185"/>
      <c r="S198" s="185"/>
      <c r="T198" s="185"/>
      <c r="U198" s="144"/>
    </row>
    <row r="199" spans="1:21" ht="12.75" customHeight="1" hidden="1">
      <c r="A199" s="188"/>
      <c r="B199" s="143"/>
      <c r="C199" s="142"/>
      <c r="D199" s="27" t="s">
        <v>41</v>
      </c>
      <c r="E199" s="28">
        <f t="shared" si="45"/>
        <v>645577.8400000001</v>
      </c>
      <c r="F199" s="69">
        <f>377716.83+10139.24-17000</f>
        <v>370856.07</v>
      </c>
      <c r="G199" s="69">
        <v>274721.77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191"/>
      <c r="N199" s="186"/>
      <c r="O199" s="186"/>
      <c r="P199" s="186"/>
      <c r="Q199" s="186"/>
      <c r="R199" s="186"/>
      <c r="S199" s="186"/>
      <c r="T199" s="186"/>
      <c r="U199" s="145"/>
    </row>
    <row r="200" spans="1:21" ht="12.75" customHeight="1" hidden="1">
      <c r="A200" s="188"/>
      <c r="B200" s="143"/>
      <c r="C200" s="142"/>
      <c r="D200" s="27" t="s">
        <v>42</v>
      </c>
      <c r="E200" s="28">
        <f t="shared" si="45"/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191"/>
      <c r="N200" s="186"/>
      <c r="O200" s="186"/>
      <c r="P200" s="186"/>
      <c r="Q200" s="186"/>
      <c r="R200" s="186"/>
      <c r="S200" s="186"/>
      <c r="T200" s="186"/>
      <c r="U200" s="145"/>
    </row>
    <row r="201" spans="1:21" ht="12.75" customHeight="1" hidden="1">
      <c r="A201" s="188"/>
      <c r="B201" s="143"/>
      <c r="C201" s="142"/>
      <c r="D201" s="27" t="s">
        <v>44</v>
      </c>
      <c r="E201" s="28">
        <f t="shared" si="45"/>
        <v>0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</v>
      </c>
      <c r="M201" s="191"/>
      <c r="N201" s="186"/>
      <c r="O201" s="186"/>
      <c r="P201" s="186"/>
      <c r="Q201" s="186"/>
      <c r="R201" s="186"/>
      <c r="S201" s="186"/>
      <c r="T201" s="186"/>
      <c r="U201" s="145"/>
    </row>
    <row r="202" spans="1:21" ht="12.75" customHeight="1" hidden="1">
      <c r="A202" s="188"/>
      <c r="B202" s="143"/>
      <c r="C202" s="142"/>
      <c r="D202" s="27" t="s">
        <v>45</v>
      </c>
      <c r="E202" s="28">
        <f t="shared" si="45"/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192"/>
      <c r="N202" s="187"/>
      <c r="O202" s="187"/>
      <c r="P202" s="187"/>
      <c r="Q202" s="187"/>
      <c r="R202" s="187"/>
      <c r="S202" s="187"/>
      <c r="T202" s="187"/>
      <c r="U202" s="146"/>
    </row>
    <row r="203" spans="1:21" ht="12.75" customHeight="1" hidden="1">
      <c r="A203" s="188"/>
      <c r="B203" s="189" t="s">
        <v>138</v>
      </c>
      <c r="C203" s="142"/>
      <c r="D203" s="27" t="s">
        <v>22</v>
      </c>
      <c r="E203" s="51">
        <f t="shared" si="45"/>
        <v>1067809.32</v>
      </c>
      <c r="F203" s="51">
        <f>F204+F205+F206+F207</f>
        <v>133712.98</v>
      </c>
      <c r="G203" s="51">
        <f aca="true" t="shared" si="50" ref="G203:L203">G204+G205+G206+G207</f>
        <v>267060.34</v>
      </c>
      <c r="H203" s="51">
        <f t="shared" si="50"/>
        <v>0</v>
      </c>
      <c r="I203" s="51">
        <f t="shared" si="50"/>
        <v>166759</v>
      </c>
      <c r="J203" s="51">
        <f t="shared" si="50"/>
        <v>166759</v>
      </c>
      <c r="K203" s="51">
        <f t="shared" si="50"/>
        <v>166759</v>
      </c>
      <c r="L203" s="51">
        <f t="shared" si="50"/>
        <v>166759</v>
      </c>
      <c r="M203" s="190" t="s">
        <v>98</v>
      </c>
      <c r="N203" s="185"/>
      <c r="O203" s="185"/>
      <c r="P203" s="185"/>
      <c r="Q203" s="185"/>
      <c r="R203" s="185"/>
      <c r="S203" s="185"/>
      <c r="T203" s="185"/>
      <c r="U203" s="144"/>
    </row>
    <row r="204" spans="1:21" ht="30.75" customHeight="1" hidden="1">
      <c r="A204" s="188"/>
      <c r="B204" s="189"/>
      <c r="C204" s="142"/>
      <c r="D204" s="27" t="s">
        <v>41</v>
      </c>
      <c r="E204" s="28">
        <f t="shared" si="45"/>
        <v>1067809.32</v>
      </c>
      <c r="F204" s="69">
        <v>133712.98</v>
      </c>
      <c r="G204" s="69">
        <v>267060.34</v>
      </c>
      <c r="H204" s="69">
        <v>0</v>
      </c>
      <c r="I204" s="69">
        <v>166759</v>
      </c>
      <c r="J204" s="69">
        <v>166759</v>
      </c>
      <c r="K204" s="69">
        <v>166759</v>
      </c>
      <c r="L204" s="69">
        <v>166759</v>
      </c>
      <c r="M204" s="191"/>
      <c r="N204" s="186"/>
      <c r="O204" s="186"/>
      <c r="P204" s="186"/>
      <c r="Q204" s="186"/>
      <c r="R204" s="186"/>
      <c r="S204" s="186"/>
      <c r="T204" s="186"/>
      <c r="U204" s="145"/>
    </row>
    <row r="205" spans="1:21" ht="12.75" customHeight="1" hidden="1">
      <c r="A205" s="188"/>
      <c r="B205" s="189"/>
      <c r="C205" s="142"/>
      <c r="D205" s="27" t="s">
        <v>42</v>
      </c>
      <c r="E205" s="28">
        <f t="shared" si="45"/>
        <v>0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191"/>
      <c r="N205" s="186"/>
      <c r="O205" s="186"/>
      <c r="P205" s="186"/>
      <c r="Q205" s="186"/>
      <c r="R205" s="186"/>
      <c r="S205" s="186"/>
      <c r="T205" s="186"/>
      <c r="U205" s="145"/>
    </row>
    <row r="206" spans="1:21" ht="12.75" customHeight="1" hidden="1">
      <c r="A206" s="188"/>
      <c r="B206" s="189"/>
      <c r="C206" s="142"/>
      <c r="D206" s="27" t="s">
        <v>44</v>
      </c>
      <c r="E206" s="28">
        <f t="shared" si="45"/>
        <v>0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69">
        <v>0</v>
      </c>
      <c r="L206" s="69">
        <v>0</v>
      </c>
      <c r="M206" s="191"/>
      <c r="N206" s="186"/>
      <c r="O206" s="186"/>
      <c r="P206" s="186"/>
      <c r="Q206" s="186"/>
      <c r="R206" s="186"/>
      <c r="S206" s="186"/>
      <c r="T206" s="186"/>
      <c r="U206" s="145"/>
    </row>
    <row r="207" spans="1:21" ht="12.75" customHeight="1" hidden="1">
      <c r="A207" s="188"/>
      <c r="B207" s="189"/>
      <c r="C207" s="142"/>
      <c r="D207" s="27" t="s">
        <v>45</v>
      </c>
      <c r="E207" s="28">
        <f t="shared" si="45"/>
        <v>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192"/>
      <c r="N207" s="187"/>
      <c r="O207" s="187"/>
      <c r="P207" s="187"/>
      <c r="Q207" s="187"/>
      <c r="R207" s="187"/>
      <c r="S207" s="187"/>
      <c r="T207" s="187"/>
      <c r="U207" s="146"/>
    </row>
    <row r="208" spans="1:21" ht="12.75" customHeight="1" hidden="1">
      <c r="A208" s="188"/>
      <c r="B208" s="194" t="s">
        <v>139</v>
      </c>
      <c r="C208" s="142"/>
      <c r="D208" s="27" t="s">
        <v>22</v>
      </c>
      <c r="E208" s="51">
        <f t="shared" si="45"/>
        <v>833651.02</v>
      </c>
      <c r="F208" s="51">
        <f>F209+F212+F213+F214</f>
        <v>145775.02</v>
      </c>
      <c r="G208" s="51">
        <f aca="true" t="shared" si="51" ref="G208:L208">G209+G212+G213+G214</f>
        <v>103556</v>
      </c>
      <c r="H208" s="51">
        <f t="shared" si="51"/>
        <v>0</v>
      </c>
      <c r="I208" s="51">
        <f t="shared" si="51"/>
        <v>146080</v>
      </c>
      <c r="J208" s="51">
        <f t="shared" si="51"/>
        <v>146080</v>
      </c>
      <c r="K208" s="51">
        <f t="shared" si="51"/>
        <v>146080</v>
      </c>
      <c r="L208" s="51">
        <f t="shared" si="51"/>
        <v>146080</v>
      </c>
      <c r="M208" s="72"/>
      <c r="N208" s="185"/>
      <c r="O208" s="185"/>
      <c r="P208" s="185"/>
      <c r="Q208" s="185"/>
      <c r="R208" s="185"/>
      <c r="S208" s="185"/>
      <c r="T208" s="185"/>
      <c r="U208" s="144"/>
    </row>
    <row r="209" spans="1:21" ht="12.75" customHeight="1" hidden="1">
      <c r="A209" s="188"/>
      <c r="B209" s="195"/>
      <c r="C209" s="142"/>
      <c r="D209" s="27" t="s">
        <v>41</v>
      </c>
      <c r="E209" s="28">
        <f t="shared" si="45"/>
        <v>833651.02</v>
      </c>
      <c r="F209" s="69">
        <f>F210+F211</f>
        <v>145775.02</v>
      </c>
      <c r="G209" s="69">
        <v>103556</v>
      </c>
      <c r="H209" s="69">
        <v>0</v>
      </c>
      <c r="I209" s="69">
        <f>I210+I211</f>
        <v>146080</v>
      </c>
      <c r="J209" s="69">
        <f>J210+J211</f>
        <v>146080</v>
      </c>
      <c r="K209" s="69">
        <f>K210+K211</f>
        <v>146080</v>
      </c>
      <c r="L209" s="69">
        <f>L210+L211</f>
        <v>146080</v>
      </c>
      <c r="M209" s="52"/>
      <c r="N209" s="186"/>
      <c r="O209" s="186"/>
      <c r="P209" s="186"/>
      <c r="Q209" s="186"/>
      <c r="R209" s="186"/>
      <c r="S209" s="186"/>
      <c r="T209" s="186"/>
      <c r="U209" s="145"/>
    </row>
    <row r="210" spans="1:21" ht="12.75" customHeight="1" hidden="1">
      <c r="A210" s="188"/>
      <c r="B210" s="195"/>
      <c r="C210" s="193"/>
      <c r="D210" s="27"/>
      <c r="E210" s="28">
        <f t="shared" si="45"/>
        <v>566403</v>
      </c>
      <c r="F210" s="69">
        <f>184269-83000</f>
        <v>101269</v>
      </c>
      <c r="G210" s="69">
        <v>65134</v>
      </c>
      <c r="H210" s="69">
        <v>0</v>
      </c>
      <c r="I210" s="69">
        <v>100000</v>
      </c>
      <c r="J210" s="69">
        <v>100000</v>
      </c>
      <c r="K210" s="69">
        <v>100000</v>
      </c>
      <c r="L210" s="69">
        <v>100000</v>
      </c>
      <c r="M210" s="60" t="s">
        <v>96</v>
      </c>
      <c r="N210" s="186"/>
      <c r="O210" s="186"/>
      <c r="P210" s="186"/>
      <c r="Q210" s="186"/>
      <c r="R210" s="186"/>
      <c r="S210" s="186"/>
      <c r="T210" s="186"/>
      <c r="U210" s="145"/>
    </row>
    <row r="211" spans="1:21" ht="12.75" customHeight="1" hidden="1">
      <c r="A211" s="188"/>
      <c r="B211" s="196"/>
      <c r="C211" s="73"/>
      <c r="D211" s="74"/>
      <c r="E211" s="28">
        <f t="shared" si="45"/>
        <v>267248.02</v>
      </c>
      <c r="F211" s="69">
        <v>44506.02</v>
      </c>
      <c r="G211" s="69">
        <v>38422</v>
      </c>
      <c r="H211" s="69">
        <v>0</v>
      </c>
      <c r="I211" s="69">
        <v>46080</v>
      </c>
      <c r="J211" s="69">
        <v>46080</v>
      </c>
      <c r="K211" s="69">
        <v>46080</v>
      </c>
      <c r="L211" s="69">
        <v>46080</v>
      </c>
      <c r="M211" s="60" t="s">
        <v>130</v>
      </c>
      <c r="N211" s="186"/>
      <c r="O211" s="186"/>
      <c r="P211" s="186"/>
      <c r="Q211" s="186"/>
      <c r="R211" s="186"/>
      <c r="S211" s="186"/>
      <c r="T211" s="186"/>
      <c r="U211" s="145"/>
    </row>
    <row r="212" spans="1:21" ht="12.75" customHeight="1" hidden="1">
      <c r="A212" s="188"/>
      <c r="B212" s="196"/>
      <c r="C212" s="73"/>
      <c r="D212" s="74" t="s">
        <v>42</v>
      </c>
      <c r="E212" s="28">
        <f t="shared" si="45"/>
        <v>0</v>
      </c>
      <c r="F212" s="69">
        <v>0</v>
      </c>
      <c r="G212" s="69">
        <v>0</v>
      </c>
      <c r="H212" s="69">
        <v>0</v>
      </c>
      <c r="I212" s="69">
        <v>0</v>
      </c>
      <c r="J212" s="69">
        <v>0</v>
      </c>
      <c r="K212" s="69">
        <v>0</v>
      </c>
      <c r="L212" s="69">
        <v>0</v>
      </c>
      <c r="M212" s="52"/>
      <c r="N212" s="186"/>
      <c r="O212" s="186"/>
      <c r="P212" s="186"/>
      <c r="Q212" s="186"/>
      <c r="R212" s="186"/>
      <c r="S212" s="186"/>
      <c r="T212" s="186"/>
      <c r="U212" s="145"/>
    </row>
    <row r="213" spans="1:21" ht="12.75" customHeight="1" hidden="1">
      <c r="A213" s="188"/>
      <c r="B213" s="196"/>
      <c r="C213" s="73"/>
      <c r="D213" s="74" t="s">
        <v>44</v>
      </c>
      <c r="E213" s="28">
        <f t="shared" si="45"/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52"/>
      <c r="N213" s="186"/>
      <c r="O213" s="186"/>
      <c r="P213" s="186"/>
      <c r="Q213" s="186"/>
      <c r="R213" s="186"/>
      <c r="S213" s="186"/>
      <c r="T213" s="186"/>
      <c r="U213" s="145"/>
    </row>
    <row r="214" spans="1:21" ht="12.75" customHeight="1" hidden="1">
      <c r="A214" s="188"/>
      <c r="B214" s="197"/>
      <c r="C214" s="75"/>
      <c r="D214" s="27" t="s">
        <v>45</v>
      </c>
      <c r="E214" s="28">
        <f t="shared" si="45"/>
        <v>0</v>
      </c>
      <c r="F214" s="69">
        <v>0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76"/>
      <c r="N214" s="187"/>
      <c r="O214" s="187"/>
      <c r="P214" s="187"/>
      <c r="Q214" s="187"/>
      <c r="R214" s="187"/>
      <c r="S214" s="187"/>
      <c r="T214" s="187"/>
      <c r="U214" s="146"/>
    </row>
    <row r="215" spans="1:21" ht="12.75" customHeight="1" hidden="1">
      <c r="A215" s="188"/>
      <c r="B215" s="189" t="s">
        <v>140</v>
      </c>
      <c r="C215" s="77"/>
      <c r="D215" s="27" t="s">
        <v>22</v>
      </c>
      <c r="E215" s="51">
        <f t="shared" si="45"/>
        <v>1452190.1400000001</v>
      </c>
      <c r="F215" s="51">
        <f aca="true" t="shared" si="52" ref="F215:L215">F216+F217+F218+F219</f>
        <v>276588.26</v>
      </c>
      <c r="G215" s="51">
        <f t="shared" si="52"/>
        <v>375601.88</v>
      </c>
      <c r="H215" s="51">
        <f t="shared" si="52"/>
        <v>0</v>
      </c>
      <c r="I215" s="51">
        <f t="shared" si="52"/>
        <v>200000</v>
      </c>
      <c r="J215" s="51">
        <f t="shared" si="52"/>
        <v>200000</v>
      </c>
      <c r="K215" s="51">
        <f t="shared" si="52"/>
        <v>200000</v>
      </c>
      <c r="L215" s="51">
        <f t="shared" si="52"/>
        <v>200000</v>
      </c>
      <c r="M215" s="190" t="s">
        <v>96</v>
      </c>
      <c r="N215" s="185"/>
      <c r="O215" s="185"/>
      <c r="P215" s="185"/>
      <c r="Q215" s="185"/>
      <c r="R215" s="185"/>
      <c r="S215" s="185"/>
      <c r="T215" s="185"/>
      <c r="U215" s="144"/>
    </row>
    <row r="216" spans="1:21" ht="12.75" customHeight="1" hidden="1">
      <c r="A216" s="188"/>
      <c r="B216" s="189"/>
      <c r="C216" s="77"/>
      <c r="D216" s="27" t="s">
        <v>41</v>
      </c>
      <c r="E216" s="28">
        <f t="shared" si="45"/>
        <v>1452190.1400000001</v>
      </c>
      <c r="F216" s="69">
        <f>193588.26+83000</f>
        <v>276588.26</v>
      </c>
      <c r="G216" s="28">
        <v>375601.88</v>
      </c>
      <c r="H216" s="69">
        <v>0</v>
      </c>
      <c r="I216" s="69">
        <v>200000</v>
      </c>
      <c r="J216" s="69">
        <v>200000</v>
      </c>
      <c r="K216" s="69">
        <v>200000</v>
      </c>
      <c r="L216" s="69">
        <v>200000</v>
      </c>
      <c r="M216" s="191"/>
      <c r="N216" s="186"/>
      <c r="O216" s="186"/>
      <c r="P216" s="186"/>
      <c r="Q216" s="186"/>
      <c r="R216" s="186"/>
      <c r="S216" s="186"/>
      <c r="T216" s="186"/>
      <c r="U216" s="145"/>
    </row>
    <row r="217" spans="1:21" ht="12.75" customHeight="1" hidden="1">
      <c r="A217" s="188"/>
      <c r="B217" s="189"/>
      <c r="C217" s="77"/>
      <c r="D217" s="27" t="s">
        <v>42</v>
      </c>
      <c r="E217" s="28">
        <f t="shared" si="45"/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191"/>
      <c r="N217" s="186"/>
      <c r="O217" s="186"/>
      <c r="P217" s="186"/>
      <c r="Q217" s="186"/>
      <c r="R217" s="186"/>
      <c r="S217" s="186"/>
      <c r="T217" s="186"/>
      <c r="U217" s="145"/>
    </row>
    <row r="218" spans="1:21" ht="12.75" customHeight="1" hidden="1">
      <c r="A218" s="188"/>
      <c r="B218" s="189"/>
      <c r="C218" s="77"/>
      <c r="D218" s="27" t="s">
        <v>44</v>
      </c>
      <c r="E218" s="28">
        <f t="shared" si="45"/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191"/>
      <c r="N218" s="186"/>
      <c r="O218" s="186"/>
      <c r="P218" s="186"/>
      <c r="Q218" s="186"/>
      <c r="R218" s="186"/>
      <c r="S218" s="186"/>
      <c r="T218" s="186"/>
      <c r="U218" s="145"/>
    </row>
    <row r="219" spans="1:21" ht="12.75" customHeight="1" hidden="1">
      <c r="A219" s="188"/>
      <c r="B219" s="189"/>
      <c r="C219" s="77"/>
      <c r="D219" s="27" t="s">
        <v>45</v>
      </c>
      <c r="E219" s="28">
        <f t="shared" si="45"/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192"/>
      <c r="N219" s="187"/>
      <c r="O219" s="187"/>
      <c r="P219" s="187"/>
      <c r="Q219" s="187"/>
      <c r="R219" s="187"/>
      <c r="S219" s="187"/>
      <c r="T219" s="187"/>
      <c r="U219" s="146"/>
    </row>
    <row r="220" spans="1:21" ht="12.75" customHeight="1" hidden="1">
      <c r="A220" s="188"/>
      <c r="B220" s="189" t="s">
        <v>141</v>
      </c>
      <c r="C220" s="77"/>
      <c r="D220" s="27" t="s">
        <v>22</v>
      </c>
      <c r="E220" s="51">
        <f t="shared" si="45"/>
        <v>198500</v>
      </c>
      <c r="F220" s="51">
        <f>F221+F222+F223+F224</f>
        <v>98500</v>
      </c>
      <c r="G220" s="51">
        <f aca="true" t="shared" si="53" ref="G220:L220">G221+G222+G223+G224</f>
        <v>100000</v>
      </c>
      <c r="H220" s="51">
        <f t="shared" si="53"/>
        <v>0</v>
      </c>
      <c r="I220" s="51">
        <f t="shared" si="53"/>
        <v>0</v>
      </c>
      <c r="J220" s="51">
        <f t="shared" si="53"/>
        <v>0</v>
      </c>
      <c r="K220" s="51">
        <f t="shared" si="53"/>
        <v>0</v>
      </c>
      <c r="L220" s="51">
        <f t="shared" si="53"/>
        <v>0</v>
      </c>
      <c r="M220" s="190" t="s">
        <v>142</v>
      </c>
      <c r="N220" s="185"/>
      <c r="O220" s="185"/>
      <c r="P220" s="185"/>
      <c r="Q220" s="185"/>
      <c r="R220" s="185"/>
      <c r="S220" s="185"/>
      <c r="T220" s="185"/>
      <c r="U220" s="144"/>
    </row>
    <row r="221" spans="1:21" ht="18.75" customHeight="1" hidden="1">
      <c r="A221" s="188"/>
      <c r="B221" s="189"/>
      <c r="C221" s="77"/>
      <c r="D221" s="27" t="s">
        <v>41</v>
      </c>
      <c r="E221" s="28">
        <f t="shared" si="45"/>
        <v>198500</v>
      </c>
      <c r="F221" s="69">
        <v>98500</v>
      </c>
      <c r="G221" s="69">
        <v>100000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191"/>
      <c r="N221" s="186"/>
      <c r="O221" s="186"/>
      <c r="P221" s="186"/>
      <c r="Q221" s="186"/>
      <c r="R221" s="186"/>
      <c r="S221" s="186"/>
      <c r="T221" s="186"/>
      <c r="U221" s="145"/>
    </row>
    <row r="222" spans="1:21" ht="12.75" customHeight="1" hidden="1">
      <c r="A222" s="188"/>
      <c r="B222" s="189"/>
      <c r="C222" s="77"/>
      <c r="D222" s="27" t="s">
        <v>42</v>
      </c>
      <c r="E222" s="28">
        <f t="shared" si="45"/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191"/>
      <c r="N222" s="186"/>
      <c r="O222" s="186"/>
      <c r="P222" s="186"/>
      <c r="Q222" s="186"/>
      <c r="R222" s="186"/>
      <c r="S222" s="186"/>
      <c r="T222" s="186"/>
      <c r="U222" s="145"/>
    </row>
    <row r="223" spans="1:21" ht="12.75" customHeight="1" hidden="1">
      <c r="A223" s="188"/>
      <c r="B223" s="189"/>
      <c r="C223" s="77"/>
      <c r="D223" s="27" t="s">
        <v>44</v>
      </c>
      <c r="E223" s="28">
        <f t="shared" si="45"/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191"/>
      <c r="N223" s="186"/>
      <c r="O223" s="186"/>
      <c r="P223" s="186"/>
      <c r="Q223" s="186"/>
      <c r="R223" s="186"/>
      <c r="S223" s="186"/>
      <c r="T223" s="186"/>
      <c r="U223" s="145"/>
    </row>
    <row r="224" spans="1:21" ht="12.75" customHeight="1" hidden="1">
      <c r="A224" s="188"/>
      <c r="B224" s="189"/>
      <c r="C224" s="77"/>
      <c r="D224" s="27" t="s">
        <v>45</v>
      </c>
      <c r="E224" s="28">
        <f t="shared" si="45"/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192"/>
      <c r="N224" s="187"/>
      <c r="O224" s="187"/>
      <c r="P224" s="187"/>
      <c r="Q224" s="187"/>
      <c r="R224" s="187"/>
      <c r="S224" s="187"/>
      <c r="T224" s="187"/>
      <c r="U224" s="146"/>
    </row>
    <row r="225" spans="1:21" ht="12.75" customHeight="1" hidden="1">
      <c r="A225" s="188"/>
      <c r="B225" s="189" t="s">
        <v>143</v>
      </c>
      <c r="C225" s="77"/>
      <c r="D225" s="27" t="s">
        <v>22</v>
      </c>
      <c r="E225" s="51">
        <f t="shared" si="45"/>
        <v>55000</v>
      </c>
      <c r="F225" s="51">
        <f>F226+F227+F228+F229</f>
        <v>25000</v>
      </c>
      <c r="G225" s="51">
        <f aca="true" t="shared" si="54" ref="G225:L225">G226+G227+G228+G229</f>
        <v>30000</v>
      </c>
      <c r="H225" s="51">
        <f t="shared" si="54"/>
        <v>0</v>
      </c>
      <c r="I225" s="51">
        <f t="shared" si="54"/>
        <v>0</v>
      </c>
      <c r="J225" s="51">
        <f t="shared" si="54"/>
        <v>0</v>
      </c>
      <c r="K225" s="51">
        <f>K226+K227+K228+K229</f>
        <v>0</v>
      </c>
      <c r="L225" s="51">
        <f t="shared" si="54"/>
        <v>0</v>
      </c>
      <c r="M225" s="190" t="s">
        <v>94</v>
      </c>
      <c r="N225" s="185"/>
      <c r="O225" s="185"/>
      <c r="P225" s="185"/>
      <c r="Q225" s="185"/>
      <c r="R225" s="185"/>
      <c r="S225" s="185"/>
      <c r="T225" s="185"/>
      <c r="U225" s="144"/>
    </row>
    <row r="226" spans="1:21" ht="12.75" customHeight="1" hidden="1">
      <c r="A226" s="188"/>
      <c r="B226" s="189"/>
      <c r="C226" s="77"/>
      <c r="D226" s="27" t="s">
        <v>41</v>
      </c>
      <c r="E226" s="28">
        <f t="shared" si="45"/>
        <v>55000</v>
      </c>
      <c r="F226" s="69">
        <v>25000</v>
      </c>
      <c r="G226" s="69">
        <v>30000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191"/>
      <c r="N226" s="186"/>
      <c r="O226" s="186"/>
      <c r="P226" s="186"/>
      <c r="Q226" s="186"/>
      <c r="R226" s="186"/>
      <c r="S226" s="186"/>
      <c r="T226" s="186"/>
      <c r="U226" s="145"/>
    </row>
    <row r="227" spans="1:21" ht="12.75" customHeight="1" hidden="1">
      <c r="A227" s="188"/>
      <c r="B227" s="189"/>
      <c r="C227" s="77"/>
      <c r="D227" s="27" t="s">
        <v>42</v>
      </c>
      <c r="E227" s="28">
        <f t="shared" si="45"/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191"/>
      <c r="N227" s="186"/>
      <c r="O227" s="186"/>
      <c r="P227" s="186"/>
      <c r="Q227" s="186"/>
      <c r="R227" s="186"/>
      <c r="S227" s="186"/>
      <c r="T227" s="186"/>
      <c r="U227" s="145"/>
    </row>
    <row r="228" spans="1:21" ht="12.75" customHeight="1" hidden="1">
      <c r="A228" s="188"/>
      <c r="B228" s="189"/>
      <c r="C228" s="77"/>
      <c r="D228" s="27" t="s">
        <v>44</v>
      </c>
      <c r="E228" s="28">
        <f t="shared" si="45"/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191"/>
      <c r="N228" s="186"/>
      <c r="O228" s="186"/>
      <c r="P228" s="186"/>
      <c r="Q228" s="186"/>
      <c r="R228" s="186"/>
      <c r="S228" s="186"/>
      <c r="T228" s="186"/>
      <c r="U228" s="145"/>
    </row>
    <row r="229" spans="1:21" ht="12.75" customHeight="1" hidden="1">
      <c r="A229" s="188"/>
      <c r="B229" s="189"/>
      <c r="C229" s="77"/>
      <c r="D229" s="27" t="s">
        <v>45</v>
      </c>
      <c r="E229" s="28">
        <f t="shared" si="45"/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192"/>
      <c r="N229" s="187"/>
      <c r="O229" s="187"/>
      <c r="P229" s="187"/>
      <c r="Q229" s="187"/>
      <c r="R229" s="187"/>
      <c r="S229" s="187"/>
      <c r="T229" s="187"/>
      <c r="U229" s="146"/>
    </row>
    <row r="230" spans="1:21" ht="12.75" customHeight="1" hidden="1">
      <c r="A230" s="188"/>
      <c r="B230" s="143" t="s">
        <v>144</v>
      </c>
      <c r="C230" s="77"/>
      <c r="D230" s="27" t="s">
        <v>22</v>
      </c>
      <c r="E230" s="51">
        <f t="shared" si="45"/>
        <v>1450124.85</v>
      </c>
      <c r="F230" s="51">
        <f>F231+F232+F233+F234</f>
        <v>140712.11</v>
      </c>
      <c r="G230" s="51">
        <f aca="true" t="shared" si="55" ref="G230:L230">G231+G232+G233+G234</f>
        <v>309412.74</v>
      </c>
      <c r="H230" s="51">
        <f t="shared" si="55"/>
        <v>0</v>
      </c>
      <c r="I230" s="51">
        <f t="shared" si="55"/>
        <v>250000</v>
      </c>
      <c r="J230" s="51">
        <f t="shared" si="55"/>
        <v>250000</v>
      </c>
      <c r="K230" s="51">
        <f t="shared" si="55"/>
        <v>250000</v>
      </c>
      <c r="L230" s="51">
        <f t="shared" si="55"/>
        <v>250000</v>
      </c>
      <c r="M230" s="190" t="s">
        <v>98</v>
      </c>
      <c r="N230" s="185"/>
      <c r="O230" s="185"/>
      <c r="P230" s="185"/>
      <c r="Q230" s="185"/>
      <c r="R230" s="185"/>
      <c r="S230" s="185"/>
      <c r="T230" s="185"/>
      <c r="U230" s="144"/>
    </row>
    <row r="231" spans="1:21" ht="12.75" customHeight="1" hidden="1">
      <c r="A231" s="188"/>
      <c r="B231" s="143"/>
      <c r="C231" s="77"/>
      <c r="D231" s="27" t="s">
        <v>41</v>
      </c>
      <c r="E231" s="28">
        <f t="shared" si="45"/>
        <v>1450124.85</v>
      </c>
      <c r="F231" s="69">
        <v>140712.11</v>
      </c>
      <c r="G231" s="28">
        <v>309412.74</v>
      </c>
      <c r="H231" s="69">
        <v>0</v>
      </c>
      <c r="I231" s="69">
        <v>250000</v>
      </c>
      <c r="J231" s="69">
        <v>250000</v>
      </c>
      <c r="K231" s="69">
        <v>250000</v>
      </c>
      <c r="L231" s="69">
        <v>250000</v>
      </c>
      <c r="M231" s="191"/>
      <c r="N231" s="186"/>
      <c r="O231" s="186"/>
      <c r="P231" s="186"/>
      <c r="Q231" s="186"/>
      <c r="R231" s="186"/>
      <c r="S231" s="186"/>
      <c r="T231" s="186"/>
      <c r="U231" s="145"/>
    </row>
    <row r="232" spans="1:21" ht="12.75" customHeight="1" hidden="1">
      <c r="A232" s="188"/>
      <c r="B232" s="143"/>
      <c r="C232" s="77"/>
      <c r="D232" s="27" t="s">
        <v>42</v>
      </c>
      <c r="E232" s="28">
        <f t="shared" si="45"/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191"/>
      <c r="N232" s="186"/>
      <c r="O232" s="186"/>
      <c r="P232" s="186"/>
      <c r="Q232" s="186"/>
      <c r="R232" s="186"/>
      <c r="S232" s="186"/>
      <c r="T232" s="186"/>
      <c r="U232" s="145"/>
    </row>
    <row r="233" spans="1:21" ht="12.75" customHeight="1" hidden="1">
      <c r="A233" s="188"/>
      <c r="B233" s="143"/>
      <c r="C233" s="77"/>
      <c r="D233" s="27" t="s">
        <v>44</v>
      </c>
      <c r="E233" s="28">
        <f t="shared" si="45"/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191"/>
      <c r="N233" s="186"/>
      <c r="O233" s="186"/>
      <c r="P233" s="186"/>
      <c r="Q233" s="186"/>
      <c r="R233" s="186"/>
      <c r="S233" s="186"/>
      <c r="T233" s="186"/>
      <c r="U233" s="145"/>
    </row>
    <row r="234" spans="1:21" ht="12.75" customHeight="1" hidden="1">
      <c r="A234" s="188"/>
      <c r="B234" s="143"/>
      <c r="C234" s="77"/>
      <c r="D234" s="27" t="s">
        <v>45</v>
      </c>
      <c r="E234" s="28">
        <f t="shared" si="45"/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192"/>
      <c r="N234" s="187"/>
      <c r="O234" s="187"/>
      <c r="P234" s="187"/>
      <c r="Q234" s="187"/>
      <c r="R234" s="187"/>
      <c r="S234" s="187"/>
      <c r="T234" s="187"/>
      <c r="U234" s="146"/>
    </row>
    <row r="235" spans="1:21" ht="12.75" customHeight="1" hidden="1">
      <c r="A235" s="188"/>
      <c r="B235" s="189" t="s">
        <v>145</v>
      </c>
      <c r="C235" s="77"/>
      <c r="D235" s="27" t="s">
        <v>22</v>
      </c>
      <c r="E235" s="51">
        <f t="shared" si="45"/>
        <v>646853.06</v>
      </c>
      <c r="F235" s="51">
        <f>F236+F237+F238+F239</f>
        <v>151430.64</v>
      </c>
      <c r="G235" s="51">
        <f aca="true" t="shared" si="56" ref="G235:L235">G236+G237+G238+G239</f>
        <v>495422.42</v>
      </c>
      <c r="H235" s="51">
        <f t="shared" si="56"/>
        <v>0</v>
      </c>
      <c r="I235" s="51">
        <f t="shared" si="56"/>
        <v>0</v>
      </c>
      <c r="J235" s="51">
        <f t="shared" si="56"/>
        <v>0</v>
      </c>
      <c r="K235" s="51">
        <f t="shared" si="56"/>
        <v>0</v>
      </c>
      <c r="L235" s="51">
        <f t="shared" si="56"/>
        <v>0</v>
      </c>
      <c r="M235" s="190" t="s">
        <v>142</v>
      </c>
      <c r="N235" s="185"/>
      <c r="O235" s="185"/>
      <c r="P235" s="185"/>
      <c r="Q235" s="185"/>
      <c r="R235" s="185"/>
      <c r="S235" s="185"/>
      <c r="T235" s="185"/>
      <c r="U235" s="144"/>
    </row>
    <row r="236" spans="1:21" ht="12.75" customHeight="1" hidden="1">
      <c r="A236" s="188"/>
      <c r="B236" s="189"/>
      <c r="C236" s="77"/>
      <c r="D236" s="27" t="s">
        <v>41</v>
      </c>
      <c r="E236" s="28">
        <f t="shared" si="45"/>
        <v>646853.06</v>
      </c>
      <c r="F236" s="69">
        <f>188430.64-37000</f>
        <v>151430.64</v>
      </c>
      <c r="G236" s="69">
        <v>495422.42</v>
      </c>
      <c r="H236" s="69">
        <v>0</v>
      </c>
      <c r="I236" s="69">
        <v>0</v>
      </c>
      <c r="J236" s="69"/>
      <c r="K236" s="69"/>
      <c r="L236" s="69"/>
      <c r="M236" s="191"/>
      <c r="N236" s="186"/>
      <c r="O236" s="186"/>
      <c r="P236" s="186"/>
      <c r="Q236" s="186"/>
      <c r="R236" s="186"/>
      <c r="S236" s="186"/>
      <c r="T236" s="186"/>
      <c r="U236" s="145"/>
    </row>
    <row r="237" spans="1:21" ht="12.75" customHeight="1" hidden="1">
      <c r="A237" s="188"/>
      <c r="B237" s="189"/>
      <c r="C237" s="77"/>
      <c r="D237" s="27" t="s">
        <v>42</v>
      </c>
      <c r="E237" s="28">
        <f t="shared" si="45"/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191"/>
      <c r="N237" s="186"/>
      <c r="O237" s="186"/>
      <c r="P237" s="186"/>
      <c r="Q237" s="186"/>
      <c r="R237" s="186"/>
      <c r="S237" s="186"/>
      <c r="T237" s="186"/>
      <c r="U237" s="145"/>
    </row>
    <row r="238" spans="1:21" ht="12.75" customHeight="1" hidden="1">
      <c r="A238" s="188"/>
      <c r="B238" s="189"/>
      <c r="C238" s="77"/>
      <c r="D238" s="27" t="s">
        <v>44</v>
      </c>
      <c r="E238" s="28">
        <f t="shared" si="45"/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9">
        <v>0</v>
      </c>
      <c r="M238" s="191"/>
      <c r="N238" s="186"/>
      <c r="O238" s="186"/>
      <c r="P238" s="186"/>
      <c r="Q238" s="186"/>
      <c r="R238" s="186"/>
      <c r="S238" s="186"/>
      <c r="T238" s="186"/>
      <c r="U238" s="145"/>
    </row>
    <row r="239" spans="1:21" ht="12.75" customHeight="1" hidden="1">
      <c r="A239" s="188"/>
      <c r="B239" s="189"/>
      <c r="C239" s="77"/>
      <c r="D239" s="27" t="s">
        <v>45</v>
      </c>
      <c r="E239" s="28">
        <f t="shared" si="45"/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192"/>
      <c r="N239" s="187"/>
      <c r="O239" s="187"/>
      <c r="P239" s="187"/>
      <c r="Q239" s="187"/>
      <c r="R239" s="187"/>
      <c r="S239" s="187"/>
      <c r="T239" s="187"/>
      <c r="U239" s="146"/>
    </row>
    <row r="240" spans="1:21" ht="12.75" customHeight="1" hidden="1">
      <c r="A240" s="188"/>
      <c r="B240" s="143" t="s">
        <v>146</v>
      </c>
      <c r="C240" s="77"/>
      <c r="D240" s="27" t="s">
        <v>22</v>
      </c>
      <c r="E240" s="51">
        <f t="shared" si="45"/>
        <v>3592185.88</v>
      </c>
      <c r="F240" s="51">
        <f>F241+F242+F243+F244</f>
        <v>614374.8</v>
      </c>
      <c r="G240" s="51">
        <f aca="true" t="shared" si="57" ref="G240:L240">G241+G242+G243+G244</f>
        <v>212232.56</v>
      </c>
      <c r="H240" s="51">
        <f t="shared" si="57"/>
        <v>0</v>
      </c>
      <c r="I240" s="51">
        <f t="shared" si="57"/>
        <v>691394.63</v>
      </c>
      <c r="J240" s="51">
        <f t="shared" si="57"/>
        <v>691394.63</v>
      </c>
      <c r="K240" s="51">
        <f t="shared" si="57"/>
        <v>691394.63</v>
      </c>
      <c r="L240" s="51">
        <f t="shared" si="57"/>
        <v>691394.63</v>
      </c>
      <c r="M240" s="190" t="s">
        <v>96</v>
      </c>
      <c r="N240" s="185"/>
      <c r="O240" s="185"/>
      <c r="P240" s="185"/>
      <c r="Q240" s="185"/>
      <c r="R240" s="185"/>
      <c r="S240" s="185"/>
      <c r="T240" s="185"/>
      <c r="U240" s="144"/>
    </row>
    <row r="241" spans="1:21" ht="12.75" customHeight="1" hidden="1">
      <c r="A241" s="188"/>
      <c r="B241" s="143"/>
      <c r="C241" s="78"/>
      <c r="D241" s="27" t="s">
        <v>41</v>
      </c>
      <c r="E241" s="28">
        <f t="shared" si="45"/>
        <v>3592185.88</v>
      </c>
      <c r="F241" s="69">
        <v>614374.8</v>
      </c>
      <c r="G241" s="28">
        <v>212232.56</v>
      </c>
      <c r="H241" s="69">
        <v>0</v>
      </c>
      <c r="I241" s="69">
        <v>691394.63</v>
      </c>
      <c r="J241" s="69">
        <v>691394.63</v>
      </c>
      <c r="K241" s="69">
        <v>691394.63</v>
      </c>
      <c r="L241" s="69">
        <v>691394.63</v>
      </c>
      <c r="M241" s="191"/>
      <c r="N241" s="186"/>
      <c r="O241" s="186"/>
      <c r="P241" s="186"/>
      <c r="Q241" s="186"/>
      <c r="R241" s="186"/>
      <c r="S241" s="186"/>
      <c r="T241" s="186"/>
      <c r="U241" s="145"/>
    </row>
    <row r="242" spans="1:21" ht="12.75" customHeight="1" hidden="1">
      <c r="A242" s="188"/>
      <c r="B242" s="143"/>
      <c r="C242" s="78"/>
      <c r="D242" s="27" t="s">
        <v>42</v>
      </c>
      <c r="E242" s="28">
        <f t="shared" si="45"/>
        <v>0</v>
      </c>
      <c r="F242" s="69">
        <v>0</v>
      </c>
      <c r="G242" s="28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191"/>
      <c r="N242" s="186"/>
      <c r="O242" s="186"/>
      <c r="P242" s="186"/>
      <c r="Q242" s="186"/>
      <c r="R242" s="186"/>
      <c r="S242" s="186"/>
      <c r="T242" s="186"/>
      <c r="U242" s="145"/>
    </row>
    <row r="243" spans="1:21" ht="12.75" customHeight="1" hidden="1">
      <c r="A243" s="188"/>
      <c r="B243" s="143"/>
      <c r="C243" s="78"/>
      <c r="D243" s="27" t="s">
        <v>44</v>
      </c>
      <c r="E243" s="28">
        <f t="shared" si="45"/>
        <v>0</v>
      </c>
      <c r="F243" s="69">
        <v>0</v>
      </c>
      <c r="G243" s="28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191"/>
      <c r="N243" s="186"/>
      <c r="O243" s="186"/>
      <c r="P243" s="186"/>
      <c r="Q243" s="186"/>
      <c r="R243" s="186"/>
      <c r="S243" s="186"/>
      <c r="T243" s="186"/>
      <c r="U243" s="145"/>
    </row>
    <row r="244" spans="1:21" ht="12.75" customHeight="1" hidden="1">
      <c r="A244" s="188"/>
      <c r="B244" s="143"/>
      <c r="C244" s="78"/>
      <c r="D244" s="27" t="s">
        <v>45</v>
      </c>
      <c r="E244" s="28">
        <f t="shared" si="45"/>
        <v>0</v>
      </c>
      <c r="F244" s="69">
        <v>0</v>
      </c>
      <c r="G244" s="28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192"/>
      <c r="N244" s="187"/>
      <c r="O244" s="187"/>
      <c r="P244" s="187"/>
      <c r="Q244" s="187"/>
      <c r="R244" s="187"/>
      <c r="S244" s="187"/>
      <c r="T244" s="187"/>
      <c r="U244" s="146"/>
    </row>
    <row r="245" spans="1:21" ht="12.75" customHeight="1" hidden="1">
      <c r="A245" s="188"/>
      <c r="B245" s="143" t="s">
        <v>147</v>
      </c>
      <c r="C245" s="78"/>
      <c r="D245" s="27" t="s">
        <v>22</v>
      </c>
      <c r="E245" s="51">
        <f t="shared" si="45"/>
        <v>5389256.54</v>
      </c>
      <c r="F245" s="51">
        <f>F246+F247+F248+F249</f>
        <v>1193974.44</v>
      </c>
      <c r="G245" s="51">
        <f aca="true" t="shared" si="58" ref="G245:L245">G246+G247+G248+G249</f>
        <v>1292818.1</v>
      </c>
      <c r="H245" s="51">
        <f t="shared" si="58"/>
        <v>0</v>
      </c>
      <c r="I245" s="51">
        <f t="shared" si="58"/>
        <v>725616</v>
      </c>
      <c r="J245" s="51">
        <f t="shared" si="58"/>
        <v>725616</v>
      </c>
      <c r="K245" s="51">
        <f t="shared" si="58"/>
        <v>725616</v>
      </c>
      <c r="L245" s="51">
        <f t="shared" si="58"/>
        <v>725616</v>
      </c>
      <c r="M245" s="190" t="s">
        <v>96</v>
      </c>
      <c r="N245" s="185"/>
      <c r="O245" s="185"/>
      <c r="P245" s="185"/>
      <c r="Q245" s="185"/>
      <c r="R245" s="185"/>
      <c r="S245" s="185"/>
      <c r="T245" s="185"/>
      <c r="U245" s="144"/>
    </row>
    <row r="246" spans="1:21" ht="12.75" customHeight="1" hidden="1">
      <c r="A246" s="188"/>
      <c r="B246" s="143"/>
      <c r="C246" s="77"/>
      <c r="D246" s="27" t="s">
        <v>41</v>
      </c>
      <c r="E246" s="28">
        <f t="shared" si="45"/>
        <v>5389256.54</v>
      </c>
      <c r="F246" s="69">
        <v>1193974.44</v>
      </c>
      <c r="G246" s="28">
        <v>1292818.1</v>
      </c>
      <c r="H246" s="69">
        <v>0</v>
      </c>
      <c r="I246" s="69">
        <v>725616</v>
      </c>
      <c r="J246" s="69">
        <v>725616</v>
      </c>
      <c r="K246" s="69">
        <v>725616</v>
      </c>
      <c r="L246" s="69">
        <v>725616</v>
      </c>
      <c r="M246" s="191"/>
      <c r="N246" s="186"/>
      <c r="O246" s="186"/>
      <c r="P246" s="186"/>
      <c r="Q246" s="186"/>
      <c r="R246" s="186"/>
      <c r="S246" s="186"/>
      <c r="T246" s="186"/>
      <c r="U246" s="145"/>
    </row>
    <row r="247" spans="1:21" ht="12.75" customHeight="1" hidden="1">
      <c r="A247" s="188"/>
      <c r="B247" s="143"/>
      <c r="C247" s="77"/>
      <c r="D247" s="27" t="s">
        <v>42</v>
      </c>
      <c r="E247" s="28">
        <f t="shared" si="45"/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191"/>
      <c r="N247" s="186"/>
      <c r="O247" s="186"/>
      <c r="P247" s="186"/>
      <c r="Q247" s="186"/>
      <c r="R247" s="186"/>
      <c r="S247" s="186"/>
      <c r="T247" s="186"/>
      <c r="U247" s="145"/>
    </row>
    <row r="248" spans="1:21" ht="12.75" customHeight="1" hidden="1">
      <c r="A248" s="188"/>
      <c r="B248" s="143"/>
      <c r="C248" s="77"/>
      <c r="D248" s="27" t="s">
        <v>44</v>
      </c>
      <c r="E248" s="28">
        <f t="shared" si="45"/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191"/>
      <c r="N248" s="186"/>
      <c r="O248" s="186"/>
      <c r="P248" s="186"/>
      <c r="Q248" s="186"/>
      <c r="R248" s="186"/>
      <c r="S248" s="186"/>
      <c r="T248" s="186"/>
      <c r="U248" s="145"/>
    </row>
    <row r="249" spans="1:21" ht="12.75" customHeight="1" hidden="1">
      <c r="A249" s="188"/>
      <c r="B249" s="143"/>
      <c r="C249" s="77"/>
      <c r="D249" s="27" t="s">
        <v>45</v>
      </c>
      <c r="E249" s="28">
        <f t="shared" si="45"/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192"/>
      <c r="N249" s="187"/>
      <c r="O249" s="187"/>
      <c r="P249" s="187"/>
      <c r="Q249" s="187"/>
      <c r="R249" s="187"/>
      <c r="S249" s="187"/>
      <c r="T249" s="187"/>
      <c r="U249" s="146"/>
    </row>
    <row r="250" spans="1:21" ht="12.75" customHeight="1" hidden="1">
      <c r="A250" s="188"/>
      <c r="B250" s="189" t="s">
        <v>148</v>
      </c>
      <c r="C250" s="77"/>
      <c r="D250" s="27" t="s">
        <v>22</v>
      </c>
      <c r="E250" s="51">
        <f t="shared" si="45"/>
        <v>4234197.47</v>
      </c>
      <c r="F250" s="51">
        <f>F251+F252+F253+F254</f>
        <v>455321.59</v>
      </c>
      <c r="G250" s="51">
        <f aca="true" t="shared" si="59" ref="G250:L250">G251+G252+G253+G254</f>
        <v>732271.88</v>
      </c>
      <c r="H250" s="51">
        <f t="shared" si="59"/>
        <v>0</v>
      </c>
      <c r="I250" s="51">
        <f t="shared" si="59"/>
        <v>761651</v>
      </c>
      <c r="J250" s="51">
        <f t="shared" si="59"/>
        <v>761651</v>
      </c>
      <c r="K250" s="51">
        <f t="shared" si="59"/>
        <v>761651</v>
      </c>
      <c r="L250" s="51">
        <f t="shared" si="59"/>
        <v>761651</v>
      </c>
      <c r="M250" s="190" t="s">
        <v>96</v>
      </c>
      <c r="N250" s="185"/>
      <c r="O250" s="185"/>
      <c r="P250" s="185"/>
      <c r="Q250" s="185"/>
      <c r="R250" s="185"/>
      <c r="S250" s="185"/>
      <c r="T250" s="185"/>
      <c r="U250" s="144"/>
    </row>
    <row r="251" spans="1:21" ht="16.5" customHeight="1" hidden="1">
      <c r="A251" s="188"/>
      <c r="B251" s="189"/>
      <c r="C251" s="77"/>
      <c r="D251" s="27" t="s">
        <v>41</v>
      </c>
      <c r="E251" s="28">
        <f t="shared" si="45"/>
        <v>4234197.47</v>
      </c>
      <c r="F251" s="69">
        <v>455321.59</v>
      </c>
      <c r="G251" s="69">
        <v>732271.88</v>
      </c>
      <c r="H251" s="69">
        <v>0</v>
      </c>
      <c r="I251" s="69">
        <v>761651</v>
      </c>
      <c r="J251" s="69">
        <v>761651</v>
      </c>
      <c r="K251" s="69">
        <v>761651</v>
      </c>
      <c r="L251" s="69">
        <v>761651</v>
      </c>
      <c r="M251" s="191"/>
      <c r="N251" s="186"/>
      <c r="O251" s="186"/>
      <c r="P251" s="186"/>
      <c r="Q251" s="186"/>
      <c r="R251" s="186"/>
      <c r="S251" s="186"/>
      <c r="T251" s="186"/>
      <c r="U251" s="145"/>
    </row>
    <row r="252" spans="1:21" ht="12.75" customHeight="1" hidden="1">
      <c r="A252" s="188"/>
      <c r="B252" s="189"/>
      <c r="C252" s="77"/>
      <c r="D252" s="27" t="s">
        <v>42</v>
      </c>
      <c r="E252" s="28">
        <f t="shared" si="45"/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191"/>
      <c r="N252" s="186"/>
      <c r="O252" s="186"/>
      <c r="P252" s="186"/>
      <c r="Q252" s="186"/>
      <c r="R252" s="186"/>
      <c r="S252" s="186"/>
      <c r="T252" s="186"/>
      <c r="U252" s="145"/>
    </row>
    <row r="253" spans="1:21" ht="12.75" customHeight="1" hidden="1">
      <c r="A253" s="188"/>
      <c r="B253" s="189"/>
      <c r="C253" s="77"/>
      <c r="D253" s="27" t="s">
        <v>44</v>
      </c>
      <c r="E253" s="28">
        <f aca="true" t="shared" si="60" ref="E253:E305">F253+G253+H253+I253+J253+K253+L253</f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191"/>
      <c r="N253" s="186"/>
      <c r="O253" s="186"/>
      <c r="P253" s="186"/>
      <c r="Q253" s="186"/>
      <c r="R253" s="186"/>
      <c r="S253" s="186"/>
      <c r="T253" s="186"/>
      <c r="U253" s="145"/>
    </row>
    <row r="254" spans="1:21" ht="12.75" customHeight="1" hidden="1">
      <c r="A254" s="188"/>
      <c r="B254" s="189"/>
      <c r="C254" s="77"/>
      <c r="D254" s="27" t="s">
        <v>45</v>
      </c>
      <c r="E254" s="28">
        <f t="shared" si="60"/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192"/>
      <c r="N254" s="187"/>
      <c r="O254" s="187"/>
      <c r="P254" s="187"/>
      <c r="Q254" s="187"/>
      <c r="R254" s="187"/>
      <c r="S254" s="187"/>
      <c r="T254" s="187"/>
      <c r="U254" s="146"/>
    </row>
    <row r="255" spans="1:21" ht="12.75" customHeight="1" hidden="1">
      <c r="A255" s="188"/>
      <c r="B255" s="189" t="s">
        <v>149</v>
      </c>
      <c r="C255" s="77"/>
      <c r="D255" s="27" t="s">
        <v>22</v>
      </c>
      <c r="E255" s="51">
        <f t="shared" si="60"/>
        <v>3700154.21</v>
      </c>
      <c r="F255" s="51">
        <f>F256+F257+F258+F259</f>
        <v>3700154.21</v>
      </c>
      <c r="G255" s="51">
        <f aca="true" t="shared" si="61" ref="G255:L255">G256+G257+G258+G259</f>
        <v>0</v>
      </c>
      <c r="H255" s="51">
        <f t="shared" si="61"/>
        <v>0</v>
      </c>
      <c r="I255" s="51">
        <f t="shared" si="61"/>
        <v>0</v>
      </c>
      <c r="J255" s="51">
        <f t="shared" si="61"/>
        <v>0</v>
      </c>
      <c r="K255" s="51">
        <f t="shared" si="61"/>
        <v>0</v>
      </c>
      <c r="L255" s="51">
        <f t="shared" si="61"/>
        <v>0</v>
      </c>
      <c r="M255" s="190" t="s">
        <v>150</v>
      </c>
      <c r="N255" s="185"/>
      <c r="O255" s="185"/>
      <c r="P255" s="185"/>
      <c r="Q255" s="185"/>
      <c r="R255" s="185"/>
      <c r="S255" s="185"/>
      <c r="T255" s="185"/>
      <c r="U255" s="144"/>
    </row>
    <row r="256" spans="1:21" ht="12.75" customHeight="1" hidden="1">
      <c r="A256" s="188"/>
      <c r="B256" s="189"/>
      <c r="C256" s="77"/>
      <c r="D256" s="27" t="s">
        <v>41</v>
      </c>
      <c r="E256" s="28">
        <f t="shared" si="60"/>
        <v>3700154.21</v>
      </c>
      <c r="F256" s="69">
        <v>3700154.21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191"/>
      <c r="N256" s="186"/>
      <c r="O256" s="186"/>
      <c r="P256" s="186"/>
      <c r="Q256" s="186"/>
      <c r="R256" s="186"/>
      <c r="S256" s="186"/>
      <c r="T256" s="186"/>
      <c r="U256" s="145"/>
    </row>
    <row r="257" spans="1:21" ht="12.75" customHeight="1" hidden="1">
      <c r="A257" s="188"/>
      <c r="B257" s="189"/>
      <c r="C257" s="77"/>
      <c r="D257" s="27" t="s">
        <v>42</v>
      </c>
      <c r="E257" s="28">
        <f t="shared" si="60"/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191"/>
      <c r="N257" s="186"/>
      <c r="O257" s="186"/>
      <c r="P257" s="186"/>
      <c r="Q257" s="186"/>
      <c r="R257" s="186"/>
      <c r="S257" s="186"/>
      <c r="T257" s="186"/>
      <c r="U257" s="145"/>
    </row>
    <row r="258" spans="1:21" ht="12.75" customHeight="1" hidden="1">
      <c r="A258" s="188"/>
      <c r="B258" s="189"/>
      <c r="C258" s="77"/>
      <c r="D258" s="27" t="s">
        <v>44</v>
      </c>
      <c r="E258" s="28">
        <f t="shared" si="60"/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191"/>
      <c r="N258" s="186"/>
      <c r="O258" s="186"/>
      <c r="P258" s="186"/>
      <c r="Q258" s="186"/>
      <c r="R258" s="186"/>
      <c r="S258" s="186"/>
      <c r="T258" s="186"/>
      <c r="U258" s="145"/>
    </row>
    <row r="259" spans="1:21" ht="12.75" customHeight="1" hidden="1">
      <c r="A259" s="188"/>
      <c r="B259" s="189"/>
      <c r="C259" s="77"/>
      <c r="D259" s="27" t="s">
        <v>45</v>
      </c>
      <c r="E259" s="28">
        <f t="shared" si="60"/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192"/>
      <c r="N259" s="187"/>
      <c r="O259" s="187"/>
      <c r="P259" s="187"/>
      <c r="Q259" s="187"/>
      <c r="R259" s="187"/>
      <c r="S259" s="187"/>
      <c r="T259" s="187"/>
      <c r="U259" s="146"/>
    </row>
    <row r="260" spans="1:21" ht="12.75" customHeight="1" hidden="1">
      <c r="A260" s="188"/>
      <c r="B260" s="189" t="s">
        <v>151</v>
      </c>
      <c r="C260" s="77"/>
      <c r="D260" s="27" t="s">
        <v>22</v>
      </c>
      <c r="E260" s="51">
        <f t="shared" si="60"/>
        <v>166863.97</v>
      </c>
      <c r="F260" s="51">
        <f aca="true" t="shared" si="62" ref="F260:L260">F261+F263+F264+F265</f>
        <v>166863.97</v>
      </c>
      <c r="G260" s="51">
        <f t="shared" si="62"/>
        <v>0</v>
      </c>
      <c r="H260" s="51">
        <f t="shared" si="62"/>
        <v>0</v>
      </c>
      <c r="I260" s="51">
        <f t="shared" si="62"/>
        <v>0</v>
      </c>
      <c r="J260" s="51">
        <f t="shared" si="62"/>
        <v>0</v>
      </c>
      <c r="K260" s="51">
        <f t="shared" si="62"/>
        <v>0</v>
      </c>
      <c r="L260" s="51">
        <f t="shared" si="62"/>
        <v>0</v>
      </c>
      <c r="M260" s="64"/>
      <c r="N260" s="185"/>
      <c r="O260" s="185"/>
      <c r="P260" s="185"/>
      <c r="Q260" s="185"/>
      <c r="R260" s="185"/>
      <c r="S260" s="185"/>
      <c r="T260" s="185"/>
      <c r="U260" s="144"/>
    </row>
    <row r="261" spans="1:21" ht="12.75" customHeight="1" hidden="1">
      <c r="A261" s="188"/>
      <c r="B261" s="189"/>
      <c r="C261" s="142"/>
      <c r="D261" s="27" t="s">
        <v>41</v>
      </c>
      <c r="E261" s="28">
        <f t="shared" si="60"/>
        <v>166863.97</v>
      </c>
      <c r="F261" s="69">
        <f>F262</f>
        <v>166863.97</v>
      </c>
      <c r="G261" s="69">
        <f aca="true" t="shared" si="63" ref="G261:L261">G262</f>
        <v>0</v>
      </c>
      <c r="H261" s="69">
        <f t="shared" si="63"/>
        <v>0</v>
      </c>
      <c r="I261" s="69">
        <f t="shared" si="63"/>
        <v>0</v>
      </c>
      <c r="J261" s="69">
        <f t="shared" si="63"/>
        <v>0</v>
      </c>
      <c r="K261" s="69">
        <f t="shared" si="63"/>
        <v>0</v>
      </c>
      <c r="L261" s="69">
        <f t="shared" si="63"/>
        <v>0</v>
      </c>
      <c r="M261" s="60"/>
      <c r="N261" s="186"/>
      <c r="O261" s="186"/>
      <c r="P261" s="186"/>
      <c r="Q261" s="186"/>
      <c r="R261" s="186"/>
      <c r="S261" s="186"/>
      <c r="T261" s="186"/>
      <c r="U261" s="145"/>
    </row>
    <row r="262" spans="1:21" ht="12.75" customHeight="1" hidden="1">
      <c r="A262" s="188"/>
      <c r="B262" s="189"/>
      <c r="C262" s="142"/>
      <c r="D262" s="27"/>
      <c r="E262" s="28">
        <f t="shared" si="60"/>
        <v>166863.97</v>
      </c>
      <c r="F262" s="69">
        <f>137032.97+29831</f>
        <v>166863.97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0" t="s">
        <v>152</v>
      </c>
      <c r="N262" s="186"/>
      <c r="O262" s="186"/>
      <c r="P262" s="186"/>
      <c r="Q262" s="186"/>
      <c r="R262" s="186"/>
      <c r="S262" s="186"/>
      <c r="T262" s="186"/>
      <c r="U262" s="145"/>
    </row>
    <row r="263" spans="1:21" ht="12.75" customHeight="1" hidden="1">
      <c r="A263" s="188"/>
      <c r="B263" s="189"/>
      <c r="C263" s="142"/>
      <c r="D263" s="27" t="s">
        <v>42</v>
      </c>
      <c r="E263" s="28">
        <f t="shared" si="60"/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2"/>
      <c r="N263" s="186"/>
      <c r="O263" s="186"/>
      <c r="P263" s="186"/>
      <c r="Q263" s="186"/>
      <c r="R263" s="186"/>
      <c r="S263" s="186"/>
      <c r="T263" s="186"/>
      <c r="U263" s="145"/>
    </row>
    <row r="264" spans="1:21" ht="12.75" customHeight="1" hidden="1">
      <c r="A264" s="188"/>
      <c r="B264" s="189"/>
      <c r="C264" s="142"/>
      <c r="D264" s="27" t="s">
        <v>44</v>
      </c>
      <c r="E264" s="28">
        <f t="shared" si="60"/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2"/>
      <c r="N264" s="186"/>
      <c r="O264" s="186"/>
      <c r="P264" s="186"/>
      <c r="Q264" s="186"/>
      <c r="R264" s="186"/>
      <c r="S264" s="186"/>
      <c r="T264" s="186"/>
      <c r="U264" s="145"/>
    </row>
    <row r="265" spans="1:21" ht="12.75" customHeight="1" hidden="1">
      <c r="A265" s="188"/>
      <c r="B265" s="189"/>
      <c r="C265" s="142"/>
      <c r="D265" s="27" t="s">
        <v>45</v>
      </c>
      <c r="E265" s="28">
        <f t="shared" si="60"/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3"/>
      <c r="N265" s="187"/>
      <c r="O265" s="187"/>
      <c r="P265" s="187"/>
      <c r="Q265" s="187"/>
      <c r="R265" s="187"/>
      <c r="S265" s="187"/>
      <c r="T265" s="187"/>
      <c r="U265" s="146"/>
    </row>
    <row r="266" spans="1:21" ht="12.75" customHeight="1" hidden="1">
      <c r="A266" s="188"/>
      <c r="B266" s="189" t="s">
        <v>153</v>
      </c>
      <c r="C266" s="142"/>
      <c r="D266" s="27" t="s">
        <v>22</v>
      </c>
      <c r="E266" s="51">
        <f t="shared" si="60"/>
        <v>93010.99</v>
      </c>
      <c r="F266" s="51">
        <f>F267+F268+F269+F270</f>
        <v>93010.99</v>
      </c>
      <c r="G266" s="51">
        <f aca="true" t="shared" si="64" ref="G266:L266">G267+G268+G269+G270</f>
        <v>0</v>
      </c>
      <c r="H266" s="51">
        <f t="shared" si="64"/>
        <v>0</v>
      </c>
      <c r="I266" s="51">
        <f t="shared" si="64"/>
        <v>0</v>
      </c>
      <c r="J266" s="51">
        <f t="shared" si="64"/>
        <v>0</v>
      </c>
      <c r="K266" s="51">
        <f t="shared" si="64"/>
        <v>0</v>
      </c>
      <c r="L266" s="51">
        <f t="shared" si="64"/>
        <v>0</v>
      </c>
      <c r="M266" s="190" t="s">
        <v>96</v>
      </c>
      <c r="N266" s="185"/>
      <c r="O266" s="185"/>
      <c r="P266" s="185"/>
      <c r="Q266" s="185"/>
      <c r="R266" s="185"/>
      <c r="S266" s="185"/>
      <c r="T266" s="185"/>
      <c r="U266" s="144"/>
    </row>
    <row r="267" spans="1:21" ht="12.75" customHeight="1" hidden="1">
      <c r="A267" s="188"/>
      <c r="B267" s="189"/>
      <c r="C267" s="142"/>
      <c r="D267" s="27" t="s">
        <v>41</v>
      </c>
      <c r="E267" s="28">
        <f t="shared" si="60"/>
        <v>93010.99</v>
      </c>
      <c r="F267" s="69">
        <v>93010.99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191"/>
      <c r="N267" s="186"/>
      <c r="O267" s="186"/>
      <c r="P267" s="186"/>
      <c r="Q267" s="186"/>
      <c r="R267" s="186"/>
      <c r="S267" s="186"/>
      <c r="T267" s="186"/>
      <c r="U267" s="145"/>
    </row>
    <row r="268" spans="1:21" ht="12.75" customHeight="1" hidden="1">
      <c r="A268" s="188"/>
      <c r="B268" s="189"/>
      <c r="C268" s="142"/>
      <c r="D268" s="27" t="s">
        <v>42</v>
      </c>
      <c r="E268" s="28">
        <f t="shared" si="60"/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191"/>
      <c r="N268" s="186"/>
      <c r="O268" s="186"/>
      <c r="P268" s="186"/>
      <c r="Q268" s="186"/>
      <c r="R268" s="186"/>
      <c r="S268" s="186"/>
      <c r="T268" s="186"/>
      <c r="U268" s="145"/>
    </row>
    <row r="269" spans="1:21" ht="12.75" customHeight="1" hidden="1">
      <c r="A269" s="188"/>
      <c r="B269" s="189"/>
      <c r="C269" s="142"/>
      <c r="D269" s="27" t="s">
        <v>44</v>
      </c>
      <c r="E269" s="28">
        <f t="shared" si="60"/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191"/>
      <c r="N269" s="186"/>
      <c r="O269" s="186"/>
      <c r="P269" s="186"/>
      <c r="Q269" s="186"/>
      <c r="R269" s="186"/>
      <c r="S269" s="186"/>
      <c r="T269" s="186"/>
      <c r="U269" s="145"/>
    </row>
    <row r="270" spans="1:21" ht="12.75" customHeight="1" hidden="1">
      <c r="A270" s="188"/>
      <c r="B270" s="189"/>
      <c r="C270" s="142"/>
      <c r="D270" s="27" t="s">
        <v>45</v>
      </c>
      <c r="E270" s="28">
        <f t="shared" si="60"/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192"/>
      <c r="N270" s="187"/>
      <c r="O270" s="187"/>
      <c r="P270" s="187"/>
      <c r="Q270" s="187"/>
      <c r="R270" s="187"/>
      <c r="S270" s="187"/>
      <c r="T270" s="187"/>
      <c r="U270" s="146"/>
    </row>
    <row r="271" spans="1:21" ht="12.75" customHeight="1" hidden="1">
      <c r="A271" s="188"/>
      <c r="B271" s="189" t="s">
        <v>154</v>
      </c>
      <c r="C271" s="142"/>
      <c r="D271" s="27" t="s">
        <v>22</v>
      </c>
      <c r="E271" s="51">
        <f t="shared" si="60"/>
        <v>147000</v>
      </c>
      <c r="F271" s="51">
        <f>F272+F273+F274+F275</f>
        <v>147000</v>
      </c>
      <c r="G271" s="51">
        <f aca="true" t="shared" si="65" ref="G271:L271">G272+G273+G274+G275</f>
        <v>0</v>
      </c>
      <c r="H271" s="51">
        <f t="shared" si="65"/>
        <v>0</v>
      </c>
      <c r="I271" s="51">
        <f t="shared" si="65"/>
        <v>0</v>
      </c>
      <c r="J271" s="51">
        <f t="shared" si="65"/>
        <v>0</v>
      </c>
      <c r="K271" s="51">
        <f t="shared" si="65"/>
        <v>0</v>
      </c>
      <c r="L271" s="51">
        <f t="shared" si="65"/>
        <v>0</v>
      </c>
      <c r="M271" s="190" t="s">
        <v>135</v>
      </c>
      <c r="N271" s="185"/>
      <c r="O271" s="185"/>
      <c r="P271" s="185"/>
      <c r="Q271" s="185"/>
      <c r="R271" s="185"/>
      <c r="S271" s="185"/>
      <c r="T271" s="185"/>
      <c r="U271" s="144"/>
    </row>
    <row r="272" spans="1:21" ht="12.75" customHeight="1" hidden="1">
      <c r="A272" s="188"/>
      <c r="B272" s="189"/>
      <c r="C272" s="142"/>
      <c r="D272" s="27" t="s">
        <v>41</v>
      </c>
      <c r="E272" s="28">
        <f t="shared" si="60"/>
        <v>147000</v>
      </c>
      <c r="F272" s="69">
        <v>147000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191"/>
      <c r="N272" s="186"/>
      <c r="O272" s="186"/>
      <c r="P272" s="186"/>
      <c r="Q272" s="186"/>
      <c r="R272" s="186"/>
      <c r="S272" s="186"/>
      <c r="T272" s="186"/>
      <c r="U272" s="145"/>
    </row>
    <row r="273" spans="1:21" ht="12.75" customHeight="1" hidden="1">
      <c r="A273" s="188"/>
      <c r="B273" s="189"/>
      <c r="C273" s="142"/>
      <c r="D273" s="27" t="s">
        <v>42</v>
      </c>
      <c r="E273" s="28">
        <f t="shared" si="60"/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191"/>
      <c r="N273" s="186"/>
      <c r="O273" s="186"/>
      <c r="P273" s="186"/>
      <c r="Q273" s="186"/>
      <c r="R273" s="186"/>
      <c r="S273" s="186"/>
      <c r="T273" s="186"/>
      <c r="U273" s="145"/>
    </row>
    <row r="274" spans="1:21" ht="12.75" customHeight="1" hidden="1">
      <c r="A274" s="188"/>
      <c r="B274" s="189"/>
      <c r="C274" s="142"/>
      <c r="D274" s="27" t="s">
        <v>44</v>
      </c>
      <c r="E274" s="28">
        <f t="shared" si="60"/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191"/>
      <c r="N274" s="186"/>
      <c r="O274" s="186"/>
      <c r="P274" s="186"/>
      <c r="Q274" s="186"/>
      <c r="R274" s="186"/>
      <c r="S274" s="186"/>
      <c r="T274" s="186"/>
      <c r="U274" s="145"/>
    </row>
    <row r="275" spans="1:21" ht="12.75" customHeight="1" hidden="1">
      <c r="A275" s="188"/>
      <c r="B275" s="189"/>
      <c r="C275" s="142"/>
      <c r="D275" s="27" t="s">
        <v>45</v>
      </c>
      <c r="E275" s="28">
        <f t="shared" si="60"/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192"/>
      <c r="N275" s="187"/>
      <c r="O275" s="187"/>
      <c r="P275" s="187"/>
      <c r="Q275" s="187"/>
      <c r="R275" s="187"/>
      <c r="S275" s="187"/>
      <c r="T275" s="187"/>
      <c r="U275" s="146"/>
    </row>
    <row r="276" spans="1:21" ht="12.75" customHeight="1" hidden="1">
      <c r="A276" s="188"/>
      <c r="B276" s="189" t="s">
        <v>155</v>
      </c>
      <c r="C276" s="142"/>
      <c r="D276" s="27" t="s">
        <v>22</v>
      </c>
      <c r="E276" s="51">
        <f t="shared" si="60"/>
        <v>58957</v>
      </c>
      <c r="F276" s="51">
        <f>F277+F278+F279+F280</f>
        <v>58957</v>
      </c>
      <c r="G276" s="51">
        <f aca="true" t="shared" si="66" ref="G276:L276">G277+G278+G279+G280</f>
        <v>0</v>
      </c>
      <c r="H276" s="51">
        <f t="shared" si="66"/>
        <v>0</v>
      </c>
      <c r="I276" s="51">
        <f t="shared" si="66"/>
        <v>0</v>
      </c>
      <c r="J276" s="51">
        <f t="shared" si="66"/>
        <v>0</v>
      </c>
      <c r="K276" s="51">
        <f t="shared" si="66"/>
        <v>0</v>
      </c>
      <c r="L276" s="51">
        <f t="shared" si="66"/>
        <v>0</v>
      </c>
      <c r="M276" s="190" t="s">
        <v>142</v>
      </c>
      <c r="N276" s="185"/>
      <c r="O276" s="185"/>
      <c r="P276" s="185"/>
      <c r="Q276" s="185"/>
      <c r="R276" s="185"/>
      <c r="S276" s="185"/>
      <c r="T276" s="185"/>
      <c r="U276" s="144"/>
    </row>
    <row r="277" spans="1:21" ht="12.75" customHeight="1" hidden="1">
      <c r="A277" s="188"/>
      <c r="B277" s="189"/>
      <c r="C277" s="142"/>
      <c r="D277" s="27" t="s">
        <v>41</v>
      </c>
      <c r="E277" s="28">
        <f t="shared" si="60"/>
        <v>58957</v>
      </c>
      <c r="F277" s="69">
        <v>58957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191"/>
      <c r="N277" s="186"/>
      <c r="O277" s="186"/>
      <c r="P277" s="186"/>
      <c r="Q277" s="186"/>
      <c r="R277" s="186"/>
      <c r="S277" s="186"/>
      <c r="T277" s="186"/>
      <c r="U277" s="145"/>
    </row>
    <row r="278" spans="1:21" ht="12.75" customHeight="1" hidden="1">
      <c r="A278" s="188"/>
      <c r="B278" s="189"/>
      <c r="C278" s="142"/>
      <c r="D278" s="27" t="s">
        <v>42</v>
      </c>
      <c r="E278" s="28">
        <f t="shared" si="60"/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191"/>
      <c r="N278" s="186"/>
      <c r="O278" s="186"/>
      <c r="P278" s="186"/>
      <c r="Q278" s="186"/>
      <c r="R278" s="186"/>
      <c r="S278" s="186"/>
      <c r="T278" s="186"/>
      <c r="U278" s="145"/>
    </row>
    <row r="279" spans="1:21" ht="12.75" customHeight="1" hidden="1">
      <c r="A279" s="188"/>
      <c r="B279" s="189"/>
      <c r="C279" s="142"/>
      <c r="D279" s="27" t="s">
        <v>44</v>
      </c>
      <c r="E279" s="28">
        <f t="shared" si="60"/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191"/>
      <c r="N279" s="186"/>
      <c r="O279" s="186"/>
      <c r="P279" s="186"/>
      <c r="Q279" s="186"/>
      <c r="R279" s="186"/>
      <c r="S279" s="186"/>
      <c r="T279" s="186"/>
      <c r="U279" s="145"/>
    </row>
    <row r="280" spans="1:21" ht="12.75" customHeight="1" hidden="1">
      <c r="A280" s="188"/>
      <c r="B280" s="189"/>
      <c r="C280" s="142"/>
      <c r="D280" s="27" t="s">
        <v>45</v>
      </c>
      <c r="E280" s="28">
        <f t="shared" si="60"/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192"/>
      <c r="N280" s="187"/>
      <c r="O280" s="187"/>
      <c r="P280" s="187"/>
      <c r="Q280" s="187"/>
      <c r="R280" s="187"/>
      <c r="S280" s="187"/>
      <c r="T280" s="187"/>
      <c r="U280" s="146"/>
    </row>
    <row r="281" spans="1:21" ht="12.75" customHeight="1" hidden="1">
      <c r="A281" s="188"/>
      <c r="B281" s="143" t="s">
        <v>156</v>
      </c>
      <c r="C281" s="77"/>
      <c r="D281" s="27" t="s">
        <v>22</v>
      </c>
      <c r="E281" s="51">
        <f>F281+G281+H281+I281+J281+K281+L281</f>
        <v>153009</v>
      </c>
      <c r="F281" s="51">
        <f>F282+F283+F284+F285</f>
        <v>0</v>
      </c>
      <c r="G281" s="51">
        <f aca="true" t="shared" si="67" ref="G281:L281">G282+G283+G284+G285</f>
        <v>153009</v>
      </c>
      <c r="H281" s="51">
        <f t="shared" si="67"/>
        <v>0</v>
      </c>
      <c r="I281" s="51">
        <f t="shared" si="67"/>
        <v>0</v>
      </c>
      <c r="J281" s="51">
        <f t="shared" si="67"/>
        <v>0</v>
      </c>
      <c r="K281" s="51">
        <f t="shared" si="67"/>
        <v>0</v>
      </c>
      <c r="L281" s="51">
        <f t="shared" si="67"/>
        <v>0</v>
      </c>
      <c r="M281" s="52"/>
      <c r="N281" s="53"/>
      <c r="O281" s="53"/>
      <c r="P281" s="53"/>
      <c r="Q281" s="53"/>
      <c r="R281" s="53"/>
      <c r="S281" s="53"/>
      <c r="T281" s="53"/>
      <c r="U281" s="54"/>
    </row>
    <row r="282" spans="1:21" ht="43.5" customHeight="1" hidden="1">
      <c r="A282" s="188"/>
      <c r="B282" s="143"/>
      <c r="C282" s="78"/>
      <c r="D282" s="27" t="s">
        <v>41</v>
      </c>
      <c r="E282" s="28">
        <f>F282+G282+H282+I282+J282+K282+L282</f>
        <v>153009</v>
      </c>
      <c r="F282" s="69">
        <v>0</v>
      </c>
      <c r="G282" s="69">
        <f>96977+56032</f>
        <v>153009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52"/>
      <c r="N282" s="53"/>
      <c r="O282" s="53"/>
      <c r="P282" s="53"/>
      <c r="Q282" s="53"/>
      <c r="R282" s="53"/>
      <c r="S282" s="53"/>
      <c r="T282" s="53"/>
      <c r="U282" s="54"/>
    </row>
    <row r="283" spans="1:21" ht="12.75" customHeight="1" hidden="1">
      <c r="A283" s="188"/>
      <c r="B283" s="143"/>
      <c r="C283" s="78"/>
      <c r="D283" s="27" t="s">
        <v>42</v>
      </c>
      <c r="E283" s="28">
        <f>F283+G283+H283+I283+J283+K283+L283</f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52"/>
      <c r="N283" s="53"/>
      <c r="O283" s="53"/>
      <c r="P283" s="53"/>
      <c r="Q283" s="53"/>
      <c r="R283" s="53"/>
      <c r="S283" s="53"/>
      <c r="T283" s="53"/>
      <c r="U283" s="54"/>
    </row>
    <row r="284" spans="1:21" ht="12.75" customHeight="1" hidden="1">
      <c r="A284" s="188"/>
      <c r="B284" s="143"/>
      <c r="C284" s="78"/>
      <c r="D284" s="27" t="s">
        <v>44</v>
      </c>
      <c r="E284" s="28">
        <f>F284+G284+H284+I284+J284+K284+L284</f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52"/>
      <c r="N284" s="53"/>
      <c r="O284" s="53"/>
      <c r="P284" s="53"/>
      <c r="Q284" s="53"/>
      <c r="R284" s="53"/>
      <c r="S284" s="53"/>
      <c r="T284" s="53"/>
      <c r="U284" s="54"/>
    </row>
    <row r="285" spans="1:21" ht="12.75" customHeight="1" hidden="1">
      <c r="A285" s="188"/>
      <c r="B285" s="143"/>
      <c r="C285" s="78"/>
      <c r="D285" s="27" t="s">
        <v>45</v>
      </c>
      <c r="E285" s="28">
        <f>F285+G285+H285+I285+J285+K285+L285</f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52"/>
      <c r="N285" s="53"/>
      <c r="O285" s="53"/>
      <c r="P285" s="53"/>
      <c r="Q285" s="53"/>
      <c r="R285" s="53"/>
      <c r="S285" s="53"/>
      <c r="T285" s="53"/>
      <c r="U285" s="54"/>
    </row>
    <row r="286" spans="1:21" ht="12.75" customHeight="1" hidden="1">
      <c r="A286" s="188"/>
      <c r="B286" s="143" t="s">
        <v>157</v>
      </c>
      <c r="C286" s="77"/>
      <c r="D286" s="27" t="s">
        <v>22</v>
      </c>
      <c r="E286" s="51">
        <f t="shared" si="60"/>
        <v>84989.914</v>
      </c>
      <c r="F286" s="51">
        <f>F287+F288+F289+F290</f>
        <v>0</v>
      </c>
      <c r="G286" s="51">
        <f aca="true" t="shared" si="68" ref="G286:L286">G287+G288+G289+G290</f>
        <v>84989.914</v>
      </c>
      <c r="H286" s="51">
        <f t="shared" si="68"/>
        <v>0</v>
      </c>
      <c r="I286" s="51">
        <f t="shared" si="68"/>
        <v>0</v>
      </c>
      <c r="J286" s="51">
        <f t="shared" si="68"/>
        <v>0</v>
      </c>
      <c r="K286" s="51">
        <f t="shared" si="68"/>
        <v>0</v>
      </c>
      <c r="L286" s="51">
        <f t="shared" si="68"/>
        <v>0</v>
      </c>
      <c r="M286" s="52"/>
      <c r="N286" s="53"/>
      <c r="O286" s="53"/>
      <c r="P286" s="53"/>
      <c r="Q286" s="53"/>
      <c r="R286" s="53"/>
      <c r="S286" s="53"/>
      <c r="T286" s="53"/>
      <c r="U286" s="54"/>
    </row>
    <row r="287" spans="1:21" ht="12.75" customHeight="1" hidden="1">
      <c r="A287" s="188"/>
      <c r="B287" s="143"/>
      <c r="C287" s="78"/>
      <c r="D287" s="27" t="s">
        <v>41</v>
      </c>
      <c r="E287" s="28">
        <f t="shared" si="60"/>
        <v>84989.914</v>
      </c>
      <c r="F287" s="69">
        <v>0</v>
      </c>
      <c r="G287" s="69">
        <v>84989.914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52"/>
      <c r="N287" s="53"/>
      <c r="O287" s="53"/>
      <c r="P287" s="53"/>
      <c r="Q287" s="53"/>
      <c r="R287" s="53"/>
      <c r="S287" s="53"/>
      <c r="T287" s="53"/>
      <c r="U287" s="54"/>
    </row>
    <row r="288" spans="1:21" ht="12.75" customHeight="1" hidden="1">
      <c r="A288" s="188"/>
      <c r="B288" s="143"/>
      <c r="C288" s="78"/>
      <c r="D288" s="27" t="s">
        <v>42</v>
      </c>
      <c r="E288" s="28">
        <f t="shared" si="60"/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52"/>
      <c r="N288" s="53"/>
      <c r="O288" s="53"/>
      <c r="P288" s="53"/>
      <c r="Q288" s="53"/>
      <c r="R288" s="53"/>
      <c r="S288" s="53"/>
      <c r="T288" s="53"/>
      <c r="U288" s="54"/>
    </row>
    <row r="289" spans="1:21" ht="12.75" customHeight="1" hidden="1">
      <c r="A289" s="188"/>
      <c r="B289" s="143"/>
      <c r="C289" s="78"/>
      <c r="D289" s="27" t="s">
        <v>44</v>
      </c>
      <c r="E289" s="28">
        <f t="shared" si="60"/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52"/>
      <c r="N289" s="53"/>
      <c r="O289" s="53"/>
      <c r="P289" s="53"/>
      <c r="Q289" s="53"/>
      <c r="R289" s="53"/>
      <c r="S289" s="53"/>
      <c r="T289" s="53"/>
      <c r="U289" s="54"/>
    </row>
    <row r="290" spans="1:21" ht="12.75" customHeight="1" hidden="1">
      <c r="A290" s="188"/>
      <c r="B290" s="143"/>
      <c r="C290" s="78"/>
      <c r="D290" s="27" t="s">
        <v>45</v>
      </c>
      <c r="E290" s="28">
        <f t="shared" si="60"/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52"/>
      <c r="N290" s="53"/>
      <c r="O290" s="53"/>
      <c r="P290" s="53"/>
      <c r="Q290" s="53"/>
      <c r="R290" s="53"/>
      <c r="S290" s="53"/>
      <c r="T290" s="53"/>
      <c r="U290" s="54"/>
    </row>
    <row r="291" spans="1:21" ht="12.75" customHeight="1" hidden="1">
      <c r="A291" s="188"/>
      <c r="B291" s="189" t="s">
        <v>102</v>
      </c>
      <c r="C291" s="142"/>
      <c r="D291" s="27" t="s">
        <v>22</v>
      </c>
      <c r="E291" s="51">
        <f t="shared" si="60"/>
        <v>60000</v>
      </c>
      <c r="F291" s="51">
        <f>F292+F293+F294+F295</f>
        <v>60000</v>
      </c>
      <c r="G291" s="51">
        <f aca="true" t="shared" si="69" ref="G291:L291">G292+G293+G294+G295</f>
        <v>0</v>
      </c>
      <c r="H291" s="51">
        <f t="shared" si="69"/>
        <v>0</v>
      </c>
      <c r="I291" s="51">
        <f t="shared" si="69"/>
        <v>0</v>
      </c>
      <c r="J291" s="51">
        <f t="shared" si="69"/>
        <v>0</v>
      </c>
      <c r="K291" s="51">
        <f t="shared" si="69"/>
        <v>0</v>
      </c>
      <c r="L291" s="51">
        <f t="shared" si="69"/>
        <v>0</v>
      </c>
      <c r="M291" s="190" t="s">
        <v>96</v>
      </c>
      <c r="N291" s="185"/>
      <c r="O291" s="185"/>
      <c r="P291" s="185"/>
      <c r="Q291" s="185"/>
      <c r="R291" s="185"/>
      <c r="S291" s="185"/>
      <c r="T291" s="185"/>
      <c r="U291" s="144"/>
    </row>
    <row r="292" spans="1:21" ht="12.75" customHeight="1" hidden="1">
      <c r="A292" s="188"/>
      <c r="B292" s="189"/>
      <c r="C292" s="142"/>
      <c r="D292" s="27" t="s">
        <v>41</v>
      </c>
      <c r="E292" s="28">
        <f t="shared" si="60"/>
        <v>60000</v>
      </c>
      <c r="F292" s="69">
        <v>60000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191"/>
      <c r="N292" s="186"/>
      <c r="O292" s="186"/>
      <c r="P292" s="186"/>
      <c r="Q292" s="186"/>
      <c r="R292" s="186"/>
      <c r="S292" s="186"/>
      <c r="T292" s="186"/>
      <c r="U292" s="145"/>
    </row>
    <row r="293" spans="1:21" ht="12.75" customHeight="1" hidden="1">
      <c r="A293" s="188"/>
      <c r="B293" s="189"/>
      <c r="C293" s="142"/>
      <c r="D293" s="27" t="s">
        <v>42</v>
      </c>
      <c r="E293" s="28">
        <f t="shared" si="60"/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191"/>
      <c r="N293" s="186"/>
      <c r="O293" s="186"/>
      <c r="P293" s="186"/>
      <c r="Q293" s="186"/>
      <c r="R293" s="186"/>
      <c r="S293" s="186"/>
      <c r="T293" s="186"/>
      <c r="U293" s="145"/>
    </row>
    <row r="294" spans="1:21" ht="12.75" customHeight="1" hidden="1">
      <c r="A294" s="188"/>
      <c r="B294" s="189"/>
      <c r="C294" s="142"/>
      <c r="D294" s="27" t="s">
        <v>44</v>
      </c>
      <c r="E294" s="28">
        <f t="shared" si="60"/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191"/>
      <c r="N294" s="186"/>
      <c r="O294" s="186"/>
      <c r="P294" s="186"/>
      <c r="Q294" s="186"/>
      <c r="R294" s="186"/>
      <c r="S294" s="186"/>
      <c r="T294" s="186"/>
      <c r="U294" s="145"/>
    </row>
    <row r="295" spans="1:21" ht="12.75" customHeight="1" hidden="1">
      <c r="A295" s="188"/>
      <c r="B295" s="189"/>
      <c r="C295" s="142"/>
      <c r="D295" s="27" t="s">
        <v>45</v>
      </c>
      <c r="E295" s="28">
        <f t="shared" si="60"/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192"/>
      <c r="N295" s="187"/>
      <c r="O295" s="187"/>
      <c r="P295" s="187"/>
      <c r="Q295" s="187"/>
      <c r="R295" s="187"/>
      <c r="S295" s="187"/>
      <c r="T295" s="187"/>
      <c r="U295" s="146"/>
    </row>
    <row r="296" spans="1:21" ht="12.75" customHeight="1" hidden="1">
      <c r="A296" s="188"/>
      <c r="B296" s="189" t="s">
        <v>158</v>
      </c>
      <c r="C296" s="142"/>
      <c r="D296" s="27" t="s">
        <v>22</v>
      </c>
      <c r="E296" s="51">
        <f t="shared" si="60"/>
        <v>4239268.15</v>
      </c>
      <c r="F296" s="51">
        <f>F297+F298+F299+F300</f>
        <v>0</v>
      </c>
      <c r="G296" s="51">
        <f aca="true" t="shared" si="70" ref="G296:L296">G297+G298+G299+G300</f>
        <v>0</v>
      </c>
      <c r="H296" s="51">
        <f t="shared" si="70"/>
        <v>4239268.15</v>
      </c>
      <c r="I296" s="51">
        <f t="shared" si="70"/>
        <v>0</v>
      </c>
      <c r="J296" s="51">
        <f t="shared" si="70"/>
        <v>0</v>
      </c>
      <c r="K296" s="51">
        <f t="shared" si="70"/>
        <v>0</v>
      </c>
      <c r="L296" s="51">
        <f t="shared" si="70"/>
        <v>0</v>
      </c>
      <c r="M296" s="52"/>
      <c r="N296" s="53"/>
      <c r="O296" s="53"/>
      <c r="P296" s="53"/>
      <c r="Q296" s="53"/>
      <c r="R296" s="53"/>
      <c r="S296" s="53"/>
      <c r="T296" s="53"/>
      <c r="U296" s="54"/>
    </row>
    <row r="297" spans="1:21" ht="12.75" customHeight="1" hidden="1">
      <c r="A297" s="188"/>
      <c r="B297" s="189"/>
      <c r="C297" s="142"/>
      <c r="D297" s="27" t="s">
        <v>41</v>
      </c>
      <c r="E297" s="28">
        <f t="shared" si="60"/>
        <v>4239268.15</v>
      </c>
      <c r="F297" s="69">
        <v>0</v>
      </c>
      <c r="G297" s="69">
        <v>0</v>
      </c>
      <c r="H297" s="28">
        <v>4239268.15</v>
      </c>
      <c r="I297" s="69">
        <v>0</v>
      </c>
      <c r="J297" s="69">
        <v>0</v>
      </c>
      <c r="K297" s="69">
        <v>0</v>
      </c>
      <c r="L297" s="69">
        <v>0</v>
      </c>
      <c r="M297" s="52"/>
      <c r="N297" s="53"/>
      <c r="O297" s="53"/>
      <c r="P297" s="53"/>
      <c r="Q297" s="53"/>
      <c r="R297" s="53"/>
      <c r="S297" s="53"/>
      <c r="T297" s="53"/>
      <c r="U297" s="54"/>
    </row>
    <row r="298" spans="1:21" ht="12.75" customHeight="1" hidden="1">
      <c r="A298" s="188"/>
      <c r="B298" s="189"/>
      <c r="C298" s="142"/>
      <c r="D298" s="27" t="s">
        <v>42</v>
      </c>
      <c r="E298" s="28">
        <f t="shared" si="60"/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52"/>
      <c r="N298" s="53"/>
      <c r="O298" s="53"/>
      <c r="P298" s="53"/>
      <c r="Q298" s="53"/>
      <c r="R298" s="53"/>
      <c r="S298" s="53"/>
      <c r="T298" s="53"/>
      <c r="U298" s="54"/>
    </row>
    <row r="299" spans="1:21" ht="12.75" customHeight="1" hidden="1">
      <c r="A299" s="188"/>
      <c r="B299" s="189"/>
      <c r="C299" s="142"/>
      <c r="D299" s="27" t="s">
        <v>44</v>
      </c>
      <c r="E299" s="28">
        <f t="shared" si="60"/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52"/>
      <c r="N299" s="53"/>
      <c r="O299" s="53"/>
      <c r="P299" s="53"/>
      <c r="Q299" s="53"/>
      <c r="R299" s="53"/>
      <c r="S299" s="53"/>
      <c r="T299" s="53"/>
      <c r="U299" s="54"/>
    </row>
    <row r="300" spans="1:21" ht="12.75" customHeight="1" hidden="1">
      <c r="A300" s="188"/>
      <c r="B300" s="189"/>
      <c r="C300" s="142"/>
      <c r="D300" s="27" t="s">
        <v>45</v>
      </c>
      <c r="E300" s="28">
        <f t="shared" si="60"/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52"/>
      <c r="N300" s="53"/>
      <c r="O300" s="53"/>
      <c r="P300" s="53"/>
      <c r="Q300" s="53"/>
      <c r="R300" s="53"/>
      <c r="S300" s="53"/>
      <c r="T300" s="53"/>
      <c r="U300" s="54"/>
    </row>
    <row r="301" spans="1:21" ht="12.75">
      <c r="A301" s="179" t="s">
        <v>54</v>
      </c>
      <c r="B301" s="180" t="s">
        <v>159</v>
      </c>
      <c r="C301" s="181" t="s">
        <v>75</v>
      </c>
      <c r="D301" s="24" t="s">
        <v>22</v>
      </c>
      <c r="E301" s="25">
        <f t="shared" si="60"/>
        <v>7810588.6</v>
      </c>
      <c r="F301" s="25">
        <f aca="true" t="shared" si="71" ref="F301:L301">F302+F303+F304+F305</f>
        <v>832000</v>
      </c>
      <c r="G301" s="25">
        <f t="shared" si="71"/>
        <v>2077086</v>
      </c>
      <c r="H301" s="25">
        <f t="shared" si="71"/>
        <v>1760542.6</v>
      </c>
      <c r="I301" s="25">
        <f t="shared" si="71"/>
        <v>785240</v>
      </c>
      <c r="J301" s="25">
        <f t="shared" si="71"/>
        <v>785240</v>
      </c>
      <c r="K301" s="25">
        <f t="shared" si="71"/>
        <v>785240</v>
      </c>
      <c r="L301" s="25">
        <f t="shared" si="71"/>
        <v>785240</v>
      </c>
      <c r="M301" s="182" t="s">
        <v>160</v>
      </c>
      <c r="N301" s="173">
        <v>434</v>
      </c>
      <c r="O301" s="173">
        <v>734</v>
      </c>
      <c r="P301" s="173">
        <v>534</v>
      </c>
      <c r="Q301" s="173">
        <v>410</v>
      </c>
      <c r="R301" s="173">
        <v>400</v>
      </c>
      <c r="S301" s="173">
        <v>400</v>
      </c>
      <c r="T301" s="173">
        <v>400</v>
      </c>
      <c r="U301" s="176" t="s">
        <v>53</v>
      </c>
    </row>
    <row r="302" spans="1:21" ht="12.75">
      <c r="A302" s="179"/>
      <c r="B302" s="180"/>
      <c r="C302" s="181"/>
      <c r="D302" s="24" t="s">
        <v>41</v>
      </c>
      <c r="E302" s="25">
        <f t="shared" si="60"/>
        <v>4610556</v>
      </c>
      <c r="F302" s="71">
        <v>832000</v>
      </c>
      <c r="G302" s="25">
        <f>643000+37500-42904</f>
        <v>637596</v>
      </c>
      <c r="H302" s="71">
        <v>0</v>
      </c>
      <c r="I302" s="71">
        <v>785240</v>
      </c>
      <c r="J302" s="71">
        <v>785240</v>
      </c>
      <c r="K302" s="71">
        <v>785240</v>
      </c>
      <c r="L302" s="71">
        <v>785240</v>
      </c>
      <c r="M302" s="183"/>
      <c r="N302" s="174"/>
      <c r="O302" s="174"/>
      <c r="P302" s="174"/>
      <c r="Q302" s="174"/>
      <c r="R302" s="174"/>
      <c r="S302" s="174"/>
      <c r="T302" s="174"/>
      <c r="U302" s="177"/>
    </row>
    <row r="303" spans="1:21" ht="12.75">
      <c r="A303" s="179"/>
      <c r="B303" s="180"/>
      <c r="C303" s="181"/>
      <c r="D303" s="24" t="s">
        <v>42</v>
      </c>
      <c r="E303" s="25">
        <f t="shared" si="60"/>
        <v>3200032.6</v>
      </c>
      <c r="F303" s="71">
        <v>0</v>
      </c>
      <c r="G303" s="71">
        <f>1421870+17620</f>
        <v>1439490</v>
      </c>
      <c r="H303" s="25">
        <v>1760542.6</v>
      </c>
      <c r="I303" s="71">
        <v>0</v>
      </c>
      <c r="J303" s="71">
        <v>0</v>
      </c>
      <c r="K303" s="71">
        <v>0</v>
      </c>
      <c r="L303" s="71">
        <v>0</v>
      </c>
      <c r="M303" s="183"/>
      <c r="N303" s="174"/>
      <c r="O303" s="174"/>
      <c r="P303" s="174"/>
      <c r="Q303" s="174"/>
      <c r="R303" s="174"/>
      <c r="S303" s="174"/>
      <c r="T303" s="174"/>
      <c r="U303" s="177"/>
    </row>
    <row r="304" spans="1:21" ht="12.75">
      <c r="A304" s="179"/>
      <c r="B304" s="180"/>
      <c r="C304" s="181"/>
      <c r="D304" s="24" t="s">
        <v>44</v>
      </c>
      <c r="E304" s="25">
        <f t="shared" si="60"/>
        <v>0</v>
      </c>
      <c r="F304" s="71">
        <v>0</v>
      </c>
      <c r="G304" s="71">
        <v>0</v>
      </c>
      <c r="H304" s="71">
        <v>0</v>
      </c>
      <c r="I304" s="71">
        <v>0</v>
      </c>
      <c r="J304" s="71">
        <v>0</v>
      </c>
      <c r="K304" s="71">
        <v>0</v>
      </c>
      <c r="L304" s="71">
        <v>0</v>
      </c>
      <c r="M304" s="183"/>
      <c r="N304" s="174"/>
      <c r="O304" s="174"/>
      <c r="P304" s="174"/>
      <c r="Q304" s="174"/>
      <c r="R304" s="174"/>
      <c r="S304" s="174"/>
      <c r="T304" s="174"/>
      <c r="U304" s="177"/>
    </row>
    <row r="305" spans="1:21" ht="12.75">
      <c r="A305" s="179"/>
      <c r="B305" s="180"/>
      <c r="C305" s="181"/>
      <c r="D305" s="24" t="s">
        <v>45</v>
      </c>
      <c r="E305" s="25">
        <f t="shared" si="60"/>
        <v>0</v>
      </c>
      <c r="F305" s="71">
        <v>0</v>
      </c>
      <c r="G305" s="71">
        <v>0</v>
      </c>
      <c r="H305" s="71">
        <v>0</v>
      </c>
      <c r="I305" s="71">
        <v>0</v>
      </c>
      <c r="J305" s="71">
        <v>0</v>
      </c>
      <c r="K305" s="71">
        <v>0</v>
      </c>
      <c r="L305" s="71">
        <v>0</v>
      </c>
      <c r="M305" s="184"/>
      <c r="N305" s="175"/>
      <c r="O305" s="175"/>
      <c r="P305" s="175"/>
      <c r="Q305" s="175"/>
      <c r="R305" s="175"/>
      <c r="S305" s="175"/>
      <c r="T305" s="175"/>
      <c r="U305" s="178"/>
    </row>
    <row r="306" spans="1:21" ht="12.75">
      <c r="A306" s="133"/>
      <c r="B306" s="134" t="s">
        <v>58</v>
      </c>
      <c r="C306" s="133"/>
      <c r="D306" s="29" t="s">
        <v>22</v>
      </c>
      <c r="E306" s="30">
        <f aca="true" t="shared" si="72" ref="E306:L306">E308+E309+E310+E311</f>
        <v>36334687.953999996</v>
      </c>
      <c r="F306" s="30">
        <f t="shared" si="72"/>
        <v>8919732.079999998</v>
      </c>
      <c r="G306" s="30">
        <f t="shared" si="72"/>
        <v>6508182.603999999</v>
      </c>
      <c r="H306" s="30">
        <f t="shared" si="72"/>
        <v>5999810.75</v>
      </c>
      <c r="I306" s="30">
        <f t="shared" si="72"/>
        <v>3726740.63</v>
      </c>
      <c r="J306" s="30">
        <f t="shared" si="72"/>
        <v>3726740.63</v>
      </c>
      <c r="K306" s="30">
        <f t="shared" si="72"/>
        <v>3726740.63</v>
      </c>
      <c r="L306" s="30">
        <f t="shared" si="72"/>
        <v>3726740.63</v>
      </c>
      <c r="M306" s="135"/>
      <c r="N306" s="113"/>
      <c r="O306" s="113"/>
      <c r="P306" s="113"/>
      <c r="Q306" s="113"/>
      <c r="R306" s="113"/>
      <c r="S306" s="113"/>
      <c r="T306" s="113"/>
      <c r="U306" s="116"/>
    </row>
    <row r="307" spans="1:21" ht="12.75">
      <c r="A307" s="133"/>
      <c r="B307" s="134"/>
      <c r="C307" s="133"/>
      <c r="D307" s="138" t="s">
        <v>47</v>
      </c>
      <c r="E307" s="139"/>
      <c r="F307" s="139"/>
      <c r="G307" s="139"/>
      <c r="H307" s="139"/>
      <c r="I307" s="139"/>
      <c r="J307" s="139"/>
      <c r="K307" s="139"/>
      <c r="L307" s="140"/>
      <c r="M307" s="136"/>
      <c r="N307" s="114"/>
      <c r="O307" s="114"/>
      <c r="P307" s="114"/>
      <c r="Q307" s="114"/>
      <c r="R307" s="114"/>
      <c r="S307" s="114"/>
      <c r="T307" s="114"/>
      <c r="U307" s="117"/>
    </row>
    <row r="308" spans="1:21" ht="12.75">
      <c r="A308" s="133"/>
      <c r="B308" s="134"/>
      <c r="C308" s="133"/>
      <c r="D308" s="31" t="s">
        <v>41</v>
      </c>
      <c r="E308" s="30">
        <f>F308+G308+H308+I308+J308+K308+L308</f>
        <v>33134655.353999995</v>
      </c>
      <c r="F308" s="32">
        <f aca="true" t="shared" si="73" ref="F308:L311">F187+F302</f>
        <v>8919732.079999998</v>
      </c>
      <c r="G308" s="32">
        <f t="shared" si="73"/>
        <v>5068692.603999999</v>
      </c>
      <c r="H308" s="32">
        <f t="shared" si="73"/>
        <v>4239268.15</v>
      </c>
      <c r="I308" s="32">
        <f t="shared" si="73"/>
        <v>3726740.63</v>
      </c>
      <c r="J308" s="32">
        <f t="shared" si="73"/>
        <v>3726740.63</v>
      </c>
      <c r="K308" s="32">
        <f t="shared" si="73"/>
        <v>3726740.63</v>
      </c>
      <c r="L308" s="32">
        <f t="shared" si="73"/>
        <v>3726740.63</v>
      </c>
      <c r="M308" s="136"/>
      <c r="N308" s="114"/>
      <c r="O308" s="114"/>
      <c r="P308" s="114"/>
      <c r="Q308" s="114"/>
      <c r="R308" s="114"/>
      <c r="S308" s="114"/>
      <c r="T308" s="114"/>
      <c r="U308" s="117"/>
    </row>
    <row r="309" spans="1:21" ht="12.75">
      <c r="A309" s="133"/>
      <c r="B309" s="134"/>
      <c r="C309" s="133"/>
      <c r="D309" s="31" t="s">
        <v>42</v>
      </c>
      <c r="E309" s="30">
        <f>F309+G309+H309+I309+J309+K309+L309</f>
        <v>3200032.6</v>
      </c>
      <c r="F309" s="32">
        <f t="shared" si="73"/>
        <v>0</v>
      </c>
      <c r="G309" s="32">
        <f t="shared" si="73"/>
        <v>1439490</v>
      </c>
      <c r="H309" s="32">
        <f t="shared" si="73"/>
        <v>1760542.6</v>
      </c>
      <c r="I309" s="32">
        <f t="shared" si="73"/>
        <v>0</v>
      </c>
      <c r="J309" s="32">
        <f t="shared" si="73"/>
        <v>0</v>
      </c>
      <c r="K309" s="32">
        <f t="shared" si="73"/>
        <v>0</v>
      </c>
      <c r="L309" s="32">
        <f t="shared" si="73"/>
        <v>0</v>
      </c>
      <c r="M309" s="136"/>
      <c r="N309" s="114"/>
      <c r="O309" s="114"/>
      <c r="P309" s="114"/>
      <c r="Q309" s="114"/>
      <c r="R309" s="114"/>
      <c r="S309" s="114"/>
      <c r="T309" s="114"/>
      <c r="U309" s="117"/>
    </row>
    <row r="310" spans="1:21" ht="12.75">
      <c r="A310" s="133"/>
      <c r="B310" s="134"/>
      <c r="C310" s="133"/>
      <c r="D310" s="31" t="s">
        <v>44</v>
      </c>
      <c r="E310" s="30">
        <f>F310+G310+H310+I310+J310+K310+L310</f>
        <v>0</v>
      </c>
      <c r="F310" s="32">
        <f t="shared" si="73"/>
        <v>0</v>
      </c>
      <c r="G310" s="32">
        <f t="shared" si="73"/>
        <v>0</v>
      </c>
      <c r="H310" s="32">
        <f t="shared" si="73"/>
        <v>0</v>
      </c>
      <c r="I310" s="32">
        <f t="shared" si="73"/>
        <v>0</v>
      </c>
      <c r="J310" s="32">
        <f t="shared" si="73"/>
        <v>0</v>
      </c>
      <c r="K310" s="32">
        <f t="shared" si="73"/>
        <v>0</v>
      </c>
      <c r="L310" s="32">
        <f t="shared" si="73"/>
        <v>0</v>
      </c>
      <c r="M310" s="136"/>
      <c r="N310" s="114"/>
      <c r="O310" s="114"/>
      <c r="P310" s="114"/>
      <c r="Q310" s="114"/>
      <c r="R310" s="114"/>
      <c r="S310" s="114"/>
      <c r="T310" s="114"/>
      <c r="U310" s="117"/>
    </row>
    <row r="311" spans="1:21" ht="12.75">
      <c r="A311" s="133"/>
      <c r="B311" s="134"/>
      <c r="C311" s="133"/>
      <c r="D311" s="31" t="s">
        <v>45</v>
      </c>
      <c r="E311" s="30">
        <f>F311+G311+H311+I311+J311+K311+L311</f>
        <v>0</v>
      </c>
      <c r="F311" s="32">
        <f t="shared" si="73"/>
        <v>0</v>
      </c>
      <c r="G311" s="32">
        <f t="shared" si="73"/>
        <v>0</v>
      </c>
      <c r="H311" s="32">
        <f t="shared" si="73"/>
        <v>0</v>
      </c>
      <c r="I311" s="32">
        <f t="shared" si="73"/>
        <v>0</v>
      </c>
      <c r="J311" s="32">
        <f t="shared" si="73"/>
        <v>0</v>
      </c>
      <c r="K311" s="32">
        <f t="shared" si="73"/>
        <v>0</v>
      </c>
      <c r="L311" s="32">
        <f t="shared" si="73"/>
        <v>0</v>
      </c>
      <c r="M311" s="137"/>
      <c r="N311" s="115"/>
      <c r="O311" s="115"/>
      <c r="P311" s="115"/>
      <c r="Q311" s="115"/>
      <c r="R311" s="115"/>
      <c r="S311" s="115"/>
      <c r="T311" s="115"/>
      <c r="U311" s="118"/>
    </row>
    <row r="312" spans="1:21" ht="13.5">
      <c r="A312" s="125"/>
      <c r="B312" s="126" t="s">
        <v>161</v>
      </c>
      <c r="C312" s="125"/>
      <c r="D312" s="34" t="s">
        <v>22</v>
      </c>
      <c r="E312" s="35">
        <f aca="true" t="shared" si="74" ref="E312:L312">E314+E315+E316+E317</f>
        <v>236071597.844</v>
      </c>
      <c r="F312" s="35">
        <f t="shared" si="74"/>
        <v>36075022.67</v>
      </c>
      <c r="G312" s="35">
        <f t="shared" si="74"/>
        <v>38810926.104</v>
      </c>
      <c r="H312" s="35">
        <f t="shared" si="74"/>
        <v>36941732.07</v>
      </c>
      <c r="I312" s="35">
        <f t="shared" si="74"/>
        <v>33899917</v>
      </c>
      <c r="J312" s="35">
        <f t="shared" si="74"/>
        <v>33447999.999999996</v>
      </c>
      <c r="K312" s="35">
        <f t="shared" si="74"/>
        <v>28447999.999999996</v>
      </c>
      <c r="L312" s="35">
        <f t="shared" si="74"/>
        <v>28447999.999999996</v>
      </c>
      <c r="M312" s="127"/>
      <c r="N312" s="122"/>
      <c r="O312" s="122"/>
      <c r="P312" s="122"/>
      <c r="Q312" s="122"/>
      <c r="R312" s="122"/>
      <c r="S312" s="122"/>
      <c r="T312" s="122"/>
      <c r="U312" s="110"/>
    </row>
    <row r="313" spans="1:21" ht="12.75">
      <c r="A313" s="125"/>
      <c r="B313" s="126"/>
      <c r="C313" s="125"/>
      <c r="D313" s="119" t="s">
        <v>47</v>
      </c>
      <c r="E313" s="120"/>
      <c r="F313" s="120"/>
      <c r="G313" s="120"/>
      <c r="H313" s="120"/>
      <c r="I313" s="120"/>
      <c r="J313" s="120"/>
      <c r="K313" s="120"/>
      <c r="L313" s="121"/>
      <c r="M313" s="128"/>
      <c r="N313" s="123"/>
      <c r="O313" s="123"/>
      <c r="P313" s="123"/>
      <c r="Q313" s="123"/>
      <c r="R313" s="123"/>
      <c r="S313" s="123"/>
      <c r="T313" s="123"/>
      <c r="U313" s="111"/>
    </row>
    <row r="314" spans="1:21" ht="13.5">
      <c r="A314" s="125"/>
      <c r="B314" s="126"/>
      <c r="C314" s="125"/>
      <c r="D314" s="36" t="s">
        <v>41</v>
      </c>
      <c r="E314" s="35">
        <f>F314+G314+H314+I314+J314+K314+L314</f>
        <v>232871565.24400002</v>
      </c>
      <c r="F314" s="37">
        <f aca="true" t="shared" si="75" ref="F314:L317">F181+F308</f>
        <v>36075022.67</v>
      </c>
      <c r="G314" s="37">
        <f t="shared" si="75"/>
        <v>37371436.104</v>
      </c>
      <c r="H314" s="37">
        <f t="shared" si="75"/>
        <v>35181189.47</v>
      </c>
      <c r="I314" s="37">
        <f t="shared" si="75"/>
        <v>33899917</v>
      </c>
      <c r="J314" s="37">
        <f t="shared" si="75"/>
        <v>33447999.999999996</v>
      </c>
      <c r="K314" s="37">
        <f t="shared" si="75"/>
        <v>28447999.999999996</v>
      </c>
      <c r="L314" s="37">
        <f t="shared" si="75"/>
        <v>28447999.999999996</v>
      </c>
      <c r="M314" s="128"/>
      <c r="N314" s="123"/>
      <c r="O314" s="123"/>
      <c r="P314" s="123"/>
      <c r="Q314" s="123"/>
      <c r="R314" s="123"/>
      <c r="S314" s="123"/>
      <c r="T314" s="123"/>
      <c r="U314" s="111"/>
    </row>
    <row r="315" spans="1:21" ht="13.5">
      <c r="A315" s="125"/>
      <c r="B315" s="126"/>
      <c r="C315" s="125"/>
      <c r="D315" s="36" t="s">
        <v>42</v>
      </c>
      <c r="E315" s="35">
        <f>F315+G315+H315+I315+J315+K315+L315</f>
        <v>3200032.6</v>
      </c>
      <c r="F315" s="37">
        <f t="shared" si="75"/>
        <v>0</v>
      </c>
      <c r="G315" s="37">
        <f t="shared" si="75"/>
        <v>1439490</v>
      </c>
      <c r="H315" s="37">
        <f t="shared" si="75"/>
        <v>1760542.6</v>
      </c>
      <c r="I315" s="37">
        <f t="shared" si="75"/>
        <v>0</v>
      </c>
      <c r="J315" s="37">
        <f t="shared" si="75"/>
        <v>0</v>
      </c>
      <c r="K315" s="37">
        <f t="shared" si="75"/>
        <v>0</v>
      </c>
      <c r="L315" s="37">
        <f t="shared" si="75"/>
        <v>0</v>
      </c>
      <c r="M315" s="128"/>
      <c r="N315" s="123"/>
      <c r="O315" s="123"/>
      <c r="P315" s="123"/>
      <c r="Q315" s="123"/>
      <c r="R315" s="123"/>
      <c r="S315" s="123"/>
      <c r="T315" s="123"/>
      <c r="U315" s="111"/>
    </row>
    <row r="316" spans="1:21" ht="13.5">
      <c r="A316" s="125"/>
      <c r="B316" s="126"/>
      <c r="C316" s="125"/>
      <c r="D316" s="36" t="s">
        <v>44</v>
      </c>
      <c r="E316" s="35">
        <f>F316+G316+H316+I316+J316+K316+L316</f>
        <v>0</v>
      </c>
      <c r="F316" s="37">
        <f t="shared" si="75"/>
        <v>0</v>
      </c>
      <c r="G316" s="37">
        <f t="shared" si="75"/>
        <v>0</v>
      </c>
      <c r="H316" s="37">
        <f t="shared" si="75"/>
        <v>0</v>
      </c>
      <c r="I316" s="37">
        <f t="shared" si="75"/>
        <v>0</v>
      </c>
      <c r="J316" s="37">
        <f t="shared" si="75"/>
        <v>0</v>
      </c>
      <c r="K316" s="37">
        <f t="shared" si="75"/>
        <v>0</v>
      </c>
      <c r="L316" s="37">
        <f t="shared" si="75"/>
        <v>0</v>
      </c>
      <c r="M316" s="128"/>
      <c r="N316" s="123"/>
      <c r="O316" s="123"/>
      <c r="P316" s="123"/>
      <c r="Q316" s="123"/>
      <c r="R316" s="123"/>
      <c r="S316" s="123"/>
      <c r="T316" s="123"/>
      <c r="U316" s="111"/>
    </row>
    <row r="317" spans="1:21" ht="13.5">
      <c r="A317" s="125"/>
      <c r="B317" s="126"/>
      <c r="C317" s="125"/>
      <c r="D317" s="36" t="s">
        <v>45</v>
      </c>
      <c r="E317" s="35">
        <f>F317+G317+H317+I317+J317+K317+L317</f>
        <v>0</v>
      </c>
      <c r="F317" s="37">
        <f t="shared" si="75"/>
        <v>0</v>
      </c>
      <c r="G317" s="37">
        <f t="shared" si="75"/>
        <v>0</v>
      </c>
      <c r="H317" s="37">
        <f t="shared" si="75"/>
        <v>0</v>
      </c>
      <c r="I317" s="37">
        <f t="shared" si="75"/>
        <v>0</v>
      </c>
      <c r="J317" s="37">
        <f t="shared" si="75"/>
        <v>0</v>
      </c>
      <c r="K317" s="37">
        <f t="shared" si="75"/>
        <v>0</v>
      </c>
      <c r="L317" s="37">
        <f t="shared" si="75"/>
        <v>0</v>
      </c>
      <c r="M317" s="129"/>
      <c r="N317" s="124"/>
      <c r="O317" s="124"/>
      <c r="P317" s="124"/>
      <c r="Q317" s="124"/>
      <c r="R317" s="124"/>
      <c r="S317" s="124"/>
      <c r="T317" s="124"/>
      <c r="U317" s="112"/>
    </row>
    <row r="319" spans="2:13" ht="13.5">
      <c r="B319" s="79"/>
      <c r="C319" s="80" t="s">
        <v>162</v>
      </c>
      <c r="D319" s="81" t="s">
        <v>163</v>
      </c>
      <c r="E319" s="82"/>
      <c r="F319" s="83">
        <v>2014</v>
      </c>
      <c r="G319" s="83">
        <v>2015</v>
      </c>
      <c r="H319" s="83">
        <v>2016</v>
      </c>
      <c r="I319" s="83">
        <v>2017</v>
      </c>
      <c r="M319" s="84"/>
    </row>
    <row r="320" spans="1:20" ht="12.75">
      <c r="A320" s="86"/>
      <c r="B320" s="79"/>
      <c r="C320" s="80" t="s">
        <v>83</v>
      </c>
      <c r="D320" s="87">
        <v>6864000</v>
      </c>
      <c r="E320" s="87">
        <f>G320-D320</f>
        <v>454424.86000000034</v>
      </c>
      <c r="F320" s="87">
        <f>F30</f>
        <v>6629186.890000001</v>
      </c>
      <c r="G320" s="87">
        <f>G30</f>
        <v>7318424.86</v>
      </c>
      <c r="H320" s="87">
        <f>H30</f>
        <v>0</v>
      </c>
      <c r="I320" s="87">
        <f>I30</f>
        <v>7683250</v>
      </c>
      <c r="J320" s="88"/>
      <c r="K320" s="88"/>
      <c r="L320" s="88"/>
      <c r="M320" s="89"/>
      <c r="N320" s="33"/>
      <c r="P320" s="33"/>
      <c r="R320" s="33"/>
      <c r="T320" s="33"/>
    </row>
    <row r="321" spans="1:20" ht="12.75">
      <c r="A321" s="86"/>
      <c r="B321" s="79"/>
      <c r="C321" s="80" t="s">
        <v>164</v>
      </c>
      <c r="D321" s="87">
        <v>12021058.28</v>
      </c>
      <c r="E321" s="87">
        <f aca="true" t="shared" si="76" ref="E321:E333">G321-D321</f>
        <v>-109187.66999999993</v>
      </c>
      <c r="F321" s="87">
        <f>F15+F20</f>
        <v>5238423.29</v>
      </c>
      <c r="G321" s="87">
        <f>G15+G20</f>
        <v>11911870.61</v>
      </c>
      <c r="H321" s="87">
        <f>H15+H20</f>
        <v>0</v>
      </c>
      <c r="I321" s="87">
        <f>I15+I20</f>
        <v>4861000</v>
      </c>
      <c r="J321" s="88"/>
      <c r="K321" s="88"/>
      <c r="L321" s="88"/>
      <c r="M321" s="89"/>
      <c r="N321" s="33"/>
      <c r="P321" s="33"/>
      <c r="R321" s="33"/>
      <c r="T321" s="33"/>
    </row>
    <row r="322" spans="1:20" ht="12.75">
      <c r="A322" s="86"/>
      <c r="B322" s="79"/>
      <c r="C322" s="80" t="s">
        <v>165</v>
      </c>
      <c r="D322" s="87">
        <v>0</v>
      </c>
      <c r="E322" s="87">
        <f t="shared" si="76"/>
        <v>0</v>
      </c>
      <c r="F322" s="87">
        <f>F25</f>
        <v>1075701.12</v>
      </c>
      <c r="G322" s="87">
        <v>0</v>
      </c>
      <c r="H322" s="87">
        <f>H25</f>
        <v>0</v>
      </c>
      <c r="I322" s="87">
        <f>I25</f>
        <v>0</v>
      </c>
      <c r="J322" s="88"/>
      <c r="K322" s="88"/>
      <c r="L322" s="88"/>
      <c r="M322" s="89"/>
      <c r="N322" s="33"/>
      <c r="P322" s="33"/>
      <c r="R322" s="33"/>
      <c r="T322" s="33"/>
    </row>
    <row r="323" spans="1:20" ht="12.75">
      <c r="A323" s="86"/>
      <c r="B323" s="79"/>
      <c r="C323" s="80" t="s">
        <v>166</v>
      </c>
      <c r="D323" s="87">
        <v>1319758.22</v>
      </c>
      <c r="E323" s="87">
        <f>G323-D323</f>
        <v>-1319758.22</v>
      </c>
      <c r="F323" s="87">
        <f>F26</f>
        <v>0</v>
      </c>
      <c r="G323" s="87">
        <f>G25</f>
        <v>0</v>
      </c>
      <c r="H323" s="87">
        <f>H26</f>
        <v>0</v>
      </c>
      <c r="I323" s="87">
        <f>I26</f>
        <v>0</v>
      </c>
      <c r="J323" s="88"/>
      <c r="K323" s="88"/>
      <c r="L323" s="88"/>
      <c r="M323" s="89"/>
      <c r="N323" s="33"/>
      <c r="P323" s="33"/>
      <c r="R323" s="33"/>
      <c r="T323" s="33"/>
    </row>
    <row r="324" spans="1:20" ht="12.75">
      <c r="A324" s="86"/>
      <c r="B324" s="79"/>
      <c r="C324" s="80" t="s">
        <v>88</v>
      </c>
      <c r="D324" s="87">
        <v>10308480</v>
      </c>
      <c r="E324" s="87">
        <f t="shared" si="76"/>
        <v>4107.999999998137</v>
      </c>
      <c r="F324" s="87">
        <f>F45+F50+F55+F114+F160+F199</f>
        <v>9094468.75</v>
      </c>
      <c r="G324" s="87">
        <f>G45+G50+G55+G160+G199+G85</f>
        <v>10312587.999999998</v>
      </c>
      <c r="H324" s="87">
        <f>H45+H50+H55+H160+H199</f>
        <v>936558.43</v>
      </c>
      <c r="I324" s="87">
        <f>I45+I50+I55+I160+I199</f>
        <v>9405020</v>
      </c>
      <c r="J324" s="88"/>
      <c r="K324" s="88"/>
      <c r="L324" s="88"/>
      <c r="M324" s="89"/>
      <c r="N324" s="33"/>
      <c r="P324" s="33"/>
      <c r="R324" s="33"/>
      <c r="T324" s="33"/>
    </row>
    <row r="325" spans="1:20" ht="12.75">
      <c r="A325" s="86"/>
      <c r="B325" s="79"/>
      <c r="C325" s="80" t="s">
        <v>98</v>
      </c>
      <c r="D325" s="87">
        <v>3671002.98</v>
      </c>
      <c r="E325" s="87">
        <f t="shared" si="76"/>
        <v>-1333102.7999999998</v>
      </c>
      <c r="F325" s="87">
        <f>F60+F75+F96+F113+F204+F231+F272+F120+F193</f>
        <v>5163504.12</v>
      </c>
      <c r="G325" s="87">
        <f>G60+G75+G96+G113+G204+G231+G272+G120+G193+G90</f>
        <v>2337900.18</v>
      </c>
      <c r="H325" s="87">
        <f>H60+H75+H96+H113+H204+H231+H272+H120+H193</f>
        <v>0</v>
      </c>
      <c r="I325" s="87">
        <f>I60+I75+I96+I113+I204+I231+I272+I120+I193</f>
        <v>2831540</v>
      </c>
      <c r="J325" s="88"/>
      <c r="K325" s="88"/>
      <c r="L325" s="88"/>
      <c r="M325" s="89"/>
      <c r="N325" s="33"/>
      <c r="P325" s="33"/>
      <c r="R325" s="33"/>
      <c r="T325" s="33"/>
    </row>
    <row r="326" spans="1:20" ht="12.75">
      <c r="A326" s="86"/>
      <c r="B326" s="79"/>
      <c r="C326" s="80" t="s">
        <v>167</v>
      </c>
      <c r="D326" s="87">
        <v>680500</v>
      </c>
      <c r="E326" s="87">
        <f t="shared" si="76"/>
        <v>-42904</v>
      </c>
      <c r="F326" s="87">
        <f aca="true" t="shared" si="77" ref="F326:I327">F302</f>
        <v>832000</v>
      </c>
      <c r="G326" s="87">
        <f t="shared" si="77"/>
        <v>637596</v>
      </c>
      <c r="H326" s="87">
        <f t="shared" si="77"/>
        <v>0</v>
      </c>
      <c r="I326" s="87">
        <f t="shared" si="77"/>
        <v>785240</v>
      </c>
      <c r="J326" s="88"/>
      <c r="K326" s="88"/>
      <c r="L326" s="88"/>
      <c r="M326" s="89"/>
      <c r="N326" s="33"/>
      <c r="P326" s="33"/>
      <c r="R326" s="33"/>
      <c r="T326" s="33"/>
    </row>
    <row r="327" spans="1:20" ht="12.75">
      <c r="A327" s="86"/>
      <c r="B327" s="79"/>
      <c r="C327" s="80" t="s">
        <v>168</v>
      </c>
      <c r="D327" s="87">
        <v>812400</v>
      </c>
      <c r="E327" s="87">
        <f>G327-D327</f>
        <v>627090</v>
      </c>
      <c r="F327" s="87">
        <f t="shared" si="77"/>
        <v>0</v>
      </c>
      <c r="G327" s="87">
        <f t="shared" si="77"/>
        <v>1439490</v>
      </c>
      <c r="H327" s="87">
        <f t="shared" si="77"/>
        <v>1760542.6</v>
      </c>
      <c r="I327" s="87">
        <f t="shared" si="77"/>
        <v>0</v>
      </c>
      <c r="J327" s="88"/>
      <c r="K327" s="88"/>
      <c r="L327" s="88"/>
      <c r="M327" s="89"/>
      <c r="N327" s="33"/>
      <c r="P327" s="33"/>
      <c r="R327" s="33"/>
      <c r="T327" s="33"/>
    </row>
    <row r="328" spans="1:20" ht="12.75">
      <c r="A328" s="86"/>
      <c r="B328" s="79"/>
      <c r="C328" s="80" t="s">
        <v>118</v>
      </c>
      <c r="D328" s="87">
        <v>0</v>
      </c>
      <c r="E328" s="87">
        <f t="shared" si="76"/>
        <v>0</v>
      </c>
      <c r="F328" s="87">
        <f>F134</f>
        <v>0</v>
      </c>
      <c r="G328" s="87">
        <f>G134</f>
        <v>0</v>
      </c>
      <c r="H328" s="87">
        <f>H134</f>
        <v>0</v>
      </c>
      <c r="I328" s="87">
        <f>I134</f>
        <v>5451917</v>
      </c>
      <c r="J328" s="88"/>
      <c r="K328" s="88"/>
      <c r="L328" s="88"/>
      <c r="M328" s="89"/>
      <c r="N328" s="33"/>
      <c r="P328" s="33"/>
      <c r="R328" s="33"/>
      <c r="T328" s="33"/>
    </row>
    <row r="329" spans="1:20" ht="12.75">
      <c r="A329" s="86"/>
      <c r="B329" s="79"/>
      <c r="C329" s="80" t="s">
        <v>130</v>
      </c>
      <c r="D329" s="87">
        <v>90000</v>
      </c>
      <c r="E329" s="87">
        <f t="shared" si="76"/>
        <v>-21578</v>
      </c>
      <c r="F329" s="87">
        <f>F165+F211+F262</f>
        <v>266138.99</v>
      </c>
      <c r="G329" s="87">
        <f>G165+G211+G262</f>
        <v>68422</v>
      </c>
      <c r="H329" s="87">
        <f>H165+H211+H262</f>
        <v>0</v>
      </c>
      <c r="I329" s="87">
        <f>I165+I211+I262</f>
        <v>96080</v>
      </c>
      <c r="J329" s="88"/>
      <c r="K329" s="88"/>
      <c r="L329" s="88"/>
      <c r="M329" s="89"/>
      <c r="N329" s="33"/>
      <c r="P329" s="33"/>
      <c r="R329" s="33"/>
      <c r="T329" s="33"/>
    </row>
    <row r="330" spans="1:20" ht="12.75">
      <c r="A330" s="86"/>
      <c r="B330" s="79"/>
      <c r="C330" s="80" t="s">
        <v>94</v>
      </c>
      <c r="D330" s="87">
        <v>99880.58</v>
      </c>
      <c r="E330" s="87">
        <f t="shared" si="76"/>
        <v>0</v>
      </c>
      <c r="F330" s="87">
        <f>F65</f>
        <v>177666.48</v>
      </c>
      <c r="G330" s="87">
        <f>G65</f>
        <v>99880.58</v>
      </c>
      <c r="H330" s="87">
        <f>H65</f>
        <v>0</v>
      </c>
      <c r="I330" s="87">
        <f>I65</f>
        <v>0</v>
      </c>
      <c r="J330" s="88"/>
      <c r="K330" s="88"/>
      <c r="L330" s="88"/>
      <c r="M330" s="89"/>
      <c r="N330" s="33"/>
      <c r="P330" s="33"/>
      <c r="R330" s="33"/>
      <c r="T330" s="33"/>
    </row>
    <row r="331" spans="1:20" ht="12.75">
      <c r="A331" s="86"/>
      <c r="B331" s="79"/>
      <c r="C331" s="80" t="s">
        <v>96</v>
      </c>
      <c r="D331" s="87">
        <v>2746614.42</v>
      </c>
      <c r="E331" s="87">
        <f t="shared" si="76"/>
        <v>469437.27</v>
      </c>
      <c r="F331" s="87">
        <f>F292+F267+F251+F246+F241+F216+F210+F194+F125+F80+F70+F226</f>
        <v>3560476.08</v>
      </c>
      <c r="G331" s="87">
        <f>G292+G267+G251+G246+G241+G216+G210+G194+G125+G80+G70+G226</f>
        <v>3216051.69</v>
      </c>
      <c r="H331" s="87">
        <f>H292+H267+H251+H246+H241+H216+H210+H194+H125+H80+H70+H226</f>
        <v>0</v>
      </c>
      <c r="I331" s="87">
        <f>I292+I267+I251+I246+I241+I216+I210+I194+I125+I80+I70+I226</f>
        <v>2785870</v>
      </c>
      <c r="J331" s="88"/>
      <c r="K331" s="88"/>
      <c r="L331" s="88"/>
      <c r="M331" s="89"/>
      <c r="N331" s="33"/>
      <c r="P331" s="33"/>
      <c r="R331" s="33"/>
      <c r="T331" s="33"/>
    </row>
    <row r="332" spans="1:20" ht="12.75">
      <c r="A332" s="86"/>
      <c r="B332" s="79"/>
      <c r="C332" s="80" t="s">
        <v>150</v>
      </c>
      <c r="D332" s="87">
        <v>0</v>
      </c>
      <c r="E332" s="87">
        <f t="shared" si="76"/>
        <v>0</v>
      </c>
      <c r="F332" s="87">
        <f>F97+F256</f>
        <v>3728569.31</v>
      </c>
      <c r="G332" s="87">
        <f>G256+G97</f>
        <v>0</v>
      </c>
      <c r="H332" s="87">
        <f>H256+H97</f>
        <v>0</v>
      </c>
      <c r="I332" s="87">
        <f>I256+I97</f>
        <v>0</v>
      </c>
      <c r="J332" s="88"/>
      <c r="K332" s="88"/>
      <c r="L332" s="88"/>
      <c r="M332" s="89"/>
      <c r="N332" s="33"/>
      <c r="P332" s="33"/>
      <c r="R332" s="33"/>
      <c r="T332" s="33"/>
    </row>
    <row r="333" spans="1:20" ht="12.75">
      <c r="A333" s="86"/>
      <c r="B333" s="79"/>
      <c r="C333" s="80" t="s">
        <v>142</v>
      </c>
      <c r="D333" s="87">
        <v>455200</v>
      </c>
      <c r="E333" s="87">
        <f t="shared" si="76"/>
        <v>140222.41999999993</v>
      </c>
      <c r="F333" s="87">
        <f>F221+F236+F277</f>
        <v>308887.64</v>
      </c>
      <c r="G333" s="87">
        <f>G277+G236+G221</f>
        <v>595422.4199999999</v>
      </c>
      <c r="H333" s="87">
        <f>H277+H236+H221</f>
        <v>0</v>
      </c>
      <c r="I333" s="87">
        <f>I277+I236+I221</f>
        <v>0</v>
      </c>
      <c r="J333" s="88"/>
      <c r="K333" s="88"/>
      <c r="L333" s="88"/>
      <c r="M333" s="89"/>
      <c r="N333" s="33"/>
      <c r="P333" s="33"/>
      <c r="R333" s="33"/>
      <c r="T333" s="33"/>
    </row>
    <row r="334" spans="2:13" ht="12.75">
      <c r="B334" s="26"/>
      <c r="C334" s="90"/>
      <c r="D334" s="91">
        <f>SUM(D320:D333)</f>
        <v>39068894.48</v>
      </c>
      <c r="E334" s="91">
        <f>SUM(E320:E333)</f>
        <v>-1131248.140000001</v>
      </c>
      <c r="F334" s="91">
        <f>SUM(F320:F333)</f>
        <v>36075022.67</v>
      </c>
      <c r="G334" s="91">
        <f>SUM(G320:G333)</f>
        <v>37937646.339999996</v>
      </c>
      <c r="H334" s="91">
        <f>SUM(H320:H331)</f>
        <v>2697101.0300000003</v>
      </c>
      <c r="I334" s="91">
        <f>SUM(I320:I331)</f>
        <v>33899917</v>
      </c>
      <c r="J334" s="92"/>
      <c r="K334" s="92"/>
      <c r="L334" s="92"/>
      <c r="M334" s="93"/>
    </row>
    <row r="335" spans="3:9" ht="12.75">
      <c r="C335" s="82" t="s">
        <v>169</v>
      </c>
      <c r="D335" s="82"/>
      <c r="E335" s="82"/>
      <c r="F335" s="94">
        <f>F314-F334</f>
        <v>0</v>
      </c>
      <c r="G335" s="94">
        <f>G312-G334</f>
        <v>873279.764000006</v>
      </c>
      <c r="H335" s="94">
        <f>H314-H334</f>
        <v>32484088.439999998</v>
      </c>
      <c r="I335" s="94">
        <f>I314-I334</f>
        <v>0</v>
      </c>
    </row>
  </sheetData>
  <sheetProtection/>
  <mergeCells count="624">
    <mergeCell ref="T14:T18"/>
    <mergeCell ref="U14:U18"/>
    <mergeCell ref="R9:R13"/>
    <mergeCell ref="S9:S13"/>
    <mergeCell ref="R1:U1"/>
    <mergeCell ref="T2:U2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3"/>
    <mergeCell ref="B9:B13"/>
    <mergeCell ref="C9:C13"/>
    <mergeCell ref="M9:M13"/>
    <mergeCell ref="N9:N13"/>
    <mergeCell ref="O9:O13"/>
    <mergeCell ref="P9:P13"/>
    <mergeCell ref="Q9:Q13"/>
    <mergeCell ref="T9:T13"/>
    <mergeCell ref="U9:U13"/>
    <mergeCell ref="P19:P23"/>
    <mergeCell ref="Q19:Q23"/>
    <mergeCell ref="R19:R23"/>
    <mergeCell ref="S19:S23"/>
    <mergeCell ref="T19:T23"/>
    <mergeCell ref="U19:U23"/>
    <mergeCell ref="A19:A23"/>
    <mergeCell ref="B19:B23"/>
    <mergeCell ref="C19:C23"/>
    <mergeCell ref="M19:M23"/>
    <mergeCell ref="N19:N23"/>
    <mergeCell ref="O19:O23"/>
    <mergeCell ref="A14:A18"/>
    <mergeCell ref="B14:B18"/>
    <mergeCell ref="C14:C18"/>
    <mergeCell ref="M14:M18"/>
    <mergeCell ref="N14:N18"/>
    <mergeCell ref="O14:O18"/>
    <mergeCell ref="P14:P18"/>
    <mergeCell ref="Q14:Q18"/>
    <mergeCell ref="R14:R18"/>
    <mergeCell ref="S14:S18"/>
    <mergeCell ref="P24:P28"/>
    <mergeCell ref="Q24:Q28"/>
    <mergeCell ref="R24:R28"/>
    <mergeCell ref="S24:S28"/>
    <mergeCell ref="T24:T28"/>
    <mergeCell ref="U24:U28"/>
    <mergeCell ref="A24:A28"/>
    <mergeCell ref="B24:B28"/>
    <mergeCell ref="C24:C28"/>
    <mergeCell ref="M24:M28"/>
    <mergeCell ref="N24:N28"/>
    <mergeCell ref="O24:O28"/>
    <mergeCell ref="S29:S33"/>
    <mergeCell ref="T29:T33"/>
    <mergeCell ref="U29:U33"/>
    <mergeCell ref="A29:A33"/>
    <mergeCell ref="B29:B33"/>
    <mergeCell ref="C29:C33"/>
    <mergeCell ref="M29:M33"/>
    <mergeCell ref="N29:N33"/>
    <mergeCell ref="O29:O33"/>
    <mergeCell ref="A34:A38"/>
    <mergeCell ref="B34:B38"/>
    <mergeCell ref="C34:C38"/>
    <mergeCell ref="A39:A43"/>
    <mergeCell ref="B39:B43"/>
    <mergeCell ref="C39:C43"/>
    <mergeCell ref="P29:P33"/>
    <mergeCell ref="Q29:Q33"/>
    <mergeCell ref="R29:R33"/>
    <mergeCell ref="S39:S43"/>
    <mergeCell ref="T39:T43"/>
    <mergeCell ref="U39:U43"/>
    <mergeCell ref="A44:A48"/>
    <mergeCell ref="B44:B48"/>
    <mergeCell ref="C44:C48"/>
    <mergeCell ref="M44:M48"/>
    <mergeCell ref="N44:N48"/>
    <mergeCell ref="O44:O48"/>
    <mergeCell ref="P44:P48"/>
    <mergeCell ref="M39:M43"/>
    <mergeCell ref="N39:N43"/>
    <mergeCell ref="O39:O43"/>
    <mergeCell ref="P39:P43"/>
    <mergeCell ref="Q39:Q43"/>
    <mergeCell ref="R39:R43"/>
    <mergeCell ref="Q44:Q48"/>
    <mergeCell ref="R44:R48"/>
    <mergeCell ref="S44:S48"/>
    <mergeCell ref="T44:T48"/>
    <mergeCell ref="U44:U48"/>
    <mergeCell ref="A49:A53"/>
    <mergeCell ref="B49:B53"/>
    <mergeCell ref="C49:C53"/>
    <mergeCell ref="M49:M53"/>
    <mergeCell ref="N49:N53"/>
    <mergeCell ref="U49:U53"/>
    <mergeCell ref="A54:A58"/>
    <mergeCell ref="B54:B58"/>
    <mergeCell ref="C54:C58"/>
    <mergeCell ref="M54:M58"/>
    <mergeCell ref="N54:N58"/>
    <mergeCell ref="O54:O58"/>
    <mergeCell ref="P54:P58"/>
    <mergeCell ref="Q54:Q58"/>
    <mergeCell ref="R54:R58"/>
    <mergeCell ref="O49:O53"/>
    <mergeCell ref="P49:P53"/>
    <mergeCell ref="Q49:Q53"/>
    <mergeCell ref="R49:R53"/>
    <mergeCell ref="S49:S53"/>
    <mergeCell ref="T49:T53"/>
    <mergeCell ref="S54:S58"/>
    <mergeCell ref="T54:T58"/>
    <mergeCell ref="U54:U58"/>
    <mergeCell ref="S59:S63"/>
    <mergeCell ref="T59:T63"/>
    <mergeCell ref="U59:U63"/>
    <mergeCell ref="A64:A68"/>
    <mergeCell ref="B64:B68"/>
    <mergeCell ref="C64:C68"/>
    <mergeCell ref="M64:M68"/>
    <mergeCell ref="N64:N68"/>
    <mergeCell ref="U64:U68"/>
    <mergeCell ref="O64:O68"/>
    <mergeCell ref="P64:P68"/>
    <mergeCell ref="Q64:Q68"/>
    <mergeCell ref="R64:R68"/>
    <mergeCell ref="S64:S68"/>
    <mergeCell ref="T64:T68"/>
    <mergeCell ref="A59:A63"/>
    <mergeCell ref="B59:B63"/>
    <mergeCell ref="C59:C63"/>
    <mergeCell ref="M59:M63"/>
    <mergeCell ref="N59:N63"/>
    <mergeCell ref="O59:O63"/>
    <mergeCell ref="P59:P63"/>
    <mergeCell ref="Q59:Q63"/>
    <mergeCell ref="R59:R63"/>
    <mergeCell ref="S69:S73"/>
    <mergeCell ref="T69:T73"/>
    <mergeCell ref="U69:U73"/>
    <mergeCell ref="A74:A78"/>
    <mergeCell ref="B74:B78"/>
    <mergeCell ref="C74:C78"/>
    <mergeCell ref="M74:M78"/>
    <mergeCell ref="N74:N78"/>
    <mergeCell ref="O74:O78"/>
    <mergeCell ref="P74:P78"/>
    <mergeCell ref="Q74:Q78"/>
    <mergeCell ref="R74:R78"/>
    <mergeCell ref="S74:S78"/>
    <mergeCell ref="T74:T78"/>
    <mergeCell ref="U74:U78"/>
    <mergeCell ref="A69:A73"/>
    <mergeCell ref="B69:B73"/>
    <mergeCell ref="C69:C73"/>
    <mergeCell ref="M69:M73"/>
    <mergeCell ref="N69:N73"/>
    <mergeCell ref="O69:O73"/>
    <mergeCell ref="P69:P73"/>
    <mergeCell ref="Q69:Q73"/>
    <mergeCell ref="R69:R73"/>
    <mergeCell ref="U79:U83"/>
    <mergeCell ref="M81:M95"/>
    <mergeCell ref="A84:A88"/>
    <mergeCell ref="B84:B88"/>
    <mergeCell ref="C84:C88"/>
    <mergeCell ref="A89:A93"/>
    <mergeCell ref="B89:B93"/>
    <mergeCell ref="C89:C93"/>
    <mergeCell ref="A94:A100"/>
    <mergeCell ref="B94:B95"/>
    <mergeCell ref="O79:O83"/>
    <mergeCell ref="P79:P83"/>
    <mergeCell ref="Q79:Q83"/>
    <mergeCell ref="R79:R83"/>
    <mergeCell ref="S79:S83"/>
    <mergeCell ref="T79:T83"/>
    <mergeCell ref="T94:T100"/>
    <mergeCell ref="U94:U100"/>
    <mergeCell ref="O94:O100"/>
    <mergeCell ref="A106:A110"/>
    <mergeCell ref="B106:B110"/>
    <mergeCell ref="C106:C110"/>
    <mergeCell ref="M106:M110"/>
    <mergeCell ref="N106:N110"/>
    <mergeCell ref="N94:N100"/>
    <mergeCell ref="A79:A83"/>
    <mergeCell ref="B79:B83"/>
    <mergeCell ref="C79:C83"/>
    <mergeCell ref="M79:M80"/>
    <mergeCell ref="N79:N83"/>
    <mergeCell ref="P94:P100"/>
    <mergeCell ref="Q94:Q100"/>
    <mergeCell ref="R94:R100"/>
    <mergeCell ref="S94:S100"/>
    <mergeCell ref="U106:U110"/>
    <mergeCell ref="A111:A117"/>
    <mergeCell ref="B111:B112"/>
    <mergeCell ref="N111:N117"/>
    <mergeCell ref="O111:O117"/>
    <mergeCell ref="P111:P117"/>
    <mergeCell ref="Q111:Q117"/>
    <mergeCell ref="R111:R117"/>
    <mergeCell ref="S111:S117"/>
    <mergeCell ref="T111:T117"/>
    <mergeCell ref="O106:O110"/>
    <mergeCell ref="P106:P110"/>
    <mergeCell ref="Q106:Q110"/>
    <mergeCell ref="R106:R110"/>
    <mergeCell ref="S106:S110"/>
    <mergeCell ref="T106:T110"/>
    <mergeCell ref="U111:U117"/>
    <mergeCell ref="A101:A105"/>
    <mergeCell ref="B101:B105"/>
    <mergeCell ref="C101:C105"/>
    <mergeCell ref="U118:U123"/>
    <mergeCell ref="C119:C123"/>
    <mergeCell ref="A124:A128"/>
    <mergeCell ref="B124:B128"/>
    <mergeCell ref="C124:C128"/>
    <mergeCell ref="M124:M128"/>
    <mergeCell ref="N124:N128"/>
    <mergeCell ref="O124:O128"/>
    <mergeCell ref="P124:P128"/>
    <mergeCell ref="Q124:Q128"/>
    <mergeCell ref="R124:R128"/>
    <mergeCell ref="S124:S128"/>
    <mergeCell ref="A118:A123"/>
    <mergeCell ref="B118:B123"/>
    <mergeCell ref="N118:N123"/>
    <mergeCell ref="O118:O123"/>
    <mergeCell ref="P118:P123"/>
    <mergeCell ref="Q118:Q123"/>
    <mergeCell ref="R118:R123"/>
    <mergeCell ref="S118:S123"/>
    <mergeCell ref="T118:T123"/>
    <mergeCell ref="T124:T128"/>
    <mergeCell ref="U124:U128"/>
    <mergeCell ref="S134:S138"/>
    <mergeCell ref="T134:T138"/>
    <mergeCell ref="U134:U138"/>
    <mergeCell ref="A134:A138"/>
    <mergeCell ref="B134:B138"/>
    <mergeCell ref="C134:C138"/>
    <mergeCell ref="M134:M138"/>
    <mergeCell ref="N134:N138"/>
    <mergeCell ref="O134:O138"/>
    <mergeCell ref="A129:A133"/>
    <mergeCell ref="B129:B133"/>
    <mergeCell ref="C129:C133"/>
    <mergeCell ref="M129:M133"/>
    <mergeCell ref="N129:N133"/>
    <mergeCell ref="O129:O133"/>
    <mergeCell ref="P129:P133"/>
    <mergeCell ref="Q129:Q133"/>
    <mergeCell ref="R129:R133"/>
    <mergeCell ref="S129:S133"/>
    <mergeCell ref="T129:T133"/>
    <mergeCell ref="U129:U133"/>
    <mergeCell ref="A139:A143"/>
    <mergeCell ref="B139:B143"/>
    <mergeCell ref="C139:C143"/>
    <mergeCell ref="A144:A148"/>
    <mergeCell ref="B144:B148"/>
    <mergeCell ref="C144:C148"/>
    <mergeCell ref="P134:P138"/>
    <mergeCell ref="Q134:Q138"/>
    <mergeCell ref="R134:R138"/>
    <mergeCell ref="P149:P153"/>
    <mergeCell ref="Q149:Q153"/>
    <mergeCell ref="R149:R153"/>
    <mergeCell ref="S149:S153"/>
    <mergeCell ref="T149:T153"/>
    <mergeCell ref="U149:U153"/>
    <mergeCell ref="A149:A153"/>
    <mergeCell ref="B149:B153"/>
    <mergeCell ref="C149:C153"/>
    <mergeCell ref="M149:M153"/>
    <mergeCell ref="N149:N153"/>
    <mergeCell ref="O149:O153"/>
    <mergeCell ref="P154:P158"/>
    <mergeCell ref="Q154:Q158"/>
    <mergeCell ref="R154:R158"/>
    <mergeCell ref="S154:S158"/>
    <mergeCell ref="T154:T158"/>
    <mergeCell ref="U154:U158"/>
    <mergeCell ref="A154:A158"/>
    <mergeCell ref="B154:B158"/>
    <mergeCell ref="C154:C158"/>
    <mergeCell ref="M154:M158"/>
    <mergeCell ref="N154:N158"/>
    <mergeCell ref="O154:O158"/>
    <mergeCell ref="P159:P163"/>
    <mergeCell ref="Q159:Q163"/>
    <mergeCell ref="R159:R163"/>
    <mergeCell ref="S159:S163"/>
    <mergeCell ref="T159:T163"/>
    <mergeCell ref="U159:U163"/>
    <mergeCell ref="A159:A163"/>
    <mergeCell ref="B159:B163"/>
    <mergeCell ref="C159:C163"/>
    <mergeCell ref="M159:M163"/>
    <mergeCell ref="N159:N163"/>
    <mergeCell ref="O159:O163"/>
    <mergeCell ref="P164:P168"/>
    <mergeCell ref="Q164:Q168"/>
    <mergeCell ref="R164:R168"/>
    <mergeCell ref="S164:S168"/>
    <mergeCell ref="T164:T168"/>
    <mergeCell ref="U164:U168"/>
    <mergeCell ref="A164:A168"/>
    <mergeCell ref="B164:B168"/>
    <mergeCell ref="C164:C168"/>
    <mergeCell ref="M164:M168"/>
    <mergeCell ref="N164:N168"/>
    <mergeCell ref="O164:O168"/>
    <mergeCell ref="P169:P173"/>
    <mergeCell ref="Q169:Q173"/>
    <mergeCell ref="R169:R173"/>
    <mergeCell ref="S169:S173"/>
    <mergeCell ref="T169:T173"/>
    <mergeCell ref="U169:U173"/>
    <mergeCell ref="A169:A173"/>
    <mergeCell ref="B169:B173"/>
    <mergeCell ref="C169:C173"/>
    <mergeCell ref="M169:M173"/>
    <mergeCell ref="N169:N173"/>
    <mergeCell ref="O169:O173"/>
    <mergeCell ref="P174:P178"/>
    <mergeCell ref="Q174:Q178"/>
    <mergeCell ref="R174:R178"/>
    <mergeCell ref="S174:S178"/>
    <mergeCell ref="T174:T178"/>
    <mergeCell ref="U174:U178"/>
    <mergeCell ref="A174:A178"/>
    <mergeCell ref="B174:B178"/>
    <mergeCell ref="C174:C178"/>
    <mergeCell ref="M174:M178"/>
    <mergeCell ref="N174:N178"/>
    <mergeCell ref="O174:O178"/>
    <mergeCell ref="P179:P184"/>
    <mergeCell ref="Q179:Q184"/>
    <mergeCell ref="R179:R184"/>
    <mergeCell ref="S179:S184"/>
    <mergeCell ref="T179:T184"/>
    <mergeCell ref="U179:U184"/>
    <mergeCell ref="A179:A184"/>
    <mergeCell ref="B179:B184"/>
    <mergeCell ref="C179:C184"/>
    <mergeCell ref="M179:M184"/>
    <mergeCell ref="N179:N184"/>
    <mergeCell ref="O179:O184"/>
    <mergeCell ref="D180:L180"/>
    <mergeCell ref="B185:U185"/>
    <mergeCell ref="A186:A190"/>
    <mergeCell ref="B186:B190"/>
    <mergeCell ref="C186:C190"/>
    <mergeCell ref="M186:M190"/>
    <mergeCell ref="N186:N190"/>
    <mergeCell ref="O186:O190"/>
    <mergeCell ref="P186:P190"/>
    <mergeCell ref="Q186:Q190"/>
    <mergeCell ref="R186:R190"/>
    <mergeCell ref="S186:S190"/>
    <mergeCell ref="T186:T190"/>
    <mergeCell ref="U186:U190"/>
    <mergeCell ref="U203:U207"/>
    <mergeCell ref="C206:C210"/>
    <mergeCell ref="A208:A214"/>
    <mergeCell ref="B208:B214"/>
    <mergeCell ref="N208:N214"/>
    <mergeCell ref="O208:O214"/>
    <mergeCell ref="A191:A197"/>
    <mergeCell ref="B191:B197"/>
    <mergeCell ref="N191:N197"/>
    <mergeCell ref="O191:O197"/>
    <mergeCell ref="P191:P197"/>
    <mergeCell ref="Q191:Q197"/>
    <mergeCell ref="R191:R197"/>
    <mergeCell ref="S191:S197"/>
    <mergeCell ref="T191:T197"/>
    <mergeCell ref="A203:A207"/>
    <mergeCell ref="B203:B207"/>
    <mergeCell ref="M203:M207"/>
    <mergeCell ref="N203:N207"/>
    <mergeCell ref="O203:O207"/>
    <mergeCell ref="P203:P207"/>
    <mergeCell ref="U191:U197"/>
    <mergeCell ref="C196:C200"/>
    <mergeCell ref="A198:A202"/>
    <mergeCell ref="B198:B202"/>
    <mergeCell ref="M198:M202"/>
    <mergeCell ref="N198:N202"/>
    <mergeCell ref="O198:O202"/>
    <mergeCell ref="P198:P202"/>
    <mergeCell ref="Q198:Q202"/>
    <mergeCell ref="R198:R202"/>
    <mergeCell ref="S198:S202"/>
    <mergeCell ref="T198:T202"/>
    <mergeCell ref="U198:U202"/>
    <mergeCell ref="C201:C205"/>
    <mergeCell ref="Q203:Q207"/>
    <mergeCell ref="R203:R207"/>
    <mergeCell ref="S203:S207"/>
    <mergeCell ref="T203:T207"/>
    <mergeCell ref="A230:A234"/>
    <mergeCell ref="B230:B234"/>
    <mergeCell ref="M230:M234"/>
    <mergeCell ref="N230:N234"/>
    <mergeCell ref="O230:O234"/>
    <mergeCell ref="P230:P234"/>
    <mergeCell ref="Q230:Q234"/>
    <mergeCell ref="T208:T214"/>
    <mergeCell ref="U208:U214"/>
    <mergeCell ref="A215:A219"/>
    <mergeCell ref="B215:B219"/>
    <mergeCell ref="M215:M219"/>
    <mergeCell ref="N215:N219"/>
    <mergeCell ref="O215:O219"/>
    <mergeCell ref="P215:P219"/>
    <mergeCell ref="Q215:Q219"/>
    <mergeCell ref="R215:R219"/>
    <mergeCell ref="S215:S219"/>
    <mergeCell ref="T215:T219"/>
    <mergeCell ref="U215:U219"/>
    <mergeCell ref="P208:P214"/>
    <mergeCell ref="Q208:Q214"/>
    <mergeCell ref="R208:R214"/>
    <mergeCell ref="S208:S214"/>
    <mergeCell ref="R220:R224"/>
    <mergeCell ref="S220:S224"/>
    <mergeCell ref="T220:T224"/>
    <mergeCell ref="U220:U224"/>
    <mergeCell ref="A225:A229"/>
    <mergeCell ref="B225:B229"/>
    <mergeCell ref="M225:M229"/>
    <mergeCell ref="N225:N229"/>
    <mergeCell ref="O225:O229"/>
    <mergeCell ref="P225:P229"/>
    <mergeCell ref="A220:A224"/>
    <mergeCell ref="B220:B224"/>
    <mergeCell ref="M220:M224"/>
    <mergeCell ref="N220:N224"/>
    <mergeCell ref="O220:O224"/>
    <mergeCell ref="P220:P224"/>
    <mergeCell ref="Q220:Q224"/>
    <mergeCell ref="R230:R234"/>
    <mergeCell ref="S230:S234"/>
    <mergeCell ref="T230:T234"/>
    <mergeCell ref="U230:U234"/>
    <mergeCell ref="Q225:Q229"/>
    <mergeCell ref="R225:R229"/>
    <mergeCell ref="S225:S229"/>
    <mergeCell ref="T225:T229"/>
    <mergeCell ref="U225:U229"/>
    <mergeCell ref="A240:A244"/>
    <mergeCell ref="B240:B244"/>
    <mergeCell ref="M240:M244"/>
    <mergeCell ref="N240:N244"/>
    <mergeCell ref="O240:O244"/>
    <mergeCell ref="A235:A239"/>
    <mergeCell ref="B235:B239"/>
    <mergeCell ref="M235:M239"/>
    <mergeCell ref="N235:N239"/>
    <mergeCell ref="O235:O239"/>
    <mergeCell ref="P240:P244"/>
    <mergeCell ref="Q240:Q244"/>
    <mergeCell ref="R240:R244"/>
    <mergeCell ref="S240:S244"/>
    <mergeCell ref="T240:T244"/>
    <mergeCell ref="U240:U244"/>
    <mergeCell ref="Q235:Q239"/>
    <mergeCell ref="R235:R239"/>
    <mergeCell ref="S235:S239"/>
    <mergeCell ref="T235:T239"/>
    <mergeCell ref="U235:U239"/>
    <mergeCell ref="P235:P239"/>
    <mergeCell ref="A250:A254"/>
    <mergeCell ref="B250:B254"/>
    <mergeCell ref="M250:M254"/>
    <mergeCell ref="N250:N254"/>
    <mergeCell ref="O250:O254"/>
    <mergeCell ref="A245:A249"/>
    <mergeCell ref="B245:B249"/>
    <mergeCell ref="M245:M249"/>
    <mergeCell ref="N245:N249"/>
    <mergeCell ref="O245:O249"/>
    <mergeCell ref="P250:P254"/>
    <mergeCell ref="Q250:Q254"/>
    <mergeCell ref="R250:R254"/>
    <mergeCell ref="S250:S254"/>
    <mergeCell ref="T250:T254"/>
    <mergeCell ref="U250:U254"/>
    <mergeCell ref="Q245:Q249"/>
    <mergeCell ref="R245:R249"/>
    <mergeCell ref="S245:S249"/>
    <mergeCell ref="T245:T249"/>
    <mergeCell ref="U245:U249"/>
    <mergeCell ref="P245:P249"/>
    <mergeCell ref="A260:A265"/>
    <mergeCell ref="B260:B265"/>
    <mergeCell ref="N260:N265"/>
    <mergeCell ref="O260:O265"/>
    <mergeCell ref="P260:P265"/>
    <mergeCell ref="A255:A259"/>
    <mergeCell ref="B255:B259"/>
    <mergeCell ref="M255:M259"/>
    <mergeCell ref="N255:N259"/>
    <mergeCell ref="O255:O259"/>
    <mergeCell ref="P255:P259"/>
    <mergeCell ref="Q260:Q265"/>
    <mergeCell ref="R260:R265"/>
    <mergeCell ref="S260:S265"/>
    <mergeCell ref="T260:T265"/>
    <mergeCell ref="U260:U265"/>
    <mergeCell ref="C261:C265"/>
    <mergeCell ref="Q255:Q259"/>
    <mergeCell ref="R255:R259"/>
    <mergeCell ref="S255:S259"/>
    <mergeCell ref="T255:T259"/>
    <mergeCell ref="U255:U259"/>
    <mergeCell ref="P266:P270"/>
    <mergeCell ref="Q266:Q270"/>
    <mergeCell ref="R266:R270"/>
    <mergeCell ref="S266:S270"/>
    <mergeCell ref="T266:T270"/>
    <mergeCell ref="U266:U270"/>
    <mergeCell ref="A266:A270"/>
    <mergeCell ref="B266:B270"/>
    <mergeCell ref="C266:C270"/>
    <mergeCell ref="M266:M270"/>
    <mergeCell ref="N266:N270"/>
    <mergeCell ref="O266:O270"/>
    <mergeCell ref="P271:P275"/>
    <mergeCell ref="Q271:Q275"/>
    <mergeCell ref="R271:R275"/>
    <mergeCell ref="S271:S275"/>
    <mergeCell ref="T271:T275"/>
    <mergeCell ref="U271:U275"/>
    <mergeCell ref="A271:A275"/>
    <mergeCell ref="B271:B275"/>
    <mergeCell ref="C271:C275"/>
    <mergeCell ref="M271:M275"/>
    <mergeCell ref="N271:N275"/>
    <mergeCell ref="O271:O275"/>
    <mergeCell ref="S276:S280"/>
    <mergeCell ref="T276:T280"/>
    <mergeCell ref="U276:U280"/>
    <mergeCell ref="A276:A280"/>
    <mergeCell ref="B276:B280"/>
    <mergeCell ref="C276:C280"/>
    <mergeCell ref="M276:M280"/>
    <mergeCell ref="N276:N280"/>
    <mergeCell ref="O276:O280"/>
    <mergeCell ref="A281:A285"/>
    <mergeCell ref="B281:B285"/>
    <mergeCell ref="A286:A290"/>
    <mergeCell ref="B286:B290"/>
    <mergeCell ref="A291:A295"/>
    <mergeCell ref="B291:B295"/>
    <mergeCell ref="P276:P280"/>
    <mergeCell ref="Q276:Q280"/>
    <mergeCell ref="R276:R280"/>
    <mergeCell ref="R291:R295"/>
    <mergeCell ref="S291:S295"/>
    <mergeCell ref="T291:T295"/>
    <mergeCell ref="U291:U295"/>
    <mergeCell ref="A296:A300"/>
    <mergeCell ref="B296:B300"/>
    <mergeCell ref="C296:C300"/>
    <mergeCell ref="C291:C295"/>
    <mergeCell ref="M291:M295"/>
    <mergeCell ref="N291:N295"/>
    <mergeCell ref="O291:O295"/>
    <mergeCell ref="P291:P295"/>
    <mergeCell ref="Q291:Q295"/>
    <mergeCell ref="P301:P305"/>
    <mergeCell ref="Q301:Q305"/>
    <mergeCell ref="R301:R305"/>
    <mergeCell ref="S301:S305"/>
    <mergeCell ref="T301:T305"/>
    <mergeCell ref="U301:U305"/>
    <mergeCell ref="A301:A305"/>
    <mergeCell ref="B301:B305"/>
    <mergeCell ref="C301:C305"/>
    <mergeCell ref="M301:M305"/>
    <mergeCell ref="N301:N305"/>
    <mergeCell ref="O301:O305"/>
    <mergeCell ref="P306:P311"/>
    <mergeCell ref="Q306:Q311"/>
    <mergeCell ref="R306:R311"/>
    <mergeCell ref="S306:S311"/>
    <mergeCell ref="T306:T311"/>
    <mergeCell ref="U306:U311"/>
    <mergeCell ref="A306:A311"/>
    <mergeCell ref="B306:B311"/>
    <mergeCell ref="C306:C311"/>
    <mergeCell ref="M306:M311"/>
    <mergeCell ref="N306:N311"/>
    <mergeCell ref="O306:O311"/>
    <mergeCell ref="D307:L307"/>
    <mergeCell ref="P312:P317"/>
    <mergeCell ref="Q312:Q317"/>
    <mergeCell ref="R312:R317"/>
    <mergeCell ref="S312:S317"/>
    <mergeCell ref="T312:T317"/>
    <mergeCell ref="U312:U317"/>
    <mergeCell ref="A312:A317"/>
    <mergeCell ref="B312:B317"/>
    <mergeCell ref="C312:C317"/>
    <mergeCell ref="M312:M317"/>
    <mergeCell ref="N312:N317"/>
    <mergeCell ref="O312:O317"/>
    <mergeCell ref="D313:L313"/>
  </mergeCells>
  <printOptions/>
  <pageMargins left="0.31496062992125984" right="0.31496062992125984" top="0.2362204724409449" bottom="0.35433070866141736" header="0.31496062992125984" footer="0.31496062992125984"/>
  <pageSetup fitToHeight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CybulkoNA</dc:creator>
  <cp:keywords/>
  <dc:description/>
  <cp:lastModifiedBy>Полянина Александра Александровна</cp:lastModifiedBy>
  <dcterms:created xsi:type="dcterms:W3CDTF">2016-03-03T09:05:38Z</dcterms:created>
  <dcterms:modified xsi:type="dcterms:W3CDTF">2016-03-11T12:04:28Z</dcterms:modified>
  <cp:category/>
  <cp:version/>
  <cp:contentType/>
  <cp:contentStatus/>
</cp:coreProperties>
</file>