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 windowWidth="11340" windowHeight="9345" tabRatio="775" activeTab="6"/>
  </bookViews>
  <sheets>
    <sheet name="прил1" sheetId="1" r:id="rId1"/>
    <sheet name="прил2" sheetId="2" r:id="rId2"/>
    <sheet name="прил3" sheetId="3" r:id="rId3"/>
    <sheet name="прил4" sheetId="4" r:id="rId4"/>
    <sheet name="прил5" sheetId="5" r:id="rId5"/>
    <sheet name="прил6" sheetId="6" r:id="rId6"/>
    <sheet name="прил 7" sheetId="7" r:id="rId7"/>
  </sheets>
  <definedNames>
    <definedName name="_xlnm.Print_Titles" localSheetId="6">'прил 7'!$6:$7</definedName>
    <definedName name="_xlnm.Print_Titles" localSheetId="0">'прил1'!$7:$8</definedName>
    <definedName name="_xlnm.Print_Titles" localSheetId="1">'прил2'!$7:$8</definedName>
    <definedName name="_xlnm.Print_Titles" localSheetId="2">'прил3'!$7:$8</definedName>
    <definedName name="_xlnm.Print_Titles" localSheetId="3">'прил4'!$8:$9</definedName>
    <definedName name="_xlnm.Print_Titles" localSheetId="5">'прил6'!$8:$9</definedName>
  </definedNames>
  <calcPr fullCalcOnLoad="1"/>
</workbook>
</file>

<file path=xl/sharedStrings.xml><?xml version="1.0" encoding="utf-8"?>
<sst xmlns="http://schemas.openxmlformats.org/spreadsheetml/2006/main" count="5283" uniqueCount="1000">
  <si>
    <t>000 1 01 02000 01 0000 110</t>
  </si>
  <si>
    <t>Налог на доходы физических лиц</t>
  </si>
  <si>
    <t>000 1 01 02010 01 0000 110</t>
  </si>
  <si>
    <t>000 1 01 02020 01 0000 110</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</si>
  <si>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</si>
  <si>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</si>
  <si>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</si>
  <si>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</si>
  <si>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</si>
  <si>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</si>
  <si>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</si>
  <si>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</si>
  <si>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</si>
  <si>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0001 03 02240 01 0000 110</t>
  </si>
  <si>
    <t>0001 03 02250 01 0000 110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</si>
  <si>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</si>
  <si>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</si>
  <si>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</si>
  <si>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</si>
  <si>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</si>
  <si>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000 1 05 01000 00 0000 110</t>
  </si>
  <si>
    <t>Налог, взимаемый в связи с применением упрощенной системы налогобложения</t>
  </si>
  <si>
    <t>000 1 05 01010 01 0000 110</t>
  </si>
  <si>
    <t>Налог, взимаемый с налогоплательщиков, выбравших в качестве объекта налогообложения  доходы</t>
  </si>
  <si>
    <t>000 1 05 01011 01 0000 110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</si>
  <si>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</si>
  <si>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</si>
  <si>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</si>
  <si>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000 1 05 01050 01 0000 110</t>
  </si>
  <si>
    <t>Минимальный налог, зачисляемый в бюджеты субъектов Российской Федерации</t>
  </si>
  <si>
    <t>000 1 05 02000 02 0000 110</t>
  </si>
  <si>
    <t>Единый налог на вмененый доход для отдельных видов деятельности</t>
  </si>
  <si>
    <t>000 1 05 02010 02 0000 110</t>
  </si>
  <si>
    <t>Единый налог на вмененный доход для отдельных видов деятельности</t>
  </si>
  <si>
    <t>000 1 05 02020 02 0000 110</t>
  </si>
  <si>
    <t>Единый налог на вмененный доход для отдельных видов деятельности (за налоговые периоды, истекшие до 1 января 2011 года)</t>
  </si>
  <si>
    <t>000 1 05 04000 02 0000 110</t>
  </si>
  <si>
    <t>Налог, взимаемый в связи с применением патентной системы налогообложения</t>
  </si>
  <si>
    <t>000 1 05 04010 02 0000 110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</si>
  <si>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</si>
  <si>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</si>
  <si>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</si>
  <si>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</si>
  <si>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</si>
  <si>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</si>
  <si>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</si>
  <si>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</si>
  <si>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 xml:space="preserve">Земельный налог </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</si>
  <si>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</si>
  <si>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</si>
  <si>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000 1 06 06012 04 0000 110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</si>
  <si>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</si>
  <si>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</si>
  <si>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</si>
  <si>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000 1 06 06022 04 0000 110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</si>
  <si>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</si>
  <si>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</si>
  <si>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</si>
  <si>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</si>
  <si>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</si>
  <si>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</si>
  <si>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</si>
  <si>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</si>
  <si>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</si>
  <si>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</si>
  <si>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 xml:space="preserve">Государственная пошлина за выдачу разрешения на установку рекламной конструкции </t>
  </si>
  <si>
    <t>НЕНАЛОГОВЫЕ ДОХОДЫ</t>
  </si>
  <si>
    <t>000 1 11 00000 00 0000 000</t>
  </si>
  <si>
    <t>Доходы от использования имущества, находящегося в государственной и муниципальной собственности</t>
  </si>
  <si>
    <t>000 1 11 05000 00 0000 120</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</si>
  <si>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</si>
  <si>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</si>
  <si>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000 1 11 05012 04 0000 120</t>
  </si>
  <si>
    <t>000 1 11 05020 00 0000 120</t>
  </si>
  <si>
    <t>000 1 11 05024 04 0000 120</t>
  </si>
  <si>
    <t>000 1 11 05030 00 0000 120</t>
  </si>
  <si>
    <t>000 1 11 05034 04 0000 120</t>
  </si>
  <si>
    <t>000 1 11 07000 00 0000 120</t>
  </si>
  <si>
    <t>Платежи от государственных и муниципальных унитарных предприятий</t>
  </si>
  <si>
    <t>000 1 11 07010 00 0000 120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</si>
  <si>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</si>
  <si>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000 1 11 07014 04 0000 120</t>
  </si>
  <si>
    <t>000 1 11 09000 00 0000 120</t>
  </si>
  <si>
    <t>000 1 11 09040 00 0000 120</t>
  </si>
  <si>
    <t>000 1 11 09044 04 0000 120</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</si>
  <si>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</si>
  <si>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</si>
  <si>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</si>
  <si>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</si>
  <si>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</si>
  <si>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</si>
  <si>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000 1 12 01020 01 0000 120</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</si>
  <si>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</si>
  <si>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</si>
  <si>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</si>
  <si>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</si>
  <si>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</si>
  <si>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000 1 13 00000 00 0000 000</t>
  </si>
  <si>
    <t>Доходы от оказания платных услуг (работ) и компенсации затрат государства</t>
  </si>
  <si>
    <t>000 1 13 02000 00 0000 130</t>
  </si>
  <si>
    <t>Доходы от компенсации затрат государства</t>
  </si>
  <si>
    <t>000 1 13 02990 00 0000 130</t>
  </si>
  <si>
    <t>Прочие доходы от компенсации затрат государства</t>
  </si>
  <si>
    <t>000 1 13 02994 04 0000 130</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</si>
  <si>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</si>
  <si>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</si>
  <si>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</si>
  <si>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</si>
  <si>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</si>
  <si>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000 1 14 02043 04 0000 410</t>
  </si>
  <si>
    <t>000 1 16 00000 00 0000 000</t>
  </si>
  <si>
    <t>Штрафы, санкции, возмещение ущерба</t>
  </si>
  <si>
    <t>000 1 16 03000 00 0000 140</t>
  </si>
  <si>
    <t>Денежные взыскания (штрафы) за нарушение законодательства о налогах и сборах</t>
  </si>
  <si>
    <t>000 1 16 03010 01 0000 140</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</si>
  <si>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</si>
  <si>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</si>
  <si>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</si>
  <si>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</si>
  <si>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000 1 16 25000 00 0000 140</t>
  </si>
  <si>
    <t>000 1 16 25030 01 0000 140</t>
  </si>
  <si>
    <t>Денежные взыскания (штрафы) за нарушение законодательства Российской Федерации об охране и использовании животного мира</t>
  </si>
  <si>
    <t>000 1 16 25060 01 0000 140</t>
  </si>
  <si>
    <t>Денежные взыскания (штрафы) за нарушение земельного законодательства</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</si>
  <si>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</si>
  <si>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</si>
  <si>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000 1 16 30000 01 0000 140</t>
  </si>
  <si>
    <t>Денежные взыскания (штрафы) за правонарушения в области дорожного хозяйства</t>
  </si>
  <si>
    <t>000 1 16 30030 01 0000 140</t>
  </si>
  <si>
    <t xml:space="preserve">000 1 00 00000 00 0000 </t>
  </si>
  <si>
    <t xml:space="preserve">000 1 01 00000 00 0000 </t>
  </si>
  <si>
    <t xml:space="preserve">000 1 01 02000 01 0000 </t>
  </si>
  <si>
    <t xml:space="preserve">000 1 01 02010 01 0000 </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</si>
  <si>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i/>
        <vertAlign val="superscript"/>
        <sz val="11"/>
        <rFont val="Times New Roman"/>
        <family val="1"/>
      </rPr>
      <t>1</t>
    </r>
    <r>
      <rPr>
        <i/>
        <sz val="11"/>
        <rFont val="Times New Roman"/>
        <family val="1"/>
      </rPr>
      <t xml:space="preserve"> и 228 Налогового кодекса Российской Федерации</t>
    </r>
  </si>
  <si>
    <t xml:space="preserve">000 1 01 02010 01 1000 </t>
  </si>
  <si>
    <t xml:space="preserve">000 1 01 02010 01 2000 </t>
  </si>
  <si>
    <t xml:space="preserve">000 1 01 02010 01 3000 </t>
  </si>
  <si>
    <t xml:space="preserve">000 1 01 02010 01 4000 </t>
  </si>
  <si>
    <t xml:space="preserve">000 1 01 02020 01 0000 </t>
  </si>
  <si>
    <t xml:space="preserve">000 1 01 02020 01 1000 </t>
  </si>
  <si>
    <t xml:space="preserve">000 1 01 02020 01 2000 </t>
  </si>
  <si>
    <t xml:space="preserve">000 1 01 02020 01 3000 </t>
  </si>
  <si>
    <t xml:space="preserve">000 1 01 02030 01 0000 </t>
  </si>
  <si>
    <t xml:space="preserve">000 1 01 02030 01 1000 </t>
  </si>
  <si>
    <t xml:space="preserve">000 1 01 02030 01 2000 </t>
  </si>
  <si>
    <t xml:space="preserve">000 1 01 02030 01 3000 </t>
  </si>
  <si>
    <t xml:space="preserve">000 1 01 02040 01 0000 </t>
  </si>
  <si>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i/>
        <vertAlign val="superscript"/>
        <sz val="11"/>
        <rFont val="Times New Roman"/>
        <family val="1"/>
      </rPr>
      <t>1</t>
    </r>
    <r>
      <rPr>
        <i/>
        <sz val="11"/>
        <rFont val="Times New Roman"/>
        <family val="1"/>
      </rPr>
      <t xml:space="preserve"> Налогового кодекса Российской Федерации</t>
    </r>
  </si>
  <si>
    <t xml:space="preserve">000 1 01 02040 01 1000 </t>
  </si>
  <si>
    <t xml:space="preserve">000 1 05 00000 00 0000 </t>
  </si>
  <si>
    <t xml:space="preserve">000 1 05 01000 00 0000 </t>
  </si>
  <si>
    <t xml:space="preserve">000 1 05 01010 01 0000 </t>
  </si>
  <si>
    <t xml:space="preserve">000 1 05 01011 01 0000 </t>
  </si>
  <si>
    <t xml:space="preserve">000 1 05 01011 01 1000 </t>
  </si>
  <si>
    <t xml:space="preserve">000 1 05 01011 01 2000 </t>
  </si>
  <si>
    <t xml:space="preserve">000 1 05 01011 01 3000 </t>
  </si>
  <si>
    <t xml:space="preserve">000 1 05 01012 01 0000 </t>
  </si>
  <si>
    <t xml:space="preserve">000 1 05 01012 01 1000 </t>
  </si>
  <si>
    <t xml:space="preserve">000 1 05 01012 01 2000 </t>
  </si>
  <si>
    <t xml:space="preserve">000 1 05 01012 01 3000 </t>
  </si>
  <si>
    <t xml:space="preserve">000 1 05 01020 01 0000 </t>
  </si>
  <si>
    <t xml:space="preserve">000 1 05 01021 01 0000 </t>
  </si>
  <si>
    <t xml:space="preserve">000 1 05 01021 01 1000 </t>
  </si>
  <si>
    <t xml:space="preserve">000 1 05 01021 01 2000 </t>
  </si>
  <si>
    <t xml:space="preserve">000 1 05 01021 01 3000 </t>
  </si>
  <si>
    <t xml:space="preserve">000 1 05 01022 01 1000 </t>
  </si>
  <si>
    <t xml:space="preserve">000 1 05 01050 01 0000 </t>
  </si>
  <si>
    <t xml:space="preserve">000 1 05 01050 01 1000 </t>
  </si>
  <si>
    <t xml:space="preserve">000 1 05 01050 01 2000 </t>
  </si>
  <si>
    <t xml:space="preserve">000 1 05 01050 01 3000 </t>
  </si>
  <si>
    <t xml:space="preserve">000 1 05 02000 02 0000 </t>
  </si>
  <si>
    <t xml:space="preserve">000 1 05 02010 02 0000 </t>
  </si>
  <si>
    <t xml:space="preserve">000 1 05 02010 02 1000 </t>
  </si>
  <si>
    <t xml:space="preserve">000 1 05 02010 02 2000 </t>
  </si>
  <si>
    <t xml:space="preserve">000 1 05 02010 02 3000 </t>
  </si>
  <si>
    <t xml:space="preserve">000 1 05 02020 02 0000 </t>
  </si>
  <si>
    <t xml:space="preserve">000 1 05 02020 02 1000 </t>
  </si>
  <si>
    <t xml:space="preserve">000 1 05 02020 02 2000 </t>
  </si>
  <si>
    <t xml:space="preserve">000 1 05 02020 02 3000 </t>
  </si>
  <si>
    <t xml:space="preserve">000 1 05 04000 02 0000 </t>
  </si>
  <si>
    <t xml:space="preserve">000 1 05 04010 02 0000 </t>
  </si>
  <si>
    <t xml:space="preserve">000 1 05 04010 02 1000 </t>
  </si>
  <si>
    <t xml:space="preserve">000 1 05 04010 02 2000 </t>
  </si>
  <si>
    <t xml:space="preserve">000 1 06 00000 00 0000 </t>
  </si>
  <si>
    <t xml:space="preserve">000 1 06 01000 00 0000 </t>
  </si>
  <si>
    <t xml:space="preserve">000 1 06 01020 04 0000 </t>
  </si>
  <si>
    <t xml:space="preserve">000 1 06 01020 04 1000 </t>
  </si>
  <si>
    <t xml:space="preserve">000 1 06 01020 04 2000 </t>
  </si>
  <si>
    <t xml:space="preserve">000 1 06 01020 04 4000 </t>
  </si>
  <si>
    <t xml:space="preserve">000 1 06 06000 00 0000 </t>
  </si>
  <si>
    <t xml:space="preserve">000 1 06 06010 00 0000 </t>
  </si>
  <si>
    <t xml:space="preserve">000 1 06 06012 04 0000 </t>
  </si>
  <si>
    <t xml:space="preserve">000 1 06 06012 04 1000 </t>
  </si>
  <si>
    <t xml:space="preserve">000 1 06 06012 04 2000 </t>
  </si>
  <si>
    <t xml:space="preserve">000 1 06 06012 04 3000 </t>
  </si>
  <si>
    <t xml:space="preserve">000 1 06 06012 04 4000 </t>
  </si>
  <si>
    <t xml:space="preserve">000 1 06 06020 00 0000 </t>
  </si>
  <si>
    <t xml:space="preserve">000 1 06 06022 04 0000 </t>
  </si>
  <si>
    <t xml:space="preserve">000 1 06 06022 04 1000 </t>
  </si>
  <si>
    <t xml:space="preserve">000 1 06 06022 04 2000 </t>
  </si>
  <si>
    <t xml:space="preserve">000 1 06 06022 04 3000 </t>
  </si>
  <si>
    <t xml:space="preserve">000 1 08 00000 00 0000 </t>
  </si>
  <si>
    <t xml:space="preserve">000 1 08 03000 01 0000 </t>
  </si>
  <si>
    <t xml:space="preserve">000 1 08 03010 01 0000 </t>
  </si>
  <si>
    <t xml:space="preserve">000 1 08 03010 01 1000 </t>
  </si>
  <si>
    <t xml:space="preserve">000 1 08 07000 01 0000 </t>
  </si>
  <si>
    <t xml:space="preserve">000 1 08 07150 01 0000 </t>
  </si>
  <si>
    <t xml:space="preserve">000 1 08 07150 01 1000 </t>
  </si>
  <si>
    <t xml:space="preserve">000 1 11 00000 00 0000 </t>
  </si>
  <si>
    <t xml:space="preserve">000 1 11 05000 00 0000 </t>
  </si>
  <si>
    <t xml:space="preserve">000 1 11 05010 00 0000 </t>
  </si>
  <si>
    <t xml:space="preserve">000 1 11 05012 04 0000 </t>
  </si>
  <si>
    <t xml:space="preserve">000 1 11 05020 00 0000 </t>
  </si>
  <si>
    <t xml:space="preserve">000 1 11 05024 04 0000 </t>
  </si>
  <si>
    <t xml:space="preserve">000 1 11 05030 00 0000 </t>
  </si>
  <si>
    <t xml:space="preserve">000 1 11 05034 04 0000 </t>
  </si>
  <si>
    <t xml:space="preserve">000 1 11 07000 00 0000 </t>
  </si>
  <si>
    <t xml:space="preserve">000 1 11 07010 00 0000 </t>
  </si>
  <si>
    <t xml:space="preserve">000 1 11 07014 04 0000 </t>
  </si>
  <si>
    <t xml:space="preserve">000 1 11 09000 00 0000 </t>
  </si>
  <si>
    <t xml:space="preserve">000 1 11 09040 00 0000 </t>
  </si>
  <si>
    <t xml:space="preserve">000 1 11 09044 04 0000 </t>
  </si>
  <si>
    <t xml:space="preserve">000 1 12 00000 00 0000 </t>
  </si>
  <si>
    <t xml:space="preserve">000 1 12 01000 01 0000 </t>
  </si>
  <si>
    <t xml:space="preserve">000 1 12 01010 01 0000 </t>
  </si>
  <si>
    <t xml:space="preserve">000 1 12 01010 01 6000 </t>
  </si>
  <si>
    <t xml:space="preserve">000 1 12 01020 01 0000 </t>
  </si>
  <si>
    <t xml:space="preserve">000 1 12 01020 01 6000 </t>
  </si>
  <si>
    <t xml:space="preserve">000 1 12 01030 01 0000 </t>
  </si>
  <si>
    <t xml:space="preserve">000 1 12 01030 01 6000 </t>
  </si>
  <si>
    <t xml:space="preserve">000 1 12 01040 01 0000 </t>
  </si>
  <si>
    <t xml:space="preserve">000 1 12 01040 01 6000 </t>
  </si>
  <si>
    <t xml:space="preserve">000 1 13 00000 00 0000 </t>
  </si>
  <si>
    <t xml:space="preserve">000 1 13 02000 00 0000 </t>
  </si>
  <si>
    <t xml:space="preserve">000 1 13 02990 00 0000 </t>
  </si>
  <si>
    <t xml:space="preserve">000 1 13 02994 04 0000 </t>
  </si>
  <si>
    <t xml:space="preserve">000 1 14 00000 00 0000 </t>
  </si>
  <si>
    <t xml:space="preserve">000 1 14 02000 00 0000 </t>
  </si>
  <si>
    <t xml:space="preserve">000 1 14 02040 04 0000 </t>
  </si>
  <si>
    <t xml:space="preserve">000 1 14 02043 04 0000 </t>
  </si>
  <si>
    <t xml:space="preserve">000 1 16 00000 00 0000 </t>
  </si>
  <si>
    <t xml:space="preserve">000 1 16 03000 00 0000 </t>
  </si>
  <si>
    <t xml:space="preserve">000 1 16 03010 01 0000 </t>
  </si>
  <si>
    <t xml:space="preserve">000 1 16 03010 01 6000 </t>
  </si>
  <si>
    <t xml:space="preserve">000 1 16 03030 01 0000 </t>
  </si>
  <si>
    <t xml:space="preserve">000 1 16 03030 01 6000 </t>
  </si>
  <si>
    <t xml:space="preserve">000 1 16 06000 01 0000 </t>
  </si>
  <si>
    <t xml:space="preserve">000 1 16 06000 01 6000 </t>
  </si>
  <si>
    <t xml:space="preserve">000 1 16 25000 00 0000 </t>
  </si>
  <si>
    <r>
      <t xml:space="preserve">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t>
    </r>
    <r>
      <rPr>
        <b/>
        <i/>
        <sz val="12"/>
        <color indexed="8"/>
        <rFont val="Times New Roman"/>
        <family val="1"/>
      </rPr>
      <t>о рыболовстве и сохранении водных биологических ресурсов,</t>
    </r>
    <r>
      <rPr>
        <b/>
        <i/>
        <sz val="12"/>
        <color indexed="55"/>
        <rFont val="Times New Roman"/>
        <family val="1"/>
      </rPr>
      <t xml:space="preserve"> </t>
    </r>
    <r>
      <rPr>
        <b/>
        <i/>
        <sz val="12"/>
        <rFont val="Times New Roman"/>
        <family val="1"/>
      </rPr>
      <t>земельного законодательства, лесного законодательства, водного законодательства</t>
    </r>
  </si>
  <si>
    <t xml:space="preserve">000 1 16 25060 01 0000 </t>
  </si>
  <si>
    <t xml:space="preserve">000 1 16 25060 01 6000 </t>
  </si>
  <si>
    <t xml:space="preserve">000 1 16 28000 01 0000 </t>
  </si>
  <si>
    <t xml:space="preserve">000 1 16 28000 01 6000 </t>
  </si>
  <si>
    <t xml:space="preserve">000 1 16 30000 01 0000 </t>
  </si>
  <si>
    <t xml:space="preserve">000 1 16 30030 01 0000 </t>
  </si>
  <si>
    <t xml:space="preserve">000 1 16 30030 01 6000 </t>
  </si>
  <si>
    <t xml:space="preserve">000 1 16 33000 00 0000 </t>
  </si>
  <si>
    <t xml:space="preserve">000 1 16 33040 04 0000 </t>
  </si>
  <si>
    <t xml:space="preserve">000 1 16 33040 04 6000 </t>
  </si>
  <si>
    <t xml:space="preserve">000 1 16 43000 01 0000 </t>
  </si>
  <si>
    <t xml:space="preserve">000 1 16 43000 01 6000 </t>
  </si>
  <si>
    <t xml:space="preserve">000 1 16 90000 00 0000 </t>
  </si>
  <si>
    <t xml:space="preserve">000 1 16 90040 04 0000 </t>
  </si>
  <si>
    <t xml:space="preserve">000 1 16 90040 04 6000 </t>
  </si>
  <si>
    <t xml:space="preserve">000 1 17 00000 00 0000 </t>
  </si>
  <si>
    <t xml:space="preserve">000 1 17 01000 00 0000 </t>
  </si>
  <si>
    <t>Невыясненные поступления</t>
  </si>
  <si>
    <t xml:space="preserve">000 1 17 01040 04 0000 </t>
  </si>
  <si>
    <t>Невыясненные поступления, зачисляемые в бюджеты городских округов</t>
  </si>
  <si>
    <t xml:space="preserve">000 1 17 05000 00 0000 </t>
  </si>
  <si>
    <t xml:space="preserve">000 1 17 05040 04 0000 </t>
  </si>
  <si>
    <r>
      <t xml:space="preserve">Субсидии бюджетам </t>
    </r>
    <r>
      <rPr>
        <b/>
        <sz val="12"/>
        <color indexed="8"/>
        <rFont val="Times New Roman"/>
        <family val="1"/>
      </rPr>
      <t>бюджетной системы</t>
    </r>
    <r>
      <rPr>
        <b/>
        <sz val="12"/>
        <rFont val="Times New Roman"/>
        <family val="1"/>
      </rPr>
      <t xml:space="preserve"> Российской Федерации (межбюджетные субсидии)</t>
    </r>
  </si>
  <si>
    <r>
      <t>Денежные взыскания (штрафы) за нарушение законодательства о налогах и сборах, предусмотренные статьями 116, 118, статьей 119</t>
    </r>
    <r>
      <rPr>
        <i/>
        <vertAlign val="superscript"/>
        <sz val="11"/>
        <rFont val="Times New Roman"/>
        <family val="1"/>
      </rPr>
      <t>1</t>
    </r>
    <r>
      <rPr>
        <i/>
        <sz val="11"/>
        <rFont val="Times New Roman"/>
        <family val="1"/>
      </rPr>
      <t>, пунктами 1 и 2 статьи 120, статьями 125, 126, 128, 129, 129</t>
    </r>
    <r>
      <rPr>
        <i/>
        <vertAlign val="superscript"/>
        <sz val="11"/>
        <rFont val="Times New Roman"/>
        <family val="1"/>
      </rPr>
      <t>1</t>
    </r>
    <r>
      <rPr>
        <i/>
        <sz val="11"/>
        <rFont val="Times New Roman"/>
        <family val="1"/>
      </rPr>
      <t>, 132, 133, 134, 135, 135</t>
    </r>
    <r>
      <rPr>
        <i/>
        <vertAlign val="superscript"/>
        <sz val="11"/>
        <rFont val="Times New Roman"/>
        <family val="1"/>
      </rPr>
      <t>1</t>
    </r>
    <r>
      <rPr>
        <i/>
        <sz val="11"/>
        <rFont val="Times New Roman"/>
        <family val="1"/>
      </rPr>
      <t xml:space="preserve"> Налогового кодекса Российской Федерации </t>
    </r>
  </si>
  <si>
    <t>000 1 16 25030 01 6000</t>
  </si>
  <si>
    <t>Прочие денежные взыскания (штрафы) за правонарушения в области дорожного хозяйства</t>
  </si>
  <si>
    <t>000 1 16 33000 00 0000 140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</si>
  <si>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</si>
  <si>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</si>
  <si>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</si>
  <si>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</si>
  <si>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</si>
  <si>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000 1 16 90000 00 0000 140</t>
  </si>
  <si>
    <t>Прочие поступления от денежных взысканий (штрафов) и иных сумм в возмещение ущерба</t>
  </si>
  <si>
    <t xml:space="preserve">000 1 16 90040 04 0000 140 </t>
  </si>
  <si>
    <t>000 1 17 00000 00 0000 000</t>
  </si>
  <si>
    <t xml:space="preserve">Прочие неналоговые доходы </t>
  </si>
  <si>
    <t>000 1 17 05000 00 0000 180</t>
  </si>
  <si>
    <t>Прочие неналоговые доходы</t>
  </si>
  <si>
    <t>000 1 17 05040 04 0000 180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</si>
  <si>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</si>
  <si>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</si>
  <si>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</si>
  <si>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</si>
  <si>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</si>
  <si>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 бюджетам субъектов Российской Федерации и муниципальных образований</t>
  </si>
  <si>
    <t>000 2 02 01001 00 0000 151</t>
  </si>
  <si>
    <t>Дотации на выравнивание бюджетной обеспеченнности</t>
  </si>
  <si>
    <t>000 2 02 01001 04 0000 151</t>
  </si>
  <si>
    <t>000 2 02 01007 00 0000 151</t>
  </si>
  <si>
    <t>Дотации бюджетам, связанные с особым режимом безопасного функционирования закрытых административно-территориальных образований</t>
  </si>
  <si>
    <t>000 2 02 01007 04 0000 151</t>
  </si>
  <si>
    <t>000 2 02 02000 00 0000 151</t>
  </si>
  <si>
    <t>000 2 02 02041 00 0000 151</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</si>
  <si>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</si>
  <si>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</si>
  <si>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000 2 02 02051 00 0000 151</t>
  </si>
  <si>
    <t>Субсидии бюджетам на реализацию федеральных целевых программ</t>
  </si>
  <si>
    <t>000 2 02 02051 04 0000 151</t>
  </si>
  <si>
    <t>000 2 02 02077 00 0000 151</t>
  </si>
  <si>
    <t>Субсидии бюджетам на софинансирование капитальных вложений в объекты государственной (муниципальной) собственности</t>
  </si>
  <si>
    <t>000 2 02 02077 04 0000 151</t>
  </si>
  <si>
    <t>000 2 02 02204 00 0000 151</t>
  </si>
  <si>
    <t>Субсидии бюджетам на модернизацию региональных систем дошкольного образования</t>
  </si>
  <si>
    <t>000 2 02 02204 04 0000 151</t>
  </si>
  <si>
    <t>000 2 02 02999 00 0000 151</t>
  </si>
  <si>
    <t>Прочие субсидии</t>
  </si>
  <si>
    <t>000 2 02 02999 04 0000 151</t>
  </si>
  <si>
    <t>Прочие субсидии бюджетам городских округов</t>
  </si>
  <si>
    <t>000 2 02 03000 00 0000 151</t>
  </si>
  <si>
    <t>Субвенции бюджетам субъектов Российской Федерации и муниципальных образований</t>
  </si>
  <si>
    <t>000 2 02 03003 00 0000 151</t>
  </si>
  <si>
    <t>Субвенции бюджетам на государственную регистрацию актов гражданского состояния</t>
  </si>
  <si>
    <t>000 2 02 03003 04 0000 151</t>
  </si>
  <si>
    <t>000 2 02 03027 00 0000 151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</si>
  <si>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</si>
  <si>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000 2 02 03027 04 0000 151</t>
  </si>
  <si>
    <t>000 2 02 03029 00 0000 151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</si>
  <si>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</si>
  <si>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000 2 02 03029 04 0000 151</t>
  </si>
  <si>
    <t>000 2 02 03999 00 0000 151</t>
  </si>
  <si>
    <t>Прочие субвенции</t>
  </si>
  <si>
    <t>000 2 02 03999 04 0000 151</t>
  </si>
  <si>
    <t>000 2 02 04000 00 0000 151</t>
  </si>
  <si>
    <t>Иные межбюджетные трансферты</t>
  </si>
  <si>
    <t>000 2 02 04010 00 0000 151</t>
  </si>
  <si>
    <t>Межбюджетные трансферты, передаваемые бюджетам на переселение граждан из закрытых административно-территориальных образований</t>
  </si>
  <si>
    <t>000 2 02 04010 04 0000 151</t>
  </si>
  <si>
    <t>000 2 02 04061 00 0000 151</t>
  </si>
  <si>
    <t>Межбюджетные трансферы, передаваемые бюджетам на создание и развитие сети многофукциональных центров предоставления государственных и муниципальных услуг</t>
  </si>
  <si>
    <t>000 2 02 04061 04 0000 151</t>
  </si>
  <si>
    <t>Межбюджетные трансферы, передаваемые бюджетам городских округов на создание и развитие сети многофукциональных центров предоставления государственных и муниципальных услуг</t>
  </si>
  <si>
    <t>000 2 02 04999 00 0000 151</t>
  </si>
  <si>
    <t>Прочие межбюджетные трансферы, передаваемые бюджетам</t>
  </si>
  <si>
    <t>000 2 02 04999 04 0000 151</t>
  </si>
  <si>
    <t>Прочие межбюджетные трансферы, передаваемые бюджетам городских округов</t>
  </si>
  <si>
    <t>ИТОГО ДОХОДОВ</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</si>
  <si>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1"/>
        <rFont val="Times New Roman"/>
        <family val="1"/>
      </rPr>
      <t>1</t>
    </r>
    <r>
      <rPr>
        <sz val="11"/>
        <rFont val="Times New Roman"/>
        <family val="1"/>
      </rPr>
      <t xml:space="preserve"> и 228 Налогового кодекса Российской Федерации</t>
    </r>
  </si>
  <si>
    <r>
      <t>Денежные взыскания (штрафы) за нарушение законодательства о налогах и сборах, предусмотренные статьями 116, 118, статьей 119</t>
    </r>
    <r>
      <rPr>
        <vertAlign val="superscript"/>
        <sz val="11"/>
        <rFont val="Times New Roman"/>
        <family val="1"/>
      </rPr>
      <t>1</t>
    </r>
    <r>
      <rPr>
        <sz val="11"/>
        <rFont val="Times New Roman"/>
        <family val="1"/>
      </rPr>
      <t>, пунктами 1 и 2 статьи 120, статьями 125, 126, 128, 129, 129</t>
    </r>
    <r>
      <rPr>
        <vertAlign val="superscript"/>
        <sz val="11"/>
        <rFont val="Times New Roman"/>
        <family val="1"/>
      </rPr>
      <t>1</t>
    </r>
    <r>
      <rPr>
        <sz val="11"/>
        <rFont val="Times New Roman"/>
        <family val="1"/>
      </rPr>
      <t>, 132, 133, 134, 135, 135</t>
    </r>
    <r>
      <rPr>
        <vertAlign val="superscript"/>
        <sz val="11"/>
        <rFont val="Times New Roman"/>
        <family val="1"/>
      </rPr>
      <t>1</t>
    </r>
    <r>
      <rPr>
        <sz val="11"/>
        <rFont val="Times New Roman"/>
        <family val="1"/>
      </rPr>
      <t xml:space="preserve"> Налогового кодекса Российской Федерации </t>
    </r>
  </si>
  <si>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</si>
  <si>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1"/>
        <rFont val="Times New Roman"/>
        <family val="1"/>
      </rPr>
      <t>1</t>
    </r>
    <r>
      <rPr>
        <sz val="11"/>
        <rFont val="Times New Roman"/>
        <family val="1"/>
      </rPr>
      <t xml:space="preserve"> Налогового кодекса Российской Федерации</t>
    </r>
  </si>
  <si>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</si>
  <si>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</si>
  <si>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</si>
  <si>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</si>
  <si>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</si>
  <si>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</si>
  <si>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</si>
  <si>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Расходы местного бюджета ЗАТО Александровск за 2014 год по ведомственной структуре расходов                                                                                                                          местного бюджета ЗАТО Александровск </t>
  </si>
  <si>
    <t>Уточненный план, руб.,коп.</t>
  </si>
  <si>
    <t>% исполнения</t>
  </si>
  <si>
    <t>Исполнено, руб.,коп.</t>
  </si>
  <si>
    <t>Муниципальная программа ЗАТО Александровск "Охрана окружающей среды" на 2014 - 2016 годы</t>
  </si>
  <si>
    <t>7600000</t>
  </si>
  <si>
    <t>7602999</t>
  </si>
  <si>
    <t>Муниципальная программа "Развитие инвестиционной деятельности муниципального образования ЗАТО Александровск" на 2014 - 2016 годы</t>
  </si>
  <si>
    <t>7900000</t>
  </si>
  <si>
    <t>7902999</t>
  </si>
  <si>
    <t>Муниципальная программа ЗАТО Александровск "Эффективное управление муниципальными финансами и оптимизация муниципального долга ЗАТО Александровск" на 2014 - 2016 годы</t>
  </si>
  <si>
    <t>8100000</t>
  </si>
  <si>
    <t>Физическая культура</t>
  </si>
  <si>
    <t>Средства массовой информации</t>
  </si>
  <si>
    <t>Связь и информатика</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</si>
  <si>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</si>
  <si>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</si>
  <si>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12</t>
  </si>
  <si>
    <t>0700502</t>
  </si>
  <si>
    <t>13</t>
  </si>
  <si>
    <t>Органы юстиции</t>
  </si>
  <si>
    <t>100</t>
  </si>
  <si>
    <t>200</t>
  </si>
  <si>
    <t>Культура и кинематография</t>
  </si>
  <si>
    <t>700</t>
  </si>
  <si>
    <t>800</t>
  </si>
  <si>
    <t>600</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</si>
  <si>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</si>
  <si>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окружающей среды</t>
  </si>
  <si>
    <t>Другие вопросы в области охраны окружающей среды</t>
  </si>
  <si>
    <t>Код ведомства</t>
  </si>
  <si>
    <t>Реализация Закона Мурманской области "О региональных нормативах финансового обеспечения образовательной деятельности в Мурманской области"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</si>
  <si>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</si>
  <si>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Муниципальная программа ЗАТО Александровск "Обеспечение комфортной среды проживания населения муниципального образования" на 2014 - 2016 годы</t>
  </si>
  <si>
    <t>7400000</t>
  </si>
  <si>
    <t>Подпрограмма 6 "Транспортное обслуживание населения ЗАТО Александровск"</t>
  </si>
  <si>
    <t>7460000</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</si>
  <si>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</si>
  <si>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7467760</t>
  </si>
  <si>
    <t>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</si>
  <si>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7037524</t>
  </si>
  <si>
    <t>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</si>
  <si>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7037525</t>
  </si>
  <si>
    <t>8217551</t>
  </si>
  <si>
    <t>Подпрограмма 5 "Осуществление муниципальных функций, направленных на повышение эффективности управления муниципальным имуществом"</t>
  </si>
  <si>
    <t>8250000</t>
  </si>
  <si>
    <t>Иные межбюджетные трансферты на переселение граждан из закрытых административно-территориальных образований</t>
  </si>
  <si>
    <t>8255159</t>
  </si>
  <si>
    <t>Капитальные вложения в объекты недвижимого имущества государственной (муниципальной) собственности</t>
  </si>
  <si>
    <t>Муниципальная программа ЗАТО Александровск "Развитие культуры и сохранение культурного наследия" на 2014 - 2016 годы</t>
  </si>
  <si>
    <t>7300000</t>
  </si>
  <si>
    <t>8262009</t>
  </si>
  <si>
    <t>Подпрограмма 2 "Библиотечное дело ЗАТО Александровск"</t>
  </si>
  <si>
    <t>7320000</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</si>
  <si>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</si>
  <si>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7325144</t>
  </si>
  <si>
    <t>Подпрограмма 8 "Развитие современной инфраструктуры системы образования ЗАТО Александровск"</t>
  </si>
  <si>
    <t>7080000</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</si>
  <si>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</si>
  <si>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Защита населения и территории от чрезвычайных ситуаций природного и техногенного характера, гражданская оборона</t>
  </si>
  <si>
    <t>Молодежная политика и оздоровление детей</t>
  </si>
  <si>
    <t>Код ведом-ства</t>
  </si>
  <si>
    <t>913</t>
  </si>
  <si>
    <t>914</t>
  </si>
  <si>
    <t>915</t>
  </si>
  <si>
    <t>919</t>
  </si>
  <si>
    <t>916</t>
  </si>
  <si>
    <t>Управление образования  администрации ЗАТО Александровск</t>
  </si>
  <si>
    <t>918</t>
  </si>
  <si>
    <t>Функционирование высшего должностного лица субъекта Российской Федерации и муниципального образования</t>
  </si>
  <si>
    <t>Муниципальная программа ЗАТО Александровск "Энергоэффективность и развитие энергетики" на 2014 - 2016 годы</t>
  </si>
  <si>
    <t>7800000</t>
  </si>
  <si>
    <t>7802009</t>
  </si>
  <si>
    <t>7802999</t>
  </si>
  <si>
    <t xml:space="preserve">                                             Приложение № 3</t>
  </si>
  <si>
    <t xml:space="preserve"> Приложение № 6</t>
  </si>
  <si>
    <t>Возмещение затрат, связанное с приобретением и установкой приборов учета воды малоимущим гражданам</t>
  </si>
  <si>
    <t>7806008</t>
  </si>
  <si>
    <t>Подпрограмма 1 "Управление развитием информационного общества и формированием электронного правительства"</t>
  </si>
  <si>
    <t>8010000</t>
  </si>
  <si>
    <t>8010002</t>
  </si>
  <si>
    <t>Подпрограмма 3 "Информационное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t>
  </si>
  <si>
    <t>8030000</t>
  </si>
  <si>
    <t>Возмещение расходов на опубликование нормативных актов ЗАТО Александровск</t>
  </si>
  <si>
    <t>8036007</t>
  </si>
  <si>
    <t>8040002</t>
  </si>
  <si>
    <t>8044001</t>
  </si>
  <si>
    <t>Подпрограмма 2 "Обеспечение деятельности управления муниципальной собственностью администрации ЗАТО Александровск"</t>
  </si>
  <si>
    <t>Подпрограмма 4 "Архивное дело ЗАТО Александровск"</t>
  </si>
  <si>
    <t>8240000</t>
  </si>
  <si>
    <t>8240002</t>
  </si>
  <si>
    <t>8250002</t>
  </si>
  <si>
    <t>Подпрограмма 6 "Обслуживание деятельности органов местного самоуправления"</t>
  </si>
  <si>
    <t>8260000</t>
  </si>
  <si>
    <t>8260002</t>
  </si>
  <si>
    <t>Подпрограмма 7 "Повышение эффективности управления капитальным строительством и капитальным ремонтом объектов инфраструктуры ЗАТО Александровск"</t>
  </si>
  <si>
    <t>8270000</t>
  </si>
  <si>
    <t>8270002</t>
  </si>
  <si>
    <t>8222014</t>
  </si>
  <si>
    <t>8220000</t>
  </si>
  <si>
    <t>8222015</t>
  </si>
  <si>
    <t>8215930</t>
  </si>
  <si>
    <t>Подпрограмма 1 "Совершенствование финансовой и бюджетной политики"</t>
  </si>
  <si>
    <t>8110000</t>
  </si>
  <si>
    <t>Обслуживание государственного внутреннего и муниципального долга</t>
  </si>
  <si>
    <t>Подпрограмма 2 "Эффективное управление муниципальным долгом"</t>
  </si>
  <si>
    <t>8120000</t>
  </si>
  <si>
    <t>Процентные платежи по муниципальному долгу</t>
  </si>
  <si>
    <t>8122012</t>
  </si>
  <si>
    <t>7102009</t>
  </si>
  <si>
    <t>7700000</t>
  </si>
  <si>
    <t>Ремонт автомобильных дорог общего пользования местного значения</t>
  </si>
  <si>
    <t>7702004</t>
  </si>
  <si>
    <t>Содержание автомобильных дорог общего пользования местного значения, за исключением капитального ремонта и ремонта</t>
  </si>
  <si>
    <t>7702005</t>
  </si>
  <si>
    <t>7702999</t>
  </si>
  <si>
    <t>Муниципальная программа "Обеспечение комплексной безопасности населения ЗАТО Александровск" на 2014 - 2016 годы</t>
  </si>
  <si>
    <t>7500000</t>
  </si>
  <si>
    <t>Подпрограмма 1 "Профилактика правонарушений, обеспечение безопасности населения ЗАТО Александровск"</t>
  </si>
  <si>
    <t>7510000</t>
  </si>
  <si>
    <t>Мероприятия по развитию и обслуживанию системы АПК "Безопасный город"</t>
  </si>
  <si>
    <t>7512011</t>
  </si>
  <si>
    <t>Подпрограмма 2 "Повышение безопасности дорожного движения и снижение дорожно-транспортного травматизма в ЗАТО Александровск"</t>
  </si>
  <si>
    <t>7520000</t>
  </si>
  <si>
    <t>7522999</t>
  </si>
  <si>
    <t>Подпрограмма 3 "Защита населения и территории ЗАТО Александровск от чрезвычайных ситуаций, мероприятия в области гражданской обороны"</t>
  </si>
  <si>
    <t>7530000</t>
  </si>
  <si>
    <t>7530002</t>
  </si>
  <si>
    <t>7532999</t>
  </si>
  <si>
    <t>7514001</t>
  </si>
  <si>
    <t>8042999</t>
  </si>
  <si>
    <t>Подпрограмма 8 "Развитие муниципальной службы ЗАТО Александровск"</t>
  </si>
  <si>
    <t>8280000</t>
  </si>
  <si>
    <t>8282999</t>
  </si>
  <si>
    <t>7534001</t>
  </si>
  <si>
    <t>Предоставление дополнительного пенсионного обеспечения муниципальным служащим в органах местного самоуправления ЗАТО Александровск и лицам, замещавшим муниципальные должности в муниципальном образовании ЗАТО Александровск"</t>
  </si>
  <si>
    <t>9908001</t>
  </si>
  <si>
    <t>7312999</t>
  </si>
  <si>
    <t>7310002</t>
  </si>
  <si>
    <t>7320002</t>
  </si>
  <si>
    <t>Подпрограмма 3 "Музейное дело ЗАТО Александровск"</t>
  </si>
  <si>
    <t>7330000</t>
  </si>
  <si>
    <t>7330002</t>
  </si>
  <si>
    <t>Подпрограмма 4 "Сохранение и реконструкция военно-мемориальных объектов ЗАТО Александровск"</t>
  </si>
  <si>
    <t>7340000</t>
  </si>
  <si>
    <t>7342009</t>
  </si>
  <si>
    <t>7342999</t>
  </si>
  <si>
    <t>Подпрограмма 5 "Модернизация учреждений культуры и дополнительного образования в сфере культуры ЗАТО Александровск"</t>
  </si>
  <si>
    <t>7350000</t>
  </si>
  <si>
    <t>7352009</t>
  </si>
  <si>
    <t>7352999</t>
  </si>
  <si>
    <t>7212999</t>
  </si>
  <si>
    <t>Подпрограмма 2 "Молодежь ЗАТО Александровск"</t>
  </si>
  <si>
    <t>7220000</t>
  </si>
  <si>
    <t>Стипендии и премии главы администрации ЗАТО Александровск</t>
  </si>
  <si>
    <t>7222001</t>
  </si>
  <si>
    <t>7222999</t>
  </si>
  <si>
    <t>Подпрограмма 3 "Патриотическое воспитание граждан"</t>
  </si>
  <si>
    <t>7230000</t>
  </si>
  <si>
    <t>7230002</t>
  </si>
  <si>
    <t>Подпрограмма 4 "SOS!"</t>
  </si>
  <si>
    <t>7240000</t>
  </si>
  <si>
    <t>7242999</t>
  </si>
  <si>
    <t>Подпрограмма 3 "Обеспечение деятельности управления культуры, спорта и молодежной политики администрации ЗАТО Александровск"</t>
  </si>
  <si>
    <t>8230000</t>
  </si>
  <si>
    <t>Мероприятия по землеустройству и землепользованию</t>
  </si>
  <si>
    <t>Периодическая печать и издательства</t>
  </si>
  <si>
    <t>Физическая культура и спорт</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</si>
  <si>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</si>
  <si>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Обслуживание государственного и муниципального долга</t>
  </si>
  <si>
    <t>11</t>
  </si>
  <si>
    <t xml:space="preserve">                                             Приложение № 7</t>
  </si>
  <si>
    <t>Расходы местного бюджета ЗАТО Александровск на реализацию муниципальных  программ ЗАТО Александровск в 2014 году</t>
  </si>
  <si>
    <t>Источники финансирования дефицита местного бюджета ЗАТО Александровск за 2014 год</t>
  </si>
  <si>
    <t>по кодам групп, подгрупп, статей, подстатей, элементов, программ,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</si>
  <si>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 xml:space="preserve">   к решению Совета депутатов ЗАТО Александровск</t>
  </si>
  <si>
    <t>Наименование кодов классификации источников финансирования дефицита бюджета</t>
  </si>
  <si>
    <t>Коды классификации источников финансирования дефицита бюджета</t>
  </si>
  <si>
    <t xml:space="preserve"> Источники финансирования дефицита местного бюджета ЗАТО Александровск за 2014 год  по кодам классификации источников финансирования дефицитов бюджетов </t>
  </si>
  <si>
    <t>3.2</t>
  </si>
  <si>
    <t xml:space="preserve">                                             Приложение № 1</t>
  </si>
  <si>
    <t>Исполнено,           руб., коп.</t>
  </si>
  <si>
    <r>
      <t xml:space="preserve">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t>
    </r>
    <r>
      <rPr>
        <i/>
        <sz val="12"/>
        <color indexed="8"/>
        <rFont val="Times New Roman"/>
        <family val="1"/>
      </rPr>
      <t>о рыболовстве и сохранении водных биологических ресурсов,</t>
    </r>
    <r>
      <rPr>
        <i/>
        <sz val="12"/>
        <color indexed="55"/>
        <rFont val="Times New Roman"/>
        <family val="1"/>
      </rPr>
      <t xml:space="preserve"> </t>
    </r>
    <r>
      <rPr>
        <i/>
        <sz val="12"/>
        <rFont val="Times New Roman"/>
        <family val="1"/>
      </rPr>
      <t>земельного законодательства, лесного законодательства, водного законодательства</t>
    </r>
  </si>
  <si>
    <r>
      <t xml:space="preserve">Субсидии бюджетам </t>
    </r>
    <r>
      <rPr>
        <sz val="12"/>
        <color indexed="8"/>
        <rFont val="Times New Roman"/>
        <family val="1"/>
      </rPr>
      <t>бюджетной системы</t>
    </r>
    <r>
      <rPr>
        <sz val="12"/>
        <rFont val="Times New Roman"/>
        <family val="1"/>
      </rPr>
      <t xml:space="preserve"> Российской Федерации (межбюджетные субсидии)</t>
    </r>
  </si>
  <si>
    <t>Возврат остатков субсидий, субвенций и иных межбюджетных трансфертов, имеющих целевое назначение, прошлых лет из бюджетов городских округов</t>
  </si>
  <si>
    <t>000 2 18 00000 00 0000 000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</si>
  <si>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</si>
  <si>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</si>
  <si>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t>
  </si>
  <si>
    <t xml:space="preserve">                                             Приложение № 2</t>
  </si>
  <si>
    <t>Доходы местного бюджета ЗАТО Александровск  за 2014 год по кодам видов доходов, подвидов доходов, классификации операций сектора государственного управления, относящимся к доходам бюджетов</t>
  </si>
  <si>
    <t>Вид доходов, подвид доходов</t>
  </si>
  <si>
    <t>КОСГУ</t>
  </si>
  <si>
    <t>110</t>
  </si>
  <si>
    <t>000 1 03 00000 00 0000</t>
  </si>
  <si>
    <t>000 1 03 02000 01 0000</t>
  </si>
  <si>
    <t>0001 03 02230 01 0000</t>
  </si>
  <si>
    <t>0001 03 02240 01 0000</t>
  </si>
  <si>
    <t>0001 03 02250 01 0000</t>
  </si>
  <si>
    <t>0001 03 02260 01 0000</t>
  </si>
  <si>
    <t>120</t>
  </si>
  <si>
    <t>130</t>
  </si>
  <si>
    <t>410</t>
  </si>
  <si>
    <t>140</t>
  </si>
  <si>
    <t>180</t>
  </si>
  <si>
    <t>151</t>
  </si>
  <si>
    <t>000 1 16 25030 01 0000</t>
  </si>
  <si>
    <t>000 2 00 00000 00 0000</t>
  </si>
  <si>
    <t>000 2 02 00000 00 0000</t>
  </si>
  <si>
    <t>000 2 02 01000 00 0000</t>
  </si>
  <si>
    <t>000 2 02 01001 00 0000</t>
  </si>
  <si>
    <t>000 2 02 01001 04 0000</t>
  </si>
  <si>
    <t>000 2 02 01007 00 0000</t>
  </si>
  <si>
    <t>000 2 02 01007 04 0000</t>
  </si>
  <si>
    <t>000 2 02 02000 00 0000</t>
  </si>
  <si>
    <t>000 2 02 02041 00 0000</t>
  </si>
  <si>
    <t>000 2 02 02041 04 0000</t>
  </si>
  <si>
    <t>000 2 02 02051 00 0000</t>
  </si>
  <si>
    <t>000 2 02 02051 04 0000</t>
  </si>
  <si>
    <t>000 2 02 02077 00 0000</t>
  </si>
  <si>
    <t>000 2 02 02077 04 0000</t>
  </si>
  <si>
    <t>000 2 02 02204 00 0000</t>
  </si>
  <si>
    <t>000 2 02 02204 04 0000</t>
  </si>
  <si>
    <t>000 2 02 02999 00 0000</t>
  </si>
  <si>
    <t>000 2 02 02999 04 0000</t>
  </si>
  <si>
    <t>000 2 02 03000 00 0000</t>
  </si>
  <si>
    <t>000 2 02 03003 00 0000</t>
  </si>
  <si>
    <t>000 2 02 03003 04 0000</t>
  </si>
  <si>
    <t>000 2 02 03027 00 0000</t>
  </si>
  <si>
    <t>000 2 02 03027 04 0000</t>
  </si>
  <si>
    <t>000 2 02 03029 00 0000</t>
  </si>
  <si>
    <t>000 2 02 03029 04 0000</t>
  </si>
  <si>
    <t>000 2 02 03999 00 0000</t>
  </si>
  <si>
    <t>000 2 02 03999 04 0000</t>
  </si>
  <si>
    <t>000 2 02 04000 00 0000</t>
  </si>
  <si>
    <t>000 2 02 04010 00 0000</t>
  </si>
  <si>
    <t>000 2 02 04010 04 0000</t>
  </si>
  <si>
    <t>000 2 02 04061 00 0000</t>
  </si>
  <si>
    <t>000 2 02 04061 04 0000</t>
  </si>
  <si>
    <t>000 2 02 04999 00 0000</t>
  </si>
  <si>
    <t>000 2 02 04999 04 0000</t>
  </si>
  <si>
    <t>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</si>
  <si>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000 1 05 01022 01 0000 </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</si>
  <si>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</si>
  <si>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000 1 16 08000 01 0000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</si>
  <si>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</si>
  <si>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000 1 16 08010 01 0000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</si>
  <si>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</si>
  <si>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 xml:space="preserve">000 2 18 00000 00 0000 </t>
  </si>
  <si>
    <t>Доходы бюджетов бюджетной системы Российской Федерации от возврата остатков субсидий прошлых лет</t>
  </si>
  <si>
    <t>000 2 18 04000 04 0000</t>
  </si>
  <si>
    <t>Доходы бюджетов городских округов от возврата организациями остатков субсидий прошлых лет</t>
  </si>
  <si>
    <t>000 2 18 04010 04 0000</t>
  </si>
  <si>
    <t>Доходы бюджетов городских округов от возврата бюджетными учреждениями остатков субсидий прошлых лет</t>
  </si>
  <si>
    <t>000 2 18 04020 04 0000</t>
  </si>
  <si>
    <t>Доходы бюджетов городских округов от возврата автономными учреждениями остатков субсидий прошлых лет</t>
  </si>
  <si>
    <t xml:space="preserve">000 2 19 00000 00 0000 </t>
  </si>
  <si>
    <t xml:space="preserve">Возврат остатков субсидий, субвенций и иных межбюджетных трансфертов, имеющих целевое назначение, прошлых лет </t>
  </si>
  <si>
    <t xml:space="preserve">000 2 19 04000 04 0000 </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</si>
  <si>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</si>
  <si>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7082009</t>
  </si>
  <si>
    <t>Раздел</t>
  </si>
  <si>
    <t>Подраздел</t>
  </si>
  <si>
    <t>контрольно-счетная палата ЗАТО Александровск</t>
  </si>
  <si>
    <t>7017103</t>
  </si>
  <si>
    <t>7027103</t>
  </si>
  <si>
    <t>Подпрограмма 1 "Развитие творческого потенциала и организация досуга населения ЗАТО Александровск"</t>
  </si>
  <si>
    <t>7310000</t>
  </si>
  <si>
    <t>7317103</t>
  </si>
  <si>
    <t>7327103</t>
  </si>
  <si>
    <t>7017533</t>
  </si>
  <si>
    <t>7027533</t>
  </si>
  <si>
    <t>7037552</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</si>
  <si>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</si>
  <si>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7017511</t>
  </si>
  <si>
    <t>7027511</t>
  </si>
  <si>
    <t>7317511</t>
  </si>
  <si>
    <t>7327511</t>
  </si>
  <si>
    <t>Субсидия муниципальным образованиям на предоставление поддержки малоимущим гражданам на установку приборов учета используемых энергоресурсов (подтвержденные остатки прошлых лет)</t>
  </si>
  <si>
    <t>7807917</t>
  </si>
  <si>
    <t>Охрана объектов растительного и животного мира и среды их обитания</t>
  </si>
  <si>
    <t>Субсидии бюджетам муниципальных образований на реализацию мероприятий, направленных на снижение негативного воздействия отходов производства и потребления на природную среду (подтвержденные остатки прошлых лет)</t>
  </si>
  <si>
    <t>7607911</t>
  </si>
  <si>
    <t>Адресная программа поэтапного перехода на отпуск ресурсопотреблений в соответствии с показаниями коллективных приборов учета (подтвержденные остатки прошлых лет)</t>
  </si>
  <si>
    <t>7807918</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</si>
  <si>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</si>
  <si>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7317510</t>
  </si>
  <si>
    <t>7327510</t>
  </si>
  <si>
    <t>7017510</t>
  </si>
  <si>
    <t>7027510</t>
  </si>
  <si>
    <t>8217556</t>
  </si>
  <si>
    <t>Субвенция на государственную регистрацию актов гражданского состояния</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</si>
  <si>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</si>
  <si>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7010002</t>
  </si>
  <si>
    <t>7020002</t>
  </si>
  <si>
    <t>Подпрограмма 4 "Обеспечение информационно-методического сопровождения образовательного процесса муниципальных учреждений"</t>
  </si>
  <si>
    <t>7040000</t>
  </si>
  <si>
    <t>7040002</t>
  </si>
  <si>
    <t>Подпрограмма 5 "Обеспечение хозяйственно-эксплуатационного обслуживания учреждений системы образования ЗАТО Александровск"</t>
  </si>
  <si>
    <t>7050000</t>
  </si>
  <si>
    <t>7050002</t>
  </si>
  <si>
    <t>7060002</t>
  </si>
  <si>
    <t>Подпрограмма 7 "Организация отдыха, оздоровления и занятости детей и молодежи ЗАТО Александровск"</t>
  </si>
  <si>
    <t>7070000</t>
  </si>
  <si>
    <t>7072999</t>
  </si>
  <si>
    <t>Мероприятия, связанные со строительством (реконструкцией) объектов муниципальной собственности</t>
  </si>
  <si>
    <t>7084001</t>
  </si>
  <si>
    <t>Возмещение затрат в связи с осуществлением регулярных пассажирских перевозок на социально-значимых маршрутах</t>
  </si>
  <si>
    <t>7466001</t>
  </si>
  <si>
    <t>Подпрограмма 1 "Капитальный ремонт многоквартирных домов ЗАТО Александровск"</t>
  </si>
  <si>
    <t>7410000</t>
  </si>
  <si>
    <t>Капитальный и текущий ремонт объектов муниципальной собственности</t>
  </si>
  <si>
    <t>7412009</t>
  </si>
  <si>
    <t>Капитальный и текущий ремонт объектов жилищно-коммунального хозяйства</t>
  </si>
  <si>
    <t>7422010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</si>
  <si>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</si>
  <si>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</si>
  <si>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Дорожное хозяйство (дорожные фонды)</t>
  </si>
  <si>
    <t>Иные бюджетные ассигнования</t>
  </si>
  <si>
    <t>Резервные средства</t>
  </si>
  <si>
    <t>870</t>
  </si>
  <si>
    <t>Организация отдыха детей Мурманской области в оздоровительных учреждениях с дневныи пребываением, организованных на базе муниципальных учреждений</t>
  </si>
  <si>
    <t>Социальное обеспечение и иные выплаты населению</t>
  </si>
  <si>
    <t>300</t>
  </si>
  <si>
    <t>Муниципальная программа "Развитие транспортной системы ЗАТО Александровск" на 2014 - 2016 годы</t>
  </si>
  <si>
    <t>14</t>
  </si>
  <si>
    <t>Благоустройство</t>
  </si>
  <si>
    <t>Управление финансов администрации ЗАТО Александровск</t>
  </si>
  <si>
    <t xml:space="preserve">                 к решению Совета депутатов ЗАТО Александровск</t>
  </si>
  <si>
    <t>Создание и развитие сети многофункциональных центров предоставления государственных и муниципальных услуг</t>
  </si>
  <si>
    <t>8045392</t>
  </si>
  <si>
    <t>рост о/б</t>
  </si>
  <si>
    <t>м/б</t>
  </si>
  <si>
    <t>рост м/б</t>
  </si>
  <si>
    <t>7214001</t>
  </si>
  <si>
    <t>Совет депутатов муниципального образования закрытое административно-территориальное образование Александровск Мурманской области</t>
  </si>
  <si>
    <t>администрация муниципального образования закрытое административно-территориальное образование Александровск Мурманской области</t>
  </si>
  <si>
    <t>Управление муниципальной собственностью администрации ЗАТО Александровск</t>
  </si>
  <si>
    <t>Оценка недвижимости, признание прав и регулирование отношений по государственной и муниципальной собственности</t>
  </si>
  <si>
    <t>Наименование</t>
  </si>
  <si>
    <t>01</t>
  </si>
  <si>
    <t>06</t>
  </si>
  <si>
    <t>05</t>
  </si>
  <si>
    <t>07</t>
  </si>
  <si>
    <t>08</t>
  </si>
  <si>
    <t>02</t>
  </si>
  <si>
    <t>09</t>
  </si>
  <si>
    <t>03</t>
  </si>
  <si>
    <t>10</t>
  </si>
  <si>
    <t>Жилищно-коммунальное хозяйство</t>
  </si>
  <si>
    <t>04</t>
  </si>
  <si>
    <t>Образование</t>
  </si>
  <si>
    <t>Дошкольное образование</t>
  </si>
  <si>
    <t>Общее образование</t>
  </si>
  <si>
    <t>Социальная политика</t>
  </si>
  <si>
    <t>Жилищное хозяйство</t>
  </si>
  <si>
    <t>Под-раздел</t>
  </si>
  <si>
    <t>Вид расходов</t>
  </si>
  <si>
    <t>Целевая статья расходов</t>
  </si>
  <si>
    <t>Общегосударственные вопросы</t>
  </si>
  <si>
    <t>Национальная безопасность и правоохранительная деятельность</t>
  </si>
  <si>
    <t>Национальная экономика</t>
  </si>
  <si>
    <t>Транспорт</t>
  </si>
  <si>
    <t>Другие вопросы в области национальной экономики</t>
  </si>
  <si>
    <t>Другие вопросы в области образования</t>
  </si>
  <si>
    <t>Культура</t>
  </si>
  <si>
    <t>Социальное обеспечение населения</t>
  </si>
  <si>
    <t>Другие вопросы в области жилищно-коммунального хозяйства</t>
  </si>
  <si>
    <t>Резервные фонды</t>
  </si>
  <si>
    <t>Другие общегосударственные вопросы</t>
  </si>
  <si>
    <t>00</t>
  </si>
  <si>
    <t>Пенсионное обеспечение</t>
  </si>
  <si>
    <t>Раз-дел</t>
  </si>
  <si>
    <t>Другие вопросы в области национальной безопасности и правоохранительной деятельности</t>
  </si>
  <si>
    <t>Другие вопросы в области социальной политики</t>
  </si>
  <si>
    <t>Прочие расходы администрации ЗАТО Александровск</t>
  </si>
  <si>
    <t>Управление культуры, спорта и молодежной политики администрации ЗАТО Александровск</t>
  </si>
  <si>
    <t>Реализация Закона Мурманской области "О комиссиях по делам несовершеннолетних и защите их прав в Мурманской области"</t>
  </si>
  <si>
    <t>Обеспечение бесплатным питанием отдельных категорий обучающихся</t>
  </si>
  <si>
    <t>Охрана семьи и детства</t>
  </si>
  <si>
    <t>400</t>
  </si>
  <si>
    <t>Обслуживание государственного (муниципального) долга</t>
  </si>
  <si>
    <t>924</t>
  </si>
  <si>
    <t>Обеспечение деятельности финансовых, налоговых и таможенных органов и органов финансового (финансово-бюджетного) надзора</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</si>
  <si>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</si>
  <si>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Непрограммная деятельность</t>
  </si>
  <si>
    <t>9900000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</si>
  <si>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</si>
  <si>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</si>
  <si>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Муниципальная программа ЗАТО Александровск "Информационное общество" на 2014 - 2016 годы</t>
  </si>
  <si>
    <t>8000000</t>
  </si>
  <si>
    <t>Подпрограмма 2 "Развитие информационного общества и формирование электронного правительства"</t>
  </si>
  <si>
    <t>8020000</t>
  </si>
  <si>
    <t>Прочие направления деятельности муниципальной программы</t>
  </si>
  <si>
    <t>8022999</t>
  </si>
  <si>
    <t>Муниципальная программа ЗАТО Александровск "Эффективное муниципальное управление" на 2014 - 2016 годы</t>
  </si>
  <si>
    <t>8200000</t>
  </si>
  <si>
    <t>Подпрограмма 1 "Обеспечение деятельности администрации ЗАТО Александровск"</t>
  </si>
  <si>
    <t>8210000</t>
  </si>
  <si>
    <t>Непрограммная часть</t>
  </si>
  <si>
    <t>Резервный фонд администрации ЗАТО Александровск</t>
  </si>
  <si>
    <t>9902002</t>
  </si>
  <si>
    <t>8217554</t>
  </si>
  <si>
    <t>Реализация Закона Мурманской области "Об административных комиссиях"</t>
  </si>
  <si>
    <t>8217555</t>
  </si>
  <si>
    <t>9902013</t>
  </si>
  <si>
    <t>Муниципальная программа "Повышение качества жизни отдельных категорий граждан ЗАТО Александровск" на 2014 - 2016 годы</t>
  </si>
  <si>
    <t>7100000</t>
  </si>
  <si>
    <t>Прочие направления расходов муниципальной программы</t>
  </si>
  <si>
    <t>7102999</t>
  </si>
  <si>
    <t>Предоставление субсидий социально-ориентированным некоммерческим организациям</t>
  </si>
  <si>
    <t>7106004</t>
  </si>
  <si>
    <t>Предоставление субсидий бюджетным, автономным учреждениям и иным некоммерческим организациям</t>
  </si>
  <si>
    <t>Муниципальная программа ЗАТО Александровск "Развитие образования" на 2014 - 2016 годы</t>
  </si>
  <si>
    <t>7000000</t>
  </si>
  <si>
    <t>Подпрограмма 6 "Школьное здоровое питание"</t>
  </si>
  <si>
    <t>7067104</t>
  </si>
  <si>
    <t>7060000</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</si>
  <si>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</si>
  <si>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8027057</t>
  </si>
  <si>
    <t>Подпрограмма 4 "Создание и развитие многофункционального центра предоставления государственных и муниципальных услуг ЗАТО Александровск"</t>
  </si>
  <si>
    <t>8040000</t>
  </si>
  <si>
    <t>Создание и развитие сети МФЦ предоставления государственных и муниципальных услуг</t>
  </si>
  <si>
    <t>8047056</t>
  </si>
  <si>
    <t>Другие вопросы в области физической культуры и спорта</t>
  </si>
  <si>
    <t>Муниципальная программа ЗАТО Александровск "Развитие физической культуры, спорта и молодежной политики" на 2014 - 2016 годы</t>
  </si>
  <si>
    <t>7200000</t>
  </si>
  <si>
    <t>7077105</t>
  </si>
  <si>
    <t>7332999</t>
  </si>
  <si>
    <t>Подпрограмма 1 "Развитие физической культуры и спорта"</t>
  </si>
  <si>
    <t>7210000</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</si>
  <si>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</si>
  <si>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7217539</t>
  </si>
  <si>
    <t>Подпрограмма 2 "Обеспечение предоставления муниципальных услуг в сфере общего и дополнительного образования"</t>
  </si>
  <si>
    <t>7020000</t>
  </si>
  <si>
    <t>7027531</t>
  </si>
  <si>
    <t>Подпрограмма 1 "Качественное и доступное дошкольное образование"</t>
  </si>
  <si>
    <t>7010000</t>
  </si>
  <si>
    <t>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</si>
  <si>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7017538</t>
  </si>
  <si>
    <t>ВСЕГО расходов</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</si>
  <si>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</si>
  <si>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8217553</t>
  </si>
  <si>
    <t>7067532</t>
  </si>
  <si>
    <t>Подпрограмма 3 "Развитие системы образования через эффективное выполнение муниципальных функций"</t>
  </si>
  <si>
    <t>7030000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</si>
  <si>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</si>
  <si>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7037520</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</si>
  <si>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</si>
  <si>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7037521</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</si>
  <si>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</si>
  <si>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7037534</t>
  </si>
  <si>
    <t>7037535</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</si>
  <si>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</si>
  <si>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Доходы местного бюджета ЗАТО Александровск за 2014 год по кодам классификации доходов бюджетов</t>
  </si>
  <si>
    <t>(банковские, почтовые услуги, расходы на компенсацию затрат деятельности органов местного самоуправления и учреждений, находящихся в их ведении)</t>
  </si>
  <si>
    <t>7017536</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</si>
  <si>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</si>
  <si>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7017537</t>
  </si>
  <si>
    <t>Подпрограмма 2 "Подготовка объектов и систем жизнеобеспечения ЗАТО Александровск к работе в осенне-зимний период"</t>
  </si>
  <si>
    <t>7420000</t>
  </si>
  <si>
    <t>Подпрограмма 3 "Обеспечение собираемости платежей населения за оказанные жилищно-коммунальные услуги в ЗАТО Александровск"</t>
  </si>
  <si>
    <t>7430000</t>
  </si>
  <si>
    <t>7432999</t>
  </si>
  <si>
    <t>Возмещение убытков по жилищно-коммунальному хозяйству</t>
  </si>
  <si>
    <t>7436003</t>
  </si>
  <si>
    <t>Расходы на обеспечение деятельности (оказание услуг) подведомтсвенных учреждений, в том числе на предоставление муниципальным бюджетным и автономным учреждениям субсидий</t>
  </si>
  <si>
    <t>7430002</t>
  </si>
  <si>
    <t>Подпрограмма 4 "Благоустройство территории муниципального образования ЗАТО Александровск"</t>
  </si>
  <si>
    <t>7440000</t>
  </si>
  <si>
    <t>Организация наружного освещения улиц и дворовых территорий муниципального образования</t>
  </si>
  <si>
    <t>7442006</t>
  </si>
  <si>
    <t>Выплаты по решениям судов и оплата государственной пошлины</t>
  </si>
  <si>
    <t>9909999</t>
  </si>
  <si>
    <t>Обеспечение сохранности, технического обслуживания и содержания прочих объектов благоустройства</t>
  </si>
  <si>
    <t>7442007</t>
  </si>
  <si>
    <t>Мероприятия, связанные с отловом и транспортировкой безнадзорных животных</t>
  </si>
  <si>
    <t>7442008</t>
  </si>
  <si>
    <t>7442009</t>
  </si>
  <si>
    <t>7442010</t>
  </si>
  <si>
    <t>7442999</t>
  </si>
  <si>
    <t>Возмещение затрат, связанное с санитарным содержанием, техническим обслуживанием и ремонтом детских игровых площадок, расположенных на внутриквартальных территориях и (или) дворовых территориях</t>
  </si>
  <si>
    <t>7446005</t>
  </si>
  <si>
    <t>Возмещение затрат, связанное с проведением работ по поставке и установке малых архитектурных форм на детских площадках, расположенных на внутриквартальных территориях и (или) дворовых территориях</t>
  </si>
  <si>
    <t>7446006</t>
  </si>
  <si>
    <t>Подпрограмма 5 "Управление развитием системы жилищно-коммунального хозяйства ЗАТО Александровск"</t>
  </si>
  <si>
    <t>7450000</t>
  </si>
  <si>
    <t>7450002</t>
  </si>
  <si>
    <t>7422999</t>
  </si>
  <si>
    <t>7082999</t>
  </si>
  <si>
    <t>Расходы на выплаты по оплате труда главы муниципального образования</t>
  </si>
  <si>
    <t>9900101</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</si>
  <si>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</si>
  <si>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9901306</t>
  </si>
  <si>
    <t>Расходы на выплаты по оплате труда депутатов представительного органа муниципального образования</t>
  </si>
  <si>
    <t>9900301</t>
  </si>
  <si>
    <t>Расходы на выплаты по оплате труда работников органов местного самоуправления</t>
  </si>
  <si>
    <t>9900601</t>
  </si>
  <si>
    <t>Расходы на обеспечение функций работников органов местного самоуправления</t>
  </si>
  <si>
    <t>9900603</t>
  </si>
  <si>
    <t>Расходы на выплату персоналу  в целях обеспечения выполнения функций госдарственными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</si>
  <si>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главы местной администрации</t>
  </si>
  <si>
    <t>8210401</t>
  </si>
  <si>
    <t>8210601</t>
  </si>
  <si>
    <t>8210603</t>
  </si>
  <si>
    <t>8211306</t>
  </si>
  <si>
    <t>8241306</t>
  </si>
  <si>
    <t>8261306</t>
  </si>
  <si>
    <t>7531306</t>
  </si>
  <si>
    <t>8011306</t>
  </si>
  <si>
    <t>8220601</t>
  </si>
  <si>
    <t>8220603</t>
  </si>
  <si>
    <t>8221306</t>
  </si>
  <si>
    <t>8251306</t>
  </si>
  <si>
    <t>8271306</t>
  </si>
  <si>
    <t>7451306</t>
  </si>
  <si>
    <t>8110601</t>
  </si>
  <si>
    <t xml:space="preserve"> Расходы на выплату персоналу  в целях обеспечения выполнения функций госдарственными (муниципальными) органами, казенными учреждениями, органами управления государственными внебюджетными фондами</t>
  </si>
  <si>
    <t>8110603</t>
  </si>
  <si>
    <t>8111306</t>
  </si>
  <si>
    <t>Расходы на единовременное поощрение за многолетнюю безупречную муниципальную службу и компенсационных выплат муниципальным служащим, высвобождаемым в связи с выходом на трудовую пенсию</t>
  </si>
  <si>
    <t>7030601</t>
  </si>
  <si>
    <t>7030603</t>
  </si>
  <si>
    <t>7030820</t>
  </si>
  <si>
    <t>7031306</t>
  </si>
  <si>
    <t>8230601</t>
  </si>
  <si>
    <t>8230603</t>
  </si>
  <si>
    <t>8231306</t>
  </si>
  <si>
    <t>Расходы на выплаты по оплате труда руководителя контрольно-счетной палаты муниципального образования и его заместителей</t>
  </si>
  <si>
    <t>9900501</t>
  </si>
  <si>
    <t>7085898</t>
  </si>
  <si>
    <t>Развитие и поддержка социальной и инженерной инфраструктуры закрытых административно-территориальных образований</t>
  </si>
  <si>
    <t>8262999</t>
  </si>
  <si>
    <t>7532009</t>
  </si>
  <si>
    <t>Мероприятия государственной программы Российской Федерации "Доступная среда" на 2011-2015 годы</t>
  </si>
  <si>
    <t>7105027</t>
  </si>
  <si>
    <t>Строительство, реконструкция, ремонт и капитальный ремонт автомобильных дорог общего пользования местного значения (на конкурсной основе)</t>
  </si>
  <si>
    <t>7707093</t>
  </si>
  <si>
    <t>Модернизация региональных систем дошкольного образования</t>
  </si>
  <si>
    <t>7085059</t>
  </si>
  <si>
    <t>Субсидия муниципальным районам (городским округам) на приобретение и установку спортивных площадок</t>
  </si>
  <si>
    <t>7217060</t>
  </si>
  <si>
    <t>Резервный фонд Правительства Мурманской области</t>
  </si>
  <si>
    <t>9992001</t>
  </si>
  <si>
    <t>Иная непрограммная деятельность</t>
  </si>
  <si>
    <t>9990000</t>
  </si>
  <si>
    <t>7419601</t>
  </si>
  <si>
    <t>Обеспечение мероприятий по капитальному ремонту многоквартирных домов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</si>
  <si>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</si>
  <si>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Субвенции бюджетам городских округов на государственную регистрацию актов гражданского состояния</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</si>
  <si>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</si>
  <si>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</si>
  <si>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</si>
  <si>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</si>
  <si>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городских округов на софинансирование капитальных вложений в объекты муниципальной собственности</t>
  </si>
  <si>
    <t>Субсидии бюджетам городских округов на модернизацию региональных систем дошкольного образования</t>
  </si>
  <si>
    <t>Межбюджетные трансферты, передаваемые бюджетам городских округов на переселение граждан из закрытых административно - территориальных образований</t>
  </si>
  <si>
    <t>Прочие неналоговые доходы бюджетов городских округов</t>
  </si>
  <si>
    <t>Дотации бюджетам городских округов на выравнивание бюджетной обеспеченнности</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</si>
  <si>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</si>
  <si>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Субсидии бюджетам городских округов на реализацию федеральных целевых программ</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</si>
  <si>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</si>
  <si>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</si>
  <si>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по разделам и подразделам классификации расходов бюджетов</t>
  </si>
  <si>
    <t>Исполнено, руб., коп.</t>
  </si>
  <si>
    <t>ВСЕГО расходов:</t>
  </si>
  <si>
    <t>Расходы местного бюджета ЗАТО Александровск за 2014 год</t>
  </si>
  <si>
    <t>000</t>
  </si>
  <si>
    <t>Прочие доходы от компенсации затрат бюджетов городских округов</t>
  </si>
  <si>
    <t>Прочие поступления от денежных взысканий (штрафов) и иных сумм в возмещение ущерба, зачисляемые в бюджеты городских округов</t>
  </si>
  <si>
    <t xml:space="preserve">                                             Приложение № 5</t>
  </si>
  <si>
    <t>№№</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</si>
  <si>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</si>
  <si>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Код бюджетной классификации</t>
  </si>
  <si>
    <t>главный админи-стратор</t>
  </si>
  <si>
    <t>группа</t>
  </si>
  <si>
    <t>под-группа</t>
  </si>
  <si>
    <t>статья</t>
  </si>
  <si>
    <t>под-статья</t>
  </si>
  <si>
    <t>эле-мент</t>
  </si>
  <si>
    <t>прог-рамма</t>
  </si>
  <si>
    <t>Класси-фикация операций сектора государст-венного управле-ния</t>
  </si>
  <si>
    <t>Кредиты кредитных организаций в валюте Российской Федерации</t>
  </si>
  <si>
    <t>0000</t>
  </si>
  <si>
    <t>1.1</t>
  </si>
  <si>
    <t>Получение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</si>
  <si>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</si>
  <si>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710</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</si>
  <si>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</si>
  <si>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</si>
  <si>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2.1</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</si>
  <si>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</si>
  <si>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</si>
  <si>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2.2</t>
  </si>
  <si>
    <t>Погашение бюджетных кредитов от других бюджетов бюджетной системы Российской Федерации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</si>
  <si>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</si>
  <si>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810</t>
  </si>
  <si>
    <t>Иные источники внутреннего финансирования дефицитов бюджетов</t>
  </si>
  <si>
    <t>3.1</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</si>
  <si>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</si>
  <si>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</si>
  <si>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</si>
  <si>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640</t>
  </si>
  <si>
    <t>Возврат бюджетных кредитов, предоставленных юридическим лицам из бюджетов городских округов в валюте Российской Федерации</t>
  </si>
  <si>
    <t>Изменение остатков средств на счетах по учету средств бюджета</t>
  </si>
  <si>
    <t>Увеличение остатков средств бюджетов</t>
  </si>
  <si>
    <t>500</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</si>
  <si>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</si>
  <si>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</si>
  <si>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</si>
  <si>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городских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</si>
  <si>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</si>
  <si>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</si>
  <si>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</si>
  <si>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</si>
  <si>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городских округов</t>
  </si>
  <si>
    <t>3</t>
  </si>
  <si>
    <t>Исполнение государственных и муниципальных гарантий в валюте Российской Федерации</t>
  </si>
  <si>
    <t>ИТОГО ИСТОЧНИКОВ ВНУТРЕННЕГО ФИНАНСИРОВАНИЯ ДЕФИЦИТА БЮДЖЕТА</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</si>
  <si>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</si>
  <si>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</si>
  <si>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</si>
  <si>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7017062</t>
  </si>
  <si>
    <t>Субсидия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</si>
  <si>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7027062</t>
  </si>
  <si>
    <t>7317062</t>
  </si>
  <si>
    <t>7327062</t>
  </si>
  <si>
    <t>Прочие субвенции бюджетам городских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</si>
  <si>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</si>
  <si>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</si>
  <si>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Приложение № 4</t>
  </si>
  <si>
    <t>Коды бюджетной классификации Российской Федерации</t>
  </si>
  <si>
    <t>Наименование доходов</t>
  </si>
  <si>
    <t>000 1 00 00000 00 0000 000</t>
  </si>
  <si>
    <t>НАЛОГОВЫЕ И НЕНАЛОГОВЫЕ ДОХОДЫ</t>
  </si>
  <si>
    <t>НАЛОГОВЫЕ ДОХОДЫ</t>
  </si>
  <si>
    <t>из них:</t>
  </si>
  <si>
    <t>000 1 01 00000 00 0000 000</t>
  </si>
  <si>
    <t>Налоги на прибыль, доходы</t>
  </si>
  <si>
    <t xml:space="preserve">               от 10 июня 2015 года № 35</t>
  </si>
  <si>
    <t>от 10 июня 2015 года № 35</t>
  </si>
  <si>
    <t>от 10 июня 2015 г. № 35</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</si>
</sst>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_-* #,##0.0_р_._-;\-* #,##0.0_р_._-;_-* &quot;-&quot;??_р_._-;_-@_-"/>
    <numFmt numFmtId="170" formatCode="_-* #,##0.0_р_._-;\-* #,##0.0_р_._-;_-* &quot;-&quot;?_р_._-;_-@_-"/>
    <numFmt numFmtId="171" formatCode="[$€-2]\ ###,000_);[Red]\([$€-2]\ ###,000\)"/>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
    <numFmt numFmtId="181" formatCode="#,##0.0000"/>
    <numFmt numFmtId="182" formatCode="#,##0.00000"/>
  </numFmts>
  <fonts count="50">
    <font>
      <sz val="10"/>
      <name val="Arial Cyr"/>
      <family val="0"/>
    </font>
    <font>
      <sz val="12"/>
      <name val="Times New Roman"/>
      <family val="1"/>
    </font>
    <font>
      <b/>
      <sz val="12"/>
      <name val="Times New Roman"/>
      <family val="1"/>
    </font>
    <font>
      <b/>
      <sz val="14"/>
      <name val="Times New Roman"/>
      <family val="1"/>
    </font>
    <font>
      <sz val="14"/>
      <name val="Times New Roman"/>
      <family val="1"/>
    </font>
    <font>
      <u val="single"/>
      <sz val="10"/>
      <color indexed="12"/>
      <name val="Arial Cyr"/>
      <family val="0"/>
    </font>
    <font>
      <u val="single"/>
      <sz val="10"/>
      <color indexed="20"/>
      <name val="Arial Cyr"/>
      <family val="0"/>
    </font>
    <font>
      <sz val="8"/>
      <name val="Arial Cyr"/>
      <family val="0"/>
    </font>
    <font>
      <b/>
      <sz val="15"/>
      <name val="Times New Roman"/>
      <family val="1"/>
    </font>
    <font>
      <b/>
      <sz val="13"/>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2"/>
      <name val="Times New Roman Cyr"/>
      <family val="0"/>
    </font>
    <font>
      <b/>
      <i/>
      <sz val="12"/>
      <name val="Times New Roman"/>
      <family val="1"/>
    </font>
    <font>
      <i/>
      <sz val="12"/>
      <name val="Times New Roman"/>
      <family val="1"/>
    </font>
    <font>
      <vertAlign val="superscript"/>
      <sz val="11"/>
      <name val="Times New Roman"/>
      <family val="1"/>
    </font>
    <font>
      <i/>
      <sz val="11"/>
      <name val="Times New Roman"/>
      <family val="1"/>
    </font>
    <font>
      <i/>
      <sz val="14"/>
      <name val="Times New Roman"/>
      <family val="1"/>
    </font>
    <font>
      <i/>
      <sz val="12"/>
      <color indexed="8"/>
      <name val="Times New Roman"/>
      <family val="1"/>
    </font>
    <font>
      <b/>
      <sz val="14"/>
      <name val="Times New Roman Cyr"/>
      <family val="1"/>
    </font>
    <font>
      <sz val="11"/>
      <name val="Times New Roman Cyr"/>
      <family val="1"/>
    </font>
    <font>
      <sz val="10"/>
      <name val="Times New Roman CYR"/>
      <family val="1"/>
    </font>
    <font>
      <b/>
      <sz val="11"/>
      <name val="Times New Roman Cyr"/>
      <family val="0"/>
    </font>
    <font>
      <b/>
      <sz val="12"/>
      <name val="Times New Roman Cyr"/>
      <family val="0"/>
    </font>
    <font>
      <sz val="12"/>
      <color indexed="8"/>
      <name val="Times New Roman"/>
      <family val="1"/>
    </font>
    <font>
      <i/>
      <sz val="12"/>
      <color indexed="55"/>
      <name val="Times New Roman"/>
      <family val="1"/>
    </font>
    <font>
      <b/>
      <sz val="11"/>
      <name val="Times New Roman"/>
      <family val="1"/>
    </font>
    <font>
      <i/>
      <vertAlign val="superscript"/>
      <sz val="11"/>
      <name val="Times New Roman"/>
      <family val="1"/>
    </font>
    <font>
      <b/>
      <i/>
      <sz val="11"/>
      <name val="Times New Roman"/>
      <family val="1"/>
    </font>
    <font>
      <b/>
      <i/>
      <sz val="12"/>
      <color indexed="8"/>
      <name val="Times New Roman"/>
      <family val="1"/>
    </font>
    <font>
      <b/>
      <i/>
      <sz val="12"/>
      <color indexed="55"/>
      <name val="Times New Roman"/>
      <family val="1"/>
    </font>
    <font>
      <sz val="11"/>
      <color indexed="8"/>
      <name val="Times New Roman"/>
      <family val="1"/>
    </font>
    <font>
      <b/>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color indexed="8"/>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6"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334">
    <xf numFmtId="0" fontId="0" fillId="0" borderId="0" xfId="0" applyAlignment="1">
      <alignment/>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wrapText="1"/>
    </xf>
    <xf numFmtId="0" fontId="1" fillId="0" borderId="0" xfId="0" applyFont="1" applyFill="1" applyAlignment="1">
      <alignment/>
    </xf>
    <xf numFmtId="0" fontId="2" fillId="0" borderId="11" xfId="0" applyFont="1" applyFill="1" applyBorder="1" applyAlignment="1">
      <alignment vertical="center" wrapText="1"/>
    </xf>
    <xf numFmtId="0" fontId="3" fillId="0" borderId="0" xfId="0" applyFont="1" applyFill="1" applyAlignment="1">
      <alignment/>
    </xf>
    <xf numFmtId="0" fontId="1" fillId="0" borderId="12" xfId="0" applyFont="1" applyFill="1" applyBorder="1" applyAlignment="1">
      <alignment horizontal="center" vertical="center" wrapText="1"/>
    </xf>
    <xf numFmtId="0" fontId="2" fillId="0" borderId="0" xfId="0" applyFont="1" applyFill="1" applyAlignment="1">
      <alignment/>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xf>
    <xf numFmtId="49" fontId="2" fillId="0" borderId="1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0" fontId="1" fillId="0" borderId="0" xfId="0" applyFont="1" applyFill="1" applyAlignment="1">
      <alignment horizontal="center"/>
    </xf>
    <xf numFmtId="49" fontId="1"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1" fillId="0" borderId="0" xfId="0" applyFont="1" applyFill="1" applyAlignment="1">
      <alignment vertical="center"/>
    </xf>
    <xf numFmtId="4" fontId="1" fillId="0" borderId="0" xfId="0" applyNumberFormat="1" applyFont="1" applyFill="1" applyAlignment="1">
      <alignment/>
    </xf>
    <xf numFmtId="2" fontId="1" fillId="0" borderId="10" xfId="0" applyNumberFormat="1" applyFont="1" applyFill="1" applyBorder="1" applyAlignment="1">
      <alignment vertical="center" wrapText="1"/>
    </xf>
    <xf numFmtId="4" fontId="2" fillId="0" borderId="11" xfId="0" applyNumberFormat="1" applyFont="1" applyFill="1" applyBorder="1" applyAlignment="1">
      <alignment vertical="center" wrapText="1"/>
    </xf>
    <xf numFmtId="4" fontId="1" fillId="0" borderId="10" xfId="0" applyNumberFormat="1" applyFont="1" applyFill="1" applyBorder="1" applyAlignment="1">
      <alignment vertical="center" wrapText="1"/>
    </xf>
    <xf numFmtId="0" fontId="1" fillId="0" borderId="0" xfId="0" applyFont="1" applyFill="1" applyAlignment="1">
      <alignment/>
    </xf>
    <xf numFmtId="4" fontId="9" fillId="0" borderId="11"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0" fontId="8" fillId="0" borderId="11" xfId="0" applyFont="1" applyFill="1" applyBorder="1" applyAlignment="1">
      <alignment vertical="center" wrapText="1"/>
    </xf>
    <xf numFmtId="4" fontId="3" fillId="0" borderId="11"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center" vertical="center" wrapText="1"/>
    </xf>
    <xf numFmtId="2" fontId="2" fillId="0" borderId="11" xfId="0" applyNumberFormat="1" applyFont="1" applyFill="1" applyBorder="1" applyAlignment="1">
      <alignment vertical="center" wrapText="1"/>
    </xf>
    <xf numFmtId="4" fontId="1" fillId="0" borderId="0" xfId="0" applyNumberFormat="1" applyFont="1" applyFill="1" applyAlignment="1">
      <alignment horizontal="center"/>
    </xf>
    <xf numFmtId="0" fontId="10" fillId="0" borderId="0" xfId="0" applyFont="1" applyFill="1" applyAlignment="1">
      <alignment/>
    </xf>
    <xf numFmtId="4" fontId="1" fillId="0" borderId="0" xfId="0" applyNumberFormat="1" applyFont="1" applyFill="1" applyAlignment="1">
      <alignment vertical="center" wrapText="1"/>
    </xf>
    <xf numFmtId="4" fontId="2" fillId="0" borderId="11"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4" fontId="1" fillId="0" borderId="0" xfId="0" applyNumberFormat="1" applyFont="1" applyFill="1" applyAlignment="1">
      <alignment vertical="center"/>
    </xf>
    <xf numFmtId="4" fontId="2" fillId="0" borderId="0" xfId="0" applyNumberFormat="1" applyFont="1" applyFill="1" applyAlignment="1">
      <alignment/>
    </xf>
    <xf numFmtId="0" fontId="1" fillId="0" borderId="13" xfId="0" applyFont="1" applyFill="1" applyBorder="1" applyAlignment="1">
      <alignment vertical="center" wrapText="1"/>
    </xf>
    <xf numFmtId="2" fontId="2" fillId="0" borderId="10" xfId="0" applyNumberFormat="1" applyFont="1" applyFill="1" applyBorder="1" applyAlignment="1">
      <alignment vertical="center" wrapText="1"/>
    </xf>
    <xf numFmtId="4" fontId="3" fillId="0" borderId="0" xfId="0" applyNumberFormat="1" applyFont="1" applyFill="1" applyAlignment="1">
      <alignment/>
    </xf>
    <xf numFmtId="0" fontId="1" fillId="0" borderId="0" xfId="0" applyFont="1" applyFill="1" applyAlignment="1">
      <alignment horizontal="right"/>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 fontId="2" fillId="0" borderId="12" xfId="0" applyNumberFormat="1" applyFont="1" applyFill="1" applyBorder="1" applyAlignment="1">
      <alignment vertical="center" wrapText="1"/>
    </xf>
    <xf numFmtId="0" fontId="1" fillId="0" borderId="0"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13" xfId="0" applyFont="1" applyFill="1" applyBorder="1" applyAlignment="1" applyProtection="1">
      <alignment vertical="top" wrapText="1" readingOrder="1"/>
      <protection locked="0"/>
    </xf>
    <xf numFmtId="3" fontId="1" fillId="0" borderId="10" xfId="0" applyNumberFormat="1" applyFont="1" applyFill="1" applyBorder="1" applyAlignment="1">
      <alignment horizontal="center" vertical="center" wrapText="1"/>
    </xf>
    <xf numFmtId="0" fontId="2" fillId="0" borderId="0" xfId="0" applyFont="1" applyFill="1" applyAlignment="1">
      <alignment horizontal="left"/>
    </xf>
    <xf numFmtId="49" fontId="2" fillId="0" borderId="0" xfId="0" applyNumberFormat="1" applyFont="1" applyFill="1" applyAlignment="1">
      <alignment horizontal="left" vertical="center"/>
    </xf>
    <xf numFmtId="4" fontId="1" fillId="0" borderId="12" xfId="0" applyNumberFormat="1" applyFont="1" applyFill="1" applyBorder="1" applyAlignment="1">
      <alignment horizontal="right" vertical="center" wrapText="1"/>
    </xf>
    <xf numFmtId="49" fontId="1" fillId="0" borderId="12"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0" fontId="1" fillId="0" borderId="0" xfId="0" applyFont="1" applyFill="1" applyBorder="1" applyAlignment="1" applyProtection="1">
      <alignment vertical="top" wrapText="1"/>
      <protection locked="0"/>
    </xf>
    <xf numFmtId="0" fontId="2" fillId="0" borderId="0" xfId="0" applyFont="1" applyFill="1" applyBorder="1" applyAlignment="1">
      <alignment horizontal="left" vertical="center" wrapText="1"/>
    </xf>
    <xf numFmtId="4" fontId="10" fillId="0" borderId="0" xfId="0" applyNumberFormat="1" applyFont="1" applyFill="1" applyAlignment="1">
      <alignment/>
    </xf>
    <xf numFmtId="49" fontId="1" fillId="0" borderId="15" xfId="0" applyNumberFormat="1" applyFont="1" applyFill="1" applyBorder="1" applyAlignment="1">
      <alignment horizontal="center" vertical="center" wrapText="1"/>
    </xf>
    <xf numFmtId="4" fontId="1" fillId="0" borderId="0" xfId="0" applyNumberFormat="1" applyFont="1" applyFill="1" applyAlignment="1">
      <alignment horizontal="center" vertical="center"/>
    </xf>
    <xf numFmtId="4" fontId="29" fillId="0" borderId="0" xfId="0" applyNumberFormat="1" applyFont="1" applyAlignment="1">
      <alignment/>
    </xf>
    <xf numFmtId="0" fontId="4" fillId="0" borderId="0" xfId="0" applyFont="1" applyFill="1" applyAlignment="1">
      <alignment/>
    </xf>
    <xf numFmtId="0" fontId="1" fillId="0" borderId="12" xfId="0" applyFont="1" applyFill="1" applyBorder="1" applyAlignment="1">
      <alignment horizontal="center" vertical="center"/>
    </xf>
    <xf numFmtId="0" fontId="29" fillId="0" borderId="0" xfId="0" applyFont="1" applyAlignment="1">
      <alignment/>
    </xf>
    <xf numFmtId="4" fontId="4" fillId="0" borderId="0" xfId="0" applyNumberFormat="1" applyFont="1" applyFill="1" applyAlignment="1">
      <alignment/>
    </xf>
    <xf numFmtId="0" fontId="29" fillId="0" borderId="0" xfId="0" applyFont="1" applyFill="1" applyAlignment="1">
      <alignment horizontal="center"/>
    </xf>
    <xf numFmtId="0" fontId="1" fillId="0" borderId="12" xfId="0" applyFont="1" applyFill="1" applyBorder="1" applyAlignment="1">
      <alignment horizontal="center"/>
    </xf>
    <xf numFmtId="0" fontId="2" fillId="0" borderId="12" xfId="0" applyFont="1" applyFill="1" applyBorder="1" applyAlignment="1">
      <alignment horizontal="center" vertical="center"/>
    </xf>
    <xf numFmtId="0" fontId="2" fillId="0" borderId="12" xfId="0" applyFont="1" applyFill="1" applyBorder="1" applyAlignment="1">
      <alignment vertical="center"/>
    </xf>
    <xf numFmtId="0" fontId="31" fillId="0" borderId="12" xfId="0" applyFont="1" applyFill="1" applyBorder="1" applyAlignment="1">
      <alignment horizontal="center" vertical="center"/>
    </xf>
    <xf numFmtId="0" fontId="31" fillId="0" borderId="12" xfId="0" applyFont="1" applyFill="1" applyBorder="1" applyAlignment="1">
      <alignment vertical="center"/>
    </xf>
    <xf numFmtId="0" fontId="28" fillId="0" borderId="12" xfId="0" applyFont="1" applyFill="1" applyBorder="1" applyAlignment="1">
      <alignment horizontal="center" vertical="center"/>
    </xf>
    <xf numFmtId="0" fontId="28" fillId="0" borderId="12" xfId="0" applyFont="1" applyFill="1" applyBorder="1" applyAlignment="1">
      <alignment vertical="center" wrapText="1"/>
    </xf>
    <xf numFmtId="0" fontId="31" fillId="0" borderId="12" xfId="0" applyFont="1" applyFill="1" applyBorder="1" applyAlignment="1">
      <alignment vertical="center" wrapText="1"/>
    </xf>
    <xf numFmtId="0" fontId="31" fillId="0" borderId="12" xfId="0" applyFont="1" applyFill="1" applyBorder="1" applyAlignment="1">
      <alignment horizontal="justify" vertical="center" wrapText="1"/>
    </xf>
    <xf numFmtId="0" fontId="28" fillId="0" borderId="0" xfId="0" applyFont="1" applyFill="1" applyAlignment="1">
      <alignment/>
    </xf>
    <xf numFmtId="0" fontId="34" fillId="0" borderId="0" xfId="0" applyFont="1" applyFill="1" applyAlignment="1">
      <alignment/>
    </xf>
    <xf numFmtId="0" fontId="28" fillId="0" borderId="12" xfId="0" applyFont="1" applyFill="1" applyBorder="1" applyAlignment="1">
      <alignment horizontal="justify" vertical="center" wrapText="1"/>
    </xf>
    <xf numFmtId="49" fontId="28" fillId="0" borderId="12" xfId="0" applyNumberFormat="1" applyFont="1" applyFill="1" applyBorder="1" applyAlignment="1">
      <alignment vertical="center" wrapText="1"/>
    </xf>
    <xf numFmtId="0" fontId="33" fillId="0" borderId="12" xfId="0" applyFont="1" applyFill="1" applyBorder="1" applyAlignment="1">
      <alignment horizontal="center" vertical="center"/>
    </xf>
    <xf numFmtId="0" fontId="33" fillId="0" borderId="12" xfId="0" applyFont="1" applyFill="1" applyBorder="1" applyAlignment="1">
      <alignment vertical="center" wrapText="1"/>
    </xf>
    <xf numFmtId="0" fontId="30" fillId="0" borderId="12" xfId="0" applyFont="1" applyFill="1" applyBorder="1" applyAlignment="1">
      <alignment horizontal="justify" vertical="center" wrapText="1"/>
    </xf>
    <xf numFmtId="2" fontId="31" fillId="0" borderId="12" xfId="0" applyNumberFormat="1" applyFont="1" applyFill="1" applyBorder="1" applyAlignment="1">
      <alignment horizontal="justify" vertical="center" wrapText="1"/>
    </xf>
    <xf numFmtId="2" fontId="28"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31" fillId="24" borderId="12" xfId="0" applyFont="1" applyFill="1" applyBorder="1" applyAlignment="1">
      <alignment horizontal="center" vertical="center"/>
    </xf>
    <xf numFmtId="0" fontId="31" fillId="24" borderId="12" xfId="0" applyFont="1" applyFill="1" applyBorder="1" applyAlignment="1">
      <alignment vertical="center" wrapText="1"/>
    </xf>
    <xf numFmtId="0" fontId="4" fillId="24" borderId="0" xfId="0" applyFont="1" applyFill="1" applyAlignment="1">
      <alignment/>
    </xf>
    <xf numFmtId="0" fontId="28" fillId="24" borderId="12" xfId="0" applyFont="1" applyFill="1" applyBorder="1" applyAlignment="1">
      <alignment horizontal="center" vertical="center"/>
    </xf>
    <xf numFmtId="0" fontId="28" fillId="24" borderId="12" xfId="0" applyFont="1" applyFill="1" applyBorder="1" applyAlignment="1">
      <alignment vertical="center" wrapText="1"/>
    </xf>
    <xf numFmtId="0" fontId="35" fillId="0" borderId="12" xfId="0" applyFont="1" applyFill="1" applyBorder="1" applyAlignment="1">
      <alignment vertical="center" wrapText="1"/>
    </xf>
    <xf numFmtId="0" fontId="28" fillId="24" borderId="12" xfId="0" applyFont="1" applyFill="1" applyBorder="1" applyAlignment="1">
      <alignment horizontal="left" vertical="center" wrapText="1"/>
    </xf>
    <xf numFmtId="0" fontId="31" fillId="0" borderId="12" xfId="0" applyFont="1" applyFill="1" applyBorder="1" applyAlignment="1">
      <alignment horizontal="center" vertical="center" wrapText="1"/>
    </xf>
    <xf numFmtId="4" fontId="4" fillId="0" borderId="0" xfId="0" applyNumberFormat="1" applyFont="1" applyFill="1" applyAlignment="1">
      <alignment horizontal="center"/>
    </xf>
    <xf numFmtId="0" fontId="4" fillId="0" borderId="0" xfId="0" applyFont="1" applyFill="1" applyAlignment="1">
      <alignment horizontal="center"/>
    </xf>
    <xf numFmtId="0" fontId="1" fillId="0" borderId="0" xfId="0" applyFont="1" applyAlignment="1">
      <alignment/>
    </xf>
    <xf numFmtId="0" fontId="36" fillId="0" borderId="0" xfId="0" applyFont="1" applyAlignment="1">
      <alignment horizontal="center"/>
    </xf>
    <xf numFmtId="49" fontId="29" fillId="0" borderId="0" xfId="0" applyNumberFormat="1" applyFont="1" applyAlignment="1">
      <alignment vertical="top"/>
    </xf>
    <xf numFmtId="0" fontId="29" fillId="0" borderId="0" xfId="0" applyFont="1" applyAlignment="1">
      <alignment horizontal="left" vertical="top" wrapText="1"/>
    </xf>
    <xf numFmtId="49" fontId="29" fillId="0" borderId="0" xfId="0" applyNumberFormat="1" applyFont="1" applyAlignment="1">
      <alignment horizontal="center"/>
    </xf>
    <xf numFmtId="0" fontId="29" fillId="0" borderId="0" xfId="0" applyFont="1" applyAlignment="1">
      <alignment horizontal="right"/>
    </xf>
    <xf numFmtId="0" fontId="38" fillId="0" borderId="12" xfId="0" applyFont="1" applyBorder="1" applyAlignment="1">
      <alignment horizontal="center" vertical="center" wrapText="1"/>
    </xf>
    <xf numFmtId="0" fontId="39" fillId="0" borderId="0" xfId="0" applyFont="1" applyBorder="1" applyAlignment="1">
      <alignment horizontal="center" vertical="center" wrapText="1"/>
    </xf>
    <xf numFmtId="0" fontId="40" fillId="0" borderId="0" xfId="0" applyFont="1" applyBorder="1" applyAlignment="1">
      <alignment horizontal="left" vertical="center" wrapText="1"/>
    </xf>
    <xf numFmtId="49" fontId="40" fillId="0" borderId="0" xfId="0" applyNumberFormat="1" applyFont="1" applyBorder="1" applyAlignment="1">
      <alignment horizontal="center" vertical="center" wrapText="1"/>
    </xf>
    <xf numFmtId="164" fontId="40" fillId="0" borderId="0" xfId="0" applyNumberFormat="1" applyFont="1" applyBorder="1" applyAlignment="1">
      <alignment horizontal="right" vertical="center" wrapText="1"/>
    </xf>
    <xf numFmtId="49" fontId="29" fillId="0" borderId="0" xfId="0" applyNumberFormat="1" applyFont="1" applyBorder="1" applyAlignment="1">
      <alignment horizontal="center" vertical="center"/>
    </xf>
    <xf numFmtId="0" fontId="29" fillId="0" borderId="0" xfId="0" applyFont="1" applyBorder="1" applyAlignment="1">
      <alignment horizontal="left" vertical="center" wrapText="1"/>
    </xf>
    <xf numFmtId="49" fontId="29" fillId="0" borderId="0" xfId="0" applyNumberFormat="1" applyFont="1" applyBorder="1" applyAlignment="1">
      <alignment horizontal="center" vertical="center" wrapText="1"/>
    </xf>
    <xf numFmtId="164" fontId="29" fillId="0" borderId="0" xfId="0" applyNumberFormat="1" applyFont="1" applyBorder="1" applyAlignment="1">
      <alignment horizontal="right" vertical="center" wrapText="1"/>
    </xf>
    <xf numFmtId="0" fontId="37" fillId="0" borderId="0" xfId="0" applyFont="1" applyBorder="1" applyAlignment="1">
      <alignment horizontal="center" vertical="center" wrapText="1"/>
    </xf>
    <xf numFmtId="164" fontId="40" fillId="0" borderId="0" xfId="0" applyNumberFormat="1" applyFont="1" applyFill="1" applyBorder="1" applyAlignment="1">
      <alignment horizontal="right" vertical="center" wrapText="1"/>
    </xf>
    <xf numFmtId="164" fontId="29" fillId="0" borderId="0" xfId="0" applyNumberFormat="1" applyFont="1" applyFill="1" applyBorder="1" applyAlignment="1">
      <alignment horizontal="right" vertical="center" wrapText="1"/>
    </xf>
    <xf numFmtId="0" fontId="29" fillId="0" borderId="0" xfId="0" applyFont="1" applyAlignment="1">
      <alignment/>
    </xf>
    <xf numFmtId="49" fontId="37" fillId="0" borderId="0" xfId="0" applyNumberFormat="1" applyFont="1" applyBorder="1" applyAlignment="1">
      <alignment horizontal="center" vertical="center" wrapText="1"/>
    </xf>
    <xf numFmtId="0" fontId="40" fillId="0" borderId="0" xfId="0" applyFont="1" applyBorder="1" applyAlignment="1">
      <alignment horizontal="left" vertical="center" wrapText="1"/>
    </xf>
    <xf numFmtId="49" fontId="40" fillId="0" borderId="0" xfId="0" applyNumberFormat="1" applyFont="1" applyBorder="1" applyAlignment="1">
      <alignment horizontal="center" vertical="center"/>
    </xf>
    <xf numFmtId="4" fontId="40" fillId="0" borderId="0" xfId="0" applyNumberFormat="1" applyFont="1" applyBorder="1" applyAlignment="1">
      <alignment horizontal="right" vertical="center"/>
    </xf>
    <xf numFmtId="4" fontId="29" fillId="0" borderId="0" xfId="0" applyNumberFormat="1" applyFont="1" applyAlignment="1">
      <alignment vertical="center"/>
    </xf>
    <xf numFmtId="0" fontId="29" fillId="0" borderId="0" xfId="0" applyFont="1" applyAlignment="1">
      <alignment vertical="center"/>
    </xf>
    <xf numFmtId="0" fontId="29" fillId="0" borderId="0" xfId="0" applyFont="1" applyBorder="1" applyAlignment="1">
      <alignment horizontal="left" vertical="center" wrapText="1"/>
    </xf>
    <xf numFmtId="4" fontId="29" fillId="0" borderId="0" xfId="0" applyNumberFormat="1" applyFont="1" applyBorder="1" applyAlignment="1">
      <alignment horizontal="right" vertical="center"/>
    </xf>
    <xf numFmtId="4" fontId="29" fillId="0" borderId="0" xfId="0" applyNumberFormat="1" applyFont="1" applyFill="1" applyBorder="1" applyAlignment="1">
      <alignment horizontal="right" vertical="center"/>
    </xf>
    <xf numFmtId="49" fontId="40" fillId="0" borderId="0" xfId="0" applyNumberFormat="1" applyFont="1" applyBorder="1" applyAlignment="1">
      <alignment horizontal="center" vertical="center"/>
    </xf>
    <xf numFmtId="4" fontId="40" fillId="0" borderId="0" xfId="0" applyNumberFormat="1" applyFont="1" applyBorder="1" applyAlignment="1">
      <alignment horizontal="right" vertical="center"/>
    </xf>
    <xf numFmtId="0" fontId="40" fillId="0" borderId="0" xfId="0" applyFont="1" applyAlignment="1">
      <alignment vertical="center"/>
    </xf>
    <xf numFmtId="164" fontId="40" fillId="0" borderId="0" xfId="0" applyNumberFormat="1" applyFont="1" applyBorder="1" applyAlignment="1">
      <alignment horizontal="right" vertical="center"/>
    </xf>
    <xf numFmtId="164" fontId="29" fillId="0" borderId="0" xfId="0" applyNumberFormat="1" applyFont="1" applyBorder="1" applyAlignment="1">
      <alignment horizontal="right" vertical="center"/>
    </xf>
    <xf numFmtId="164" fontId="29" fillId="0" borderId="0" xfId="0" applyNumberFormat="1" applyFont="1" applyFill="1" applyBorder="1" applyAlignment="1">
      <alignment horizontal="right" vertical="center"/>
    </xf>
    <xf numFmtId="0" fontId="39" fillId="0" borderId="0" xfId="0" applyFont="1" applyBorder="1" applyAlignment="1">
      <alignment vertical="center" wrapText="1"/>
    </xf>
    <xf numFmtId="4" fontId="40" fillId="0" borderId="0" xfId="0" applyNumberFormat="1" applyFont="1" applyFill="1" applyBorder="1" applyAlignment="1">
      <alignment horizontal="right" vertical="center"/>
    </xf>
    <xf numFmtId="49" fontId="29" fillId="0" borderId="0" xfId="0" applyNumberFormat="1" applyFont="1" applyAlignment="1">
      <alignment horizontal="center" vertical="center"/>
    </xf>
    <xf numFmtId="4" fontId="29" fillId="0" borderId="0" xfId="0" applyNumberFormat="1" applyFont="1" applyAlignment="1">
      <alignment horizontal="center" vertical="center"/>
    </xf>
    <xf numFmtId="49" fontId="29" fillId="0" borderId="0" xfId="0" applyNumberFormat="1" applyFont="1" applyAlignment="1">
      <alignment horizontal="center" vertical="top"/>
    </xf>
    <xf numFmtId="0" fontId="29" fillId="0" borderId="0" xfId="0" applyFont="1" applyAlignment="1">
      <alignment horizontal="center" vertical="top"/>
    </xf>
    <xf numFmtId="4" fontId="29" fillId="0" borderId="0" xfId="0" applyNumberFormat="1" applyFont="1" applyAlignment="1">
      <alignment horizontal="center" vertical="top"/>
    </xf>
    <xf numFmtId="4" fontId="2" fillId="0" borderId="0" xfId="0" applyNumberFormat="1" applyFont="1" applyFill="1" applyBorder="1" applyAlignment="1">
      <alignment vertical="center" wrapText="1"/>
    </xf>
    <xf numFmtId="4" fontId="1" fillId="0" borderId="0" xfId="0" applyNumberFormat="1" applyFont="1" applyFill="1" applyAlignment="1">
      <alignment/>
    </xf>
    <xf numFmtId="10" fontId="1" fillId="0" borderId="0" xfId="0" applyNumberFormat="1" applyFont="1" applyFill="1" applyAlignment="1">
      <alignment/>
    </xf>
    <xf numFmtId="10" fontId="1" fillId="0" borderId="0" xfId="0" applyNumberFormat="1" applyFont="1" applyFill="1" applyAlignment="1">
      <alignment/>
    </xf>
    <xf numFmtId="10" fontId="1" fillId="0" borderId="0" xfId="0" applyNumberFormat="1" applyFont="1" applyFill="1" applyAlignment="1">
      <alignment horizontal="center"/>
    </xf>
    <xf numFmtId="10" fontId="1" fillId="0" borderId="12" xfId="0" applyNumberFormat="1" applyFont="1" applyFill="1" applyBorder="1" applyAlignment="1">
      <alignment horizontal="center" vertical="center" wrapText="1"/>
    </xf>
    <xf numFmtId="10" fontId="3" fillId="0" borderId="11" xfId="0" applyNumberFormat="1" applyFont="1" applyFill="1" applyBorder="1" applyAlignment="1">
      <alignment vertical="center" wrapText="1"/>
    </xf>
    <xf numFmtId="10" fontId="3" fillId="0" borderId="10" xfId="0" applyNumberFormat="1" applyFont="1" applyFill="1" applyBorder="1" applyAlignment="1">
      <alignment vertical="center" wrapText="1"/>
    </xf>
    <xf numFmtId="10" fontId="2" fillId="0" borderId="10" xfId="0" applyNumberFormat="1" applyFont="1" applyFill="1" applyBorder="1" applyAlignment="1">
      <alignment vertical="center" wrapText="1"/>
    </xf>
    <xf numFmtId="10" fontId="1" fillId="0" borderId="10" xfId="0" applyNumberFormat="1" applyFont="1" applyFill="1" applyBorder="1" applyAlignment="1">
      <alignment vertical="center" wrapText="1"/>
    </xf>
    <xf numFmtId="10" fontId="2" fillId="0" borderId="11" xfId="0" applyNumberFormat="1" applyFont="1" applyFill="1" applyBorder="1" applyAlignment="1">
      <alignment vertical="center" wrapText="1"/>
    </xf>
    <xf numFmtId="10" fontId="1" fillId="0" borderId="10" xfId="0" applyNumberFormat="1" applyFont="1" applyFill="1" applyBorder="1" applyAlignment="1">
      <alignment horizontal="right" vertical="center" wrapText="1"/>
    </xf>
    <xf numFmtId="10" fontId="2" fillId="0" borderId="11" xfId="0" applyNumberFormat="1" applyFont="1" applyFill="1" applyBorder="1" applyAlignment="1">
      <alignment horizontal="right" vertical="center" wrapText="1"/>
    </xf>
    <xf numFmtId="10" fontId="2" fillId="0" borderId="12" xfId="0" applyNumberFormat="1" applyFont="1" applyFill="1" applyBorder="1" applyAlignment="1">
      <alignment vertical="center" wrapText="1"/>
    </xf>
    <xf numFmtId="10" fontId="1" fillId="0" borderId="0" xfId="0" applyNumberFormat="1" applyFont="1" applyFill="1" applyAlignment="1">
      <alignment vertical="center" wrapText="1"/>
    </xf>
    <xf numFmtId="1" fontId="1" fillId="0" borderId="12" xfId="0" applyNumberFormat="1" applyFont="1" applyFill="1" applyBorder="1" applyAlignment="1">
      <alignment horizontal="center" vertical="center" wrapText="1"/>
    </xf>
    <xf numFmtId="4" fontId="1" fillId="0" borderId="0" xfId="0" applyNumberFormat="1" applyFont="1" applyFill="1" applyAlignment="1">
      <alignment horizontal="right"/>
    </xf>
    <xf numFmtId="10" fontId="1" fillId="0" borderId="16" xfId="0" applyNumberFormat="1" applyFont="1" applyFill="1" applyBorder="1" applyAlignment="1">
      <alignment vertical="center" wrapText="1"/>
    </xf>
    <xf numFmtId="0" fontId="1" fillId="0" borderId="1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2" xfId="0" applyFont="1" applyFill="1" applyBorder="1" applyAlignment="1">
      <alignment vertical="center" wrapText="1"/>
    </xf>
    <xf numFmtId="4" fontId="1" fillId="0" borderId="12" xfId="0" applyNumberFormat="1" applyFont="1" applyFill="1" applyBorder="1" applyAlignment="1">
      <alignment vertical="center" wrapText="1"/>
    </xf>
    <xf numFmtId="4" fontId="41" fillId="0" borderId="12" xfId="0" applyNumberFormat="1" applyFont="1" applyFill="1" applyBorder="1" applyAlignment="1">
      <alignment vertical="center" wrapText="1"/>
    </xf>
    <xf numFmtId="0" fontId="3" fillId="0" borderId="12" xfId="0" applyFont="1" applyFill="1" applyBorder="1" applyAlignment="1">
      <alignment vertical="center" wrapText="1"/>
    </xf>
    <xf numFmtId="49" fontId="1" fillId="0" borderId="12" xfId="0" applyNumberFormat="1" applyFont="1" applyFill="1" applyBorder="1" applyAlignment="1">
      <alignment vertical="center" wrapText="1"/>
    </xf>
    <xf numFmtId="0" fontId="41" fillId="0" borderId="12" xfId="0" applyFont="1" applyFill="1" applyBorder="1" applyAlignment="1" applyProtection="1">
      <alignment vertical="top" wrapText="1" readingOrder="1"/>
      <protection locked="0"/>
    </xf>
    <xf numFmtId="2" fontId="2" fillId="0" borderId="12" xfId="0" applyNumberFormat="1" applyFont="1" applyFill="1" applyBorder="1" applyAlignment="1">
      <alignment vertical="center" wrapText="1"/>
    </xf>
    <xf numFmtId="2" fontId="1" fillId="0" borderId="12" xfId="0" applyNumberFormat="1" applyFont="1" applyFill="1" applyBorder="1" applyAlignment="1">
      <alignment vertical="center" wrapText="1"/>
    </xf>
    <xf numFmtId="4" fontId="9" fillId="0" borderId="12" xfId="0" applyNumberFormat="1" applyFont="1" applyFill="1" applyBorder="1" applyAlignment="1">
      <alignment vertical="center" wrapText="1"/>
    </xf>
    <xf numFmtId="164" fontId="1" fillId="0" borderId="0" xfId="0" applyNumberFormat="1" applyFont="1" applyFill="1" applyAlignment="1">
      <alignment vertical="center" wrapText="1"/>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10" fontId="1" fillId="0" borderId="12" xfId="0" applyNumberFormat="1" applyFont="1" applyFill="1" applyBorder="1" applyAlignment="1">
      <alignment horizontal="right" vertical="center" wrapText="1"/>
    </xf>
    <xf numFmtId="10" fontId="2" fillId="0" borderId="12" xfId="0" applyNumberFormat="1" applyFont="1" applyFill="1" applyBorder="1" applyAlignment="1">
      <alignment horizontal="right" vertical="center" wrapText="1"/>
    </xf>
    <xf numFmtId="10" fontId="40" fillId="0" borderId="0" xfId="0" applyNumberFormat="1" applyFont="1" applyBorder="1" applyAlignment="1">
      <alignment horizontal="right" vertical="center" wrapText="1"/>
    </xf>
    <xf numFmtId="10" fontId="29" fillId="0" borderId="0" xfId="0" applyNumberFormat="1" applyFont="1" applyBorder="1" applyAlignment="1">
      <alignment horizontal="right" vertical="center" wrapText="1"/>
    </xf>
    <xf numFmtId="0" fontId="29" fillId="0" borderId="0" xfId="0" applyFont="1" applyAlignment="1">
      <alignment/>
    </xf>
    <xf numFmtId="0" fontId="29" fillId="0" borderId="11" xfId="0" applyFont="1" applyBorder="1" applyAlignment="1">
      <alignment horizontal="center" vertical="center" wrapText="1"/>
    </xf>
    <xf numFmtId="0" fontId="29" fillId="0" borderId="12" xfId="0" applyFont="1" applyBorder="1" applyAlignment="1">
      <alignment horizontal="left" vertical="center" wrapText="1"/>
    </xf>
    <xf numFmtId="49" fontId="29" fillId="0" borderId="12" xfId="0" applyNumberFormat="1" applyFont="1" applyBorder="1" applyAlignment="1">
      <alignment horizontal="center" vertical="center" wrapText="1"/>
    </xf>
    <xf numFmtId="164" fontId="29" fillId="0" borderId="12" xfId="0" applyNumberFormat="1" applyFont="1" applyBorder="1" applyAlignment="1">
      <alignment horizontal="right" vertical="center" wrapText="1"/>
    </xf>
    <xf numFmtId="164" fontId="29" fillId="0" borderId="12" xfId="0" applyNumberFormat="1" applyFont="1" applyFill="1" applyBorder="1" applyAlignment="1">
      <alignment horizontal="right" vertical="center" wrapText="1"/>
    </xf>
    <xf numFmtId="49" fontId="29" fillId="0" borderId="12" xfId="0" applyNumberFormat="1" applyFont="1" applyBorder="1" applyAlignment="1">
      <alignment horizontal="center" vertical="center"/>
    </xf>
    <xf numFmtId="4" fontId="29" fillId="0" borderId="12" xfId="0" applyNumberFormat="1" applyFont="1" applyBorder="1" applyAlignment="1">
      <alignment horizontal="right" vertical="center"/>
    </xf>
    <xf numFmtId="0" fontId="40" fillId="0" borderId="12" xfId="0" applyFont="1" applyBorder="1" applyAlignment="1">
      <alignment horizontal="left" vertical="center" wrapText="1"/>
    </xf>
    <xf numFmtId="49" fontId="40" fillId="0" borderId="12" xfId="0" applyNumberFormat="1" applyFont="1" applyBorder="1" applyAlignment="1">
      <alignment horizontal="center" vertical="center"/>
    </xf>
    <xf numFmtId="4" fontId="40" fillId="0" borderId="12" xfId="0" applyNumberFormat="1" applyFont="1" applyBorder="1" applyAlignment="1">
      <alignment horizontal="right" vertical="center"/>
    </xf>
    <xf numFmtId="164" fontId="40" fillId="0" borderId="12" xfId="0" applyNumberFormat="1" applyFont="1" applyBorder="1" applyAlignment="1">
      <alignment horizontal="right" vertical="center"/>
    </xf>
    <xf numFmtId="0" fontId="29" fillId="0" borderId="12" xfId="0" applyFont="1" applyBorder="1" applyAlignment="1">
      <alignment horizontal="left" vertical="center" wrapText="1"/>
    </xf>
    <xf numFmtId="49" fontId="29" fillId="0" borderId="12" xfId="0" applyNumberFormat="1" applyFont="1" applyBorder="1" applyAlignment="1">
      <alignment horizontal="center" vertical="center"/>
    </xf>
    <xf numFmtId="164" fontId="29" fillId="0" borderId="12" xfId="0" applyNumberFormat="1" applyFont="1" applyBorder="1" applyAlignment="1">
      <alignment horizontal="right" vertical="center"/>
    </xf>
    <xf numFmtId="164" fontId="29" fillId="0" borderId="12" xfId="0" applyNumberFormat="1" applyFont="1" applyFill="1" applyBorder="1" applyAlignment="1">
      <alignment horizontal="right" vertical="center"/>
    </xf>
    <xf numFmtId="0" fontId="39" fillId="0" borderId="12" xfId="0" applyFont="1" applyBorder="1" applyAlignment="1">
      <alignment vertical="center" wrapText="1"/>
    </xf>
    <xf numFmtId="49" fontId="40" fillId="0" borderId="12" xfId="0" applyNumberFormat="1" applyFont="1" applyBorder="1" applyAlignment="1">
      <alignment horizontal="center" vertical="center"/>
    </xf>
    <xf numFmtId="4" fontId="40" fillId="0" borderId="12" xfId="0" applyNumberFormat="1" applyFont="1" applyBorder="1" applyAlignment="1">
      <alignment horizontal="right" vertical="center"/>
    </xf>
    <xf numFmtId="10" fontId="29" fillId="0" borderId="12" xfId="0" applyNumberFormat="1" applyFont="1" applyBorder="1" applyAlignment="1">
      <alignment horizontal="right" vertical="center" wrapText="1"/>
    </xf>
    <xf numFmtId="10" fontId="40" fillId="0" borderId="12" xfId="0" applyNumberFormat="1" applyFont="1" applyBorder="1" applyAlignment="1">
      <alignment horizontal="right" vertical="center" wrapText="1"/>
    </xf>
    <xf numFmtId="0" fontId="1" fillId="0" borderId="12" xfId="0" applyFont="1" applyFill="1" applyBorder="1" applyAlignment="1">
      <alignment vertical="center"/>
    </xf>
    <xf numFmtId="0" fontId="1" fillId="0" borderId="12" xfId="0" applyFont="1" applyFill="1" applyBorder="1" applyAlignment="1">
      <alignment horizontal="justify" vertical="center" wrapText="1"/>
    </xf>
    <xf numFmtId="4" fontId="2" fillId="0" borderId="12" xfId="0" applyNumberFormat="1" applyFont="1" applyFill="1" applyBorder="1" applyAlignment="1">
      <alignment horizontal="right" vertical="center"/>
    </xf>
    <xf numFmtId="4" fontId="31" fillId="0" borderId="12" xfId="0" applyNumberFormat="1" applyFont="1" applyFill="1" applyBorder="1" applyAlignment="1">
      <alignment horizontal="right" vertical="center"/>
    </xf>
    <xf numFmtId="4" fontId="1" fillId="0" borderId="12" xfId="0" applyNumberFormat="1" applyFont="1" applyFill="1" applyBorder="1" applyAlignment="1">
      <alignment horizontal="right" vertical="center"/>
    </xf>
    <xf numFmtId="4" fontId="28" fillId="0" borderId="12" xfId="0" applyNumberFormat="1" applyFont="1" applyFill="1" applyBorder="1" applyAlignment="1">
      <alignment horizontal="right" vertical="center"/>
    </xf>
    <xf numFmtId="4" fontId="33" fillId="0" borderId="12" xfId="0" applyNumberFormat="1" applyFont="1" applyFill="1" applyBorder="1" applyAlignment="1">
      <alignment horizontal="right" vertical="center"/>
    </xf>
    <xf numFmtId="4" fontId="30" fillId="0" borderId="12" xfId="0" applyNumberFormat="1" applyFont="1" applyFill="1" applyBorder="1" applyAlignment="1">
      <alignment horizontal="right" vertical="center"/>
    </xf>
    <xf numFmtId="4" fontId="31" fillId="24" borderId="12" xfId="0" applyNumberFormat="1" applyFont="1" applyFill="1" applyBorder="1" applyAlignment="1">
      <alignment horizontal="right" vertical="center"/>
    </xf>
    <xf numFmtId="4" fontId="28" fillId="24" borderId="12" xfId="0" applyNumberFormat="1" applyFont="1" applyFill="1" applyBorder="1" applyAlignment="1">
      <alignment horizontal="right" vertical="center"/>
    </xf>
    <xf numFmtId="10" fontId="2" fillId="0" borderId="12" xfId="0" applyNumberFormat="1" applyFont="1" applyFill="1" applyBorder="1" applyAlignment="1">
      <alignment horizontal="right" vertical="center"/>
    </xf>
    <xf numFmtId="10" fontId="31" fillId="0" borderId="12" xfId="0" applyNumberFormat="1" applyFont="1" applyFill="1" applyBorder="1" applyAlignment="1">
      <alignment horizontal="right" vertical="center"/>
    </xf>
    <xf numFmtId="10" fontId="1" fillId="0" borderId="12" xfId="0" applyNumberFormat="1" applyFont="1" applyFill="1" applyBorder="1" applyAlignment="1">
      <alignment horizontal="right" vertical="center"/>
    </xf>
    <xf numFmtId="10" fontId="30" fillId="0" borderId="12" xfId="0" applyNumberFormat="1" applyFont="1" applyFill="1" applyBorder="1" applyAlignment="1">
      <alignment horizontal="right" vertical="center"/>
    </xf>
    <xf numFmtId="0" fontId="30" fillId="0" borderId="12" xfId="0" applyFont="1" applyFill="1" applyBorder="1" applyAlignment="1">
      <alignment vertical="center"/>
    </xf>
    <xf numFmtId="0" fontId="1" fillId="24" borderId="12" xfId="0" applyFont="1" applyFill="1" applyBorder="1" applyAlignment="1">
      <alignment horizontal="center" vertical="center" wrapText="1"/>
    </xf>
    <xf numFmtId="0" fontId="1" fillId="24" borderId="12" xfId="0" applyFont="1" applyFill="1" applyBorder="1" applyAlignment="1">
      <alignment horizontal="center" vertical="center"/>
    </xf>
    <xf numFmtId="10" fontId="1" fillId="24" borderId="12" xfId="0" applyNumberFormat="1" applyFont="1" applyFill="1" applyBorder="1" applyAlignment="1">
      <alignment horizontal="center" vertical="center" wrapText="1"/>
    </xf>
    <xf numFmtId="0" fontId="1" fillId="24" borderId="12" xfId="0" applyFont="1" applyFill="1" applyBorder="1" applyAlignment="1">
      <alignment horizontal="center"/>
    </xf>
    <xf numFmtId="0" fontId="2" fillId="24" borderId="12" xfId="0" applyFont="1" applyFill="1" applyBorder="1" applyAlignment="1">
      <alignment horizontal="center" vertical="center"/>
    </xf>
    <xf numFmtId="49" fontId="2" fillId="24" borderId="12" xfId="0" applyNumberFormat="1" applyFont="1" applyFill="1" applyBorder="1" applyAlignment="1">
      <alignment horizontal="center" vertical="center"/>
    </xf>
    <xf numFmtId="0" fontId="2" fillId="24" borderId="12" xfId="0" applyFont="1" applyFill="1" applyBorder="1" applyAlignment="1">
      <alignment vertical="center" wrapText="1"/>
    </xf>
    <xf numFmtId="0" fontId="30" fillId="24" borderId="12" xfId="0" applyFont="1" applyFill="1" applyBorder="1" applyAlignment="1">
      <alignment vertical="center"/>
    </xf>
    <xf numFmtId="0" fontId="2" fillId="24" borderId="12" xfId="0" applyFont="1" applyFill="1" applyBorder="1" applyAlignment="1">
      <alignment vertical="center"/>
    </xf>
    <xf numFmtId="0" fontId="30" fillId="24" borderId="12" xfId="0" applyFont="1" applyFill="1" applyBorder="1" applyAlignment="1">
      <alignment horizontal="center" vertical="center"/>
    </xf>
    <xf numFmtId="49" fontId="30" fillId="24" borderId="12" xfId="0" applyNumberFormat="1" applyFont="1" applyFill="1" applyBorder="1" applyAlignment="1">
      <alignment horizontal="center" vertical="center"/>
    </xf>
    <xf numFmtId="0" fontId="33" fillId="24" borderId="11" xfId="0" applyFont="1" applyFill="1" applyBorder="1" applyAlignment="1">
      <alignment horizontal="center" vertical="center"/>
    </xf>
    <xf numFmtId="49" fontId="33" fillId="24" borderId="11" xfId="0" applyNumberFormat="1" applyFont="1" applyFill="1" applyBorder="1" applyAlignment="1">
      <alignment horizontal="center" vertical="center"/>
    </xf>
    <xf numFmtId="0" fontId="33" fillId="24" borderId="12" xfId="0" applyFont="1" applyFill="1" applyBorder="1" applyAlignment="1">
      <alignment vertical="center" wrapText="1"/>
    </xf>
    <xf numFmtId="0" fontId="28" fillId="24" borderId="11" xfId="0" applyFont="1" applyFill="1" applyBorder="1" applyAlignment="1">
      <alignment horizontal="center" vertical="center"/>
    </xf>
    <xf numFmtId="49" fontId="28" fillId="24" borderId="11" xfId="0" applyNumberFormat="1" applyFont="1" applyFill="1" applyBorder="1" applyAlignment="1">
      <alignment horizontal="center" vertical="center"/>
    </xf>
    <xf numFmtId="0" fontId="33" fillId="24" borderId="12" xfId="0" applyFont="1" applyFill="1" applyBorder="1" applyAlignment="1">
      <alignment horizontal="center" vertical="center"/>
    </xf>
    <xf numFmtId="49" fontId="33" fillId="24" borderId="12" xfId="0" applyNumberFormat="1" applyFont="1" applyFill="1" applyBorder="1" applyAlignment="1">
      <alignment horizontal="center" vertical="center"/>
    </xf>
    <xf numFmtId="49" fontId="28" fillId="24" borderId="12" xfId="0" applyNumberFormat="1" applyFont="1" applyFill="1" applyBorder="1" applyAlignment="1">
      <alignment horizontal="center" vertical="center"/>
    </xf>
    <xf numFmtId="0" fontId="30" fillId="24" borderId="12" xfId="0" applyFont="1" applyFill="1" applyBorder="1" applyAlignment="1">
      <alignment horizontal="justify" vertical="center" wrapText="1"/>
    </xf>
    <xf numFmtId="49" fontId="1" fillId="24" borderId="12" xfId="0" applyNumberFormat="1" applyFont="1" applyFill="1" applyBorder="1" applyAlignment="1">
      <alignment horizontal="center" vertical="center"/>
    </xf>
    <xf numFmtId="0" fontId="1" fillId="24" borderId="12" xfId="0" applyFont="1" applyFill="1" applyBorder="1" applyAlignment="1">
      <alignment vertical="center" wrapText="1"/>
    </xf>
    <xf numFmtId="0" fontId="28" fillId="24" borderId="0" xfId="0" applyFont="1" applyFill="1" applyAlignment="1">
      <alignment/>
    </xf>
    <xf numFmtId="0" fontId="34" fillId="24" borderId="0" xfId="0" applyFont="1" applyFill="1" applyAlignment="1">
      <alignment/>
    </xf>
    <xf numFmtId="0" fontId="33" fillId="24" borderId="12" xfId="0" applyFont="1" applyFill="1" applyBorder="1" applyAlignment="1">
      <alignment horizontal="justify" vertical="center" wrapText="1"/>
    </xf>
    <xf numFmtId="0" fontId="28" fillId="24" borderId="12" xfId="0" applyFont="1" applyFill="1" applyBorder="1" applyAlignment="1">
      <alignment horizontal="justify" vertical="center" wrapText="1"/>
    </xf>
    <xf numFmtId="49" fontId="33" fillId="24" borderId="12" xfId="0" applyNumberFormat="1" applyFont="1" applyFill="1" applyBorder="1" applyAlignment="1">
      <alignment vertical="center" wrapText="1"/>
    </xf>
    <xf numFmtId="49" fontId="28" fillId="24" borderId="12" xfId="0" applyNumberFormat="1" applyFont="1" applyFill="1" applyBorder="1" applyAlignment="1">
      <alignment vertical="center" wrapText="1"/>
    </xf>
    <xf numFmtId="0" fontId="45" fillId="24" borderId="12" xfId="0" applyFont="1" applyFill="1" applyBorder="1" applyAlignment="1">
      <alignment horizontal="center" vertical="center"/>
    </xf>
    <xf numFmtId="49" fontId="45" fillId="24" borderId="12" xfId="0" applyNumberFormat="1" applyFont="1" applyFill="1" applyBorder="1" applyAlignment="1">
      <alignment horizontal="center" vertical="center"/>
    </xf>
    <xf numFmtId="0" fontId="45" fillId="24" borderId="12" xfId="0" applyFont="1" applyFill="1" applyBorder="1" applyAlignment="1">
      <alignment vertical="center" wrapText="1"/>
    </xf>
    <xf numFmtId="0" fontId="2" fillId="24" borderId="12" xfId="0" applyFont="1" applyFill="1" applyBorder="1" applyAlignment="1">
      <alignment horizontal="center" vertical="center" wrapText="1"/>
    </xf>
    <xf numFmtId="49" fontId="2" fillId="24" borderId="12" xfId="0" applyNumberFormat="1" applyFont="1" applyFill="1" applyBorder="1" applyAlignment="1">
      <alignment horizontal="center" vertical="center" wrapText="1"/>
    </xf>
    <xf numFmtId="0" fontId="2" fillId="24" borderId="12" xfId="0" applyFont="1" applyFill="1" applyBorder="1" applyAlignment="1">
      <alignment horizontal="justify" vertical="center" wrapText="1"/>
    </xf>
    <xf numFmtId="2" fontId="30" fillId="24" borderId="12" xfId="0" applyNumberFormat="1" applyFont="1" applyFill="1" applyBorder="1" applyAlignment="1">
      <alignment horizontal="justify" vertical="center" wrapText="1"/>
    </xf>
    <xf numFmtId="0" fontId="33" fillId="24" borderId="0" xfId="0" applyFont="1" applyFill="1" applyAlignment="1">
      <alignment vertical="center" wrapText="1"/>
    </xf>
    <xf numFmtId="2" fontId="28" fillId="24" borderId="12" xfId="0" applyNumberFormat="1" applyFont="1" applyFill="1" applyBorder="1" applyAlignment="1">
      <alignment horizontal="left" vertical="center" wrapText="1"/>
    </xf>
    <xf numFmtId="0" fontId="30" fillId="24" borderId="12" xfId="0" applyFont="1" applyFill="1" applyBorder="1" applyAlignment="1">
      <alignment vertical="center" wrapText="1"/>
    </xf>
    <xf numFmtId="0" fontId="30" fillId="24" borderId="0" xfId="0" applyFont="1" applyFill="1" applyAlignment="1">
      <alignment vertical="center" wrapText="1"/>
    </xf>
    <xf numFmtId="0" fontId="2" fillId="24" borderId="12" xfId="0" applyFont="1" applyFill="1" applyBorder="1" applyAlignment="1">
      <alignment horizontal="left" vertical="center" wrapText="1"/>
    </xf>
    <xf numFmtId="0" fontId="30" fillId="24" borderId="12" xfId="0" applyFont="1" applyFill="1" applyBorder="1" applyAlignment="1">
      <alignment horizontal="left" vertical="center" wrapText="1"/>
    </xf>
    <xf numFmtId="0" fontId="33" fillId="24" borderId="12" xfId="0" applyFont="1" applyFill="1" applyBorder="1" applyAlignment="1">
      <alignment horizontal="left" vertical="center" wrapText="1"/>
    </xf>
    <xf numFmtId="0" fontId="28" fillId="24" borderId="0" xfId="0" applyFont="1" applyFill="1" applyAlignment="1">
      <alignment vertical="center" wrapText="1"/>
    </xf>
    <xf numFmtId="0" fontId="30" fillId="24" borderId="11" xfId="0" applyFont="1" applyFill="1" applyBorder="1" applyAlignment="1">
      <alignment horizontal="center" vertical="center"/>
    </xf>
    <xf numFmtId="49" fontId="30" fillId="24" borderId="11" xfId="0" applyNumberFormat="1" applyFont="1" applyFill="1" applyBorder="1" applyAlignment="1">
      <alignment horizontal="center" vertical="center"/>
    </xf>
    <xf numFmtId="0" fontId="46" fillId="24" borderId="12" xfId="0" applyFont="1" applyFill="1" applyBorder="1" applyAlignment="1">
      <alignment vertical="center" wrapText="1"/>
    </xf>
    <xf numFmtId="0" fontId="48" fillId="24" borderId="12" xfId="0" applyFont="1" applyFill="1" applyBorder="1" applyAlignment="1">
      <alignment vertical="center" wrapText="1"/>
    </xf>
    <xf numFmtId="0" fontId="1" fillId="24" borderId="12" xfId="0" applyFont="1" applyFill="1" applyBorder="1" applyAlignment="1">
      <alignment horizontal="left" vertical="center" wrapText="1"/>
    </xf>
    <xf numFmtId="0" fontId="43" fillId="24" borderId="12" xfId="0" applyFont="1" applyFill="1" applyBorder="1" applyAlignment="1">
      <alignment horizontal="center" vertical="center"/>
    </xf>
    <xf numFmtId="49" fontId="43" fillId="24" borderId="12" xfId="0" applyNumberFormat="1" applyFont="1" applyFill="1" applyBorder="1" applyAlignment="1">
      <alignment horizontal="center" vertical="center"/>
    </xf>
    <xf numFmtId="0" fontId="43" fillId="24" borderId="12" xfId="0" applyFont="1" applyFill="1" applyBorder="1" applyAlignment="1">
      <alignment horizontal="left" vertical="center" wrapText="1"/>
    </xf>
    <xf numFmtId="0" fontId="1" fillId="24" borderId="0" xfId="0" applyFont="1" applyFill="1" applyAlignment="1">
      <alignment/>
    </xf>
    <xf numFmtId="0" fontId="4" fillId="24" borderId="0" xfId="0" applyFont="1" applyFill="1" applyAlignment="1">
      <alignment horizontal="center"/>
    </xf>
    <xf numFmtId="0" fontId="1" fillId="24" borderId="0" xfId="0" applyFont="1" applyFill="1" applyAlignment="1">
      <alignment horizontal="center"/>
    </xf>
    <xf numFmtId="0" fontId="4" fillId="24" borderId="0" xfId="0" applyFont="1" applyFill="1" applyAlignment="1">
      <alignment/>
    </xf>
    <xf numFmtId="4" fontId="2" fillId="24" borderId="12" xfId="0" applyNumberFormat="1" applyFont="1" applyFill="1" applyBorder="1" applyAlignment="1">
      <alignment horizontal="right" vertical="center"/>
    </xf>
    <xf numFmtId="10" fontId="2" fillId="24" borderId="12" xfId="0" applyNumberFormat="1" applyFont="1" applyFill="1" applyBorder="1" applyAlignment="1">
      <alignment horizontal="right" vertical="center"/>
    </xf>
    <xf numFmtId="4" fontId="30" fillId="24" borderId="12" xfId="0" applyNumberFormat="1" applyFont="1" applyFill="1" applyBorder="1" applyAlignment="1">
      <alignment horizontal="right" vertical="center"/>
    </xf>
    <xf numFmtId="10" fontId="30" fillId="24" borderId="12" xfId="0" applyNumberFormat="1" applyFont="1" applyFill="1" applyBorder="1" applyAlignment="1">
      <alignment horizontal="right" vertical="center"/>
    </xf>
    <xf numFmtId="4" fontId="33" fillId="24" borderId="11" xfId="0" applyNumberFormat="1" applyFont="1" applyFill="1" applyBorder="1" applyAlignment="1">
      <alignment horizontal="right" vertical="center"/>
    </xf>
    <xf numFmtId="10" fontId="33" fillId="24" borderId="11" xfId="0" applyNumberFormat="1" applyFont="1" applyFill="1" applyBorder="1" applyAlignment="1">
      <alignment horizontal="right" vertical="center"/>
    </xf>
    <xf numFmtId="10" fontId="1" fillId="24" borderId="12" xfId="0" applyNumberFormat="1" applyFont="1" applyFill="1" applyBorder="1" applyAlignment="1">
      <alignment horizontal="right" vertical="center"/>
    </xf>
    <xf numFmtId="4" fontId="33" fillId="24" borderId="12" xfId="0" applyNumberFormat="1" applyFont="1" applyFill="1" applyBorder="1" applyAlignment="1">
      <alignment horizontal="right" vertical="center"/>
    </xf>
    <xf numFmtId="10" fontId="33" fillId="24" borderId="12" xfId="0" applyNumberFormat="1" applyFont="1" applyFill="1" applyBorder="1" applyAlignment="1">
      <alignment horizontal="right" vertical="center"/>
    </xf>
    <xf numFmtId="10" fontId="28" fillId="24" borderId="12" xfId="0" applyNumberFormat="1" applyFont="1" applyFill="1" applyBorder="1" applyAlignment="1">
      <alignment horizontal="right" vertical="center"/>
    </xf>
    <xf numFmtId="4" fontId="1" fillId="24" borderId="12" xfId="0" applyNumberFormat="1" applyFont="1" applyFill="1" applyBorder="1" applyAlignment="1">
      <alignment horizontal="right" vertical="center"/>
    </xf>
    <xf numFmtId="4" fontId="28" fillId="24" borderId="11" xfId="0" applyNumberFormat="1" applyFont="1" applyFill="1" applyBorder="1" applyAlignment="1">
      <alignment horizontal="right" vertical="center"/>
    </xf>
    <xf numFmtId="10" fontId="28" fillId="24" borderId="11" xfId="0" applyNumberFormat="1" applyFont="1" applyFill="1" applyBorder="1" applyAlignment="1">
      <alignment horizontal="right" vertical="center"/>
    </xf>
    <xf numFmtId="4" fontId="30" fillId="24" borderId="11" xfId="0" applyNumberFormat="1" applyFont="1" applyFill="1" applyBorder="1" applyAlignment="1">
      <alignment horizontal="right" vertical="center"/>
    </xf>
    <xf numFmtId="10" fontId="30" fillId="24" borderId="11" xfId="0" applyNumberFormat="1" applyFont="1" applyFill="1" applyBorder="1" applyAlignment="1">
      <alignment horizontal="right" vertical="center"/>
    </xf>
    <xf numFmtId="0" fontId="1" fillId="24" borderId="0" xfId="0" applyFont="1" applyFill="1" applyAlignment="1">
      <alignment horizontal="right"/>
    </xf>
    <xf numFmtId="0" fontId="29" fillId="24" borderId="0" xfId="0" applyFont="1" applyFill="1" applyAlignment="1">
      <alignment horizontal="center"/>
    </xf>
    <xf numFmtId="4" fontId="45" fillId="24" borderId="12" xfId="0" applyNumberFormat="1" applyFont="1" applyFill="1" applyBorder="1" applyAlignment="1">
      <alignment horizontal="right" vertical="center"/>
    </xf>
    <xf numFmtId="10" fontId="45" fillId="24" borderId="12" xfId="0" applyNumberFormat="1" applyFont="1" applyFill="1" applyBorder="1" applyAlignment="1">
      <alignment horizontal="right" vertical="center"/>
    </xf>
    <xf numFmtId="49" fontId="31" fillId="24" borderId="12" xfId="0" applyNumberFormat="1" applyFont="1" applyFill="1" applyBorder="1" applyAlignment="1">
      <alignment horizontal="center" vertical="center"/>
    </xf>
    <xf numFmtId="10" fontId="31" fillId="24" borderId="12" xfId="0" applyNumberFormat="1" applyFont="1" applyFill="1" applyBorder="1" applyAlignment="1">
      <alignment horizontal="right" vertical="center"/>
    </xf>
    <xf numFmtId="0" fontId="31" fillId="24" borderId="12" xfId="0" applyFont="1" applyFill="1" applyBorder="1" applyAlignment="1">
      <alignment horizontal="left" vertical="center" wrapText="1"/>
    </xf>
    <xf numFmtId="0" fontId="31" fillId="24" borderId="12" xfId="0" applyFont="1" applyFill="1" applyBorder="1" applyAlignment="1">
      <alignment horizontal="center" vertical="center" wrapText="1"/>
    </xf>
    <xf numFmtId="49" fontId="31" fillId="24" borderId="12" xfId="0" applyNumberFormat="1" applyFont="1" applyFill="1" applyBorder="1" applyAlignment="1">
      <alignment horizontal="center" vertical="center" wrapText="1"/>
    </xf>
    <xf numFmtId="4" fontId="43" fillId="24" borderId="12" xfId="0" applyNumberFormat="1" applyFont="1" applyFill="1" applyBorder="1" applyAlignment="1">
      <alignment horizontal="right" vertical="center"/>
    </xf>
    <xf numFmtId="0" fontId="1" fillId="0" borderId="0" xfId="0" applyFont="1" applyFill="1" applyAlignment="1">
      <alignment horizontal="right"/>
    </xf>
    <xf numFmtId="49" fontId="3" fillId="0" borderId="0" xfId="0" applyNumberFormat="1" applyFont="1" applyFill="1" applyAlignment="1">
      <alignment horizontal="center" vertical="center" wrapText="1"/>
    </xf>
    <xf numFmtId="0" fontId="2" fillId="0" borderId="12" xfId="0" applyFont="1" applyFill="1" applyBorder="1" applyAlignment="1">
      <alignment horizontal="right" vertical="center"/>
    </xf>
    <xf numFmtId="0" fontId="1" fillId="24" borderId="0" xfId="0" applyFont="1" applyFill="1" applyAlignment="1">
      <alignment horizontal="right"/>
    </xf>
    <xf numFmtId="49" fontId="3" fillId="24" borderId="0" xfId="0" applyNumberFormat="1" applyFont="1" applyFill="1" applyAlignment="1">
      <alignment horizontal="center" vertical="center" wrapText="1"/>
    </xf>
    <xf numFmtId="49" fontId="1" fillId="0" borderId="10" xfId="0" applyNumberFormat="1" applyFont="1" applyFill="1" applyBorder="1" applyAlignment="1">
      <alignment horizontal="center" vertical="center" wrapText="1"/>
    </xf>
    <xf numFmtId="10" fontId="1" fillId="0" borderId="10" xfId="0" applyNumberFormat="1" applyFont="1" applyFill="1" applyBorder="1" applyAlignment="1">
      <alignment horizontal="right" vertical="center" wrapText="1"/>
    </xf>
    <xf numFmtId="0" fontId="2" fillId="0" borderId="0" xfId="0" applyFont="1" applyFill="1" applyAlignment="1">
      <alignment horizontal="center" vertical="center" wrapText="1"/>
    </xf>
    <xf numFmtId="4" fontId="1" fillId="0" borderId="10" xfId="0" applyNumberFormat="1" applyFont="1" applyFill="1" applyBorder="1" applyAlignment="1">
      <alignment horizontal="right" vertical="center" wrapText="1"/>
    </xf>
    <xf numFmtId="0" fontId="9" fillId="0" borderId="14" xfId="0" applyFont="1" applyFill="1" applyBorder="1" applyAlignment="1">
      <alignment horizontal="right" vertical="center" wrapText="1"/>
    </xf>
    <xf numFmtId="0" fontId="9" fillId="0" borderId="18" xfId="0" applyFont="1" applyFill="1" applyBorder="1" applyAlignment="1">
      <alignment horizontal="right" vertical="center" wrapText="1"/>
    </xf>
    <xf numFmtId="0" fontId="2" fillId="0" borderId="0" xfId="0" applyFont="1" applyFill="1" applyAlignment="1">
      <alignment horizontal="center"/>
    </xf>
    <xf numFmtId="0" fontId="38" fillId="0" borderId="14"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9" xfId="0" applyFont="1" applyBorder="1" applyAlignment="1">
      <alignment horizontal="center" vertical="center" wrapText="1"/>
    </xf>
    <xf numFmtId="0" fontId="36" fillId="0" borderId="0" xfId="0" applyFont="1" applyAlignment="1">
      <alignment horizontal="center" wrapText="1"/>
    </xf>
    <xf numFmtId="0" fontId="1" fillId="0" borderId="11" xfId="0" applyFont="1" applyFill="1" applyBorder="1" applyAlignment="1">
      <alignment horizontal="center" vertical="center" wrapText="1"/>
    </xf>
    <xf numFmtId="0" fontId="1" fillId="0" borderId="16" xfId="0" applyFont="1" applyFill="1" applyBorder="1" applyAlignment="1">
      <alignment horizontal="center" vertical="center" wrapText="1"/>
    </xf>
    <xf numFmtId="10" fontId="1" fillId="0" borderId="11" xfId="0" applyNumberFormat="1" applyFont="1" applyFill="1" applyBorder="1" applyAlignment="1">
      <alignment horizontal="center" vertical="center" wrapText="1"/>
    </xf>
    <xf numFmtId="10" fontId="1" fillId="0" borderId="16" xfId="0" applyNumberFormat="1" applyFont="1" applyFill="1" applyBorder="1" applyAlignment="1">
      <alignment horizontal="center" vertical="center" wrapText="1"/>
    </xf>
    <xf numFmtId="0" fontId="36" fillId="0" borderId="0" xfId="0" applyFont="1" applyAlignment="1">
      <alignment horizontal="center"/>
    </xf>
    <xf numFmtId="0" fontId="36" fillId="0" borderId="0" xfId="0" applyFont="1" applyAlignment="1">
      <alignment horizontal="center" vertical="center" wrapText="1"/>
    </xf>
    <xf numFmtId="0" fontId="37" fillId="0" borderId="11"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4" xfId="0" applyFont="1" applyBorder="1" applyAlignment="1">
      <alignment horizontal="center" vertical="center"/>
    </xf>
    <xf numFmtId="0" fontId="37" fillId="0" borderId="18" xfId="0" applyFont="1" applyBorder="1" applyAlignment="1">
      <alignment horizontal="center" vertical="center"/>
    </xf>
    <xf numFmtId="0" fontId="37" fillId="0" borderId="19" xfId="0" applyFont="1" applyBorder="1" applyAlignment="1">
      <alignment horizontal="center" vertical="center"/>
    </xf>
    <xf numFmtId="0" fontId="2" fillId="0" borderId="14" xfId="0" applyFont="1" applyFill="1" applyBorder="1" applyAlignment="1">
      <alignment horizontal="left" vertical="center" wrapText="1"/>
    </xf>
    <xf numFmtId="0" fontId="2" fillId="0" borderId="19" xfId="0" applyFont="1" applyFill="1" applyBorder="1" applyAlignment="1">
      <alignment horizontal="left" vertical="center" wrapText="1"/>
    </xf>
    <xf numFmtId="2" fontId="2" fillId="0" borderId="14" xfId="0" applyNumberFormat="1" applyFont="1" applyFill="1" applyBorder="1" applyAlignment="1">
      <alignment horizontal="left" vertical="center" wrapText="1"/>
    </xf>
    <xf numFmtId="2" fontId="2" fillId="0" borderId="19" xfId="0" applyNumberFormat="1" applyFont="1" applyFill="1" applyBorder="1" applyAlignment="1">
      <alignment horizontal="left" vertical="center" wrapText="1"/>
    </xf>
    <xf numFmtId="0" fontId="2" fillId="0" borderId="0" xfId="0" applyFont="1" applyFill="1" applyAlignment="1">
      <alignment horizont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H139"/>
  <sheetViews>
    <sheetView zoomScalePageLayoutView="0" workbookViewId="0" topLeftCell="A1">
      <selection activeCell="A5" sqref="A5:E5"/>
    </sheetView>
  </sheetViews>
  <sheetFormatPr defaultColWidth="9.00390625" defaultRowHeight="16.5" customHeight="1"/>
  <cols>
    <col min="1" max="1" width="27.625" style="68" customWidth="1"/>
    <col min="2" max="2" width="46.25390625" style="10" customWidth="1"/>
    <col min="3" max="3" width="25.00390625" style="102" customWidth="1"/>
    <col min="4" max="4" width="19.875" style="102" customWidth="1"/>
    <col min="5" max="5" width="16.375" style="102" customWidth="1"/>
    <col min="6" max="16384" width="9.125" style="68" customWidth="1"/>
  </cols>
  <sheetData>
    <row r="1" spans="2:5" ht="16.5" customHeight="1">
      <c r="B1" s="296" t="s">
        <v>538</v>
      </c>
      <c r="C1" s="296"/>
      <c r="D1" s="296"/>
      <c r="E1" s="296"/>
    </row>
    <row r="2" spans="2:5" ht="16.5" customHeight="1">
      <c r="B2" s="296" t="s">
        <v>686</v>
      </c>
      <c r="C2" s="296"/>
      <c r="D2" s="296"/>
      <c r="E2" s="296"/>
    </row>
    <row r="3" spans="2:5" ht="16.5" customHeight="1">
      <c r="B3" s="296" t="s">
        <v>997</v>
      </c>
      <c r="C3" s="296"/>
      <c r="D3" s="296"/>
      <c r="E3" s="296"/>
    </row>
    <row r="4" spans="2:5" ht="16.5" customHeight="1">
      <c r="B4" s="47"/>
      <c r="C4" s="20"/>
      <c r="D4" s="20"/>
      <c r="E4" s="20"/>
    </row>
    <row r="5" spans="1:5" ht="28.5" customHeight="1">
      <c r="A5" s="297" t="s">
        <v>812</v>
      </c>
      <c r="B5" s="297"/>
      <c r="C5" s="297"/>
      <c r="D5" s="297"/>
      <c r="E5" s="297"/>
    </row>
    <row r="6" spans="3:5" ht="16.5" customHeight="1">
      <c r="C6" s="72"/>
      <c r="D6" s="72"/>
      <c r="E6" s="72"/>
    </row>
    <row r="7" spans="1:5" ht="47.25">
      <c r="A7" s="13" t="s">
        <v>989</v>
      </c>
      <c r="B7" s="69" t="s">
        <v>990</v>
      </c>
      <c r="C7" s="13" t="s">
        <v>359</v>
      </c>
      <c r="D7" s="13" t="s">
        <v>539</v>
      </c>
      <c r="E7" s="149" t="s">
        <v>360</v>
      </c>
    </row>
    <row r="8" spans="1:5" ht="18.75">
      <c r="A8" s="73">
        <v>1</v>
      </c>
      <c r="B8" s="73">
        <v>2</v>
      </c>
      <c r="C8" s="73">
        <v>3</v>
      </c>
      <c r="D8" s="73">
        <v>4</v>
      </c>
      <c r="E8" s="73">
        <v>5</v>
      </c>
    </row>
    <row r="9" spans="1:5" ht="31.5">
      <c r="A9" s="74" t="s">
        <v>991</v>
      </c>
      <c r="B9" s="48" t="s">
        <v>992</v>
      </c>
      <c r="C9" s="203">
        <f>C10+C49</f>
        <v>767578505</v>
      </c>
      <c r="D9" s="203">
        <f>D10+D49</f>
        <v>705395011.2899998</v>
      </c>
      <c r="E9" s="211">
        <f>D9/C9</f>
        <v>0.9189874477920663</v>
      </c>
    </row>
    <row r="10" spans="1:5" ht="18.75">
      <c r="A10" s="69"/>
      <c r="B10" s="215" t="s">
        <v>993</v>
      </c>
      <c r="C10" s="208">
        <f>C12+C24+C36+C44+C18</f>
        <v>695923869</v>
      </c>
      <c r="D10" s="208">
        <f>D12+D24+D36+D44+D18</f>
        <v>646425695.7399999</v>
      </c>
      <c r="E10" s="214">
        <f>D10/C10</f>
        <v>0.9288741549688101</v>
      </c>
    </row>
    <row r="11" spans="1:5" ht="18.75" hidden="1">
      <c r="A11" s="69"/>
      <c r="B11" s="77" t="s">
        <v>994</v>
      </c>
      <c r="C11" s="205"/>
      <c r="D11" s="205"/>
      <c r="E11" s="212" t="e">
        <f aca="true" t="shared" si="0" ref="E11:E74">D11/C11</f>
        <v>#DIV/0!</v>
      </c>
    </row>
    <row r="12" spans="1:5" ht="24.75" customHeight="1">
      <c r="A12" s="69" t="s">
        <v>995</v>
      </c>
      <c r="B12" s="201" t="s">
        <v>996</v>
      </c>
      <c r="C12" s="205">
        <f>C13</f>
        <v>607416675</v>
      </c>
      <c r="D12" s="205">
        <v>571032960.18</v>
      </c>
      <c r="E12" s="213">
        <f t="shared" si="0"/>
        <v>0.9401008956166703</v>
      </c>
    </row>
    <row r="13" spans="1:5" ht="23.25" customHeight="1" hidden="1">
      <c r="A13" s="76" t="s">
        <v>0</v>
      </c>
      <c r="B13" s="77" t="s">
        <v>1</v>
      </c>
      <c r="C13" s="204">
        <f>C14+C15+C16+C17</f>
        <v>607416675</v>
      </c>
      <c r="D13" s="204"/>
      <c r="E13" s="213">
        <f t="shared" si="0"/>
        <v>0</v>
      </c>
    </row>
    <row r="14" spans="1:5" ht="92.25" customHeight="1" hidden="1">
      <c r="A14" s="78" t="s">
        <v>2</v>
      </c>
      <c r="B14" s="79" t="s">
        <v>347</v>
      </c>
      <c r="C14" s="205">
        <f>574370840-76000-406000+32000000+440000-100000</f>
        <v>606228840</v>
      </c>
      <c r="D14" s="205"/>
      <c r="E14" s="213">
        <f t="shared" si="0"/>
        <v>0</v>
      </c>
    </row>
    <row r="15" spans="1:5" ht="139.5" customHeight="1" hidden="1">
      <c r="A15" s="78" t="s">
        <v>3</v>
      </c>
      <c r="B15" s="79" t="s">
        <v>349</v>
      </c>
      <c r="C15" s="205">
        <f>126000+74000+100000</f>
        <v>300000</v>
      </c>
      <c r="D15" s="205"/>
      <c r="E15" s="213">
        <f t="shared" si="0"/>
        <v>0</v>
      </c>
    </row>
    <row r="16" spans="1:5" ht="68.25" customHeight="1" hidden="1">
      <c r="A16" s="78" t="s">
        <v>4</v>
      </c>
      <c r="B16" s="79" t="s">
        <v>5</v>
      </c>
      <c r="C16" s="205">
        <f>472500+400000</f>
        <v>872500</v>
      </c>
      <c r="D16" s="205"/>
      <c r="E16" s="213">
        <f t="shared" si="0"/>
        <v>0</v>
      </c>
    </row>
    <row r="17" spans="1:5" ht="123.75" customHeight="1" hidden="1">
      <c r="A17" s="78" t="s">
        <v>6</v>
      </c>
      <c r="B17" s="79" t="s">
        <v>350</v>
      </c>
      <c r="C17" s="205">
        <f>2835+2000+6000+4500</f>
        <v>15335</v>
      </c>
      <c r="D17" s="205"/>
      <c r="E17" s="213">
        <f t="shared" si="0"/>
        <v>0</v>
      </c>
    </row>
    <row r="18" spans="1:5" ht="57" customHeight="1">
      <c r="A18" s="69" t="s">
        <v>7</v>
      </c>
      <c r="B18" s="164" t="s">
        <v>8</v>
      </c>
      <c r="C18" s="205">
        <f>C19</f>
        <v>8562100</v>
      </c>
      <c r="D18" s="205">
        <v>7557038.31</v>
      </c>
      <c r="E18" s="213">
        <f t="shared" si="0"/>
        <v>0.8826150488781958</v>
      </c>
    </row>
    <row r="19" spans="1:5" ht="47.25" hidden="1">
      <c r="A19" s="76" t="s">
        <v>9</v>
      </c>
      <c r="B19" s="80" t="s">
        <v>10</v>
      </c>
      <c r="C19" s="204">
        <f>C20+C21+C22+C23</f>
        <v>8562100</v>
      </c>
      <c r="D19" s="204"/>
      <c r="E19" s="213">
        <f t="shared" si="0"/>
        <v>0</v>
      </c>
    </row>
    <row r="20" spans="1:5" ht="90" hidden="1">
      <c r="A20" s="78" t="s">
        <v>11</v>
      </c>
      <c r="B20" s="79" t="s">
        <v>12</v>
      </c>
      <c r="C20" s="206">
        <v>3681703</v>
      </c>
      <c r="D20" s="206"/>
      <c r="E20" s="213">
        <f t="shared" si="0"/>
        <v>0</v>
      </c>
    </row>
    <row r="21" spans="1:5" ht="105" hidden="1">
      <c r="A21" s="78" t="s">
        <v>13</v>
      </c>
      <c r="B21" s="79" t="s">
        <v>351</v>
      </c>
      <c r="C21" s="206">
        <f>85621+50000</f>
        <v>135621</v>
      </c>
      <c r="D21" s="206"/>
      <c r="E21" s="213">
        <f t="shared" si="0"/>
        <v>0</v>
      </c>
    </row>
    <row r="22" spans="1:5" ht="90" hidden="1">
      <c r="A22" s="78" t="s">
        <v>14</v>
      </c>
      <c r="B22" s="79" t="s">
        <v>15</v>
      </c>
      <c r="C22" s="206">
        <v>4623534</v>
      </c>
      <c r="D22" s="206"/>
      <c r="E22" s="213">
        <f t="shared" si="0"/>
        <v>0</v>
      </c>
    </row>
    <row r="23" spans="1:6" ht="90" hidden="1">
      <c r="A23" s="78" t="s">
        <v>16</v>
      </c>
      <c r="B23" s="79" t="s">
        <v>17</v>
      </c>
      <c r="C23" s="206">
        <f>171242-50000</f>
        <v>121242</v>
      </c>
      <c r="D23" s="206"/>
      <c r="E23" s="213">
        <f t="shared" si="0"/>
        <v>0</v>
      </c>
      <c r="F23" s="71"/>
    </row>
    <row r="24" spans="1:5" ht="22.5" customHeight="1">
      <c r="A24" s="69" t="s">
        <v>18</v>
      </c>
      <c r="B24" s="201" t="s">
        <v>19</v>
      </c>
      <c r="C24" s="205">
        <f>C25+C31+C35</f>
        <v>54405495</v>
      </c>
      <c r="D24" s="205">
        <v>44392447.29</v>
      </c>
      <c r="E24" s="213">
        <f t="shared" si="0"/>
        <v>0.8159552135312802</v>
      </c>
    </row>
    <row r="25" spans="1:8" ht="39.75" customHeight="1" hidden="1">
      <c r="A25" s="76" t="s">
        <v>20</v>
      </c>
      <c r="B25" s="81" t="s">
        <v>21</v>
      </c>
      <c r="C25" s="204">
        <f>C26+C28+C30</f>
        <v>31405195</v>
      </c>
      <c r="D25" s="204"/>
      <c r="E25" s="213">
        <f t="shared" si="0"/>
        <v>0</v>
      </c>
      <c r="H25" s="71"/>
    </row>
    <row r="26" spans="1:5" s="82" customFormat="1" ht="51.75" customHeight="1" hidden="1">
      <c r="A26" s="78" t="s">
        <v>22</v>
      </c>
      <c r="B26" s="79" t="s">
        <v>23</v>
      </c>
      <c r="C26" s="206">
        <f>C27</f>
        <v>12384406</v>
      </c>
      <c r="D26" s="206"/>
      <c r="E26" s="213">
        <f t="shared" si="0"/>
        <v>0</v>
      </c>
    </row>
    <row r="27" spans="1:5" s="82" customFormat="1" ht="51" customHeight="1" hidden="1">
      <c r="A27" s="78" t="s">
        <v>24</v>
      </c>
      <c r="B27" s="79" t="s">
        <v>23</v>
      </c>
      <c r="C27" s="206">
        <v>12384406</v>
      </c>
      <c r="D27" s="206"/>
      <c r="E27" s="213">
        <f t="shared" si="0"/>
        <v>0</v>
      </c>
    </row>
    <row r="28" spans="1:5" s="82" customFormat="1" ht="51" customHeight="1" hidden="1">
      <c r="A28" s="78" t="s">
        <v>25</v>
      </c>
      <c r="B28" s="79" t="s">
        <v>26</v>
      </c>
      <c r="C28" s="206">
        <f>C29</f>
        <v>12153789</v>
      </c>
      <c r="D28" s="206"/>
      <c r="E28" s="213">
        <f t="shared" si="0"/>
        <v>0</v>
      </c>
    </row>
    <row r="29" spans="1:5" s="82" customFormat="1" ht="51.75" customHeight="1" hidden="1">
      <c r="A29" s="78" t="s">
        <v>27</v>
      </c>
      <c r="B29" s="79" t="s">
        <v>26</v>
      </c>
      <c r="C29" s="206">
        <v>12153789</v>
      </c>
      <c r="D29" s="206"/>
      <c r="E29" s="213">
        <f t="shared" si="0"/>
        <v>0</v>
      </c>
    </row>
    <row r="30" spans="1:5" s="82" customFormat="1" ht="39.75" customHeight="1" hidden="1">
      <c r="A30" s="78" t="s">
        <v>28</v>
      </c>
      <c r="B30" s="79" t="s">
        <v>29</v>
      </c>
      <c r="C30" s="206">
        <v>6867000</v>
      </c>
      <c r="D30" s="206"/>
      <c r="E30" s="213">
        <f t="shared" si="0"/>
        <v>0</v>
      </c>
    </row>
    <row r="31" spans="1:5" s="83" customFormat="1" ht="43.5" customHeight="1" hidden="1">
      <c r="A31" s="76" t="s">
        <v>30</v>
      </c>
      <c r="B31" s="81" t="s">
        <v>31</v>
      </c>
      <c r="C31" s="204">
        <f>C32+C33</f>
        <v>22273300</v>
      </c>
      <c r="D31" s="204"/>
      <c r="E31" s="213">
        <f t="shared" si="0"/>
        <v>0</v>
      </c>
    </row>
    <row r="32" spans="1:5" s="83" customFormat="1" ht="43.5" customHeight="1" hidden="1">
      <c r="A32" s="78" t="s">
        <v>32</v>
      </c>
      <c r="B32" s="79" t="s">
        <v>33</v>
      </c>
      <c r="C32" s="207">
        <v>22173300</v>
      </c>
      <c r="D32" s="207"/>
      <c r="E32" s="213">
        <f t="shared" si="0"/>
        <v>0</v>
      </c>
    </row>
    <row r="33" spans="1:5" s="83" customFormat="1" ht="46.5" customHeight="1" hidden="1">
      <c r="A33" s="78" t="s">
        <v>34</v>
      </c>
      <c r="B33" s="79" t="s">
        <v>35</v>
      </c>
      <c r="C33" s="207">
        <v>100000</v>
      </c>
      <c r="D33" s="207"/>
      <c r="E33" s="213">
        <f t="shared" si="0"/>
        <v>0</v>
      </c>
    </row>
    <row r="34" spans="1:5" s="83" customFormat="1" ht="46.5" customHeight="1" hidden="1">
      <c r="A34" s="76" t="s">
        <v>36</v>
      </c>
      <c r="B34" s="81" t="s">
        <v>37</v>
      </c>
      <c r="C34" s="204">
        <f>C35</f>
        <v>727000</v>
      </c>
      <c r="D34" s="204"/>
      <c r="E34" s="213">
        <f t="shared" si="0"/>
        <v>0</v>
      </c>
    </row>
    <row r="35" spans="1:5" ht="51.75" customHeight="1" hidden="1">
      <c r="A35" s="78" t="s">
        <v>38</v>
      </c>
      <c r="B35" s="84" t="s">
        <v>39</v>
      </c>
      <c r="C35" s="206">
        <v>727000</v>
      </c>
      <c r="D35" s="206"/>
      <c r="E35" s="213">
        <f t="shared" si="0"/>
        <v>0</v>
      </c>
    </row>
    <row r="36" spans="1:5" ht="21" customHeight="1">
      <c r="A36" s="69" t="s">
        <v>40</v>
      </c>
      <c r="B36" s="201" t="s">
        <v>41</v>
      </c>
      <c r="C36" s="205">
        <f>C37+C39</f>
        <v>18344269</v>
      </c>
      <c r="D36" s="205">
        <v>17250330.5</v>
      </c>
      <c r="E36" s="213">
        <f t="shared" si="0"/>
        <v>0.9403661982933198</v>
      </c>
    </row>
    <row r="37" spans="1:5" ht="33" customHeight="1" hidden="1">
      <c r="A37" s="76" t="s">
        <v>42</v>
      </c>
      <c r="B37" s="81" t="s">
        <v>43</v>
      </c>
      <c r="C37" s="204">
        <f>C38</f>
        <v>5985677</v>
      </c>
      <c r="D37" s="204"/>
      <c r="E37" s="213">
        <f t="shared" si="0"/>
        <v>0</v>
      </c>
    </row>
    <row r="38" spans="1:5" ht="61.5" customHeight="1" hidden="1">
      <c r="A38" s="78" t="s">
        <v>44</v>
      </c>
      <c r="B38" s="85" t="s">
        <v>45</v>
      </c>
      <c r="C38" s="206">
        <f>3685677-200000+2500000</f>
        <v>5985677</v>
      </c>
      <c r="D38" s="206"/>
      <c r="E38" s="213">
        <f t="shared" si="0"/>
        <v>0</v>
      </c>
    </row>
    <row r="39" spans="1:5" ht="31.5" customHeight="1" hidden="1">
      <c r="A39" s="76" t="s">
        <v>46</v>
      </c>
      <c r="B39" s="81" t="s">
        <v>47</v>
      </c>
      <c r="C39" s="204">
        <f>C40+C42</f>
        <v>12358592</v>
      </c>
      <c r="D39" s="204"/>
      <c r="E39" s="213">
        <f t="shared" si="0"/>
        <v>0</v>
      </c>
    </row>
    <row r="40" spans="1:5" ht="60" hidden="1">
      <c r="A40" s="78" t="s">
        <v>48</v>
      </c>
      <c r="B40" s="79" t="s">
        <v>49</v>
      </c>
      <c r="C40" s="206">
        <f>C41</f>
        <v>1400000</v>
      </c>
      <c r="D40" s="206"/>
      <c r="E40" s="213">
        <f t="shared" si="0"/>
        <v>0</v>
      </c>
    </row>
    <row r="41" spans="1:5" ht="90" hidden="1">
      <c r="A41" s="78" t="s">
        <v>50</v>
      </c>
      <c r="B41" s="79" t="s">
        <v>51</v>
      </c>
      <c r="C41" s="206">
        <f>500000+100000+200000+600000</f>
        <v>1400000</v>
      </c>
      <c r="D41" s="206"/>
      <c r="E41" s="213">
        <f t="shared" si="0"/>
        <v>0</v>
      </c>
    </row>
    <row r="42" spans="1:5" ht="60" hidden="1">
      <c r="A42" s="78" t="s">
        <v>52</v>
      </c>
      <c r="B42" s="79" t="s">
        <v>53</v>
      </c>
      <c r="C42" s="206">
        <f>C43</f>
        <v>10958592</v>
      </c>
      <c r="D42" s="206"/>
      <c r="E42" s="213">
        <f t="shared" si="0"/>
        <v>0</v>
      </c>
    </row>
    <row r="43" spans="1:5" ht="99.75" customHeight="1" hidden="1">
      <c r="A43" s="78" t="s">
        <v>54</v>
      </c>
      <c r="B43" s="79" t="s">
        <v>55</v>
      </c>
      <c r="C43" s="206">
        <f>9258592-100000+1800000</f>
        <v>10958592</v>
      </c>
      <c r="D43" s="206"/>
      <c r="E43" s="213">
        <f t="shared" si="0"/>
        <v>0</v>
      </c>
    </row>
    <row r="44" spans="1:5" ht="29.25" customHeight="1">
      <c r="A44" s="69" t="s">
        <v>56</v>
      </c>
      <c r="B44" s="201" t="s">
        <v>57</v>
      </c>
      <c r="C44" s="205">
        <f>C45+C47</f>
        <v>7195330</v>
      </c>
      <c r="D44" s="205">
        <v>6192919.46</v>
      </c>
      <c r="E44" s="213">
        <f t="shared" si="0"/>
        <v>0.8606859532502331</v>
      </c>
    </row>
    <row r="45" spans="1:5" ht="54" customHeight="1" hidden="1">
      <c r="A45" s="86" t="s">
        <v>58</v>
      </c>
      <c r="B45" s="87" t="s">
        <v>59</v>
      </c>
      <c r="C45" s="207">
        <f>C46</f>
        <v>7170830</v>
      </c>
      <c r="D45" s="207">
        <f>D46</f>
        <v>7170830</v>
      </c>
      <c r="E45" s="213">
        <f t="shared" si="0"/>
        <v>1</v>
      </c>
    </row>
    <row r="46" spans="1:5" ht="66.75" customHeight="1" hidden="1">
      <c r="A46" s="78" t="s">
        <v>60</v>
      </c>
      <c r="B46" s="79" t="s">
        <v>61</v>
      </c>
      <c r="C46" s="206">
        <f>5170830+2000000</f>
        <v>7170830</v>
      </c>
      <c r="D46" s="206">
        <f>5170830+2000000</f>
        <v>7170830</v>
      </c>
      <c r="E46" s="213">
        <f t="shared" si="0"/>
        <v>1</v>
      </c>
    </row>
    <row r="47" spans="1:5" ht="63.75" customHeight="1" hidden="1">
      <c r="A47" s="86" t="s">
        <v>62</v>
      </c>
      <c r="B47" s="87" t="s">
        <v>63</v>
      </c>
      <c r="C47" s="207">
        <f>C48</f>
        <v>24500</v>
      </c>
      <c r="D47" s="207">
        <f>D48</f>
        <v>24500</v>
      </c>
      <c r="E47" s="213">
        <f t="shared" si="0"/>
        <v>1</v>
      </c>
    </row>
    <row r="48" spans="1:5" ht="37.5" customHeight="1" hidden="1">
      <c r="A48" s="78" t="s">
        <v>64</v>
      </c>
      <c r="B48" s="79" t="s">
        <v>65</v>
      </c>
      <c r="C48" s="206">
        <f>12000+12500</f>
        <v>24500</v>
      </c>
      <c r="D48" s="206">
        <f>12000+12500</f>
        <v>24500</v>
      </c>
      <c r="E48" s="213">
        <f t="shared" si="0"/>
        <v>1</v>
      </c>
    </row>
    <row r="49" spans="1:5" ht="24.75" customHeight="1">
      <c r="A49" s="74"/>
      <c r="B49" s="88" t="s">
        <v>66</v>
      </c>
      <c r="C49" s="208">
        <f>C50+C64+C70+C74+C78+C94</f>
        <v>71654636</v>
      </c>
      <c r="D49" s="208">
        <f>D50+D64+D70+D74+D78+D94</f>
        <v>58969315.55</v>
      </c>
      <c r="E49" s="211">
        <f t="shared" si="0"/>
        <v>0.8229658099163325</v>
      </c>
    </row>
    <row r="50" spans="1:5" ht="47.25">
      <c r="A50" s="13" t="s">
        <v>67</v>
      </c>
      <c r="B50" s="202" t="s">
        <v>68</v>
      </c>
      <c r="C50" s="205">
        <f>C51+C58+C61</f>
        <v>32125923</v>
      </c>
      <c r="D50" s="205">
        <v>31788886.02</v>
      </c>
      <c r="E50" s="213">
        <f t="shared" si="0"/>
        <v>0.9895088779239121</v>
      </c>
    </row>
    <row r="51" spans="1:5" ht="142.5" customHeight="1" hidden="1">
      <c r="A51" s="76" t="s">
        <v>69</v>
      </c>
      <c r="B51" s="89" t="s">
        <v>352</v>
      </c>
      <c r="C51" s="204">
        <f>C52+C54+C56</f>
        <v>24550749</v>
      </c>
      <c r="D51" s="204"/>
      <c r="E51" s="213">
        <f t="shared" si="0"/>
        <v>0</v>
      </c>
    </row>
    <row r="52" spans="1:5" ht="91.5" customHeight="1" hidden="1">
      <c r="A52" s="78" t="s">
        <v>70</v>
      </c>
      <c r="B52" s="79" t="s">
        <v>71</v>
      </c>
      <c r="C52" s="206">
        <f>C53</f>
        <v>8989050</v>
      </c>
      <c r="D52" s="206"/>
      <c r="E52" s="213">
        <f t="shared" si="0"/>
        <v>0</v>
      </c>
    </row>
    <row r="53" spans="1:5" ht="109.5" customHeight="1" hidden="1">
      <c r="A53" s="78" t="s">
        <v>72</v>
      </c>
      <c r="B53" s="90" t="s">
        <v>986</v>
      </c>
      <c r="C53" s="206">
        <v>8989050</v>
      </c>
      <c r="D53" s="206"/>
      <c r="E53" s="213">
        <f t="shared" si="0"/>
        <v>0</v>
      </c>
    </row>
    <row r="54" spans="1:5" ht="113.25" customHeight="1" hidden="1">
      <c r="A54" s="78" t="s">
        <v>73</v>
      </c>
      <c r="B54" s="79" t="s">
        <v>353</v>
      </c>
      <c r="C54" s="206">
        <f>C55</f>
        <v>2235834</v>
      </c>
      <c r="D54" s="206"/>
      <c r="E54" s="213">
        <f t="shared" si="0"/>
        <v>0</v>
      </c>
    </row>
    <row r="55" spans="1:5" ht="103.5" customHeight="1" hidden="1">
      <c r="A55" s="78" t="s">
        <v>74</v>
      </c>
      <c r="B55" s="90" t="s">
        <v>908</v>
      </c>
      <c r="C55" s="206">
        <v>2235834</v>
      </c>
      <c r="D55" s="206"/>
      <c r="E55" s="213">
        <f t="shared" si="0"/>
        <v>0</v>
      </c>
    </row>
    <row r="56" spans="1:5" ht="112.5" customHeight="1" hidden="1">
      <c r="A56" s="78" t="s">
        <v>75</v>
      </c>
      <c r="B56" s="79" t="s">
        <v>354</v>
      </c>
      <c r="C56" s="206">
        <f>C57</f>
        <v>13325865</v>
      </c>
      <c r="D56" s="206"/>
      <c r="E56" s="213">
        <f t="shared" si="0"/>
        <v>0</v>
      </c>
    </row>
    <row r="57" spans="1:5" ht="100.5" customHeight="1" hidden="1">
      <c r="A57" s="78" t="s">
        <v>76</v>
      </c>
      <c r="B57" s="90" t="s">
        <v>909</v>
      </c>
      <c r="C57" s="206">
        <v>13325865</v>
      </c>
      <c r="D57" s="206"/>
      <c r="E57" s="213">
        <f t="shared" si="0"/>
        <v>0</v>
      </c>
    </row>
    <row r="58" spans="1:5" ht="53.25" customHeight="1" hidden="1">
      <c r="A58" s="76" t="s">
        <v>77</v>
      </c>
      <c r="B58" s="80" t="s">
        <v>78</v>
      </c>
      <c r="C58" s="204">
        <f>C59</f>
        <v>3521572</v>
      </c>
      <c r="D58" s="204"/>
      <c r="E58" s="213">
        <f t="shared" si="0"/>
        <v>0</v>
      </c>
    </row>
    <row r="59" spans="1:5" ht="65.25" customHeight="1" hidden="1">
      <c r="A59" s="78" t="s">
        <v>79</v>
      </c>
      <c r="B59" s="79" t="s">
        <v>80</v>
      </c>
      <c r="C59" s="206">
        <f>C60</f>
        <v>3521572</v>
      </c>
      <c r="D59" s="206"/>
      <c r="E59" s="213">
        <f t="shared" si="0"/>
        <v>0</v>
      </c>
    </row>
    <row r="60" spans="1:5" ht="81" customHeight="1" hidden="1">
      <c r="A60" s="78" t="s">
        <v>81</v>
      </c>
      <c r="B60" s="91" t="s">
        <v>906</v>
      </c>
      <c r="C60" s="206">
        <f>796900+3831000-1467600+361272</f>
        <v>3521572</v>
      </c>
      <c r="D60" s="206"/>
      <c r="E60" s="213">
        <f t="shared" si="0"/>
        <v>0</v>
      </c>
    </row>
    <row r="61" spans="1:5" ht="128.25" customHeight="1" hidden="1">
      <c r="A61" s="76" t="s">
        <v>82</v>
      </c>
      <c r="B61" s="80" t="s">
        <v>355</v>
      </c>
      <c r="C61" s="204">
        <f>C62</f>
        <v>4053602</v>
      </c>
      <c r="D61" s="204"/>
      <c r="E61" s="213">
        <f t="shared" si="0"/>
        <v>0</v>
      </c>
    </row>
    <row r="62" spans="1:5" ht="105" customHeight="1" hidden="1">
      <c r="A62" s="78" t="s">
        <v>83</v>
      </c>
      <c r="B62" s="79" t="s">
        <v>356</v>
      </c>
      <c r="C62" s="206">
        <f>C63</f>
        <v>4053602</v>
      </c>
      <c r="D62" s="206"/>
      <c r="E62" s="213">
        <f t="shared" si="0"/>
        <v>0</v>
      </c>
    </row>
    <row r="63" spans="1:5" ht="108" customHeight="1" hidden="1">
      <c r="A63" s="78" t="s">
        <v>84</v>
      </c>
      <c r="B63" s="91" t="s">
        <v>910</v>
      </c>
      <c r="C63" s="206">
        <f>2053602+2000000</f>
        <v>4053602</v>
      </c>
      <c r="D63" s="206"/>
      <c r="E63" s="213">
        <f t="shared" si="0"/>
        <v>0</v>
      </c>
    </row>
    <row r="64" spans="1:5" ht="42.75" customHeight="1">
      <c r="A64" s="69" t="s">
        <v>85</v>
      </c>
      <c r="B64" s="49" t="s">
        <v>86</v>
      </c>
      <c r="C64" s="205">
        <f>C65</f>
        <v>4135450</v>
      </c>
      <c r="D64" s="205">
        <v>3615405.5</v>
      </c>
      <c r="E64" s="213">
        <f t="shared" si="0"/>
        <v>0.8742471798715981</v>
      </c>
    </row>
    <row r="65" spans="1:5" ht="42.75" customHeight="1" hidden="1">
      <c r="A65" s="76" t="s">
        <v>87</v>
      </c>
      <c r="B65" s="92" t="s">
        <v>88</v>
      </c>
      <c r="C65" s="204">
        <f>C66+C67+C68+C69</f>
        <v>4135450</v>
      </c>
      <c r="D65" s="204"/>
      <c r="E65" s="213">
        <f t="shared" si="0"/>
        <v>0</v>
      </c>
    </row>
    <row r="66" spans="1:5" ht="42.75" customHeight="1" hidden="1">
      <c r="A66" s="78" t="s">
        <v>89</v>
      </c>
      <c r="B66" s="79" t="s">
        <v>90</v>
      </c>
      <c r="C66" s="206">
        <f>140000+80000+50000+3750+20000+100000</f>
        <v>393750</v>
      </c>
      <c r="D66" s="206"/>
      <c r="E66" s="213">
        <f t="shared" si="0"/>
        <v>0</v>
      </c>
    </row>
    <row r="67" spans="1:5" ht="42.75" customHeight="1" hidden="1">
      <c r="A67" s="78" t="s">
        <v>91</v>
      </c>
      <c r="B67" s="79" t="s">
        <v>92</v>
      </c>
      <c r="C67" s="206">
        <f>12000+6310+5000</f>
        <v>23310</v>
      </c>
      <c r="D67" s="206"/>
      <c r="E67" s="213">
        <f t="shared" si="0"/>
        <v>0</v>
      </c>
    </row>
    <row r="68" spans="1:5" ht="42.75" customHeight="1" hidden="1">
      <c r="A68" s="78" t="s">
        <v>93</v>
      </c>
      <c r="B68" s="79" t="s">
        <v>94</v>
      </c>
      <c r="C68" s="206">
        <f>540000-160000-100000+30860+500000</f>
        <v>810860</v>
      </c>
      <c r="D68" s="206"/>
      <c r="E68" s="213">
        <f t="shared" si="0"/>
        <v>0</v>
      </c>
    </row>
    <row r="69" spans="1:5" ht="33.75" customHeight="1" hidden="1">
      <c r="A69" s="78" t="s">
        <v>95</v>
      </c>
      <c r="B69" s="79" t="s">
        <v>96</v>
      </c>
      <c r="C69" s="206">
        <f>800000+80000+50000+1177530+800000</f>
        <v>2907530</v>
      </c>
      <c r="D69" s="206"/>
      <c r="E69" s="213">
        <f t="shared" si="0"/>
        <v>0</v>
      </c>
    </row>
    <row r="70" spans="1:5" ht="57.75" customHeight="1">
      <c r="A70" s="69" t="s">
        <v>97</v>
      </c>
      <c r="B70" s="49" t="s">
        <v>98</v>
      </c>
      <c r="C70" s="205">
        <f>C71</f>
        <v>10198953</v>
      </c>
      <c r="D70" s="205">
        <v>3775481.51</v>
      </c>
      <c r="E70" s="213">
        <f t="shared" si="0"/>
        <v>0.37018324429968447</v>
      </c>
    </row>
    <row r="71" spans="1:5" ht="31.5" customHeight="1" hidden="1">
      <c r="A71" s="76" t="s">
        <v>99</v>
      </c>
      <c r="B71" s="92" t="s">
        <v>100</v>
      </c>
      <c r="C71" s="204">
        <f>C72</f>
        <v>10198953</v>
      </c>
      <c r="D71" s="204"/>
      <c r="E71" s="213">
        <f t="shared" si="0"/>
        <v>0</v>
      </c>
    </row>
    <row r="72" spans="1:5" ht="41.25" customHeight="1" hidden="1">
      <c r="A72" s="78" t="s">
        <v>101</v>
      </c>
      <c r="B72" s="91" t="s">
        <v>102</v>
      </c>
      <c r="C72" s="206">
        <f>C73</f>
        <v>10198953</v>
      </c>
      <c r="D72" s="206"/>
      <c r="E72" s="213">
        <f t="shared" si="0"/>
        <v>0</v>
      </c>
    </row>
    <row r="73" spans="1:5" ht="43.5" customHeight="1" hidden="1">
      <c r="A73" s="78" t="s">
        <v>103</v>
      </c>
      <c r="B73" s="91" t="s">
        <v>926</v>
      </c>
      <c r="C73" s="206">
        <f>1133625+1805600+14171000-6300000-50000-200000-361272</f>
        <v>10198953</v>
      </c>
      <c r="D73" s="206"/>
      <c r="E73" s="213">
        <f t="shared" si="0"/>
        <v>0</v>
      </c>
    </row>
    <row r="74" spans="1:5" ht="40.5" customHeight="1">
      <c r="A74" s="69" t="s">
        <v>104</v>
      </c>
      <c r="B74" s="49" t="s">
        <v>105</v>
      </c>
      <c r="C74" s="205">
        <f>C75</f>
        <v>21216431</v>
      </c>
      <c r="D74" s="205">
        <v>15595984.02</v>
      </c>
      <c r="E74" s="213">
        <f t="shared" si="0"/>
        <v>0.7350898942428158</v>
      </c>
    </row>
    <row r="75" spans="1:5" ht="133.5" customHeight="1" hidden="1">
      <c r="A75" s="76" t="s">
        <v>106</v>
      </c>
      <c r="B75" s="80" t="s">
        <v>107</v>
      </c>
      <c r="C75" s="204">
        <f>C76</f>
        <v>21216431</v>
      </c>
      <c r="D75" s="204"/>
      <c r="E75" s="213">
        <f aca="true" t="shared" si="1" ref="E75:E133">D75/C75</f>
        <v>0</v>
      </c>
    </row>
    <row r="76" spans="1:5" ht="123" customHeight="1" hidden="1">
      <c r="A76" s="78" t="s">
        <v>108</v>
      </c>
      <c r="B76" s="79" t="s">
        <v>357</v>
      </c>
      <c r="C76" s="206">
        <f>C77</f>
        <v>21216431</v>
      </c>
      <c r="D76" s="206"/>
      <c r="E76" s="213">
        <f t="shared" si="1"/>
        <v>0</v>
      </c>
    </row>
    <row r="77" spans="1:5" ht="124.5" customHeight="1" hidden="1">
      <c r="A77" s="78" t="s">
        <v>109</v>
      </c>
      <c r="B77" s="79" t="s">
        <v>987</v>
      </c>
      <c r="C77" s="206">
        <f>22448931-1218450-14050</f>
        <v>21216431</v>
      </c>
      <c r="D77" s="206"/>
      <c r="E77" s="213">
        <f t="shared" si="1"/>
        <v>0</v>
      </c>
    </row>
    <row r="78" spans="1:5" ht="35.25" customHeight="1">
      <c r="A78" s="69" t="s">
        <v>110</v>
      </c>
      <c r="B78" s="49" t="s">
        <v>111</v>
      </c>
      <c r="C78" s="205">
        <f>C79+C82+C83+C86+C91+C92+C89+C88</f>
        <v>3963829</v>
      </c>
      <c r="D78" s="205">
        <v>4152052.76</v>
      </c>
      <c r="E78" s="213">
        <f t="shared" si="1"/>
        <v>1.0474853380405662</v>
      </c>
    </row>
    <row r="79" spans="1:5" ht="47.25" customHeight="1" hidden="1">
      <c r="A79" s="76" t="s">
        <v>112</v>
      </c>
      <c r="B79" s="80" t="s">
        <v>113</v>
      </c>
      <c r="C79" s="204">
        <f>C80+C81</f>
        <v>162500</v>
      </c>
      <c r="D79" s="204"/>
      <c r="E79" s="213">
        <f t="shared" si="1"/>
        <v>0</v>
      </c>
    </row>
    <row r="80" spans="1:5" ht="96.75" customHeight="1" hidden="1">
      <c r="A80" s="78" t="s">
        <v>114</v>
      </c>
      <c r="B80" s="79" t="s">
        <v>348</v>
      </c>
      <c r="C80" s="206">
        <v>140000</v>
      </c>
      <c r="D80" s="206"/>
      <c r="E80" s="213">
        <f t="shared" si="1"/>
        <v>0</v>
      </c>
    </row>
    <row r="81" spans="1:5" ht="83.25" customHeight="1" hidden="1">
      <c r="A81" s="78" t="s">
        <v>115</v>
      </c>
      <c r="B81" s="79" t="s">
        <v>116</v>
      </c>
      <c r="C81" s="206">
        <f>2500+20000</f>
        <v>22500</v>
      </c>
      <c r="D81" s="206"/>
      <c r="E81" s="213">
        <f t="shared" si="1"/>
        <v>0</v>
      </c>
    </row>
    <row r="82" spans="1:5" ht="102.75" customHeight="1" hidden="1">
      <c r="A82" s="76" t="s">
        <v>117</v>
      </c>
      <c r="B82" s="80" t="s">
        <v>118</v>
      </c>
      <c r="C82" s="204">
        <f>49800+22000+30000</f>
        <v>101800</v>
      </c>
      <c r="D82" s="204"/>
      <c r="E82" s="213">
        <f t="shared" si="1"/>
        <v>0</v>
      </c>
    </row>
    <row r="83" spans="1:5" ht="176.25" customHeight="1" hidden="1">
      <c r="A83" s="76" t="s">
        <v>119</v>
      </c>
      <c r="B83" s="80" t="s">
        <v>540</v>
      </c>
      <c r="C83" s="204">
        <f>C85+C84</f>
        <v>46000</v>
      </c>
      <c r="D83" s="204"/>
      <c r="E83" s="213">
        <f t="shared" si="1"/>
        <v>0</v>
      </c>
    </row>
    <row r="84" spans="1:5" ht="45" customHeight="1" hidden="1">
      <c r="A84" s="78" t="s">
        <v>120</v>
      </c>
      <c r="B84" s="79" t="s">
        <v>121</v>
      </c>
      <c r="C84" s="206">
        <v>2000</v>
      </c>
      <c r="D84" s="206"/>
      <c r="E84" s="213">
        <f t="shared" si="1"/>
        <v>0</v>
      </c>
    </row>
    <row r="85" spans="1:5" ht="35.25" customHeight="1" hidden="1">
      <c r="A85" s="78" t="s">
        <v>122</v>
      </c>
      <c r="B85" s="79" t="s">
        <v>123</v>
      </c>
      <c r="C85" s="206">
        <f>46000-2000</f>
        <v>44000</v>
      </c>
      <c r="D85" s="206"/>
      <c r="E85" s="213">
        <f t="shared" si="1"/>
        <v>0</v>
      </c>
    </row>
    <row r="86" spans="1:6" s="95" customFormat="1" ht="87" customHeight="1" hidden="1">
      <c r="A86" s="93" t="s">
        <v>124</v>
      </c>
      <c r="B86" s="94" t="s">
        <v>125</v>
      </c>
      <c r="C86" s="209">
        <f>319795+50000</f>
        <v>369795</v>
      </c>
      <c r="D86" s="209"/>
      <c r="E86" s="213">
        <f t="shared" si="1"/>
        <v>0</v>
      </c>
      <c r="F86" s="68"/>
    </row>
    <row r="87" spans="1:6" s="95" customFormat="1" ht="60.75" customHeight="1" hidden="1">
      <c r="A87" s="93" t="s">
        <v>126</v>
      </c>
      <c r="B87" s="94" t="s">
        <v>127</v>
      </c>
      <c r="C87" s="209">
        <f>C88</f>
        <v>1510000</v>
      </c>
      <c r="D87" s="209"/>
      <c r="E87" s="213">
        <f t="shared" si="1"/>
        <v>0</v>
      </c>
      <c r="F87" s="68"/>
    </row>
    <row r="88" spans="1:6" s="95" customFormat="1" ht="36.75" customHeight="1" hidden="1">
      <c r="A88" s="96" t="s">
        <v>128</v>
      </c>
      <c r="B88" s="97" t="s">
        <v>275</v>
      </c>
      <c r="C88" s="210">
        <f>950000+160000+200000+200000</f>
        <v>1510000</v>
      </c>
      <c r="D88" s="210"/>
      <c r="E88" s="213">
        <f t="shared" si="1"/>
        <v>0</v>
      </c>
      <c r="F88" s="68"/>
    </row>
    <row r="89" spans="1:6" s="95" customFormat="1" ht="73.5" customHeight="1" hidden="1">
      <c r="A89" s="93" t="s">
        <v>276</v>
      </c>
      <c r="B89" s="94" t="s">
        <v>277</v>
      </c>
      <c r="C89" s="209">
        <f>C90</f>
        <v>226500</v>
      </c>
      <c r="D89" s="209"/>
      <c r="E89" s="213">
        <f t="shared" si="1"/>
        <v>0</v>
      </c>
      <c r="F89" s="68"/>
    </row>
    <row r="90" spans="1:6" s="95" customFormat="1" ht="81" customHeight="1" hidden="1">
      <c r="A90" s="96" t="s">
        <v>278</v>
      </c>
      <c r="B90" s="97" t="s">
        <v>279</v>
      </c>
      <c r="C90" s="210">
        <f>31500+95000+100000</f>
        <v>226500</v>
      </c>
      <c r="D90" s="210"/>
      <c r="E90" s="213">
        <f t="shared" si="1"/>
        <v>0</v>
      </c>
      <c r="F90" s="68"/>
    </row>
    <row r="91" spans="1:5" ht="120.75" customHeight="1" hidden="1">
      <c r="A91" s="76" t="s">
        <v>280</v>
      </c>
      <c r="B91" s="98" t="s">
        <v>281</v>
      </c>
      <c r="C91" s="204">
        <f>6650+2450+5000</f>
        <v>14100</v>
      </c>
      <c r="D91" s="204"/>
      <c r="E91" s="213">
        <f t="shared" si="1"/>
        <v>0</v>
      </c>
    </row>
    <row r="92" spans="1:5" ht="42" customHeight="1" hidden="1">
      <c r="A92" s="76" t="s">
        <v>282</v>
      </c>
      <c r="B92" s="80" t="s">
        <v>283</v>
      </c>
      <c r="C92" s="204">
        <f>C93</f>
        <v>1533134</v>
      </c>
      <c r="D92" s="204"/>
      <c r="E92" s="213">
        <f t="shared" si="1"/>
        <v>0</v>
      </c>
    </row>
    <row r="93" spans="1:5" ht="57" customHeight="1" hidden="1">
      <c r="A93" s="78" t="s">
        <v>284</v>
      </c>
      <c r="B93" s="79" t="s">
        <v>927</v>
      </c>
      <c r="C93" s="206">
        <f>1532584-299450+300000</f>
        <v>1533134</v>
      </c>
      <c r="D93" s="206"/>
      <c r="E93" s="213">
        <f t="shared" si="1"/>
        <v>0</v>
      </c>
    </row>
    <row r="94" spans="1:5" ht="33" customHeight="1">
      <c r="A94" s="69" t="s">
        <v>285</v>
      </c>
      <c r="B94" s="49" t="s">
        <v>286</v>
      </c>
      <c r="C94" s="59">
        <f>C95</f>
        <v>14050</v>
      </c>
      <c r="D94" s="59">
        <v>41505.74</v>
      </c>
      <c r="E94" s="213">
        <f t="shared" si="1"/>
        <v>2.954145195729537</v>
      </c>
    </row>
    <row r="95" spans="1:5" ht="57" customHeight="1" hidden="1">
      <c r="A95" s="76" t="s">
        <v>287</v>
      </c>
      <c r="B95" s="80" t="s">
        <v>288</v>
      </c>
      <c r="C95" s="206">
        <f>C96</f>
        <v>14050</v>
      </c>
      <c r="D95" s="206">
        <f>D96</f>
        <v>14050</v>
      </c>
      <c r="E95" s="213">
        <f t="shared" si="1"/>
        <v>1</v>
      </c>
    </row>
    <row r="96" spans="1:5" ht="57" customHeight="1" hidden="1">
      <c r="A96" s="78" t="s">
        <v>289</v>
      </c>
      <c r="B96" s="79" t="s">
        <v>915</v>
      </c>
      <c r="C96" s="206">
        <v>14050</v>
      </c>
      <c r="D96" s="206">
        <v>14050</v>
      </c>
      <c r="E96" s="213">
        <f t="shared" si="1"/>
        <v>1</v>
      </c>
    </row>
    <row r="97" spans="1:5" ht="18.75">
      <c r="A97" s="74" t="s">
        <v>290</v>
      </c>
      <c r="B97" s="75" t="s">
        <v>291</v>
      </c>
      <c r="C97" s="203">
        <f>C98</f>
        <v>1540830047.72</v>
      </c>
      <c r="D97" s="271">
        <f>D98+D131+D132</f>
        <v>1537006527.59</v>
      </c>
      <c r="E97" s="211">
        <f t="shared" si="1"/>
        <v>0.9975185322121295</v>
      </c>
    </row>
    <row r="98" spans="1:5" ht="47.25">
      <c r="A98" s="76" t="s">
        <v>292</v>
      </c>
      <c r="B98" s="80" t="s">
        <v>293</v>
      </c>
      <c r="C98" s="204">
        <f>C99+C104+C115+C124+C132</f>
        <v>1540830047.72</v>
      </c>
      <c r="D98" s="209">
        <f>D99+D104+D115+D124</f>
        <v>1538141036.52</v>
      </c>
      <c r="E98" s="212">
        <f t="shared" si="1"/>
        <v>0.9982548294641715</v>
      </c>
    </row>
    <row r="99" spans="1:5" ht="42" customHeight="1">
      <c r="A99" s="69" t="s">
        <v>294</v>
      </c>
      <c r="B99" s="164" t="s">
        <v>295</v>
      </c>
      <c r="C99" s="205">
        <f>C100+C102</f>
        <v>642700000</v>
      </c>
      <c r="D99" s="205">
        <v>642700000</v>
      </c>
      <c r="E99" s="213">
        <f t="shared" si="1"/>
        <v>1</v>
      </c>
    </row>
    <row r="100" spans="1:5" ht="43.5" customHeight="1" hidden="1">
      <c r="A100" s="76" t="s">
        <v>296</v>
      </c>
      <c r="B100" s="80" t="s">
        <v>297</v>
      </c>
      <c r="C100" s="204">
        <f>C101</f>
        <v>13305000</v>
      </c>
      <c r="D100" s="204"/>
      <c r="E100" s="213">
        <f t="shared" si="1"/>
        <v>0</v>
      </c>
    </row>
    <row r="101" spans="1:5" ht="30" hidden="1">
      <c r="A101" s="78" t="s">
        <v>298</v>
      </c>
      <c r="B101" s="79" t="s">
        <v>916</v>
      </c>
      <c r="C101" s="206">
        <v>13305000</v>
      </c>
      <c r="D101" s="206"/>
      <c r="E101" s="213">
        <f t="shared" si="1"/>
        <v>0</v>
      </c>
    </row>
    <row r="102" spans="1:5" ht="63" hidden="1">
      <c r="A102" s="76" t="s">
        <v>299</v>
      </c>
      <c r="B102" s="80" t="s">
        <v>300</v>
      </c>
      <c r="C102" s="204">
        <f>C103</f>
        <v>629395000</v>
      </c>
      <c r="D102" s="204"/>
      <c r="E102" s="213">
        <f t="shared" si="1"/>
        <v>0</v>
      </c>
    </row>
    <row r="103" spans="1:5" ht="60" hidden="1">
      <c r="A103" s="78" t="s">
        <v>301</v>
      </c>
      <c r="B103" s="79" t="s">
        <v>917</v>
      </c>
      <c r="C103" s="206">
        <v>629395000</v>
      </c>
      <c r="D103" s="206"/>
      <c r="E103" s="213">
        <f t="shared" si="1"/>
        <v>0</v>
      </c>
    </row>
    <row r="104" spans="1:5" ht="47.25">
      <c r="A104" s="69" t="s">
        <v>302</v>
      </c>
      <c r="B104" s="49" t="s">
        <v>541</v>
      </c>
      <c r="C104" s="205">
        <f>C109+C113+C105+C107+C111</f>
        <v>154521047.72</v>
      </c>
      <c r="D104" s="205">
        <v>153457071.29</v>
      </c>
      <c r="E104" s="213">
        <f t="shared" si="1"/>
        <v>0.993114359204139</v>
      </c>
    </row>
    <row r="105" spans="1:5" ht="94.5" hidden="1">
      <c r="A105" s="76" t="s">
        <v>303</v>
      </c>
      <c r="B105" s="92" t="s">
        <v>304</v>
      </c>
      <c r="C105" s="204">
        <f>C106</f>
        <v>8849347.72</v>
      </c>
      <c r="D105" s="204"/>
      <c r="E105" s="213">
        <f t="shared" si="1"/>
        <v>0</v>
      </c>
    </row>
    <row r="106" spans="1:5" ht="90" hidden="1">
      <c r="A106" s="78" t="s">
        <v>305</v>
      </c>
      <c r="B106" s="91" t="s">
        <v>911</v>
      </c>
      <c r="C106" s="206">
        <f>8873027.17-23679.45</f>
        <v>8849347.72</v>
      </c>
      <c r="D106" s="206"/>
      <c r="E106" s="213">
        <f t="shared" si="1"/>
        <v>0</v>
      </c>
    </row>
    <row r="107" spans="1:5" ht="31.5" hidden="1">
      <c r="A107" s="76" t="s">
        <v>306</v>
      </c>
      <c r="B107" s="92" t="s">
        <v>307</v>
      </c>
      <c r="C107" s="204">
        <f>C108</f>
        <v>2990000</v>
      </c>
      <c r="D107" s="204"/>
      <c r="E107" s="213">
        <f t="shared" si="1"/>
        <v>0</v>
      </c>
    </row>
    <row r="108" spans="1:5" ht="30" hidden="1">
      <c r="A108" s="96" t="s">
        <v>308</v>
      </c>
      <c r="B108" s="99" t="s">
        <v>918</v>
      </c>
      <c r="C108" s="210">
        <f>990000+2000000</f>
        <v>2990000</v>
      </c>
      <c r="D108" s="210"/>
      <c r="E108" s="213">
        <f t="shared" si="1"/>
        <v>0</v>
      </c>
    </row>
    <row r="109" spans="1:5" ht="63" hidden="1">
      <c r="A109" s="76" t="s">
        <v>309</v>
      </c>
      <c r="B109" s="92" t="s">
        <v>310</v>
      </c>
      <c r="C109" s="204">
        <f>C110</f>
        <v>0</v>
      </c>
      <c r="D109" s="204"/>
      <c r="E109" s="213" t="e">
        <f t="shared" si="1"/>
        <v>#DIV/0!</v>
      </c>
    </row>
    <row r="110" spans="1:5" ht="48" customHeight="1" hidden="1">
      <c r="A110" s="78" t="s">
        <v>311</v>
      </c>
      <c r="B110" s="91" t="s">
        <v>912</v>
      </c>
      <c r="C110" s="206">
        <f>71762500-71762500</f>
        <v>0</v>
      </c>
      <c r="D110" s="206"/>
      <c r="E110" s="213" t="e">
        <f t="shared" si="1"/>
        <v>#DIV/0!</v>
      </c>
    </row>
    <row r="111" spans="1:5" ht="48" customHeight="1" hidden="1">
      <c r="A111" s="76" t="s">
        <v>312</v>
      </c>
      <c r="B111" s="92" t="s">
        <v>313</v>
      </c>
      <c r="C111" s="204">
        <f>C112</f>
        <v>124750000</v>
      </c>
      <c r="D111" s="204"/>
      <c r="E111" s="213">
        <f t="shared" si="1"/>
        <v>0</v>
      </c>
    </row>
    <row r="112" spans="1:5" ht="48" customHeight="1" hidden="1">
      <c r="A112" s="78" t="s">
        <v>314</v>
      </c>
      <c r="B112" s="91" t="s">
        <v>913</v>
      </c>
      <c r="C112" s="206">
        <v>124750000</v>
      </c>
      <c r="D112" s="206"/>
      <c r="E112" s="213">
        <f t="shared" si="1"/>
        <v>0</v>
      </c>
    </row>
    <row r="113" spans="1:5" ht="34.5" customHeight="1" hidden="1">
      <c r="A113" s="76" t="s">
        <v>315</v>
      </c>
      <c r="B113" s="92" t="s">
        <v>316</v>
      </c>
      <c r="C113" s="204">
        <f>C114</f>
        <v>17931700</v>
      </c>
      <c r="D113" s="204"/>
      <c r="E113" s="213">
        <f t="shared" si="1"/>
        <v>0</v>
      </c>
    </row>
    <row r="114" spans="1:5" ht="40.5" customHeight="1" hidden="1">
      <c r="A114" s="78" t="s">
        <v>317</v>
      </c>
      <c r="B114" s="91" t="s">
        <v>318</v>
      </c>
      <c r="C114" s="206">
        <f>905200+1943500+3072400+11400+1147000+72000-72000+1250000+9602200</f>
        <v>17931700</v>
      </c>
      <c r="D114" s="206"/>
      <c r="E114" s="213">
        <f t="shared" si="1"/>
        <v>0</v>
      </c>
    </row>
    <row r="115" spans="1:5" ht="51" customHeight="1">
      <c r="A115" s="69" t="s">
        <v>319</v>
      </c>
      <c r="B115" s="49" t="s">
        <v>320</v>
      </c>
      <c r="C115" s="205">
        <f>C116+C118+C120+C122</f>
        <v>652883900</v>
      </c>
      <c r="D115" s="205">
        <v>651258865.23</v>
      </c>
      <c r="E115" s="213">
        <f t="shared" si="1"/>
        <v>0.9975109896721301</v>
      </c>
    </row>
    <row r="116" spans="1:5" ht="46.5" customHeight="1" hidden="1">
      <c r="A116" s="76" t="s">
        <v>321</v>
      </c>
      <c r="B116" s="92" t="s">
        <v>322</v>
      </c>
      <c r="C116" s="204">
        <f>C117</f>
        <v>2235400</v>
      </c>
      <c r="D116" s="204"/>
      <c r="E116" s="213">
        <f t="shared" si="1"/>
        <v>0</v>
      </c>
    </row>
    <row r="117" spans="1:5" ht="52.5" customHeight="1" hidden="1">
      <c r="A117" s="78" t="s">
        <v>323</v>
      </c>
      <c r="B117" s="79" t="s">
        <v>907</v>
      </c>
      <c r="C117" s="206">
        <f>2235400</f>
        <v>2235400</v>
      </c>
      <c r="D117" s="206"/>
      <c r="E117" s="213">
        <f t="shared" si="1"/>
        <v>0</v>
      </c>
    </row>
    <row r="118" spans="1:5" ht="89.25" customHeight="1" hidden="1">
      <c r="A118" s="100" t="s">
        <v>324</v>
      </c>
      <c r="B118" s="92" t="s">
        <v>325</v>
      </c>
      <c r="C118" s="204">
        <f>C119</f>
        <v>23667600</v>
      </c>
      <c r="D118" s="204"/>
      <c r="E118" s="213">
        <f t="shared" si="1"/>
        <v>0</v>
      </c>
    </row>
    <row r="119" spans="1:5" ht="63.75" customHeight="1" hidden="1">
      <c r="A119" s="78" t="s">
        <v>326</v>
      </c>
      <c r="B119" s="91" t="s">
        <v>919</v>
      </c>
      <c r="C119" s="206">
        <f>21476900+2190700</f>
        <v>23667600</v>
      </c>
      <c r="D119" s="206"/>
      <c r="E119" s="213">
        <f t="shared" si="1"/>
        <v>0</v>
      </c>
    </row>
    <row r="120" spans="1:5" ht="129" customHeight="1" hidden="1">
      <c r="A120" s="76" t="s">
        <v>327</v>
      </c>
      <c r="B120" s="92" t="s">
        <v>328</v>
      </c>
      <c r="C120" s="204">
        <f>C121</f>
        <v>11965100</v>
      </c>
      <c r="D120" s="204"/>
      <c r="E120" s="213">
        <f t="shared" si="1"/>
        <v>0</v>
      </c>
    </row>
    <row r="121" spans="1:5" ht="90" hidden="1">
      <c r="A121" s="78" t="s">
        <v>329</v>
      </c>
      <c r="B121" s="91" t="s">
        <v>920</v>
      </c>
      <c r="C121" s="206">
        <f>472400+18894800-7402100</f>
        <v>11965100</v>
      </c>
      <c r="D121" s="206"/>
      <c r="E121" s="213">
        <f t="shared" si="1"/>
        <v>0</v>
      </c>
    </row>
    <row r="122" spans="1:5" ht="30.75" customHeight="1" hidden="1">
      <c r="A122" s="76" t="s">
        <v>330</v>
      </c>
      <c r="B122" s="92" t="s">
        <v>331</v>
      </c>
      <c r="C122" s="204">
        <f>C123</f>
        <v>615015800</v>
      </c>
      <c r="D122" s="204"/>
      <c r="E122" s="213">
        <f t="shared" si="1"/>
        <v>0</v>
      </c>
    </row>
    <row r="123" spans="1:5" ht="37.5" customHeight="1" hidden="1">
      <c r="A123" s="78" t="s">
        <v>332</v>
      </c>
      <c r="B123" s="79" t="s">
        <v>985</v>
      </c>
      <c r="C123" s="206">
        <f>304091500+269133200+14694000+1194200+4265000+118000+1364800+6000+15275700+1951000+22700+591300+3420400+10200+687100+131600+418700+55500+72000-2355100-132000</f>
        <v>615015800</v>
      </c>
      <c r="D123" s="206"/>
      <c r="E123" s="213">
        <f t="shared" si="1"/>
        <v>0</v>
      </c>
    </row>
    <row r="124" spans="1:5" ht="18.75">
      <c r="A124" s="69" t="s">
        <v>333</v>
      </c>
      <c r="B124" s="164" t="s">
        <v>334</v>
      </c>
      <c r="C124" s="205">
        <f>C125+C129+C127</f>
        <v>90725100</v>
      </c>
      <c r="D124" s="205">
        <v>90725100</v>
      </c>
      <c r="E124" s="213">
        <f t="shared" si="1"/>
        <v>1</v>
      </c>
    </row>
    <row r="125" spans="1:5" ht="72" customHeight="1" hidden="1">
      <c r="A125" s="76" t="s">
        <v>335</v>
      </c>
      <c r="B125" s="92" t="s">
        <v>336</v>
      </c>
      <c r="C125" s="204">
        <f>C126</f>
        <v>82698000</v>
      </c>
      <c r="D125" s="204">
        <f>D126</f>
        <v>82698000</v>
      </c>
      <c r="E125" s="213">
        <f t="shared" si="1"/>
        <v>1</v>
      </c>
    </row>
    <row r="126" spans="1:5" ht="60" hidden="1">
      <c r="A126" s="78" t="s">
        <v>337</v>
      </c>
      <c r="B126" s="91" t="s">
        <v>914</v>
      </c>
      <c r="C126" s="206">
        <v>82698000</v>
      </c>
      <c r="D126" s="206">
        <v>82698000</v>
      </c>
      <c r="E126" s="213">
        <f t="shared" si="1"/>
        <v>1</v>
      </c>
    </row>
    <row r="127" spans="1:5" ht="78.75" hidden="1">
      <c r="A127" s="76" t="s">
        <v>338</v>
      </c>
      <c r="B127" s="92" t="s">
        <v>339</v>
      </c>
      <c r="C127" s="206">
        <f>C128</f>
        <v>7377100</v>
      </c>
      <c r="D127" s="206">
        <f>D128</f>
        <v>7377100</v>
      </c>
      <c r="E127" s="213">
        <f t="shared" si="1"/>
        <v>1</v>
      </c>
    </row>
    <row r="128" spans="1:5" ht="75" hidden="1">
      <c r="A128" s="78" t="s">
        <v>340</v>
      </c>
      <c r="B128" s="91" t="s">
        <v>341</v>
      </c>
      <c r="C128" s="206">
        <v>7377100</v>
      </c>
      <c r="D128" s="206">
        <v>7377100</v>
      </c>
      <c r="E128" s="213">
        <f t="shared" si="1"/>
        <v>1</v>
      </c>
    </row>
    <row r="129" spans="1:5" ht="31.5" hidden="1">
      <c r="A129" s="76" t="s">
        <v>342</v>
      </c>
      <c r="B129" s="92" t="s">
        <v>343</v>
      </c>
      <c r="C129" s="207">
        <f>C130</f>
        <v>650000</v>
      </c>
      <c r="D129" s="207">
        <f>D130</f>
        <v>650000</v>
      </c>
      <c r="E129" s="213">
        <f t="shared" si="1"/>
        <v>1</v>
      </c>
    </row>
    <row r="130" spans="1:5" ht="30" hidden="1">
      <c r="A130" s="78" t="s">
        <v>344</v>
      </c>
      <c r="B130" s="91" t="s">
        <v>345</v>
      </c>
      <c r="C130" s="206">
        <v>650000</v>
      </c>
      <c r="D130" s="206">
        <v>650000</v>
      </c>
      <c r="E130" s="213">
        <f t="shared" si="1"/>
        <v>1</v>
      </c>
    </row>
    <row r="131" spans="1:5" ht="110.25">
      <c r="A131" s="69" t="s">
        <v>543</v>
      </c>
      <c r="B131" s="49" t="s">
        <v>544</v>
      </c>
      <c r="C131" s="205">
        <v>0</v>
      </c>
      <c r="D131" s="205">
        <v>302345.29</v>
      </c>
      <c r="E131" s="213"/>
    </row>
    <row r="132" spans="1:5" ht="47.25">
      <c r="A132" s="69" t="s">
        <v>545</v>
      </c>
      <c r="B132" s="49" t="s">
        <v>546</v>
      </c>
      <c r="C132" s="205">
        <v>0</v>
      </c>
      <c r="D132" s="205">
        <v>-1436854.22</v>
      </c>
      <c r="E132" s="213"/>
    </row>
    <row r="133" spans="1:5" ht="28.5" customHeight="1">
      <c r="A133" s="298" t="s">
        <v>346</v>
      </c>
      <c r="B133" s="298"/>
      <c r="C133" s="203">
        <f>C9+C97</f>
        <v>2308408552.7200003</v>
      </c>
      <c r="D133" s="203">
        <f>D9+D97</f>
        <v>2242401538.8799996</v>
      </c>
      <c r="E133" s="211">
        <f t="shared" si="1"/>
        <v>0.9714058355215222</v>
      </c>
    </row>
    <row r="135" ht="16.5" customHeight="1">
      <c r="D135" s="101"/>
    </row>
    <row r="136" ht="16.5" customHeight="1">
      <c r="D136" s="101"/>
    </row>
    <row r="137" ht="16.5" customHeight="1">
      <c r="D137" s="101"/>
    </row>
    <row r="139" spans="3:5" ht="16.5" customHeight="1">
      <c r="C139" s="101"/>
      <c r="D139" s="101"/>
      <c r="E139" s="101"/>
    </row>
  </sheetData>
  <sheetProtection/>
  <mergeCells count="5">
    <mergeCell ref="B3:E3"/>
    <mergeCell ref="A5:E5"/>
    <mergeCell ref="A133:B133"/>
    <mergeCell ref="B1:E1"/>
    <mergeCell ref="B2:E2"/>
  </mergeCells>
  <printOptions horizontalCentered="1"/>
  <pageMargins left="0.74" right="0.16" top="0.45" bottom="0.51" header="0.3" footer="0.26"/>
  <pageSetup fitToHeight="4" fitToWidth="1" horizontalDpi="600" verticalDpi="600" orientation="portrait" paperSize="9" scale="70" r:id="rId1"/>
  <headerFooter alignWithMargins="0">
    <oddFooter>&amp;CСтраница &amp;P&amp;R&amp;A</oddFooter>
  </headerFooter>
  <rowBreaks count="10" manualBreakCount="10">
    <brk id="17" max="2" man="1"/>
    <brk id="29" max="2" man="1"/>
    <brk id="44" max="2" man="1"/>
    <brk id="54" max="255" man="1"/>
    <brk id="62" max="2" man="1"/>
    <brk id="75" max="2" man="1"/>
    <brk id="82" max="255" man="1"/>
    <brk id="92" max="2" man="1"/>
    <brk id="105" max="2" man="1"/>
    <brk id="119" max="2" man="1"/>
  </rowBreaks>
  <colBreaks count="1" manualBreakCount="1">
    <brk id="3" max="65535" man="1"/>
  </col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F203"/>
  <sheetViews>
    <sheetView zoomScalePageLayoutView="0" workbookViewId="0" topLeftCell="A1">
      <selection activeCell="A5" sqref="A5:F5"/>
    </sheetView>
  </sheetViews>
  <sheetFormatPr defaultColWidth="9.00390625" defaultRowHeight="16.5" customHeight="1"/>
  <cols>
    <col min="1" max="1" width="25.25390625" style="95" customWidth="1"/>
    <col min="2" max="2" width="11.75390625" style="95" customWidth="1"/>
    <col min="3" max="3" width="46.25390625" style="267" customWidth="1"/>
    <col min="4" max="4" width="19.00390625" style="268" customWidth="1"/>
    <col min="5" max="5" width="20.00390625" style="268" customWidth="1"/>
    <col min="6" max="6" width="12.875" style="268" customWidth="1"/>
    <col min="7" max="16384" width="9.125" style="95" customWidth="1"/>
  </cols>
  <sheetData>
    <row r="1" spans="3:6" ht="16.5" customHeight="1">
      <c r="C1" s="299" t="s">
        <v>547</v>
      </c>
      <c r="D1" s="299"/>
      <c r="E1" s="299"/>
      <c r="F1" s="299"/>
    </row>
    <row r="2" spans="3:6" ht="16.5" customHeight="1">
      <c r="C2" s="299" t="s">
        <v>686</v>
      </c>
      <c r="D2" s="299"/>
      <c r="E2" s="299"/>
      <c r="F2" s="299"/>
    </row>
    <row r="3" spans="3:6" ht="16.5" customHeight="1">
      <c r="C3" s="299" t="s">
        <v>997</v>
      </c>
      <c r="D3" s="299"/>
      <c r="E3" s="299"/>
      <c r="F3" s="299"/>
    </row>
    <row r="4" spans="3:6" ht="16.5" customHeight="1">
      <c r="C4" s="286"/>
      <c r="D4" s="269"/>
      <c r="E4" s="269"/>
      <c r="F4" s="269"/>
    </row>
    <row r="5" spans="1:6" ht="54" customHeight="1">
      <c r="A5" s="300" t="s">
        <v>548</v>
      </c>
      <c r="B5" s="300"/>
      <c r="C5" s="300"/>
      <c r="D5" s="300"/>
      <c r="E5" s="300"/>
      <c r="F5" s="300"/>
    </row>
    <row r="6" spans="4:6" ht="16.5" customHeight="1">
      <c r="D6" s="287"/>
      <c r="E6" s="287"/>
      <c r="F6" s="287"/>
    </row>
    <row r="7" spans="1:6" ht="31.5">
      <c r="A7" s="216" t="s">
        <v>549</v>
      </c>
      <c r="B7" s="216" t="s">
        <v>550</v>
      </c>
      <c r="C7" s="217" t="s">
        <v>990</v>
      </c>
      <c r="D7" s="216" t="s">
        <v>359</v>
      </c>
      <c r="E7" s="216" t="s">
        <v>539</v>
      </c>
      <c r="F7" s="218" t="s">
        <v>360</v>
      </c>
    </row>
    <row r="8" spans="1:6" ht="18.75">
      <c r="A8" s="219">
        <v>1</v>
      </c>
      <c r="B8" s="219">
        <v>2</v>
      </c>
      <c r="C8" s="219">
        <v>3</v>
      </c>
      <c r="D8" s="219">
        <v>4</v>
      </c>
      <c r="E8" s="219">
        <v>5</v>
      </c>
      <c r="F8" s="219">
        <v>6</v>
      </c>
    </row>
    <row r="9" spans="1:6" ht="31.5">
      <c r="A9" s="220" t="s">
        <v>129</v>
      </c>
      <c r="B9" s="221" t="s">
        <v>925</v>
      </c>
      <c r="C9" s="222" t="s">
        <v>992</v>
      </c>
      <c r="D9" s="271">
        <f>D10+D94</f>
        <v>767578505</v>
      </c>
      <c r="E9" s="271">
        <f>E10+E94</f>
        <v>705395011.2899997</v>
      </c>
      <c r="F9" s="272">
        <f>E9/D9</f>
        <v>0.9189874477920662</v>
      </c>
    </row>
    <row r="10" spans="1:6" ht="18.75">
      <c r="A10" s="220"/>
      <c r="B10" s="221"/>
      <c r="C10" s="223" t="s">
        <v>993</v>
      </c>
      <c r="D10" s="273">
        <f>D11+D34+D69+D87+D28</f>
        <v>695923869</v>
      </c>
      <c r="E10" s="273">
        <f>E11+E34+E69+E87+E28</f>
        <v>646425695.7399998</v>
      </c>
      <c r="F10" s="274">
        <f>E10/D10</f>
        <v>0.9288741549688099</v>
      </c>
    </row>
    <row r="11" spans="1:6" ht="24.75" customHeight="1">
      <c r="A11" s="220" t="s">
        <v>130</v>
      </c>
      <c r="B11" s="221" t="s">
        <v>925</v>
      </c>
      <c r="C11" s="224" t="s">
        <v>996</v>
      </c>
      <c r="D11" s="271">
        <f>D12</f>
        <v>607416675</v>
      </c>
      <c r="E11" s="271">
        <f>E12</f>
        <v>571032960.1799998</v>
      </c>
      <c r="F11" s="272">
        <f>F12</f>
        <v>0.9401008956166701</v>
      </c>
    </row>
    <row r="12" spans="1:6" ht="23.25" customHeight="1">
      <c r="A12" s="225" t="s">
        <v>131</v>
      </c>
      <c r="B12" s="226" t="s">
        <v>551</v>
      </c>
      <c r="C12" s="223" t="s">
        <v>1</v>
      </c>
      <c r="D12" s="273">
        <f>D13+D18+D22+D26</f>
        <v>607416675</v>
      </c>
      <c r="E12" s="273">
        <f>E13+E18+E22+E26</f>
        <v>571032960.1799998</v>
      </c>
      <c r="F12" s="274">
        <f>E12/D12</f>
        <v>0.9401008956166701</v>
      </c>
    </row>
    <row r="13" spans="1:6" ht="113.25" customHeight="1">
      <c r="A13" s="227" t="s">
        <v>132</v>
      </c>
      <c r="B13" s="228" t="s">
        <v>551</v>
      </c>
      <c r="C13" s="229" t="s">
        <v>133</v>
      </c>
      <c r="D13" s="275">
        <v>606228840</v>
      </c>
      <c r="E13" s="275">
        <f>E14+E15+E16+E17</f>
        <v>570071049.0199999</v>
      </c>
      <c r="F13" s="276">
        <f>E13/D13</f>
        <v>0.9403562011665427</v>
      </c>
    </row>
    <row r="14" spans="1:6" ht="104.25" customHeight="1">
      <c r="A14" s="230" t="s">
        <v>134</v>
      </c>
      <c r="B14" s="231" t="s">
        <v>551</v>
      </c>
      <c r="C14" s="97" t="s">
        <v>347</v>
      </c>
      <c r="D14" s="210"/>
      <c r="E14" s="210">
        <v>568793319.04</v>
      </c>
      <c r="F14" s="277"/>
    </row>
    <row r="15" spans="1:6" ht="96.75" customHeight="1">
      <c r="A15" s="230" t="s">
        <v>135</v>
      </c>
      <c r="B15" s="231" t="s">
        <v>551</v>
      </c>
      <c r="C15" s="97" t="s">
        <v>347</v>
      </c>
      <c r="D15" s="210"/>
      <c r="E15" s="210">
        <v>1960477.81</v>
      </c>
      <c r="F15" s="277"/>
    </row>
    <row r="16" spans="1:6" ht="107.25" customHeight="1">
      <c r="A16" s="230" t="s">
        <v>136</v>
      </c>
      <c r="B16" s="231" t="s">
        <v>551</v>
      </c>
      <c r="C16" s="97" t="s">
        <v>347</v>
      </c>
      <c r="D16" s="210"/>
      <c r="E16" s="210">
        <v>-682747.83</v>
      </c>
      <c r="F16" s="277"/>
    </row>
    <row r="17" spans="1:6" ht="98.25" customHeight="1">
      <c r="A17" s="230" t="s">
        <v>137</v>
      </c>
      <c r="B17" s="231" t="s">
        <v>551</v>
      </c>
      <c r="C17" s="97" t="s">
        <v>347</v>
      </c>
      <c r="D17" s="210"/>
      <c r="E17" s="210">
        <v>0</v>
      </c>
      <c r="F17" s="277"/>
    </row>
    <row r="18" spans="1:6" ht="139.5" customHeight="1">
      <c r="A18" s="232" t="s">
        <v>138</v>
      </c>
      <c r="B18" s="228" t="s">
        <v>551</v>
      </c>
      <c r="C18" s="229" t="s">
        <v>349</v>
      </c>
      <c r="D18" s="278">
        <v>300000</v>
      </c>
      <c r="E18" s="278">
        <f>E19+E20+E21</f>
        <v>228613.03</v>
      </c>
      <c r="F18" s="279">
        <f>E18/D18</f>
        <v>0.7620434333333334</v>
      </c>
    </row>
    <row r="19" spans="1:6" ht="137.25" customHeight="1">
      <c r="A19" s="96" t="s">
        <v>139</v>
      </c>
      <c r="B19" s="231" t="s">
        <v>551</v>
      </c>
      <c r="C19" s="97" t="s">
        <v>349</v>
      </c>
      <c r="D19" s="278"/>
      <c r="E19" s="278">
        <v>205677.79</v>
      </c>
      <c r="F19" s="279"/>
    </row>
    <row r="20" spans="1:6" ht="139.5" customHeight="1">
      <c r="A20" s="96" t="s">
        <v>140</v>
      </c>
      <c r="B20" s="231" t="s">
        <v>551</v>
      </c>
      <c r="C20" s="97" t="s">
        <v>349</v>
      </c>
      <c r="D20" s="278"/>
      <c r="E20" s="278">
        <v>4473</v>
      </c>
      <c r="F20" s="279"/>
    </row>
    <row r="21" spans="1:6" ht="139.5" customHeight="1">
      <c r="A21" s="96" t="s">
        <v>141</v>
      </c>
      <c r="B21" s="231" t="s">
        <v>551</v>
      </c>
      <c r="C21" s="97" t="s">
        <v>349</v>
      </c>
      <c r="D21" s="278"/>
      <c r="E21" s="278">
        <v>18462.24</v>
      </c>
      <c r="F21" s="279"/>
    </row>
    <row r="22" spans="1:6" ht="68.25" customHeight="1">
      <c r="A22" s="232" t="s">
        <v>142</v>
      </c>
      <c r="B22" s="233" t="s">
        <v>551</v>
      </c>
      <c r="C22" s="229" t="s">
        <v>5</v>
      </c>
      <c r="D22" s="278">
        <v>872500</v>
      </c>
      <c r="E22" s="278">
        <f>E23+E24+E25</f>
        <v>723023.43</v>
      </c>
      <c r="F22" s="279">
        <f>E22/D22</f>
        <v>0.8286801489971347</v>
      </c>
    </row>
    <row r="23" spans="1:6" ht="68.25" customHeight="1">
      <c r="A23" s="96" t="s">
        <v>143</v>
      </c>
      <c r="B23" s="234" t="s">
        <v>551</v>
      </c>
      <c r="C23" s="97" t="s">
        <v>5</v>
      </c>
      <c r="D23" s="210"/>
      <c r="E23" s="210">
        <v>684096.43</v>
      </c>
      <c r="F23" s="280"/>
    </row>
    <row r="24" spans="1:6" ht="68.25" customHeight="1">
      <c r="A24" s="96" t="s">
        <v>144</v>
      </c>
      <c r="B24" s="234" t="s">
        <v>551</v>
      </c>
      <c r="C24" s="97" t="s">
        <v>5</v>
      </c>
      <c r="D24" s="210"/>
      <c r="E24" s="210">
        <v>1840.83</v>
      </c>
      <c r="F24" s="280"/>
    </row>
    <row r="25" spans="1:6" ht="68.25" customHeight="1">
      <c r="A25" s="96" t="s">
        <v>145</v>
      </c>
      <c r="B25" s="234" t="s">
        <v>551</v>
      </c>
      <c r="C25" s="97" t="s">
        <v>5</v>
      </c>
      <c r="D25" s="210"/>
      <c r="E25" s="210">
        <v>37086.17</v>
      </c>
      <c r="F25" s="280"/>
    </row>
    <row r="26" spans="1:6" ht="123.75" customHeight="1">
      <c r="A26" s="232" t="s">
        <v>146</v>
      </c>
      <c r="B26" s="233" t="s">
        <v>551</v>
      </c>
      <c r="C26" s="229" t="s">
        <v>147</v>
      </c>
      <c r="D26" s="278">
        <v>15335</v>
      </c>
      <c r="E26" s="278">
        <f>E27</f>
        <v>10274.7</v>
      </c>
      <c r="F26" s="279">
        <f>E26/D26</f>
        <v>0.670016302575807</v>
      </c>
    </row>
    <row r="27" spans="1:6" ht="123.75" customHeight="1">
      <c r="A27" s="96" t="s">
        <v>148</v>
      </c>
      <c r="B27" s="234" t="s">
        <v>551</v>
      </c>
      <c r="C27" s="97" t="s">
        <v>350</v>
      </c>
      <c r="D27" s="210"/>
      <c r="E27" s="210">
        <v>10274.7</v>
      </c>
      <c r="F27" s="280"/>
    </row>
    <row r="28" spans="1:6" ht="51.75" customHeight="1">
      <c r="A28" s="225" t="s">
        <v>552</v>
      </c>
      <c r="B28" s="226" t="s">
        <v>925</v>
      </c>
      <c r="C28" s="253" t="s">
        <v>8</v>
      </c>
      <c r="D28" s="273">
        <f>D29</f>
        <v>8562100</v>
      </c>
      <c r="E28" s="273">
        <f>E29</f>
        <v>7557038.31</v>
      </c>
      <c r="F28" s="274">
        <f aca="true" t="shared" si="0" ref="F28:F33">E28/D28</f>
        <v>0.8826150488781958</v>
      </c>
    </row>
    <row r="29" spans="1:6" ht="52.5" customHeight="1">
      <c r="A29" s="217" t="s">
        <v>553</v>
      </c>
      <c r="B29" s="236" t="s">
        <v>551</v>
      </c>
      <c r="C29" s="237" t="s">
        <v>10</v>
      </c>
      <c r="D29" s="281">
        <f>D30+D31+D32+D33</f>
        <v>8562100</v>
      </c>
      <c r="E29" s="281">
        <f>E30+E31+E32+E33</f>
        <v>7557038.31</v>
      </c>
      <c r="F29" s="277">
        <f t="shared" si="0"/>
        <v>0.8826150488781958</v>
      </c>
    </row>
    <row r="30" spans="1:6" ht="97.5" customHeight="1">
      <c r="A30" s="96" t="s">
        <v>554</v>
      </c>
      <c r="B30" s="234" t="s">
        <v>551</v>
      </c>
      <c r="C30" s="97" t="s">
        <v>12</v>
      </c>
      <c r="D30" s="210">
        <v>3681703</v>
      </c>
      <c r="E30" s="210">
        <v>2852155.66</v>
      </c>
      <c r="F30" s="277">
        <f t="shared" si="0"/>
        <v>0.7746837971449626</v>
      </c>
    </row>
    <row r="31" spans="1:6" ht="111.75" customHeight="1">
      <c r="A31" s="96" t="s">
        <v>555</v>
      </c>
      <c r="B31" s="234" t="s">
        <v>551</v>
      </c>
      <c r="C31" s="97" t="s">
        <v>351</v>
      </c>
      <c r="D31" s="210">
        <f>85621+50000</f>
        <v>135621</v>
      </c>
      <c r="E31" s="210">
        <v>64245.32</v>
      </c>
      <c r="F31" s="277">
        <f t="shared" si="0"/>
        <v>0.4737121832164635</v>
      </c>
    </row>
    <row r="32" spans="1:6" ht="96" customHeight="1">
      <c r="A32" s="96" t="s">
        <v>556</v>
      </c>
      <c r="B32" s="234" t="s">
        <v>551</v>
      </c>
      <c r="C32" s="97" t="s">
        <v>15</v>
      </c>
      <c r="D32" s="210">
        <v>4623534</v>
      </c>
      <c r="E32" s="210">
        <v>4886071.28</v>
      </c>
      <c r="F32" s="277">
        <f t="shared" si="0"/>
        <v>1.056782815915272</v>
      </c>
    </row>
    <row r="33" spans="1:6" ht="98.25" customHeight="1">
      <c r="A33" s="96" t="s">
        <v>557</v>
      </c>
      <c r="B33" s="234" t="s">
        <v>551</v>
      </c>
      <c r="C33" s="97" t="s">
        <v>17</v>
      </c>
      <c r="D33" s="210">
        <f>171242-50000</f>
        <v>121242</v>
      </c>
      <c r="E33" s="210">
        <v>-245433.95</v>
      </c>
      <c r="F33" s="277">
        <f t="shared" si="0"/>
        <v>-2.024331089886343</v>
      </c>
    </row>
    <row r="34" spans="1:6" ht="22.5" customHeight="1">
      <c r="A34" s="220" t="s">
        <v>149</v>
      </c>
      <c r="B34" s="221" t="s">
        <v>925</v>
      </c>
      <c r="C34" s="224" t="s">
        <v>19</v>
      </c>
      <c r="D34" s="271">
        <f>D35+D56+D65</f>
        <v>54405495</v>
      </c>
      <c r="E34" s="271">
        <f>E35+E56+E65</f>
        <v>44392447.29000001</v>
      </c>
      <c r="F34" s="272">
        <f>E34/D34</f>
        <v>0.8159552135312804</v>
      </c>
    </row>
    <row r="35" spans="1:6" ht="39.75" customHeight="1">
      <c r="A35" s="225" t="s">
        <v>150</v>
      </c>
      <c r="B35" s="226" t="s">
        <v>551</v>
      </c>
      <c r="C35" s="235" t="s">
        <v>21</v>
      </c>
      <c r="D35" s="273">
        <f>D36+D45+D52</f>
        <v>31405195</v>
      </c>
      <c r="E35" s="273">
        <f>E36+E45+E52</f>
        <v>23829115.12</v>
      </c>
      <c r="F35" s="274">
        <f>E35/D35</f>
        <v>0.7587634822837432</v>
      </c>
    </row>
    <row r="36" spans="1:6" s="238" customFormat="1" ht="51.75" customHeight="1">
      <c r="A36" s="217" t="s">
        <v>151</v>
      </c>
      <c r="B36" s="236" t="s">
        <v>551</v>
      </c>
      <c r="C36" s="237" t="s">
        <v>23</v>
      </c>
      <c r="D36" s="281">
        <f>D37+D41</f>
        <v>12384406</v>
      </c>
      <c r="E36" s="281">
        <f>E37+E41</f>
        <v>7408944.419999999</v>
      </c>
      <c r="F36" s="277">
        <f>E36/D36</f>
        <v>0.5982478626750446</v>
      </c>
    </row>
    <row r="37" spans="1:6" s="238" customFormat="1" ht="51" customHeight="1">
      <c r="A37" s="232" t="s">
        <v>152</v>
      </c>
      <c r="B37" s="233" t="s">
        <v>551</v>
      </c>
      <c r="C37" s="229" t="s">
        <v>23</v>
      </c>
      <c r="D37" s="278">
        <v>12384406</v>
      </c>
      <c r="E37" s="278">
        <f>E38+E39+E40</f>
        <v>7423674.239999999</v>
      </c>
      <c r="F37" s="279">
        <f>E37/D37</f>
        <v>0.5994372471315943</v>
      </c>
    </row>
    <row r="38" spans="1:6" s="238" customFormat="1" ht="51" customHeight="1">
      <c r="A38" s="96" t="s">
        <v>153</v>
      </c>
      <c r="B38" s="234" t="s">
        <v>551</v>
      </c>
      <c r="C38" s="97" t="s">
        <v>23</v>
      </c>
      <c r="D38" s="210"/>
      <c r="E38" s="210">
        <v>7331436.72</v>
      </c>
      <c r="F38" s="280"/>
    </row>
    <row r="39" spans="1:6" s="238" customFormat="1" ht="51" customHeight="1">
      <c r="A39" s="96" t="s">
        <v>154</v>
      </c>
      <c r="B39" s="234" t="s">
        <v>551</v>
      </c>
      <c r="C39" s="97" t="s">
        <v>23</v>
      </c>
      <c r="D39" s="210"/>
      <c r="E39" s="210">
        <v>65197.52</v>
      </c>
      <c r="F39" s="280"/>
    </row>
    <row r="40" spans="1:6" s="238" customFormat="1" ht="51" customHeight="1">
      <c r="A40" s="96" t="s">
        <v>155</v>
      </c>
      <c r="B40" s="234" t="s">
        <v>551</v>
      </c>
      <c r="C40" s="97" t="s">
        <v>23</v>
      </c>
      <c r="D40" s="210"/>
      <c r="E40" s="210">
        <v>27040</v>
      </c>
      <c r="F40" s="280"/>
    </row>
    <row r="41" spans="1:6" s="238" customFormat="1" ht="67.5" customHeight="1">
      <c r="A41" s="232" t="s">
        <v>156</v>
      </c>
      <c r="B41" s="233" t="s">
        <v>551</v>
      </c>
      <c r="C41" s="229" t="s">
        <v>599</v>
      </c>
      <c r="D41" s="278">
        <v>0</v>
      </c>
      <c r="E41" s="278">
        <f>E42+E43+E44</f>
        <v>-14729.82</v>
      </c>
      <c r="F41" s="279"/>
    </row>
    <row r="42" spans="1:6" s="238" customFormat="1" ht="60.75" customHeight="1">
      <c r="A42" s="96" t="s">
        <v>157</v>
      </c>
      <c r="B42" s="234" t="s">
        <v>551</v>
      </c>
      <c r="C42" s="97" t="s">
        <v>599</v>
      </c>
      <c r="D42" s="210"/>
      <c r="E42" s="210">
        <v>-4132.78</v>
      </c>
      <c r="F42" s="280"/>
    </row>
    <row r="43" spans="1:6" s="238" customFormat="1" ht="64.5" customHeight="1">
      <c r="A43" s="96" t="s">
        <v>158</v>
      </c>
      <c r="B43" s="234" t="s">
        <v>551</v>
      </c>
      <c r="C43" s="97" t="s">
        <v>599</v>
      </c>
      <c r="D43" s="210"/>
      <c r="E43" s="210">
        <v>-7897.04</v>
      </c>
      <c r="F43" s="280"/>
    </row>
    <row r="44" spans="1:6" s="238" customFormat="1" ht="62.25" customHeight="1">
      <c r="A44" s="96" t="s">
        <v>159</v>
      </c>
      <c r="B44" s="234" t="s">
        <v>551</v>
      </c>
      <c r="C44" s="97" t="s">
        <v>599</v>
      </c>
      <c r="D44" s="210"/>
      <c r="E44" s="210">
        <v>-2700</v>
      </c>
      <c r="F44" s="280"/>
    </row>
    <row r="45" spans="1:6" s="238" customFormat="1" ht="75" customHeight="1">
      <c r="A45" s="217" t="s">
        <v>160</v>
      </c>
      <c r="B45" s="236" t="s">
        <v>551</v>
      </c>
      <c r="C45" s="237" t="s">
        <v>26</v>
      </c>
      <c r="D45" s="281">
        <f>D46+D50</f>
        <v>12153789</v>
      </c>
      <c r="E45" s="281">
        <f>E46+E50</f>
        <v>10930978.680000002</v>
      </c>
      <c r="F45" s="277">
        <f>E45/D45</f>
        <v>0.8993885511752756</v>
      </c>
    </row>
    <row r="46" spans="1:6" s="238" customFormat="1" ht="66.75" customHeight="1">
      <c r="A46" s="232" t="s">
        <v>161</v>
      </c>
      <c r="B46" s="233" t="s">
        <v>551</v>
      </c>
      <c r="C46" s="229" t="s">
        <v>26</v>
      </c>
      <c r="D46" s="278">
        <v>12153789</v>
      </c>
      <c r="E46" s="278">
        <f>E47+E48+E49</f>
        <v>10936065.3</v>
      </c>
      <c r="F46" s="279">
        <f>E46/D46</f>
        <v>0.899807072510474</v>
      </c>
    </row>
    <row r="47" spans="1:6" s="238" customFormat="1" ht="51.75" customHeight="1">
      <c r="A47" s="96" t="s">
        <v>162</v>
      </c>
      <c r="B47" s="234" t="s">
        <v>551</v>
      </c>
      <c r="C47" s="97" t="s">
        <v>26</v>
      </c>
      <c r="D47" s="210"/>
      <c r="E47" s="210">
        <v>10205132.3</v>
      </c>
      <c r="F47" s="280"/>
    </row>
    <row r="48" spans="1:6" s="238" customFormat="1" ht="51.75" customHeight="1">
      <c r="A48" s="96" t="s">
        <v>163</v>
      </c>
      <c r="B48" s="234" t="s">
        <v>551</v>
      </c>
      <c r="C48" s="97" t="s">
        <v>26</v>
      </c>
      <c r="D48" s="210"/>
      <c r="E48" s="210">
        <v>547856.7</v>
      </c>
      <c r="F48" s="280"/>
    </row>
    <row r="49" spans="1:6" s="238" customFormat="1" ht="51.75" customHeight="1">
      <c r="A49" s="96" t="s">
        <v>164</v>
      </c>
      <c r="B49" s="234" t="s">
        <v>551</v>
      </c>
      <c r="C49" s="97" t="s">
        <v>26</v>
      </c>
      <c r="D49" s="210"/>
      <c r="E49" s="210">
        <v>183076.3</v>
      </c>
      <c r="F49" s="280"/>
    </row>
    <row r="50" spans="1:6" s="238" customFormat="1" ht="78" customHeight="1">
      <c r="A50" s="232" t="s">
        <v>600</v>
      </c>
      <c r="B50" s="233" t="s">
        <v>551</v>
      </c>
      <c r="C50" s="229" t="s">
        <v>601</v>
      </c>
      <c r="D50" s="278">
        <v>0</v>
      </c>
      <c r="E50" s="278">
        <f>E51</f>
        <v>-5086.62</v>
      </c>
      <c r="F50" s="280"/>
    </row>
    <row r="51" spans="1:6" s="238" customFormat="1" ht="81" customHeight="1">
      <c r="A51" s="96" t="s">
        <v>165</v>
      </c>
      <c r="B51" s="234" t="s">
        <v>551</v>
      </c>
      <c r="C51" s="97" t="s">
        <v>601</v>
      </c>
      <c r="D51" s="210"/>
      <c r="E51" s="210">
        <v>-5086.62</v>
      </c>
      <c r="F51" s="280"/>
    </row>
    <row r="52" spans="1:6" s="238" customFormat="1" ht="39.75" customHeight="1">
      <c r="A52" s="232" t="s">
        <v>166</v>
      </c>
      <c r="B52" s="233" t="s">
        <v>551</v>
      </c>
      <c r="C52" s="229" t="s">
        <v>29</v>
      </c>
      <c r="D52" s="278">
        <v>6867000</v>
      </c>
      <c r="E52" s="278">
        <f>E53+E54+E55</f>
        <v>5489192.0200000005</v>
      </c>
      <c r="F52" s="279">
        <f>E52/D52</f>
        <v>0.7993580923256153</v>
      </c>
    </row>
    <row r="53" spans="1:6" s="238" customFormat="1" ht="39.75" customHeight="1">
      <c r="A53" s="96" t="s">
        <v>167</v>
      </c>
      <c r="B53" s="234" t="s">
        <v>551</v>
      </c>
      <c r="C53" s="97" t="s">
        <v>29</v>
      </c>
      <c r="D53" s="210"/>
      <c r="E53" s="210">
        <v>5376881.2</v>
      </c>
      <c r="F53" s="280"/>
    </row>
    <row r="54" spans="1:6" s="238" customFormat="1" ht="39.75" customHeight="1">
      <c r="A54" s="96" t="s">
        <v>168</v>
      </c>
      <c r="B54" s="234" t="s">
        <v>551</v>
      </c>
      <c r="C54" s="97" t="s">
        <v>29</v>
      </c>
      <c r="D54" s="210"/>
      <c r="E54" s="210">
        <v>112029.82</v>
      </c>
      <c r="F54" s="280"/>
    </row>
    <row r="55" spans="1:6" s="238" customFormat="1" ht="39.75" customHeight="1">
      <c r="A55" s="96" t="s">
        <v>169</v>
      </c>
      <c r="B55" s="234" t="s">
        <v>551</v>
      </c>
      <c r="C55" s="97" t="s">
        <v>29</v>
      </c>
      <c r="D55" s="210"/>
      <c r="E55" s="210">
        <v>281</v>
      </c>
      <c r="F55" s="280"/>
    </row>
    <row r="56" spans="1:6" s="239" customFormat="1" ht="43.5" customHeight="1">
      <c r="A56" s="225" t="s">
        <v>170</v>
      </c>
      <c r="B56" s="226" t="s">
        <v>551</v>
      </c>
      <c r="C56" s="235" t="s">
        <v>31</v>
      </c>
      <c r="D56" s="273">
        <f>D57+D61</f>
        <v>22273300</v>
      </c>
      <c r="E56" s="273">
        <f>E57+E61</f>
        <v>20235292.260000005</v>
      </c>
      <c r="F56" s="274">
        <f>E56/D56</f>
        <v>0.9084999645315245</v>
      </c>
    </row>
    <row r="57" spans="1:6" s="239" customFormat="1" ht="43.5" customHeight="1">
      <c r="A57" s="232" t="s">
        <v>171</v>
      </c>
      <c r="B57" s="233" t="s">
        <v>551</v>
      </c>
      <c r="C57" s="229" t="s">
        <v>33</v>
      </c>
      <c r="D57" s="278">
        <v>22173300</v>
      </c>
      <c r="E57" s="278">
        <f>E58+E59+E60</f>
        <v>20200111.480000004</v>
      </c>
      <c r="F57" s="279">
        <f>E57/D57</f>
        <v>0.9110106064501001</v>
      </c>
    </row>
    <row r="58" spans="1:6" s="239" customFormat="1" ht="34.5" customHeight="1">
      <c r="A58" s="96" t="s">
        <v>172</v>
      </c>
      <c r="B58" s="234" t="s">
        <v>551</v>
      </c>
      <c r="C58" s="97" t="s">
        <v>33</v>
      </c>
      <c r="D58" s="278"/>
      <c r="E58" s="210">
        <v>19974434.03</v>
      </c>
      <c r="F58" s="279"/>
    </row>
    <row r="59" spans="1:6" s="239" customFormat="1" ht="35.25" customHeight="1">
      <c r="A59" s="96" t="s">
        <v>173</v>
      </c>
      <c r="B59" s="234" t="s">
        <v>551</v>
      </c>
      <c r="C59" s="97" t="s">
        <v>33</v>
      </c>
      <c r="D59" s="278"/>
      <c r="E59" s="210">
        <v>86185.85</v>
      </c>
      <c r="F59" s="279"/>
    </row>
    <row r="60" spans="1:6" s="239" customFormat="1" ht="32.25" customHeight="1">
      <c r="A60" s="96" t="s">
        <v>174</v>
      </c>
      <c r="B60" s="234" t="s">
        <v>551</v>
      </c>
      <c r="C60" s="97" t="s">
        <v>33</v>
      </c>
      <c r="D60" s="278"/>
      <c r="E60" s="210">
        <v>139491.6</v>
      </c>
      <c r="F60" s="279"/>
    </row>
    <row r="61" spans="1:6" s="239" customFormat="1" ht="46.5" customHeight="1">
      <c r="A61" s="232" t="s">
        <v>175</v>
      </c>
      <c r="B61" s="233" t="s">
        <v>551</v>
      </c>
      <c r="C61" s="229" t="s">
        <v>35</v>
      </c>
      <c r="D61" s="278">
        <v>100000</v>
      </c>
      <c r="E61" s="278">
        <f>E62+E63+E64</f>
        <v>35180.78</v>
      </c>
      <c r="F61" s="279">
        <f>E61/D61</f>
        <v>0.3518078</v>
      </c>
    </row>
    <row r="62" spans="1:6" s="239" customFormat="1" ht="46.5" customHeight="1">
      <c r="A62" s="96" t="s">
        <v>176</v>
      </c>
      <c r="B62" s="234" t="s">
        <v>551</v>
      </c>
      <c r="C62" s="97" t="s">
        <v>35</v>
      </c>
      <c r="D62" s="210"/>
      <c r="E62" s="210">
        <v>16532.61</v>
      </c>
      <c r="F62" s="280"/>
    </row>
    <row r="63" spans="1:6" s="239" customFormat="1" ht="46.5" customHeight="1">
      <c r="A63" s="96" t="s">
        <v>177</v>
      </c>
      <c r="B63" s="234" t="s">
        <v>551</v>
      </c>
      <c r="C63" s="97" t="s">
        <v>35</v>
      </c>
      <c r="D63" s="210"/>
      <c r="E63" s="210">
        <v>13330.07</v>
      </c>
      <c r="F63" s="280"/>
    </row>
    <row r="64" spans="1:6" s="239" customFormat="1" ht="46.5" customHeight="1">
      <c r="A64" s="96" t="s">
        <v>178</v>
      </c>
      <c r="B64" s="234" t="s">
        <v>551</v>
      </c>
      <c r="C64" s="97" t="s">
        <v>35</v>
      </c>
      <c r="D64" s="210"/>
      <c r="E64" s="210">
        <v>5318.1</v>
      </c>
      <c r="F64" s="280"/>
    </row>
    <row r="65" spans="1:6" s="239" customFormat="1" ht="46.5" customHeight="1">
      <c r="A65" s="225" t="s">
        <v>179</v>
      </c>
      <c r="B65" s="226" t="s">
        <v>551</v>
      </c>
      <c r="C65" s="235" t="s">
        <v>37</v>
      </c>
      <c r="D65" s="273">
        <f>D66</f>
        <v>727000</v>
      </c>
      <c r="E65" s="273">
        <f>E66</f>
        <v>328039.91</v>
      </c>
      <c r="F65" s="274">
        <f>E65/D65</f>
        <v>0.4512240852819807</v>
      </c>
    </row>
    <row r="66" spans="1:6" ht="51.75" customHeight="1">
      <c r="A66" s="232" t="s">
        <v>180</v>
      </c>
      <c r="B66" s="233" t="s">
        <v>551</v>
      </c>
      <c r="C66" s="240" t="s">
        <v>39</v>
      </c>
      <c r="D66" s="278">
        <v>727000</v>
      </c>
      <c r="E66" s="278">
        <f>E67+E68</f>
        <v>328039.91</v>
      </c>
      <c r="F66" s="279">
        <f>E66/D66</f>
        <v>0.4512240852819807</v>
      </c>
    </row>
    <row r="67" spans="1:6" ht="51.75" customHeight="1">
      <c r="A67" s="96" t="s">
        <v>181</v>
      </c>
      <c r="B67" s="234" t="s">
        <v>551</v>
      </c>
      <c r="C67" s="241" t="s">
        <v>39</v>
      </c>
      <c r="D67" s="210"/>
      <c r="E67" s="210">
        <v>328002.67</v>
      </c>
      <c r="F67" s="280"/>
    </row>
    <row r="68" spans="1:6" ht="51.75" customHeight="1">
      <c r="A68" s="96" t="s">
        <v>182</v>
      </c>
      <c r="B68" s="234" t="s">
        <v>551</v>
      </c>
      <c r="C68" s="241" t="s">
        <v>39</v>
      </c>
      <c r="D68" s="210"/>
      <c r="E68" s="210">
        <v>37.24</v>
      </c>
      <c r="F68" s="280"/>
    </row>
    <row r="69" spans="1:6" ht="21" customHeight="1">
      <c r="A69" s="220" t="s">
        <v>183</v>
      </c>
      <c r="B69" s="221" t="s">
        <v>925</v>
      </c>
      <c r="C69" s="224" t="s">
        <v>41</v>
      </c>
      <c r="D69" s="271">
        <f>D70+D75</f>
        <v>18344269</v>
      </c>
      <c r="E69" s="271">
        <f>E70+E75</f>
        <v>17250330.5</v>
      </c>
      <c r="F69" s="272">
        <f>E69/D69</f>
        <v>0.9403661982933198</v>
      </c>
    </row>
    <row r="70" spans="1:6" ht="33" customHeight="1">
      <c r="A70" s="225" t="s">
        <v>184</v>
      </c>
      <c r="B70" s="226" t="s">
        <v>551</v>
      </c>
      <c r="C70" s="235" t="s">
        <v>43</v>
      </c>
      <c r="D70" s="273">
        <f>D71</f>
        <v>5985677</v>
      </c>
      <c r="E70" s="273">
        <f>E71</f>
        <v>5467011.92</v>
      </c>
      <c r="F70" s="274">
        <f>F71</f>
        <v>0.9133489695484738</v>
      </c>
    </row>
    <row r="71" spans="1:6" ht="61.5" customHeight="1">
      <c r="A71" s="232" t="s">
        <v>185</v>
      </c>
      <c r="B71" s="233" t="s">
        <v>551</v>
      </c>
      <c r="C71" s="242" t="s">
        <v>45</v>
      </c>
      <c r="D71" s="278">
        <v>5985677</v>
      </c>
      <c r="E71" s="278">
        <f>E72+E73+E74</f>
        <v>5467011.92</v>
      </c>
      <c r="F71" s="279">
        <f>E71/D71</f>
        <v>0.9133489695484738</v>
      </c>
    </row>
    <row r="72" spans="1:6" ht="66.75" customHeight="1">
      <c r="A72" s="96" t="s">
        <v>186</v>
      </c>
      <c r="B72" s="234" t="s">
        <v>551</v>
      </c>
      <c r="C72" s="243" t="s">
        <v>45</v>
      </c>
      <c r="D72" s="278"/>
      <c r="E72" s="210">
        <v>5399631.95</v>
      </c>
      <c r="F72" s="279"/>
    </row>
    <row r="73" spans="1:6" ht="61.5" customHeight="1">
      <c r="A73" s="96" t="s">
        <v>187</v>
      </c>
      <c r="B73" s="234" t="s">
        <v>551</v>
      </c>
      <c r="C73" s="243" t="s">
        <v>45</v>
      </c>
      <c r="D73" s="278"/>
      <c r="E73" s="210">
        <v>67514.43</v>
      </c>
      <c r="F73" s="279"/>
    </row>
    <row r="74" spans="1:6" ht="61.5" customHeight="1">
      <c r="A74" s="96" t="s">
        <v>188</v>
      </c>
      <c r="B74" s="234" t="s">
        <v>551</v>
      </c>
      <c r="C74" s="243" t="s">
        <v>45</v>
      </c>
      <c r="D74" s="278"/>
      <c r="E74" s="210">
        <v>-134.46</v>
      </c>
      <c r="F74" s="279"/>
    </row>
    <row r="75" spans="1:6" ht="31.5" customHeight="1">
      <c r="A75" s="225" t="s">
        <v>189</v>
      </c>
      <c r="B75" s="226" t="s">
        <v>551</v>
      </c>
      <c r="C75" s="235" t="s">
        <v>47</v>
      </c>
      <c r="D75" s="273">
        <f>D76+D82</f>
        <v>12358592</v>
      </c>
      <c r="E75" s="273">
        <f>E76+E82</f>
        <v>11783318.58</v>
      </c>
      <c r="F75" s="274">
        <f>E75/D75</f>
        <v>0.9534515404343796</v>
      </c>
    </row>
    <row r="76" spans="1:6" ht="63">
      <c r="A76" s="217" t="s">
        <v>190</v>
      </c>
      <c r="B76" s="236" t="s">
        <v>551</v>
      </c>
      <c r="C76" s="237" t="s">
        <v>49</v>
      </c>
      <c r="D76" s="281">
        <f>D77</f>
        <v>1400000</v>
      </c>
      <c r="E76" s="281">
        <f>E77</f>
        <v>878081.24</v>
      </c>
      <c r="F76" s="277">
        <f>F77</f>
        <v>0.6272008857142857</v>
      </c>
    </row>
    <row r="77" spans="1:6" ht="105">
      <c r="A77" s="232" t="s">
        <v>191</v>
      </c>
      <c r="B77" s="233" t="s">
        <v>551</v>
      </c>
      <c r="C77" s="229" t="s">
        <v>51</v>
      </c>
      <c r="D77" s="278">
        <v>1400000</v>
      </c>
      <c r="E77" s="278">
        <f>E78+E79+E80+E81</f>
        <v>878081.24</v>
      </c>
      <c r="F77" s="279">
        <f>E77/D77</f>
        <v>0.6272008857142857</v>
      </c>
    </row>
    <row r="78" spans="1:6" ht="90">
      <c r="A78" s="96" t="s">
        <v>192</v>
      </c>
      <c r="B78" s="234" t="s">
        <v>551</v>
      </c>
      <c r="C78" s="97" t="s">
        <v>51</v>
      </c>
      <c r="D78" s="278"/>
      <c r="E78" s="210">
        <v>875617.64</v>
      </c>
      <c r="F78" s="279"/>
    </row>
    <row r="79" spans="1:6" ht="90">
      <c r="A79" s="96" t="s">
        <v>193</v>
      </c>
      <c r="B79" s="234" t="s">
        <v>551</v>
      </c>
      <c r="C79" s="97" t="s">
        <v>51</v>
      </c>
      <c r="D79" s="278"/>
      <c r="E79" s="210">
        <v>633.6</v>
      </c>
      <c r="F79" s="279"/>
    </row>
    <row r="80" spans="1:6" ht="90">
      <c r="A80" s="96" t="s">
        <v>194</v>
      </c>
      <c r="B80" s="234" t="s">
        <v>551</v>
      </c>
      <c r="C80" s="97" t="s">
        <v>51</v>
      </c>
      <c r="D80" s="278"/>
      <c r="E80" s="210">
        <v>3000</v>
      </c>
      <c r="F80" s="279"/>
    </row>
    <row r="81" spans="1:6" ht="90">
      <c r="A81" s="96" t="s">
        <v>195</v>
      </c>
      <c r="B81" s="234" t="s">
        <v>551</v>
      </c>
      <c r="C81" s="97" t="s">
        <v>51</v>
      </c>
      <c r="D81" s="278"/>
      <c r="E81" s="210">
        <v>-1170</v>
      </c>
      <c r="F81" s="279"/>
    </row>
    <row r="82" spans="1:6" ht="63">
      <c r="A82" s="217" t="s">
        <v>196</v>
      </c>
      <c r="B82" s="236" t="s">
        <v>551</v>
      </c>
      <c r="C82" s="237" t="s">
        <v>53</v>
      </c>
      <c r="D82" s="281">
        <f>D83</f>
        <v>10958592</v>
      </c>
      <c r="E82" s="281">
        <f>E83</f>
        <v>10905237.34</v>
      </c>
      <c r="F82" s="277">
        <f>F83</f>
        <v>0.9951312486129604</v>
      </c>
    </row>
    <row r="83" spans="1:6" ht="108.75" customHeight="1">
      <c r="A83" s="232" t="s">
        <v>197</v>
      </c>
      <c r="B83" s="233" t="s">
        <v>551</v>
      </c>
      <c r="C83" s="229" t="s">
        <v>55</v>
      </c>
      <c r="D83" s="278">
        <v>10958592</v>
      </c>
      <c r="E83" s="278">
        <f>E84+E85+E86</f>
        <v>10905237.34</v>
      </c>
      <c r="F83" s="279">
        <f>E83/D83</f>
        <v>0.9951312486129604</v>
      </c>
    </row>
    <row r="84" spans="1:6" ht="90.75" customHeight="1">
      <c r="A84" s="96" t="s">
        <v>198</v>
      </c>
      <c r="B84" s="234" t="s">
        <v>551</v>
      </c>
      <c r="C84" s="97" t="s">
        <v>55</v>
      </c>
      <c r="D84" s="278"/>
      <c r="E84" s="210">
        <v>10707032.46</v>
      </c>
      <c r="F84" s="279"/>
    </row>
    <row r="85" spans="1:6" ht="90">
      <c r="A85" s="96" t="s">
        <v>199</v>
      </c>
      <c r="B85" s="234" t="s">
        <v>551</v>
      </c>
      <c r="C85" s="97" t="s">
        <v>55</v>
      </c>
      <c r="D85" s="278"/>
      <c r="E85" s="210">
        <v>176241.51</v>
      </c>
      <c r="F85" s="279"/>
    </row>
    <row r="86" spans="1:6" ht="92.25" customHeight="1">
      <c r="A86" s="96" t="s">
        <v>200</v>
      </c>
      <c r="B86" s="234" t="s">
        <v>551</v>
      </c>
      <c r="C86" s="97" t="s">
        <v>55</v>
      </c>
      <c r="D86" s="278"/>
      <c r="E86" s="210">
        <v>21963.37</v>
      </c>
      <c r="F86" s="279"/>
    </row>
    <row r="87" spans="1:6" ht="29.25" customHeight="1">
      <c r="A87" s="220" t="s">
        <v>201</v>
      </c>
      <c r="B87" s="221" t="s">
        <v>925</v>
      </c>
      <c r="C87" s="224" t="s">
        <v>57</v>
      </c>
      <c r="D87" s="271">
        <f>D88+D91</f>
        <v>7195330</v>
      </c>
      <c r="E87" s="271">
        <f>E88+E91</f>
        <v>6192919.46</v>
      </c>
      <c r="F87" s="272">
        <f>E87/D87</f>
        <v>0.8606859532502331</v>
      </c>
    </row>
    <row r="88" spans="1:6" ht="54" customHeight="1">
      <c r="A88" s="244" t="s">
        <v>202</v>
      </c>
      <c r="B88" s="245" t="s">
        <v>551</v>
      </c>
      <c r="C88" s="246" t="s">
        <v>59</v>
      </c>
      <c r="D88" s="288">
        <f>D89</f>
        <v>7170830</v>
      </c>
      <c r="E88" s="288">
        <f>E89</f>
        <v>6168419.46</v>
      </c>
      <c r="F88" s="289">
        <f>F89</f>
        <v>0.8602099701150355</v>
      </c>
    </row>
    <row r="89" spans="1:6" ht="66.75" customHeight="1">
      <c r="A89" s="232" t="s">
        <v>203</v>
      </c>
      <c r="B89" s="233" t="s">
        <v>551</v>
      </c>
      <c r="C89" s="229" t="s">
        <v>61</v>
      </c>
      <c r="D89" s="278">
        <v>7170830</v>
      </c>
      <c r="E89" s="278">
        <f>E90</f>
        <v>6168419.46</v>
      </c>
      <c r="F89" s="279">
        <f>E89/D89</f>
        <v>0.8602099701150355</v>
      </c>
    </row>
    <row r="90" spans="1:6" ht="66.75" customHeight="1">
      <c r="A90" s="96" t="s">
        <v>204</v>
      </c>
      <c r="B90" s="234" t="s">
        <v>551</v>
      </c>
      <c r="C90" s="97" t="s">
        <v>61</v>
      </c>
      <c r="D90" s="278"/>
      <c r="E90" s="210">
        <v>6168419.46</v>
      </c>
      <c r="F90" s="279"/>
    </row>
    <row r="91" spans="1:6" ht="63.75" customHeight="1">
      <c r="A91" s="244" t="s">
        <v>205</v>
      </c>
      <c r="B91" s="245" t="s">
        <v>551</v>
      </c>
      <c r="C91" s="246" t="s">
        <v>63</v>
      </c>
      <c r="D91" s="288">
        <f>D92</f>
        <v>24500</v>
      </c>
      <c r="E91" s="288">
        <f>E92</f>
        <v>24500</v>
      </c>
      <c r="F91" s="289">
        <f>F92</f>
        <v>1</v>
      </c>
    </row>
    <row r="92" spans="1:6" ht="51" customHeight="1">
      <c r="A92" s="232" t="s">
        <v>206</v>
      </c>
      <c r="B92" s="233" t="s">
        <v>551</v>
      </c>
      <c r="C92" s="229" t="s">
        <v>65</v>
      </c>
      <c r="D92" s="278">
        <v>24500</v>
      </c>
      <c r="E92" s="278">
        <f>E93</f>
        <v>24500</v>
      </c>
      <c r="F92" s="279">
        <f>E92/D92</f>
        <v>1</v>
      </c>
    </row>
    <row r="93" spans="1:6" ht="51" customHeight="1">
      <c r="A93" s="96" t="s">
        <v>207</v>
      </c>
      <c r="B93" s="234" t="s">
        <v>551</v>
      </c>
      <c r="C93" s="97" t="s">
        <v>65</v>
      </c>
      <c r="D93" s="210"/>
      <c r="E93" s="210">
        <v>24500</v>
      </c>
      <c r="F93" s="280"/>
    </row>
    <row r="94" spans="1:6" ht="24.75" customHeight="1">
      <c r="A94" s="220"/>
      <c r="B94" s="221"/>
      <c r="C94" s="235" t="s">
        <v>66</v>
      </c>
      <c r="D94" s="273">
        <f>D95+D109+D119+D123+D127+D157</f>
        <v>71654636</v>
      </c>
      <c r="E94" s="273">
        <f>E95+E109+E119+E123+E127+E157</f>
        <v>58969315.55</v>
      </c>
      <c r="F94" s="274">
        <f>E94/D94</f>
        <v>0.8229658099163325</v>
      </c>
    </row>
    <row r="95" spans="1:6" ht="47.25">
      <c r="A95" s="247" t="s">
        <v>208</v>
      </c>
      <c r="B95" s="248" t="s">
        <v>925</v>
      </c>
      <c r="C95" s="249" t="s">
        <v>68</v>
      </c>
      <c r="D95" s="271">
        <f>D96+D103+D106</f>
        <v>32125923</v>
      </c>
      <c r="E95" s="271">
        <f>E96+E103+E106</f>
        <v>31788886.02</v>
      </c>
      <c r="F95" s="272">
        <f>E95/D95</f>
        <v>0.9895088779239121</v>
      </c>
    </row>
    <row r="96" spans="1:6" ht="153" customHeight="1">
      <c r="A96" s="225" t="s">
        <v>209</v>
      </c>
      <c r="B96" s="226" t="s">
        <v>558</v>
      </c>
      <c r="C96" s="250" t="s">
        <v>352</v>
      </c>
      <c r="D96" s="273">
        <f>D97+D99+D101</f>
        <v>24550749</v>
      </c>
      <c r="E96" s="273">
        <f>E97+E99+E101</f>
        <v>24841247.2</v>
      </c>
      <c r="F96" s="274">
        <f>E96/D96</f>
        <v>1.0118325595687527</v>
      </c>
    </row>
    <row r="97" spans="1:6" ht="91.5" customHeight="1">
      <c r="A97" s="232" t="s">
        <v>210</v>
      </c>
      <c r="B97" s="233" t="s">
        <v>558</v>
      </c>
      <c r="C97" s="251" t="s">
        <v>71</v>
      </c>
      <c r="D97" s="278">
        <f>D98</f>
        <v>8989050</v>
      </c>
      <c r="E97" s="278">
        <f>E98</f>
        <v>9390094.78</v>
      </c>
      <c r="F97" s="279">
        <f>F98</f>
        <v>1.0446148124662784</v>
      </c>
    </row>
    <row r="98" spans="1:6" ht="109.5" customHeight="1">
      <c r="A98" s="96" t="s">
        <v>211</v>
      </c>
      <c r="B98" s="234" t="s">
        <v>558</v>
      </c>
      <c r="C98" s="252" t="s">
        <v>986</v>
      </c>
      <c r="D98" s="210">
        <v>8989050</v>
      </c>
      <c r="E98" s="210">
        <v>9390094.78</v>
      </c>
      <c r="F98" s="280">
        <f>E98/D98</f>
        <v>1.0446148124662784</v>
      </c>
    </row>
    <row r="99" spans="1:6" ht="113.25" customHeight="1">
      <c r="A99" s="232" t="s">
        <v>212</v>
      </c>
      <c r="B99" s="233" t="s">
        <v>558</v>
      </c>
      <c r="C99" s="251" t="s">
        <v>353</v>
      </c>
      <c r="D99" s="278">
        <f>D100</f>
        <v>2235834</v>
      </c>
      <c r="E99" s="278">
        <f>E100</f>
        <v>1776160.76</v>
      </c>
      <c r="F99" s="279">
        <f>F100</f>
        <v>0.7944063646943378</v>
      </c>
    </row>
    <row r="100" spans="1:6" ht="103.5" customHeight="1">
      <c r="A100" s="96" t="s">
        <v>213</v>
      </c>
      <c r="B100" s="234" t="s">
        <v>558</v>
      </c>
      <c r="C100" s="252" t="s">
        <v>908</v>
      </c>
      <c r="D100" s="210">
        <v>2235834</v>
      </c>
      <c r="E100" s="210">
        <v>1776160.76</v>
      </c>
      <c r="F100" s="280">
        <f>E100/D100</f>
        <v>0.7944063646943378</v>
      </c>
    </row>
    <row r="101" spans="1:6" ht="112.5" customHeight="1">
      <c r="A101" s="232" t="s">
        <v>214</v>
      </c>
      <c r="B101" s="233" t="s">
        <v>558</v>
      </c>
      <c r="C101" s="251" t="s">
        <v>354</v>
      </c>
      <c r="D101" s="278">
        <f>D102</f>
        <v>13325865</v>
      </c>
      <c r="E101" s="278">
        <f>E102</f>
        <v>13674991.66</v>
      </c>
      <c r="F101" s="279">
        <f>F102</f>
        <v>1.0261991743125118</v>
      </c>
    </row>
    <row r="102" spans="1:6" ht="100.5" customHeight="1">
      <c r="A102" s="96" t="s">
        <v>215</v>
      </c>
      <c r="B102" s="234" t="s">
        <v>558</v>
      </c>
      <c r="C102" s="252" t="s">
        <v>909</v>
      </c>
      <c r="D102" s="210">
        <v>13325865</v>
      </c>
      <c r="E102" s="210">
        <v>13674991.66</v>
      </c>
      <c r="F102" s="280">
        <f>E102/D102</f>
        <v>1.0261991743125118</v>
      </c>
    </row>
    <row r="103" spans="1:6" ht="42.75" customHeight="1">
      <c r="A103" s="225" t="s">
        <v>216</v>
      </c>
      <c r="B103" s="226" t="s">
        <v>558</v>
      </c>
      <c r="C103" s="253" t="s">
        <v>78</v>
      </c>
      <c r="D103" s="273">
        <f aca="true" t="shared" si="1" ref="D103:F104">D104</f>
        <v>3521572</v>
      </c>
      <c r="E103" s="273">
        <f t="shared" si="1"/>
        <v>3521571.32</v>
      </c>
      <c r="F103" s="274">
        <f>E103/D103</f>
        <v>0.9999998069044165</v>
      </c>
    </row>
    <row r="104" spans="1:6" ht="65.25" customHeight="1">
      <c r="A104" s="232" t="s">
        <v>217</v>
      </c>
      <c r="B104" s="233" t="s">
        <v>558</v>
      </c>
      <c r="C104" s="229" t="s">
        <v>80</v>
      </c>
      <c r="D104" s="278">
        <f t="shared" si="1"/>
        <v>3521572</v>
      </c>
      <c r="E104" s="278">
        <f t="shared" si="1"/>
        <v>3521571.32</v>
      </c>
      <c r="F104" s="279">
        <f t="shared" si="1"/>
        <v>0.9999998069044165</v>
      </c>
    </row>
    <row r="105" spans="1:6" ht="81" customHeight="1">
      <c r="A105" s="96" t="s">
        <v>218</v>
      </c>
      <c r="B105" s="234" t="s">
        <v>558</v>
      </c>
      <c r="C105" s="99" t="s">
        <v>906</v>
      </c>
      <c r="D105" s="210">
        <v>3521572</v>
      </c>
      <c r="E105" s="210">
        <v>3521571.32</v>
      </c>
      <c r="F105" s="280">
        <f>E105/D105</f>
        <v>0.9999998069044165</v>
      </c>
    </row>
    <row r="106" spans="1:6" ht="144" customHeight="1">
      <c r="A106" s="225" t="s">
        <v>219</v>
      </c>
      <c r="B106" s="226" t="s">
        <v>558</v>
      </c>
      <c r="C106" s="254" t="s">
        <v>355</v>
      </c>
      <c r="D106" s="273">
        <f aca="true" t="shared" si="2" ref="D106:F107">D107</f>
        <v>4053602</v>
      </c>
      <c r="E106" s="273">
        <f t="shared" si="2"/>
        <v>3426067.5</v>
      </c>
      <c r="F106" s="274">
        <f>E106/D106</f>
        <v>0.8451908944193337</v>
      </c>
    </row>
    <row r="107" spans="1:6" ht="105" customHeight="1">
      <c r="A107" s="232" t="s">
        <v>220</v>
      </c>
      <c r="B107" s="233" t="s">
        <v>558</v>
      </c>
      <c r="C107" s="229" t="s">
        <v>356</v>
      </c>
      <c r="D107" s="278">
        <f t="shared" si="2"/>
        <v>4053602</v>
      </c>
      <c r="E107" s="278">
        <f t="shared" si="2"/>
        <v>3426067.5</v>
      </c>
      <c r="F107" s="279">
        <f t="shared" si="2"/>
        <v>0.8451908944193337</v>
      </c>
    </row>
    <row r="108" spans="1:6" ht="108" customHeight="1">
      <c r="A108" s="96" t="s">
        <v>221</v>
      </c>
      <c r="B108" s="234" t="s">
        <v>558</v>
      </c>
      <c r="C108" s="99" t="s">
        <v>910</v>
      </c>
      <c r="D108" s="210">
        <v>4053602</v>
      </c>
      <c r="E108" s="210">
        <v>3426067.5</v>
      </c>
      <c r="F108" s="280">
        <f>E108/D108</f>
        <v>0.8451908944193337</v>
      </c>
    </row>
    <row r="109" spans="1:6" ht="42.75" customHeight="1">
      <c r="A109" s="220" t="s">
        <v>222</v>
      </c>
      <c r="B109" s="221" t="s">
        <v>925</v>
      </c>
      <c r="C109" s="255" t="s">
        <v>86</v>
      </c>
      <c r="D109" s="271">
        <f>D110</f>
        <v>4135450</v>
      </c>
      <c r="E109" s="271">
        <f>E110</f>
        <v>3615405.5</v>
      </c>
      <c r="F109" s="272">
        <f>F110</f>
        <v>0.8742471798715981</v>
      </c>
    </row>
    <row r="110" spans="1:6" ht="42.75" customHeight="1">
      <c r="A110" s="225" t="s">
        <v>223</v>
      </c>
      <c r="B110" s="226" t="s">
        <v>558</v>
      </c>
      <c r="C110" s="256" t="s">
        <v>88</v>
      </c>
      <c r="D110" s="273">
        <f>D111+D113+D115+D117</f>
        <v>4135450</v>
      </c>
      <c r="E110" s="273">
        <f>E111+E113+E115+E117</f>
        <v>3615405.5</v>
      </c>
      <c r="F110" s="274">
        <f>E110/D110</f>
        <v>0.8742471798715981</v>
      </c>
    </row>
    <row r="111" spans="1:6" ht="51" customHeight="1">
      <c r="A111" s="232" t="s">
        <v>224</v>
      </c>
      <c r="B111" s="233" t="s">
        <v>558</v>
      </c>
      <c r="C111" s="229" t="s">
        <v>90</v>
      </c>
      <c r="D111" s="278">
        <v>393750</v>
      </c>
      <c r="E111" s="278">
        <f>E112</f>
        <v>314783.72</v>
      </c>
      <c r="F111" s="279">
        <f>E111/D111</f>
        <v>0.7994507174603174</v>
      </c>
    </row>
    <row r="112" spans="1:6" ht="42.75" customHeight="1">
      <c r="A112" s="96" t="s">
        <v>225</v>
      </c>
      <c r="B112" s="234" t="s">
        <v>558</v>
      </c>
      <c r="C112" s="97" t="s">
        <v>90</v>
      </c>
      <c r="D112" s="210"/>
      <c r="E112" s="210">
        <v>314783.72</v>
      </c>
      <c r="F112" s="280"/>
    </row>
    <row r="113" spans="1:6" ht="51" customHeight="1">
      <c r="A113" s="232" t="s">
        <v>226</v>
      </c>
      <c r="B113" s="233" t="s">
        <v>558</v>
      </c>
      <c r="C113" s="229" t="s">
        <v>92</v>
      </c>
      <c r="D113" s="278">
        <v>23310</v>
      </c>
      <c r="E113" s="278">
        <f>E114</f>
        <v>23871.09</v>
      </c>
      <c r="F113" s="279">
        <f>E113/D113</f>
        <v>1.024070785070785</v>
      </c>
    </row>
    <row r="114" spans="1:6" ht="42.75" customHeight="1">
      <c r="A114" s="96" t="s">
        <v>227</v>
      </c>
      <c r="B114" s="234" t="s">
        <v>558</v>
      </c>
      <c r="C114" s="97" t="s">
        <v>92</v>
      </c>
      <c r="D114" s="210"/>
      <c r="E114" s="210">
        <v>23871.09</v>
      </c>
      <c r="F114" s="280"/>
    </row>
    <row r="115" spans="1:6" ht="42.75" customHeight="1">
      <c r="A115" s="232" t="s">
        <v>228</v>
      </c>
      <c r="B115" s="233" t="s">
        <v>558</v>
      </c>
      <c r="C115" s="229" t="s">
        <v>94</v>
      </c>
      <c r="D115" s="278">
        <v>810860</v>
      </c>
      <c r="E115" s="278">
        <f>E116</f>
        <v>619863.06</v>
      </c>
      <c r="F115" s="279">
        <f>E115/D115</f>
        <v>0.7644513972818983</v>
      </c>
    </row>
    <row r="116" spans="1:6" ht="42.75" customHeight="1">
      <c r="A116" s="96" t="s">
        <v>229</v>
      </c>
      <c r="B116" s="234" t="s">
        <v>558</v>
      </c>
      <c r="C116" s="97" t="s">
        <v>94</v>
      </c>
      <c r="D116" s="210"/>
      <c r="E116" s="210">
        <v>619863.06</v>
      </c>
      <c r="F116" s="280"/>
    </row>
    <row r="117" spans="1:6" ht="33.75" customHeight="1">
      <c r="A117" s="232" t="s">
        <v>230</v>
      </c>
      <c r="B117" s="233" t="s">
        <v>558</v>
      </c>
      <c r="C117" s="229" t="s">
        <v>96</v>
      </c>
      <c r="D117" s="278">
        <v>2907530</v>
      </c>
      <c r="E117" s="278">
        <f>E118</f>
        <v>2656887.63</v>
      </c>
      <c r="F117" s="279">
        <f>E117/D117</f>
        <v>0.913795431173539</v>
      </c>
    </row>
    <row r="118" spans="1:6" ht="33.75" customHeight="1">
      <c r="A118" s="96" t="s">
        <v>231</v>
      </c>
      <c r="B118" s="234" t="s">
        <v>558</v>
      </c>
      <c r="C118" s="97" t="s">
        <v>96</v>
      </c>
      <c r="D118" s="210"/>
      <c r="E118" s="210">
        <v>2656887.63</v>
      </c>
      <c r="F118" s="280"/>
    </row>
    <row r="119" spans="1:6" ht="57.75" customHeight="1">
      <c r="A119" s="220" t="s">
        <v>232</v>
      </c>
      <c r="B119" s="221" t="s">
        <v>925</v>
      </c>
      <c r="C119" s="255" t="s">
        <v>98</v>
      </c>
      <c r="D119" s="271">
        <f aca="true" t="shared" si="3" ref="D119:F121">D120</f>
        <v>10198953</v>
      </c>
      <c r="E119" s="271">
        <f t="shared" si="3"/>
        <v>3775481.51</v>
      </c>
      <c r="F119" s="272">
        <f t="shared" si="3"/>
        <v>0.37018324429968447</v>
      </c>
    </row>
    <row r="120" spans="1:6" ht="38.25" customHeight="1">
      <c r="A120" s="225" t="s">
        <v>233</v>
      </c>
      <c r="B120" s="226" t="s">
        <v>559</v>
      </c>
      <c r="C120" s="256" t="s">
        <v>100</v>
      </c>
      <c r="D120" s="273">
        <f t="shared" si="3"/>
        <v>10198953</v>
      </c>
      <c r="E120" s="273">
        <f t="shared" si="3"/>
        <v>3775481.51</v>
      </c>
      <c r="F120" s="274">
        <f>E120/D120</f>
        <v>0.37018324429968447</v>
      </c>
    </row>
    <row r="121" spans="1:6" ht="41.25" customHeight="1">
      <c r="A121" s="232" t="s">
        <v>234</v>
      </c>
      <c r="B121" s="233" t="s">
        <v>559</v>
      </c>
      <c r="C121" s="257" t="s">
        <v>102</v>
      </c>
      <c r="D121" s="278">
        <f t="shared" si="3"/>
        <v>10198953</v>
      </c>
      <c r="E121" s="278">
        <f t="shared" si="3"/>
        <v>3775481.51</v>
      </c>
      <c r="F121" s="279">
        <f t="shared" si="3"/>
        <v>0.37018324429968447</v>
      </c>
    </row>
    <row r="122" spans="1:6" ht="49.5" customHeight="1">
      <c r="A122" s="96" t="s">
        <v>235</v>
      </c>
      <c r="B122" s="234" t="s">
        <v>559</v>
      </c>
      <c r="C122" s="99" t="s">
        <v>926</v>
      </c>
      <c r="D122" s="210">
        <v>10198953</v>
      </c>
      <c r="E122" s="210">
        <v>3775481.51</v>
      </c>
      <c r="F122" s="280">
        <f>E122/D122</f>
        <v>0.37018324429968447</v>
      </c>
    </row>
    <row r="123" spans="1:6" ht="40.5" customHeight="1">
      <c r="A123" s="220" t="s">
        <v>236</v>
      </c>
      <c r="B123" s="221" t="s">
        <v>925</v>
      </c>
      <c r="C123" s="255" t="s">
        <v>105</v>
      </c>
      <c r="D123" s="271">
        <f aca="true" t="shared" si="4" ref="D123:F125">D124</f>
        <v>21216431</v>
      </c>
      <c r="E123" s="271">
        <f t="shared" si="4"/>
        <v>15595984.02</v>
      </c>
      <c r="F123" s="272">
        <f t="shared" si="4"/>
        <v>0.7350898942428158</v>
      </c>
    </row>
    <row r="124" spans="1:6" ht="133.5" customHeight="1">
      <c r="A124" s="225" t="s">
        <v>237</v>
      </c>
      <c r="B124" s="226" t="s">
        <v>925</v>
      </c>
      <c r="C124" s="253" t="s">
        <v>107</v>
      </c>
      <c r="D124" s="273">
        <f t="shared" si="4"/>
        <v>21216431</v>
      </c>
      <c r="E124" s="273">
        <f t="shared" si="4"/>
        <v>15595984.02</v>
      </c>
      <c r="F124" s="274">
        <f>E124/D124</f>
        <v>0.7350898942428158</v>
      </c>
    </row>
    <row r="125" spans="1:6" ht="121.5" customHeight="1">
      <c r="A125" s="232" t="s">
        <v>238</v>
      </c>
      <c r="B125" s="233" t="s">
        <v>560</v>
      </c>
      <c r="C125" s="229" t="s">
        <v>357</v>
      </c>
      <c r="D125" s="278">
        <f t="shared" si="4"/>
        <v>21216431</v>
      </c>
      <c r="E125" s="278">
        <f t="shared" si="4"/>
        <v>15595984.02</v>
      </c>
      <c r="F125" s="279">
        <f t="shared" si="4"/>
        <v>0.7350898942428158</v>
      </c>
    </row>
    <row r="126" spans="1:6" ht="124.5" customHeight="1">
      <c r="A126" s="96" t="s">
        <v>239</v>
      </c>
      <c r="B126" s="234" t="s">
        <v>560</v>
      </c>
      <c r="C126" s="258" t="s">
        <v>987</v>
      </c>
      <c r="D126" s="210">
        <v>21216431</v>
      </c>
      <c r="E126" s="210">
        <v>15595984.02</v>
      </c>
      <c r="F126" s="280">
        <f>E126/D126</f>
        <v>0.7350898942428158</v>
      </c>
    </row>
    <row r="127" spans="1:6" ht="35.25" customHeight="1">
      <c r="A127" s="220" t="s">
        <v>240</v>
      </c>
      <c r="B127" s="221" t="s">
        <v>925</v>
      </c>
      <c r="C127" s="255" t="s">
        <v>111</v>
      </c>
      <c r="D127" s="271">
        <f>D128+D133+D137+D142+D144+D147+D151+D153</f>
        <v>3963829</v>
      </c>
      <c r="E127" s="271">
        <f>E128+E133+E137+E142+E144+E147+E151+E153+E135</f>
        <v>4152052.7600000002</v>
      </c>
      <c r="F127" s="272">
        <f>E127/D127</f>
        <v>1.0474853380405664</v>
      </c>
    </row>
    <row r="128" spans="1:6" ht="50.25" customHeight="1">
      <c r="A128" s="225" t="s">
        <v>241</v>
      </c>
      <c r="B128" s="226" t="s">
        <v>561</v>
      </c>
      <c r="C128" s="253" t="s">
        <v>113</v>
      </c>
      <c r="D128" s="273">
        <f>D129+D131</f>
        <v>162500</v>
      </c>
      <c r="E128" s="273">
        <f>E129+E131</f>
        <v>93036.23</v>
      </c>
      <c r="F128" s="274">
        <f>E128/D128</f>
        <v>0.5725306461538461</v>
      </c>
    </row>
    <row r="129" spans="1:6" ht="124.5" customHeight="1">
      <c r="A129" s="232" t="s">
        <v>242</v>
      </c>
      <c r="B129" s="233" t="s">
        <v>561</v>
      </c>
      <c r="C129" s="229" t="s">
        <v>273</v>
      </c>
      <c r="D129" s="278">
        <v>140000</v>
      </c>
      <c r="E129" s="278">
        <f>E130</f>
        <v>72873.06</v>
      </c>
      <c r="F129" s="279">
        <f>E129/D129</f>
        <v>0.5205218571428571</v>
      </c>
    </row>
    <row r="130" spans="1:6" ht="96.75" customHeight="1">
      <c r="A130" s="96" t="s">
        <v>243</v>
      </c>
      <c r="B130" s="234" t="s">
        <v>561</v>
      </c>
      <c r="C130" s="97" t="s">
        <v>348</v>
      </c>
      <c r="D130" s="210"/>
      <c r="E130" s="210">
        <v>72873.06</v>
      </c>
      <c r="F130" s="280"/>
    </row>
    <row r="131" spans="1:6" ht="83.25" customHeight="1">
      <c r="A131" s="232" t="s">
        <v>244</v>
      </c>
      <c r="B131" s="233" t="s">
        <v>561</v>
      </c>
      <c r="C131" s="229" t="s">
        <v>116</v>
      </c>
      <c r="D131" s="278">
        <v>22500</v>
      </c>
      <c r="E131" s="278">
        <f>E132</f>
        <v>20163.17</v>
      </c>
      <c r="F131" s="279">
        <f>E131/D131</f>
        <v>0.8961408888888888</v>
      </c>
    </row>
    <row r="132" spans="1:6" ht="83.25" customHeight="1">
      <c r="A132" s="96" t="s">
        <v>245</v>
      </c>
      <c r="B132" s="234" t="s">
        <v>561</v>
      </c>
      <c r="C132" s="97" t="s">
        <v>116</v>
      </c>
      <c r="D132" s="210"/>
      <c r="E132" s="210">
        <v>20163.17</v>
      </c>
      <c r="F132" s="280"/>
    </row>
    <row r="133" spans="1:6" ht="102.75" customHeight="1">
      <c r="A133" s="225" t="s">
        <v>246</v>
      </c>
      <c r="B133" s="226" t="s">
        <v>561</v>
      </c>
      <c r="C133" s="253" t="s">
        <v>118</v>
      </c>
      <c r="D133" s="273">
        <v>101800</v>
      </c>
      <c r="E133" s="273">
        <f>E134</f>
        <v>43000</v>
      </c>
      <c r="F133" s="274">
        <f>E133/D133</f>
        <v>0.4223968565815324</v>
      </c>
    </row>
    <row r="134" spans="1:6" ht="82.5" customHeight="1">
      <c r="A134" s="96" t="s">
        <v>247</v>
      </c>
      <c r="B134" s="234" t="s">
        <v>561</v>
      </c>
      <c r="C134" s="97" t="s">
        <v>118</v>
      </c>
      <c r="D134" s="210"/>
      <c r="E134" s="210">
        <v>43000</v>
      </c>
      <c r="F134" s="280"/>
    </row>
    <row r="135" spans="1:6" ht="82.5" customHeight="1">
      <c r="A135" s="225" t="s">
        <v>602</v>
      </c>
      <c r="B135" s="226" t="s">
        <v>561</v>
      </c>
      <c r="C135" s="253" t="s">
        <v>603</v>
      </c>
      <c r="D135" s="273">
        <f>D136</f>
        <v>0</v>
      </c>
      <c r="E135" s="273">
        <f>E136</f>
        <v>5000</v>
      </c>
      <c r="F135" s="274"/>
    </row>
    <row r="136" spans="1:6" ht="82.5" customHeight="1">
      <c r="A136" s="93" t="s">
        <v>604</v>
      </c>
      <c r="B136" s="290" t="s">
        <v>561</v>
      </c>
      <c r="C136" s="94" t="s">
        <v>605</v>
      </c>
      <c r="D136" s="209">
        <v>0</v>
      </c>
      <c r="E136" s="209">
        <v>5000</v>
      </c>
      <c r="F136" s="277"/>
    </row>
    <row r="137" spans="1:6" ht="176.25" customHeight="1">
      <c r="A137" s="225" t="s">
        <v>248</v>
      </c>
      <c r="B137" s="226" t="s">
        <v>561</v>
      </c>
      <c r="C137" s="254" t="s">
        <v>249</v>
      </c>
      <c r="D137" s="273">
        <f>D138+D140</f>
        <v>46000</v>
      </c>
      <c r="E137" s="273">
        <f>E138+E140</f>
        <v>3000</v>
      </c>
      <c r="F137" s="274">
        <f>E137/D137</f>
        <v>0.06521739130434782</v>
      </c>
    </row>
    <row r="138" spans="1:6" ht="50.25" customHeight="1">
      <c r="A138" s="232" t="s">
        <v>564</v>
      </c>
      <c r="B138" s="233" t="s">
        <v>561</v>
      </c>
      <c r="C138" s="229" t="s">
        <v>121</v>
      </c>
      <c r="D138" s="278">
        <v>2000</v>
      </c>
      <c r="E138" s="278">
        <f>E139</f>
        <v>2000</v>
      </c>
      <c r="F138" s="291">
        <f>E138/D138</f>
        <v>1</v>
      </c>
    </row>
    <row r="139" spans="1:6" ht="45">
      <c r="A139" s="96" t="s">
        <v>274</v>
      </c>
      <c r="B139" s="234" t="s">
        <v>561</v>
      </c>
      <c r="C139" s="97" t="s">
        <v>121</v>
      </c>
      <c r="D139" s="210"/>
      <c r="E139" s="210">
        <v>2000</v>
      </c>
      <c r="F139" s="277"/>
    </row>
    <row r="140" spans="1:6" ht="35.25" customHeight="1">
      <c r="A140" s="232" t="s">
        <v>250</v>
      </c>
      <c r="B140" s="233" t="s">
        <v>561</v>
      </c>
      <c r="C140" s="229" t="s">
        <v>123</v>
      </c>
      <c r="D140" s="278">
        <v>44000</v>
      </c>
      <c r="E140" s="278">
        <f>E141</f>
        <v>1000</v>
      </c>
      <c r="F140" s="279">
        <f>E140/D140</f>
        <v>0.022727272727272728</v>
      </c>
    </row>
    <row r="141" spans="1:6" ht="35.25" customHeight="1">
      <c r="A141" s="96" t="s">
        <v>251</v>
      </c>
      <c r="B141" s="234" t="s">
        <v>561</v>
      </c>
      <c r="C141" s="97" t="s">
        <v>123</v>
      </c>
      <c r="D141" s="282"/>
      <c r="E141" s="282">
        <v>1000</v>
      </c>
      <c r="F141" s="283"/>
    </row>
    <row r="142" spans="1:6" ht="106.5" customHeight="1">
      <c r="A142" s="259" t="s">
        <v>252</v>
      </c>
      <c r="B142" s="260" t="s">
        <v>561</v>
      </c>
      <c r="C142" s="253" t="s">
        <v>125</v>
      </c>
      <c r="D142" s="284">
        <v>369795</v>
      </c>
      <c r="E142" s="284">
        <f>E143</f>
        <v>365500</v>
      </c>
      <c r="F142" s="285">
        <f>E142/D142</f>
        <v>0.98838545680715</v>
      </c>
    </row>
    <row r="143" spans="1:6" ht="78" customHeight="1">
      <c r="A143" s="230" t="s">
        <v>253</v>
      </c>
      <c r="B143" s="231" t="s">
        <v>561</v>
      </c>
      <c r="C143" s="97" t="s">
        <v>125</v>
      </c>
      <c r="D143" s="282"/>
      <c r="E143" s="282">
        <v>365500</v>
      </c>
      <c r="F143" s="283"/>
    </row>
    <row r="144" spans="1:6" ht="52.5" customHeight="1">
      <c r="A144" s="225" t="s">
        <v>254</v>
      </c>
      <c r="B144" s="226" t="s">
        <v>561</v>
      </c>
      <c r="C144" s="253" t="s">
        <v>127</v>
      </c>
      <c r="D144" s="273">
        <f>D145</f>
        <v>1510000</v>
      </c>
      <c r="E144" s="273">
        <f>E145</f>
        <v>1457214.24</v>
      </c>
      <c r="F144" s="274">
        <f>F145</f>
        <v>0.9650425430463576</v>
      </c>
    </row>
    <row r="145" spans="1:6" ht="57.75" customHeight="1">
      <c r="A145" s="232" t="s">
        <v>255</v>
      </c>
      <c r="B145" s="233" t="s">
        <v>561</v>
      </c>
      <c r="C145" s="229" t="s">
        <v>127</v>
      </c>
      <c r="D145" s="275">
        <v>1510000</v>
      </c>
      <c r="E145" s="275">
        <f>E146</f>
        <v>1457214.24</v>
      </c>
      <c r="F145" s="276">
        <f>E145/D145</f>
        <v>0.9650425430463576</v>
      </c>
    </row>
    <row r="146" spans="1:6" ht="42.75" customHeight="1">
      <c r="A146" s="96" t="s">
        <v>256</v>
      </c>
      <c r="B146" s="234" t="s">
        <v>561</v>
      </c>
      <c r="C146" s="97" t="s">
        <v>127</v>
      </c>
      <c r="D146" s="282"/>
      <c r="E146" s="282">
        <v>1457214.24</v>
      </c>
      <c r="F146" s="283"/>
    </row>
    <row r="147" spans="1:6" ht="87.75" customHeight="1">
      <c r="A147" s="225" t="s">
        <v>257</v>
      </c>
      <c r="B147" s="226" t="s">
        <v>561</v>
      </c>
      <c r="C147" s="253" t="s">
        <v>277</v>
      </c>
      <c r="D147" s="273">
        <f>D148</f>
        <v>226500</v>
      </c>
      <c r="E147" s="273">
        <f>E148</f>
        <v>150309.65</v>
      </c>
      <c r="F147" s="274">
        <f>F148</f>
        <v>0.6636187637969094</v>
      </c>
    </row>
    <row r="148" spans="1:6" ht="80.25" customHeight="1">
      <c r="A148" s="232" t="s">
        <v>258</v>
      </c>
      <c r="B148" s="233" t="s">
        <v>561</v>
      </c>
      <c r="C148" s="229" t="s">
        <v>279</v>
      </c>
      <c r="D148" s="278">
        <v>226500</v>
      </c>
      <c r="E148" s="278">
        <f>E149+E150</f>
        <v>150309.65</v>
      </c>
      <c r="F148" s="279">
        <f>E148/D148</f>
        <v>0.6636187637969094</v>
      </c>
    </row>
    <row r="149" spans="1:6" ht="80.25" customHeight="1">
      <c r="A149" s="96" t="s">
        <v>258</v>
      </c>
      <c r="B149" s="234" t="s">
        <v>561</v>
      </c>
      <c r="C149" s="97" t="s">
        <v>279</v>
      </c>
      <c r="D149" s="210"/>
      <c r="E149" s="210">
        <v>30000</v>
      </c>
      <c r="F149" s="280"/>
    </row>
    <row r="150" spans="1:6" ht="81" customHeight="1">
      <c r="A150" s="96" t="s">
        <v>259</v>
      </c>
      <c r="B150" s="234" t="s">
        <v>561</v>
      </c>
      <c r="C150" s="97" t="s">
        <v>279</v>
      </c>
      <c r="D150" s="210"/>
      <c r="E150" s="210">
        <v>120309.65</v>
      </c>
      <c r="F150" s="280"/>
    </row>
    <row r="151" spans="1:6" ht="120.75" customHeight="1">
      <c r="A151" s="259" t="s">
        <v>260</v>
      </c>
      <c r="B151" s="260" t="s">
        <v>561</v>
      </c>
      <c r="C151" s="261" t="s">
        <v>281</v>
      </c>
      <c r="D151" s="273">
        <v>14100</v>
      </c>
      <c r="E151" s="273">
        <f>E152</f>
        <v>11600</v>
      </c>
      <c r="F151" s="274">
        <f>E151/D151</f>
        <v>0.8226950354609929</v>
      </c>
    </row>
    <row r="152" spans="1:6" ht="88.5" customHeight="1">
      <c r="A152" s="230" t="s">
        <v>261</v>
      </c>
      <c r="B152" s="231" t="s">
        <v>561</v>
      </c>
      <c r="C152" s="262" t="s">
        <v>281</v>
      </c>
      <c r="D152" s="210"/>
      <c r="E152" s="210">
        <v>11600</v>
      </c>
      <c r="F152" s="280"/>
    </row>
    <row r="153" spans="1:6" ht="54" customHeight="1">
      <c r="A153" s="259" t="s">
        <v>262</v>
      </c>
      <c r="B153" s="260" t="s">
        <v>561</v>
      </c>
      <c r="C153" s="253" t="s">
        <v>283</v>
      </c>
      <c r="D153" s="273">
        <f>D154</f>
        <v>1533134</v>
      </c>
      <c r="E153" s="273">
        <f>E154</f>
        <v>2023392.6400000001</v>
      </c>
      <c r="F153" s="274">
        <f>F154</f>
        <v>1.319775466462814</v>
      </c>
    </row>
    <row r="154" spans="1:6" ht="57" customHeight="1">
      <c r="A154" s="232" t="s">
        <v>263</v>
      </c>
      <c r="B154" s="233" t="s">
        <v>561</v>
      </c>
      <c r="C154" s="229" t="s">
        <v>927</v>
      </c>
      <c r="D154" s="278">
        <v>1533134</v>
      </c>
      <c r="E154" s="278">
        <f>E155+E156</f>
        <v>2023392.6400000001</v>
      </c>
      <c r="F154" s="279">
        <f>E154/D154</f>
        <v>1.319775466462814</v>
      </c>
    </row>
    <row r="155" spans="1:6" ht="57" customHeight="1">
      <c r="A155" s="96" t="s">
        <v>263</v>
      </c>
      <c r="B155" s="234" t="s">
        <v>561</v>
      </c>
      <c r="C155" s="97" t="s">
        <v>927</v>
      </c>
      <c r="D155" s="210"/>
      <c r="E155" s="210">
        <f>742926.31+246408.33+59000</f>
        <v>1048334.64</v>
      </c>
      <c r="F155" s="280"/>
    </row>
    <row r="156" spans="1:6" ht="57" customHeight="1">
      <c r="A156" s="96" t="s">
        <v>264</v>
      </c>
      <c r="B156" s="234" t="s">
        <v>561</v>
      </c>
      <c r="C156" s="97" t="s">
        <v>927</v>
      </c>
      <c r="D156" s="210"/>
      <c r="E156" s="210">
        <f>23111.05+953546.95-1600</f>
        <v>975058</v>
      </c>
      <c r="F156" s="280"/>
    </row>
    <row r="157" spans="1:6" ht="57" customHeight="1">
      <c r="A157" s="220" t="s">
        <v>265</v>
      </c>
      <c r="B157" s="221" t="s">
        <v>925</v>
      </c>
      <c r="C157" s="255" t="s">
        <v>288</v>
      </c>
      <c r="D157" s="271">
        <f>D158+D160</f>
        <v>14050</v>
      </c>
      <c r="E157" s="271">
        <f>E158+E160</f>
        <v>41505.74</v>
      </c>
      <c r="F157" s="272">
        <f>E157/D157</f>
        <v>2.954145195729537</v>
      </c>
    </row>
    <row r="158" spans="1:6" ht="36.75" customHeight="1">
      <c r="A158" s="232" t="s">
        <v>266</v>
      </c>
      <c r="B158" s="233" t="s">
        <v>562</v>
      </c>
      <c r="C158" s="229" t="s">
        <v>267</v>
      </c>
      <c r="D158" s="278">
        <v>0</v>
      </c>
      <c r="E158" s="278">
        <f>E159</f>
        <v>41505.74</v>
      </c>
      <c r="F158" s="279"/>
    </row>
    <row r="159" spans="1:6" ht="30.75" customHeight="1">
      <c r="A159" s="96" t="s">
        <v>268</v>
      </c>
      <c r="B159" s="234" t="s">
        <v>562</v>
      </c>
      <c r="C159" s="97" t="s">
        <v>269</v>
      </c>
      <c r="D159" s="210">
        <v>0</v>
      </c>
      <c r="E159" s="210">
        <v>41505.74</v>
      </c>
      <c r="F159" s="280"/>
    </row>
    <row r="160" spans="1:6" ht="57" customHeight="1">
      <c r="A160" s="232" t="s">
        <v>270</v>
      </c>
      <c r="B160" s="233" t="s">
        <v>562</v>
      </c>
      <c r="C160" s="229" t="s">
        <v>288</v>
      </c>
      <c r="D160" s="210">
        <f>D161</f>
        <v>14050</v>
      </c>
      <c r="E160" s="210">
        <f>E161</f>
        <v>0</v>
      </c>
      <c r="F160" s="280">
        <f>F161</f>
        <v>0</v>
      </c>
    </row>
    <row r="161" spans="1:6" ht="33" customHeight="1">
      <c r="A161" s="96" t="s">
        <v>271</v>
      </c>
      <c r="B161" s="234" t="s">
        <v>562</v>
      </c>
      <c r="C161" s="97" t="s">
        <v>915</v>
      </c>
      <c r="D161" s="210">
        <v>14050</v>
      </c>
      <c r="E161" s="210">
        <v>0</v>
      </c>
      <c r="F161" s="280">
        <f>E161/D161</f>
        <v>0</v>
      </c>
    </row>
    <row r="162" spans="1:6" ht="18.75">
      <c r="A162" s="220" t="s">
        <v>565</v>
      </c>
      <c r="B162" s="221" t="s">
        <v>925</v>
      </c>
      <c r="C162" s="224" t="s">
        <v>291</v>
      </c>
      <c r="D162" s="271">
        <f>D163+D196</f>
        <v>1540830047.72</v>
      </c>
      <c r="E162" s="271">
        <f>E163+E196+E201</f>
        <v>1537006527.59</v>
      </c>
      <c r="F162" s="272">
        <f aca="true" t="shared" si="5" ref="F162:F195">E162/D162</f>
        <v>0.9975185322121295</v>
      </c>
    </row>
    <row r="163" spans="1:6" ht="47.25">
      <c r="A163" s="220" t="s">
        <v>566</v>
      </c>
      <c r="B163" s="221" t="s">
        <v>925</v>
      </c>
      <c r="C163" s="222" t="s">
        <v>293</v>
      </c>
      <c r="D163" s="271">
        <f>D164+D169+D180+D189</f>
        <v>1540830047.72</v>
      </c>
      <c r="E163" s="271">
        <f>E164+E169+E180+E189</f>
        <v>1538141036.52</v>
      </c>
      <c r="F163" s="272">
        <f t="shared" si="5"/>
        <v>0.9982548294641715</v>
      </c>
    </row>
    <row r="164" spans="1:6" ht="42" customHeight="1">
      <c r="A164" s="220" t="s">
        <v>567</v>
      </c>
      <c r="B164" s="221" t="s">
        <v>563</v>
      </c>
      <c r="C164" s="222" t="s">
        <v>295</v>
      </c>
      <c r="D164" s="271">
        <f>D165+D167</f>
        <v>642700000</v>
      </c>
      <c r="E164" s="271">
        <f>E165+E167</f>
        <v>642700000</v>
      </c>
      <c r="F164" s="272">
        <f t="shared" si="5"/>
        <v>1</v>
      </c>
    </row>
    <row r="165" spans="1:6" ht="43.5" customHeight="1">
      <c r="A165" s="93" t="s">
        <v>568</v>
      </c>
      <c r="B165" s="290" t="s">
        <v>563</v>
      </c>
      <c r="C165" s="94" t="s">
        <v>297</v>
      </c>
      <c r="D165" s="209">
        <f>D166</f>
        <v>13305000</v>
      </c>
      <c r="E165" s="209">
        <f>E166</f>
        <v>13305000</v>
      </c>
      <c r="F165" s="291">
        <f t="shared" si="5"/>
        <v>1</v>
      </c>
    </row>
    <row r="166" spans="1:6" ht="30">
      <c r="A166" s="96" t="s">
        <v>569</v>
      </c>
      <c r="B166" s="234" t="s">
        <v>563</v>
      </c>
      <c r="C166" s="97" t="s">
        <v>916</v>
      </c>
      <c r="D166" s="210">
        <v>13305000</v>
      </c>
      <c r="E166" s="210">
        <v>13305000</v>
      </c>
      <c r="F166" s="277">
        <f t="shared" si="5"/>
        <v>1</v>
      </c>
    </row>
    <row r="167" spans="1:6" ht="63">
      <c r="A167" s="93" t="s">
        <v>570</v>
      </c>
      <c r="B167" s="290" t="s">
        <v>563</v>
      </c>
      <c r="C167" s="94" t="s">
        <v>300</v>
      </c>
      <c r="D167" s="209">
        <f>D168</f>
        <v>629395000</v>
      </c>
      <c r="E167" s="209">
        <f>E168</f>
        <v>629395000</v>
      </c>
      <c r="F167" s="291">
        <f t="shared" si="5"/>
        <v>1</v>
      </c>
    </row>
    <row r="168" spans="1:6" ht="60">
      <c r="A168" s="96" t="s">
        <v>571</v>
      </c>
      <c r="B168" s="234" t="s">
        <v>563</v>
      </c>
      <c r="C168" s="97" t="s">
        <v>917</v>
      </c>
      <c r="D168" s="210">
        <v>629395000</v>
      </c>
      <c r="E168" s="210">
        <v>629395000</v>
      </c>
      <c r="F168" s="277">
        <f t="shared" si="5"/>
        <v>1</v>
      </c>
    </row>
    <row r="169" spans="1:6" ht="60" customHeight="1">
      <c r="A169" s="220" t="s">
        <v>572</v>
      </c>
      <c r="B169" s="221" t="s">
        <v>563</v>
      </c>
      <c r="C169" s="255" t="s">
        <v>272</v>
      </c>
      <c r="D169" s="271">
        <f>D174+D178+D170+D172+D176</f>
        <v>154521047.72</v>
      </c>
      <c r="E169" s="271">
        <f>E174+E178+E170+E172+E176</f>
        <v>153457071.29</v>
      </c>
      <c r="F169" s="272">
        <f t="shared" si="5"/>
        <v>0.993114359204139</v>
      </c>
    </row>
    <row r="170" spans="1:6" ht="100.5" customHeight="1">
      <c r="A170" s="93" t="s">
        <v>573</v>
      </c>
      <c r="B170" s="290" t="s">
        <v>563</v>
      </c>
      <c r="C170" s="292" t="s">
        <v>304</v>
      </c>
      <c r="D170" s="209">
        <f>D171</f>
        <v>8849347.72</v>
      </c>
      <c r="E170" s="209">
        <f>E171</f>
        <v>7997112.64</v>
      </c>
      <c r="F170" s="291">
        <f t="shared" si="5"/>
        <v>0.9036951527993522</v>
      </c>
    </row>
    <row r="171" spans="1:6" ht="93" customHeight="1">
      <c r="A171" s="96" t="s">
        <v>574</v>
      </c>
      <c r="B171" s="234" t="s">
        <v>563</v>
      </c>
      <c r="C171" s="99" t="s">
        <v>911</v>
      </c>
      <c r="D171" s="210">
        <f>8873027.17-23679.45</f>
        <v>8849347.72</v>
      </c>
      <c r="E171" s="210">
        <v>7997112.64</v>
      </c>
      <c r="F171" s="277">
        <f t="shared" si="5"/>
        <v>0.9036951527993522</v>
      </c>
    </row>
    <row r="172" spans="1:6" ht="36" customHeight="1">
      <c r="A172" s="93" t="s">
        <v>575</v>
      </c>
      <c r="B172" s="290" t="s">
        <v>563</v>
      </c>
      <c r="C172" s="292" t="s">
        <v>307</v>
      </c>
      <c r="D172" s="209">
        <f>D173</f>
        <v>2990000</v>
      </c>
      <c r="E172" s="209">
        <f>E173</f>
        <v>2990000</v>
      </c>
      <c r="F172" s="291">
        <f t="shared" si="5"/>
        <v>1</v>
      </c>
    </row>
    <row r="173" spans="1:6" ht="39" customHeight="1">
      <c r="A173" s="96" t="s">
        <v>576</v>
      </c>
      <c r="B173" s="234" t="s">
        <v>563</v>
      </c>
      <c r="C173" s="99" t="s">
        <v>918</v>
      </c>
      <c r="D173" s="210">
        <f>990000+2000000</f>
        <v>2990000</v>
      </c>
      <c r="E173" s="210">
        <v>2990000</v>
      </c>
      <c r="F173" s="277">
        <f t="shared" si="5"/>
        <v>1</v>
      </c>
    </row>
    <row r="174" spans="1:6" ht="66.75" customHeight="1">
      <c r="A174" s="93" t="s">
        <v>577</v>
      </c>
      <c r="B174" s="290" t="s">
        <v>563</v>
      </c>
      <c r="C174" s="292" t="s">
        <v>310</v>
      </c>
      <c r="D174" s="209">
        <f>D175</f>
        <v>0</v>
      </c>
      <c r="E174" s="209">
        <v>0</v>
      </c>
      <c r="F174" s="277"/>
    </row>
    <row r="175" spans="1:6" ht="48" customHeight="1">
      <c r="A175" s="96" t="s">
        <v>578</v>
      </c>
      <c r="B175" s="234" t="s">
        <v>563</v>
      </c>
      <c r="C175" s="99" t="s">
        <v>912</v>
      </c>
      <c r="D175" s="210">
        <f>71762500-71762500</f>
        <v>0</v>
      </c>
      <c r="E175" s="210">
        <v>0</v>
      </c>
      <c r="F175" s="277"/>
    </row>
    <row r="176" spans="1:6" ht="50.25" customHeight="1">
      <c r="A176" s="93" t="s">
        <v>579</v>
      </c>
      <c r="B176" s="290" t="s">
        <v>563</v>
      </c>
      <c r="C176" s="292" t="s">
        <v>313</v>
      </c>
      <c r="D176" s="209">
        <f>D177</f>
        <v>124750000</v>
      </c>
      <c r="E176" s="209">
        <f>E177</f>
        <v>124750000</v>
      </c>
      <c r="F176" s="291">
        <f t="shared" si="5"/>
        <v>1</v>
      </c>
    </row>
    <row r="177" spans="1:6" ht="49.5" customHeight="1">
      <c r="A177" s="96" t="s">
        <v>580</v>
      </c>
      <c r="B177" s="234" t="s">
        <v>563</v>
      </c>
      <c r="C177" s="99" t="s">
        <v>913</v>
      </c>
      <c r="D177" s="210">
        <v>124750000</v>
      </c>
      <c r="E177" s="210">
        <v>124750000</v>
      </c>
      <c r="F177" s="277">
        <f t="shared" si="5"/>
        <v>1</v>
      </c>
    </row>
    <row r="178" spans="1:6" ht="26.25" customHeight="1">
      <c r="A178" s="93" t="s">
        <v>581</v>
      </c>
      <c r="B178" s="290" t="s">
        <v>563</v>
      </c>
      <c r="C178" s="292" t="s">
        <v>316</v>
      </c>
      <c r="D178" s="209">
        <f>D179</f>
        <v>17931700</v>
      </c>
      <c r="E178" s="209">
        <f>E179</f>
        <v>17719958.65</v>
      </c>
      <c r="F178" s="291">
        <f t="shared" si="5"/>
        <v>0.9881917860548637</v>
      </c>
    </row>
    <row r="179" spans="1:6" ht="23.25" customHeight="1">
      <c r="A179" s="96" t="s">
        <v>582</v>
      </c>
      <c r="B179" s="234" t="s">
        <v>563</v>
      </c>
      <c r="C179" s="99" t="s">
        <v>318</v>
      </c>
      <c r="D179" s="210">
        <f>905200+1943500+3072400+11400+1147000+72000-72000+1250000+9602200</f>
        <v>17931700</v>
      </c>
      <c r="E179" s="210">
        <v>17719958.65</v>
      </c>
      <c r="F179" s="277">
        <f t="shared" si="5"/>
        <v>0.9881917860548637</v>
      </c>
    </row>
    <row r="180" spans="1:6" ht="48" customHeight="1">
      <c r="A180" s="220" t="s">
        <v>583</v>
      </c>
      <c r="B180" s="221" t="s">
        <v>563</v>
      </c>
      <c r="C180" s="255" t="s">
        <v>320</v>
      </c>
      <c r="D180" s="271">
        <f>D181+D183+D185+D187</f>
        <v>652883900</v>
      </c>
      <c r="E180" s="271">
        <f>E181+E183+E185+E187</f>
        <v>651258865.23</v>
      </c>
      <c r="F180" s="272">
        <f t="shared" si="5"/>
        <v>0.9975109896721301</v>
      </c>
    </row>
    <row r="181" spans="1:6" ht="41.25" customHeight="1">
      <c r="A181" s="93" t="s">
        <v>584</v>
      </c>
      <c r="B181" s="290" t="s">
        <v>563</v>
      </c>
      <c r="C181" s="292" t="s">
        <v>322</v>
      </c>
      <c r="D181" s="209">
        <f>D182</f>
        <v>2235400</v>
      </c>
      <c r="E181" s="209">
        <f>E182</f>
        <v>2235400</v>
      </c>
      <c r="F181" s="291">
        <f t="shared" si="5"/>
        <v>1</v>
      </c>
    </row>
    <row r="182" spans="1:6" ht="51.75" customHeight="1">
      <c r="A182" s="96" t="s">
        <v>585</v>
      </c>
      <c r="B182" s="234" t="s">
        <v>563</v>
      </c>
      <c r="C182" s="97" t="s">
        <v>907</v>
      </c>
      <c r="D182" s="210">
        <f>2235400</f>
        <v>2235400</v>
      </c>
      <c r="E182" s="210">
        <v>2235400</v>
      </c>
      <c r="F182" s="277">
        <f t="shared" si="5"/>
        <v>1</v>
      </c>
    </row>
    <row r="183" spans="1:6" ht="81" customHeight="1">
      <c r="A183" s="293" t="s">
        <v>586</v>
      </c>
      <c r="B183" s="294" t="s">
        <v>563</v>
      </c>
      <c r="C183" s="292" t="s">
        <v>325</v>
      </c>
      <c r="D183" s="209">
        <f>D184</f>
        <v>23667600</v>
      </c>
      <c r="E183" s="209">
        <f>E184</f>
        <v>23667600</v>
      </c>
      <c r="F183" s="291">
        <f t="shared" si="5"/>
        <v>1</v>
      </c>
    </row>
    <row r="184" spans="1:6" ht="68.25" customHeight="1">
      <c r="A184" s="96" t="s">
        <v>587</v>
      </c>
      <c r="B184" s="234" t="s">
        <v>563</v>
      </c>
      <c r="C184" s="99" t="s">
        <v>919</v>
      </c>
      <c r="D184" s="210">
        <f>21476900+2190700</f>
        <v>23667600</v>
      </c>
      <c r="E184" s="210">
        <v>23667600</v>
      </c>
      <c r="F184" s="277">
        <f t="shared" si="5"/>
        <v>1</v>
      </c>
    </row>
    <row r="185" spans="1:6" ht="116.25" customHeight="1">
      <c r="A185" s="93" t="s">
        <v>588</v>
      </c>
      <c r="B185" s="290" t="s">
        <v>563</v>
      </c>
      <c r="C185" s="292" t="s">
        <v>328</v>
      </c>
      <c r="D185" s="209">
        <f>D186</f>
        <v>11965100</v>
      </c>
      <c r="E185" s="209">
        <f>E186</f>
        <v>11937620.33</v>
      </c>
      <c r="F185" s="291">
        <f t="shared" si="5"/>
        <v>0.9977033480706388</v>
      </c>
    </row>
    <row r="186" spans="1:6" ht="93.75" customHeight="1">
      <c r="A186" s="96" t="s">
        <v>589</v>
      </c>
      <c r="B186" s="234" t="s">
        <v>563</v>
      </c>
      <c r="C186" s="99" t="s">
        <v>920</v>
      </c>
      <c r="D186" s="210">
        <f>472400+18894800-7402100</f>
        <v>11965100</v>
      </c>
      <c r="E186" s="210">
        <v>11937620.33</v>
      </c>
      <c r="F186" s="277">
        <f t="shared" si="5"/>
        <v>0.9977033480706388</v>
      </c>
    </row>
    <row r="187" spans="1:6" ht="22.5" customHeight="1">
      <c r="A187" s="93" t="s">
        <v>590</v>
      </c>
      <c r="B187" s="290" t="s">
        <v>563</v>
      </c>
      <c r="C187" s="292" t="s">
        <v>331</v>
      </c>
      <c r="D187" s="209">
        <f>D188</f>
        <v>615015800</v>
      </c>
      <c r="E187" s="209">
        <f>E188</f>
        <v>613418244.9</v>
      </c>
      <c r="F187" s="291">
        <f t="shared" si="5"/>
        <v>0.9974024161655684</v>
      </c>
    </row>
    <row r="188" spans="1:6" ht="28.5" customHeight="1">
      <c r="A188" s="96" t="s">
        <v>591</v>
      </c>
      <c r="B188" s="234" t="s">
        <v>563</v>
      </c>
      <c r="C188" s="97" t="s">
        <v>985</v>
      </c>
      <c r="D188" s="210">
        <f>304091500+269133200+14694000+1194200+4265000+118000+1364800+6000+15275700+1951000+22700+591300+3420400+10200+687100+131600+418700+55500+72000-2355100-132000</f>
        <v>615015800</v>
      </c>
      <c r="E188" s="210">
        <v>613418244.9</v>
      </c>
      <c r="F188" s="277">
        <f t="shared" si="5"/>
        <v>0.9974024161655684</v>
      </c>
    </row>
    <row r="189" spans="1:6" ht="30.75" customHeight="1">
      <c r="A189" s="220" t="s">
        <v>592</v>
      </c>
      <c r="B189" s="221" t="s">
        <v>563</v>
      </c>
      <c r="C189" s="222" t="s">
        <v>334</v>
      </c>
      <c r="D189" s="271">
        <f>D190+D194+D192</f>
        <v>90725100</v>
      </c>
      <c r="E189" s="271">
        <f>E190+E194+E192</f>
        <v>90725100</v>
      </c>
      <c r="F189" s="272">
        <f t="shared" si="5"/>
        <v>1</v>
      </c>
    </row>
    <row r="190" spans="1:6" ht="69" customHeight="1">
      <c r="A190" s="93" t="s">
        <v>593</v>
      </c>
      <c r="B190" s="290" t="s">
        <v>563</v>
      </c>
      <c r="C190" s="292" t="s">
        <v>336</v>
      </c>
      <c r="D190" s="209">
        <f>D191</f>
        <v>82698000</v>
      </c>
      <c r="E190" s="209">
        <f>E191</f>
        <v>82698000</v>
      </c>
      <c r="F190" s="291">
        <f t="shared" si="5"/>
        <v>1</v>
      </c>
    </row>
    <row r="191" spans="1:6" ht="75" customHeight="1">
      <c r="A191" s="96" t="s">
        <v>594</v>
      </c>
      <c r="B191" s="234" t="s">
        <v>563</v>
      </c>
      <c r="C191" s="99" t="s">
        <v>914</v>
      </c>
      <c r="D191" s="210">
        <v>82698000</v>
      </c>
      <c r="E191" s="210">
        <v>82698000</v>
      </c>
      <c r="F191" s="277">
        <f t="shared" si="5"/>
        <v>1</v>
      </c>
    </row>
    <row r="192" spans="1:6" ht="83.25" customHeight="1">
      <c r="A192" s="93" t="s">
        <v>595</v>
      </c>
      <c r="B192" s="290" t="s">
        <v>563</v>
      </c>
      <c r="C192" s="292" t="s">
        <v>339</v>
      </c>
      <c r="D192" s="278">
        <f>D193</f>
        <v>7377100</v>
      </c>
      <c r="E192" s="278">
        <f>E193</f>
        <v>7377100</v>
      </c>
      <c r="F192" s="291">
        <f t="shared" si="5"/>
        <v>1</v>
      </c>
    </row>
    <row r="193" spans="1:6" ht="75">
      <c r="A193" s="96" t="s">
        <v>596</v>
      </c>
      <c r="B193" s="234" t="s">
        <v>563</v>
      </c>
      <c r="C193" s="99" t="s">
        <v>341</v>
      </c>
      <c r="D193" s="210">
        <v>7377100</v>
      </c>
      <c r="E193" s="210">
        <v>7377100</v>
      </c>
      <c r="F193" s="277">
        <f t="shared" si="5"/>
        <v>1</v>
      </c>
    </row>
    <row r="194" spans="1:6" ht="31.5">
      <c r="A194" s="93" t="s">
        <v>597</v>
      </c>
      <c r="B194" s="290" t="s">
        <v>563</v>
      </c>
      <c r="C194" s="292" t="s">
        <v>343</v>
      </c>
      <c r="D194" s="278">
        <f>D195</f>
        <v>650000</v>
      </c>
      <c r="E194" s="278">
        <f>E195</f>
        <v>650000</v>
      </c>
      <c r="F194" s="291">
        <f t="shared" si="5"/>
        <v>1</v>
      </c>
    </row>
    <row r="195" spans="1:6" ht="38.25" customHeight="1">
      <c r="A195" s="96" t="s">
        <v>598</v>
      </c>
      <c r="B195" s="234" t="s">
        <v>563</v>
      </c>
      <c r="C195" s="99" t="s">
        <v>345</v>
      </c>
      <c r="D195" s="210">
        <v>650000</v>
      </c>
      <c r="E195" s="210">
        <v>650000</v>
      </c>
      <c r="F195" s="277">
        <f t="shared" si="5"/>
        <v>1</v>
      </c>
    </row>
    <row r="196" spans="1:6" ht="110.25">
      <c r="A196" s="220" t="s">
        <v>606</v>
      </c>
      <c r="B196" s="221" t="s">
        <v>925</v>
      </c>
      <c r="C196" s="222" t="s">
        <v>544</v>
      </c>
      <c r="D196" s="273">
        <f>D197+D201</f>
        <v>0</v>
      </c>
      <c r="E196" s="273">
        <f>E197</f>
        <v>302345.29000000004</v>
      </c>
      <c r="F196" s="277"/>
    </row>
    <row r="197" spans="1:6" ht="50.25" customHeight="1">
      <c r="A197" s="264" t="s">
        <v>606</v>
      </c>
      <c r="B197" s="265" t="s">
        <v>562</v>
      </c>
      <c r="C197" s="266" t="s">
        <v>607</v>
      </c>
      <c r="D197" s="295">
        <v>0</v>
      </c>
      <c r="E197" s="295">
        <f>E198</f>
        <v>302345.29000000004</v>
      </c>
      <c r="F197" s="272"/>
    </row>
    <row r="198" spans="1:6" ht="45">
      <c r="A198" s="232" t="s">
        <v>608</v>
      </c>
      <c r="B198" s="233" t="s">
        <v>562</v>
      </c>
      <c r="C198" s="257" t="s">
        <v>609</v>
      </c>
      <c r="D198" s="278">
        <v>0</v>
      </c>
      <c r="E198" s="210">
        <f>E199+E200</f>
        <v>302345.29000000004</v>
      </c>
      <c r="F198" s="277"/>
    </row>
    <row r="199" spans="1:6" ht="45">
      <c r="A199" s="96" t="s">
        <v>610</v>
      </c>
      <c r="B199" s="234" t="s">
        <v>562</v>
      </c>
      <c r="C199" s="99" t="s">
        <v>611</v>
      </c>
      <c r="D199" s="210">
        <v>0</v>
      </c>
      <c r="E199" s="210">
        <v>81709</v>
      </c>
      <c r="F199" s="277"/>
    </row>
    <row r="200" spans="1:6" ht="45">
      <c r="A200" s="96" t="s">
        <v>612</v>
      </c>
      <c r="B200" s="234" t="s">
        <v>562</v>
      </c>
      <c r="C200" s="99" t="s">
        <v>613</v>
      </c>
      <c r="D200" s="210">
        <v>0</v>
      </c>
      <c r="E200" s="210">
        <v>220636.29</v>
      </c>
      <c r="F200" s="277"/>
    </row>
    <row r="201" spans="1:6" ht="64.5" customHeight="1">
      <c r="A201" s="220" t="s">
        <v>614</v>
      </c>
      <c r="B201" s="221" t="s">
        <v>925</v>
      </c>
      <c r="C201" s="222" t="s">
        <v>615</v>
      </c>
      <c r="D201" s="271">
        <f>D202</f>
        <v>0</v>
      </c>
      <c r="E201" s="295">
        <f>E202</f>
        <v>-1436854.22</v>
      </c>
      <c r="F201" s="272"/>
    </row>
    <row r="202" spans="1:6" ht="66.75" customHeight="1">
      <c r="A202" s="232" t="s">
        <v>616</v>
      </c>
      <c r="B202" s="233" t="s">
        <v>563</v>
      </c>
      <c r="C202" s="257" t="s">
        <v>542</v>
      </c>
      <c r="D202" s="278">
        <v>0</v>
      </c>
      <c r="E202" s="210">
        <v>-1436854.22</v>
      </c>
      <c r="F202" s="277"/>
    </row>
    <row r="203" spans="1:6" ht="28.5" customHeight="1">
      <c r="A203" s="220" t="s">
        <v>346</v>
      </c>
      <c r="B203" s="220"/>
      <c r="C203" s="263"/>
      <c r="D203" s="271">
        <f>D9+D162</f>
        <v>2308408552.7200003</v>
      </c>
      <c r="E203" s="271">
        <f>E9+E162</f>
        <v>2242401538.8799996</v>
      </c>
      <c r="F203" s="272">
        <f>E203/D203</f>
        <v>0.9714058355215222</v>
      </c>
    </row>
    <row r="204" s="270" customFormat="1" ht="16.5" customHeight="1"/>
    <row r="205" s="270" customFormat="1" ht="16.5" customHeight="1"/>
    <row r="206" s="270" customFormat="1" ht="16.5" customHeight="1"/>
    <row r="207" s="270" customFormat="1" ht="16.5" customHeight="1"/>
    <row r="208" s="270" customFormat="1" ht="16.5" customHeight="1"/>
  </sheetData>
  <sheetProtection/>
  <mergeCells count="4">
    <mergeCell ref="C1:F1"/>
    <mergeCell ref="C2:F2"/>
    <mergeCell ref="C3:F3"/>
    <mergeCell ref="A5:F5"/>
  </mergeCells>
  <printOptions horizontalCentered="1"/>
  <pageMargins left="0.7874015748031497" right="0.3937007874015748" top="0.35433070866141736" bottom="0.35433070866141736" header="0.31496062992125984" footer="0.31496062992125984"/>
  <pageSetup fitToHeight="10" fitToWidth="1"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L997"/>
  <sheetViews>
    <sheetView zoomScale="90" zoomScaleNormal="90" zoomScalePageLayoutView="0" workbookViewId="0" topLeftCell="A1">
      <selection activeCell="A5" sqref="A5:I5"/>
    </sheetView>
  </sheetViews>
  <sheetFormatPr defaultColWidth="9.00390625" defaultRowHeight="12.75"/>
  <cols>
    <col min="1" max="1" width="36.625" style="10" customWidth="1"/>
    <col min="2" max="2" width="8.25390625" style="10" customWidth="1"/>
    <col min="3" max="3" width="6.125" style="10" customWidth="1"/>
    <col min="4" max="4" width="8.75390625" style="10" customWidth="1"/>
    <col min="5" max="5" width="11.75390625" style="10" customWidth="1"/>
    <col min="6" max="6" width="10.00390625" style="10" customWidth="1"/>
    <col min="7" max="8" width="24.375" style="10" customWidth="1"/>
    <col min="9" max="9" width="19.625" style="146" customWidth="1"/>
    <col min="10" max="10" width="23.75390625" style="24" customWidth="1"/>
    <col min="11" max="11" width="16.25390625" style="24" customWidth="1"/>
    <col min="12" max="12" width="25.25390625" style="10" customWidth="1"/>
    <col min="13" max="16384" width="9.125" style="10" customWidth="1"/>
  </cols>
  <sheetData>
    <row r="1" spans="2:8" ht="15.75">
      <c r="B1" s="28"/>
      <c r="C1" s="28"/>
      <c r="D1" s="28"/>
      <c r="E1" s="296"/>
      <c r="F1" s="296"/>
      <c r="G1" s="296" t="s">
        <v>432</v>
      </c>
      <c r="H1" s="296"/>
    </row>
    <row r="2" spans="2:8" ht="15.75">
      <c r="B2" s="28"/>
      <c r="C2" s="28"/>
      <c r="D2" s="28"/>
      <c r="E2" s="296" t="s">
        <v>686</v>
      </c>
      <c r="F2" s="296"/>
      <c r="G2" s="296"/>
      <c r="H2" s="296"/>
    </row>
    <row r="3" spans="1:10" ht="15.75" customHeight="1">
      <c r="A3" s="28"/>
      <c r="B3" s="28"/>
      <c r="C3" s="47"/>
      <c r="D3" s="47"/>
      <c r="E3" s="296" t="s">
        <v>998</v>
      </c>
      <c r="F3" s="296"/>
      <c r="G3" s="296"/>
      <c r="H3" s="296"/>
      <c r="I3" s="147"/>
      <c r="J3" s="145"/>
    </row>
    <row r="4" spans="3:8" ht="15.75">
      <c r="C4" s="47"/>
      <c r="D4" s="47"/>
      <c r="G4" s="24"/>
      <c r="H4" s="24"/>
    </row>
    <row r="5" spans="1:9" ht="31.5" customHeight="1">
      <c r="A5" s="303" t="s">
        <v>358</v>
      </c>
      <c r="B5" s="303"/>
      <c r="C5" s="303"/>
      <c r="D5" s="303"/>
      <c r="E5" s="303"/>
      <c r="F5" s="303"/>
      <c r="G5" s="303"/>
      <c r="H5" s="303"/>
      <c r="I5" s="303"/>
    </row>
    <row r="6" spans="7:9" ht="15.75">
      <c r="G6" s="20"/>
      <c r="H6" s="20"/>
      <c r="I6" s="148"/>
    </row>
    <row r="7" spans="1:9" ht="139.5" customHeight="1">
      <c r="A7" s="13" t="s">
        <v>697</v>
      </c>
      <c r="B7" s="13" t="s">
        <v>419</v>
      </c>
      <c r="C7" s="13" t="s">
        <v>730</v>
      </c>
      <c r="D7" s="13" t="s">
        <v>714</v>
      </c>
      <c r="E7" s="13" t="s">
        <v>716</v>
      </c>
      <c r="F7" s="13" t="s">
        <v>715</v>
      </c>
      <c r="G7" s="13" t="s">
        <v>359</v>
      </c>
      <c r="H7" s="13" t="s">
        <v>361</v>
      </c>
      <c r="I7" s="149" t="s">
        <v>360</v>
      </c>
    </row>
    <row r="8" spans="1:9" ht="15.75">
      <c r="A8" s="13">
        <v>1</v>
      </c>
      <c r="B8" s="13">
        <v>2</v>
      </c>
      <c r="C8" s="13">
        <v>3</v>
      </c>
      <c r="D8" s="13">
        <v>4</v>
      </c>
      <c r="E8" s="13">
        <v>5</v>
      </c>
      <c r="F8" s="13">
        <v>6</v>
      </c>
      <c r="G8" s="13">
        <v>7</v>
      </c>
      <c r="H8" s="13">
        <v>8</v>
      </c>
      <c r="I8" s="159">
        <v>9</v>
      </c>
    </row>
    <row r="9" spans="1:9" ht="150">
      <c r="A9" s="8" t="s">
        <v>693</v>
      </c>
      <c r="B9" s="9" t="s">
        <v>420</v>
      </c>
      <c r="C9" s="9"/>
      <c r="D9" s="9"/>
      <c r="E9" s="9"/>
      <c r="F9" s="9"/>
      <c r="G9" s="32">
        <f>G10+G37</f>
        <v>7734876.999999999</v>
      </c>
      <c r="H9" s="32">
        <f>H10+H37</f>
        <v>7596836.43</v>
      </c>
      <c r="I9" s="150">
        <f>H9/G9</f>
        <v>0.9821534886721535</v>
      </c>
    </row>
    <row r="10" spans="1:9" ht="18.75">
      <c r="A10" s="1" t="s">
        <v>717</v>
      </c>
      <c r="B10" s="2" t="s">
        <v>420</v>
      </c>
      <c r="C10" s="2" t="s">
        <v>698</v>
      </c>
      <c r="D10" s="2"/>
      <c r="E10" s="7"/>
      <c r="F10" s="7"/>
      <c r="G10" s="33">
        <f>G11+G17+G28</f>
        <v>7524306.999999999</v>
      </c>
      <c r="H10" s="33">
        <f>H11+H17+H28</f>
        <v>7478856.43</v>
      </c>
      <c r="I10" s="151">
        <f>H10/G10</f>
        <v>0.993959500855029</v>
      </c>
    </row>
    <row r="11" spans="1:9" ht="63">
      <c r="A11" s="1" t="s">
        <v>427</v>
      </c>
      <c r="B11" s="2" t="s">
        <v>420</v>
      </c>
      <c r="C11" s="2" t="s">
        <v>698</v>
      </c>
      <c r="D11" s="2" t="s">
        <v>703</v>
      </c>
      <c r="E11" s="2"/>
      <c r="F11" s="2"/>
      <c r="G11" s="30">
        <f>G12</f>
        <v>1976885</v>
      </c>
      <c r="H11" s="30">
        <f>H12</f>
        <v>1938934.43</v>
      </c>
      <c r="I11" s="152">
        <f>H11/G11</f>
        <v>0.9808028438680044</v>
      </c>
    </row>
    <row r="12" spans="1:9" ht="20.25" customHeight="1">
      <c r="A12" s="25" t="s">
        <v>743</v>
      </c>
      <c r="B12" s="4" t="s">
        <v>420</v>
      </c>
      <c r="C12" s="4" t="s">
        <v>698</v>
      </c>
      <c r="D12" s="4" t="s">
        <v>703</v>
      </c>
      <c r="E12" s="4" t="s">
        <v>744</v>
      </c>
      <c r="F12" s="4"/>
      <c r="G12" s="27">
        <f>G13+G15</f>
        <v>1976885</v>
      </c>
      <c r="H12" s="27">
        <f>H13+H15</f>
        <v>1938934.43</v>
      </c>
      <c r="I12" s="153">
        <f>H12/G12</f>
        <v>0.9808028438680044</v>
      </c>
    </row>
    <row r="13" spans="1:9" ht="47.25">
      <c r="A13" s="3" t="s">
        <v>848</v>
      </c>
      <c r="B13" s="4" t="s">
        <v>420</v>
      </c>
      <c r="C13" s="4" t="s">
        <v>698</v>
      </c>
      <c r="D13" s="4" t="s">
        <v>703</v>
      </c>
      <c r="E13" s="4" t="s">
        <v>849</v>
      </c>
      <c r="F13" s="4"/>
      <c r="G13" s="27">
        <f>G14</f>
        <v>1976885</v>
      </c>
      <c r="H13" s="27">
        <f>H14</f>
        <v>1938934.43</v>
      </c>
      <c r="I13" s="153">
        <f aca="true" t="shared" si="0" ref="I13:I42">H13/G13</f>
        <v>0.9808028438680044</v>
      </c>
    </row>
    <row r="14" spans="1:9" ht="126">
      <c r="A14" s="3" t="s">
        <v>745</v>
      </c>
      <c r="B14" s="4" t="s">
        <v>420</v>
      </c>
      <c r="C14" s="4" t="s">
        <v>698</v>
      </c>
      <c r="D14" s="4" t="s">
        <v>703</v>
      </c>
      <c r="E14" s="4" t="s">
        <v>849</v>
      </c>
      <c r="F14" s="4" t="s">
        <v>379</v>
      </c>
      <c r="G14" s="27">
        <f>1990139-15000+15000-13254</f>
        <v>1976885</v>
      </c>
      <c r="H14" s="27">
        <v>1938934.43</v>
      </c>
      <c r="I14" s="153">
        <f t="shared" si="0"/>
        <v>0.9808028438680044</v>
      </c>
    </row>
    <row r="15" spans="1:9" ht="110.25" customHeight="1" hidden="1">
      <c r="A15" s="3" t="s">
        <v>850</v>
      </c>
      <c r="B15" s="4" t="s">
        <v>420</v>
      </c>
      <c r="C15" s="4" t="s">
        <v>698</v>
      </c>
      <c r="D15" s="4" t="s">
        <v>703</v>
      </c>
      <c r="E15" s="4" t="s">
        <v>851</v>
      </c>
      <c r="F15" s="4"/>
      <c r="G15" s="27">
        <f>G16</f>
        <v>0</v>
      </c>
      <c r="H15" s="27">
        <f>H16</f>
        <v>0</v>
      </c>
      <c r="I15" s="153" t="e">
        <f t="shared" si="0"/>
        <v>#DIV/0!</v>
      </c>
    </row>
    <row r="16" spans="1:9" ht="126" customHeight="1" hidden="1">
      <c r="A16" s="3" t="s">
        <v>745</v>
      </c>
      <c r="B16" s="4" t="s">
        <v>420</v>
      </c>
      <c r="C16" s="4" t="s">
        <v>698</v>
      </c>
      <c r="D16" s="4" t="s">
        <v>703</v>
      </c>
      <c r="E16" s="4" t="s">
        <v>851</v>
      </c>
      <c r="F16" s="4" t="s">
        <v>379</v>
      </c>
      <c r="G16" s="27">
        <f>15000-15000</f>
        <v>0</v>
      </c>
      <c r="H16" s="27">
        <f>15000-15000</f>
        <v>0</v>
      </c>
      <c r="I16" s="153" t="e">
        <f t="shared" si="0"/>
        <v>#DIV/0!</v>
      </c>
    </row>
    <row r="17" spans="1:9" ht="94.5">
      <c r="A17" s="1" t="s">
        <v>385</v>
      </c>
      <c r="B17" s="2" t="s">
        <v>420</v>
      </c>
      <c r="C17" s="2" t="s">
        <v>698</v>
      </c>
      <c r="D17" s="2" t="s">
        <v>705</v>
      </c>
      <c r="E17" s="2"/>
      <c r="F17" s="2"/>
      <c r="G17" s="30">
        <f>G18</f>
        <v>5320221.999999999</v>
      </c>
      <c r="H17" s="30">
        <f>H18</f>
        <v>5312722</v>
      </c>
      <c r="I17" s="152">
        <f t="shared" si="0"/>
        <v>0.9985902843903884</v>
      </c>
    </row>
    <row r="18" spans="1:11" s="23" customFormat="1" ht="15.75">
      <c r="A18" s="25" t="s">
        <v>743</v>
      </c>
      <c r="B18" s="4" t="s">
        <v>420</v>
      </c>
      <c r="C18" s="4" t="s">
        <v>698</v>
      </c>
      <c r="D18" s="4" t="s">
        <v>705</v>
      </c>
      <c r="E18" s="4" t="s">
        <v>744</v>
      </c>
      <c r="F18" s="4"/>
      <c r="G18" s="27">
        <f>G19+G21+G23+G26</f>
        <v>5320221.999999999</v>
      </c>
      <c r="H18" s="27">
        <f>H19+H21+H23+H26</f>
        <v>5312722</v>
      </c>
      <c r="I18" s="153">
        <f t="shared" si="0"/>
        <v>0.9985902843903884</v>
      </c>
      <c r="J18" s="42"/>
      <c r="K18" s="42"/>
    </row>
    <row r="19" spans="1:11" s="23" customFormat="1" ht="63">
      <c r="A19" s="3" t="s">
        <v>852</v>
      </c>
      <c r="B19" s="4" t="s">
        <v>420</v>
      </c>
      <c r="C19" s="4" t="s">
        <v>698</v>
      </c>
      <c r="D19" s="4" t="s">
        <v>705</v>
      </c>
      <c r="E19" s="4" t="s">
        <v>853</v>
      </c>
      <c r="F19" s="4"/>
      <c r="G19" s="27">
        <f>G20</f>
        <v>1562449.08</v>
      </c>
      <c r="H19" s="27">
        <f>H20</f>
        <v>1562449.08</v>
      </c>
      <c r="I19" s="153">
        <f t="shared" si="0"/>
        <v>1</v>
      </c>
      <c r="J19" s="42"/>
      <c r="K19" s="42"/>
    </row>
    <row r="20" spans="1:9" ht="166.5" customHeight="1">
      <c r="A20" s="3" t="s">
        <v>745</v>
      </c>
      <c r="B20" s="4" t="s">
        <v>420</v>
      </c>
      <c r="C20" s="4" t="s">
        <v>698</v>
      </c>
      <c r="D20" s="4" t="s">
        <v>705</v>
      </c>
      <c r="E20" s="4" t="s">
        <v>853</v>
      </c>
      <c r="F20" s="4" t="s">
        <v>379</v>
      </c>
      <c r="G20" s="27">
        <f>1610000-47550.92</f>
        <v>1562449.08</v>
      </c>
      <c r="H20" s="27">
        <v>1562449.08</v>
      </c>
      <c r="I20" s="153">
        <f t="shared" si="0"/>
        <v>1</v>
      </c>
    </row>
    <row r="21" spans="1:9" ht="47.25">
      <c r="A21" s="3" t="s">
        <v>854</v>
      </c>
      <c r="B21" s="4" t="s">
        <v>420</v>
      </c>
      <c r="C21" s="4" t="s">
        <v>698</v>
      </c>
      <c r="D21" s="4" t="s">
        <v>705</v>
      </c>
      <c r="E21" s="4" t="s">
        <v>855</v>
      </c>
      <c r="F21" s="4"/>
      <c r="G21" s="27">
        <f>G22</f>
        <v>3603373.1999999997</v>
      </c>
      <c r="H21" s="27">
        <f>H22</f>
        <v>3600373.2</v>
      </c>
      <c r="I21" s="153">
        <f t="shared" si="0"/>
        <v>0.9991674467690442</v>
      </c>
    </row>
    <row r="22" spans="1:9" ht="126">
      <c r="A22" s="3" t="s">
        <v>745</v>
      </c>
      <c r="B22" s="4" t="s">
        <v>420</v>
      </c>
      <c r="C22" s="4" t="s">
        <v>698</v>
      </c>
      <c r="D22" s="4" t="s">
        <v>705</v>
      </c>
      <c r="E22" s="4" t="s">
        <v>855</v>
      </c>
      <c r="F22" s="4" t="s">
        <v>379</v>
      </c>
      <c r="G22" s="27">
        <f>3492576+15000+47550.92+3050.28+48196-3000</f>
        <v>3603373.1999999997</v>
      </c>
      <c r="H22" s="27">
        <v>3600373.2</v>
      </c>
      <c r="I22" s="153">
        <f t="shared" si="0"/>
        <v>0.9991674467690442</v>
      </c>
    </row>
    <row r="23" spans="1:9" ht="47.25">
      <c r="A23" s="3" t="s">
        <v>856</v>
      </c>
      <c r="B23" s="4" t="s">
        <v>420</v>
      </c>
      <c r="C23" s="4" t="s">
        <v>698</v>
      </c>
      <c r="D23" s="4" t="s">
        <v>705</v>
      </c>
      <c r="E23" s="4" t="s">
        <v>857</v>
      </c>
      <c r="F23" s="4"/>
      <c r="G23" s="27">
        <f>G24+G25</f>
        <v>142450</v>
      </c>
      <c r="H23" s="27">
        <f>H24+H25</f>
        <v>137950</v>
      </c>
      <c r="I23" s="153">
        <f t="shared" si="0"/>
        <v>0.9684099684099684</v>
      </c>
    </row>
    <row r="24" spans="1:9" ht="164.25" customHeight="1">
      <c r="A24" s="3" t="s">
        <v>745</v>
      </c>
      <c r="B24" s="4" t="s">
        <v>420</v>
      </c>
      <c r="C24" s="4" t="s">
        <v>698</v>
      </c>
      <c r="D24" s="4" t="s">
        <v>705</v>
      </c>
      <c r="E24" s="4" t="s">
        <v>857</v>
      </c>
      <c r="F24" s="4" t="s">
        <v>379</v>
      </c>
      <c r="G24" s="27">
        <f>21196-3796</f>
        <v>17400</v>
      </c>
      <c r="H24" s="27">
        <v>16950</v>
      </c>
      <c r="I24" s="153">
        <f t="shared" si="0"/>
        <v>0.9741379310344828</v>
      </c>
    </row>
    <row r="25" spans="1:9" ht="47.25">
      <c r="A25" s="3" t="s">
        <v>746</v>
      </c>
      <c r="B25" s="4" t="s">
        <v>420</v>
      </c>
      <c r="C25" s="4" t="s">
        <v>698</v>
      </c>
      <c r="D25" s="4" t="s">
        <v>705</v>
      </c>
      <c r="E25" s="4" t="s">
        <v>857</v>
      </c>
      <c r="F25" s="4" t="s">
        <v>380</v>
      </c>
      <c r="G25" s="27">
        <f>153196-48196+16000+4050</f>
        <v>125050</v>
      </c>
      <c r="H25" s="27">
        <f>95050+25950</f>
        <v>121000</v>
      </c>
      <c r="I25" s="153">
        <f t="shared" si="0"/>
        <v>0.9676129548180727</v>
      </c>
    </row>
    <row r="26" spans="1:9" ht="110.25">
      <c r="A26" s="3" t="s">
        <v>850</v>
      </c>
      <c r="B26" s="4" t="s">
        <v>420</v>
      </c>
      <c r="C26" s="4" t="s">
        <v>698</v>
      </c>
      <c r="D26" s="4" t="s">
        <v>705</v>
      </c>
      <c r="E26" s="4" t="s">
        <v>851</v>
      </c>
      <c r="F26" s="4"/>
      <c r="G26" s="27">
        <f>G27</f>
        <v>11949.72</v>
      </c>
      <c r="H26" s="27">
        <f>H27</f>
        <v>11949.72</v>
      </c>
      <c r="I26" s="153">
        <f t="shared" si="0"/>
        <v>1</v>
      </c>
    </row>
    <row r="27" spans="1:9" ht="126">
      <c r="A27" s="3" t="s">
        <v>858</v>
      </c>
      <c r="B27" s="65" t="s">
        <v>420</v>
      </c>
      <c r="C27" s="4" t="s">
        <v>698</v>
      </c>
      <c r="D27" s="4" t="s">
        <v>705</v>
      </c>
      <c r="E27" s="4" t="s">
        <v>851</v>
      </c>
      <c r="F27" s="4" t="s">
        <v>379</v>
      </c>
      <c r="G27" s="27">
        <f>30000-15000-3050.28</f>
        <v>11949.72</v>
      </c>
      <c r="H27" s="27">
        <f>30000-15000-3050.28</f>
        <v>11949.72</v>
      </c>
      <c r="I27" s="153">
        <f t="shared" si="0"/>
        <v>1</v>
      </c>
    </row>
    <row r="28" spans="1:11" s="14" customFormat="1" ht="38.25" customHeight="1">
      <c r="A28" s="1" t="s">
        <v>727</v>
      </c>
      <c r="B28" s="2" t="s">
        <v>420</v>
      </c>
      <c r="C28" s="2" t="s">
        <v>698</v>
      </c>
      <c r="D28" s="2" t="s">
        <v>377</v>
      </c>
      <c r="E28" s="2"/>
      <c r="F28" s="2"/>
      <c r="G28" s="30">
        <f>G29</f>
        <v>227200</v>
      </c>
      <c r="H28" s="30">
        <f>H29</f>
        <v>227200</v>
      </c>
      <c r="I28" s="152">
        <f t="shared" si="0"/>
        <v>1</v>
      </c>
      <c r="J28" s="43"/>
      <c r="K28" s="43"/>
    </row>
    <row r="29" spans="1:9" ht="63">
      <c r="A29" s="25" t="s">
        <v>753</v>
      </c>
      <c r="B29" s="4" t="s">
        <v>420</v>
      </c>
      <c r="C29" s="4" t="s">
        <v>698</v>
      </c>
      <c r="D29" s="4" t="s">
        <v>377</v>
      </c>
      <c r="E29" s="4" t="s">
        <v>754</v>
      </c>
      <c r="F29" s="4"/>
      <c r="G29" s="27">
        <f>G30+G33</f>
        <v>227200</v>
      </c>
      <c r="H29" s="27">
        <f>H30+H33</f>
        <v>227200</v>
      </c>
      <c r="I29" s="153">
        <f t="shared" si="0"/>
        <v>1</v>
      </c>
    </row>
    <row r="30" spans="1:9" ht="47.25">
      <c r="A30" s="3" t="s">
        <v>450</v>
      </c>
      <c r="B30" s="4" t="s">
        <v>420</v>
      </c>
      <c r="C30" s="4" t="s">
        <v>698</v>
      </c>
      <c r="D30" s="4" t="s">
        <v>377</v>
      </c>
      <c r="E30" s="4" t="s">
        <v>451</v>
      </c>
      <c r="F30" s="4"/>
      <c r="G30" s="27">
        <f>G31</f>
        <v>213200</v>
      </c>
      <c r="H30" s="27">
        <f>H31</f>
        <v>213200</v>
      </c>
      <c r="I30" s="153">
        <f t="shared" si="0"/>
        <v>1</v>
      </c>
    </row>
    <row r="31" spans="1:9" ht="31.5">
      <c r="A31" s="3" t="s">
        <v>766</v>
      </c>
      <c r="B31" s="4" t="s">
        <v>420</v>
      </c>
      <c r="C31" s="4" t="s">
        <v>698</v>
      </c>
      <c r="D31" s="4" t="s">
        <v>377</v>
      </c>
      <c r="E31" s="4" t="s">
        <v>890</v>
      </c>
      <c r="F31" s="56"/>
      <c r="G31" s="27">
        <f>G32</f>
        <v>213200</v>
      </c>
      <c r="H31" s="27">
        <f>H32</f>
        <v>213200</v>
      </c>
      <c r="I31" s="153">
        <f t="shared" si="0"/>
        <v>1</v>
      </c>
    </row>
    <row r="32" spans="1:9" ht="47.25">
      <c r="A32" s="3" t="s">
        <v>746</v>
      </c>
      <c r="B32" s="4" t="s">
        <v>420</v>
      </c>
      <c r="C32" s="4" t="s">
        <v>698</v>
      </c>
      <c r="D32" s="4" t="s">
        <v>377</v>
      </c>
      <c r="E32" s="4" t="s">
        <v>890</v>
      </c>
      <c r="F32" s="56">
        <v>200</v>
      </c>
      <c r="G32" s="27">
        <f>65200+148000</f>
        <v>213200</v>
      </c>
      <c r="H32" s="27">
        <f>65200+148000</f>
        <v>213200</v>
      </c>
      <c r="I32" s="153">
        <f t="shared" si="0"/>
        <v>1</v>
      </c>
    </row>
    <row r="33" spans="1:9" ht="47.25">
      <c r="A33" s="3" t="s">
        <v>489</v>
      </c>
      <c r="B33" s="4" t="s">
        <v>420</v>
      </c>
      <c r="C33" s="4" t="s">
        <v>698</v>
      </c>
      <c r="D33" s="4" t="s">
        <v>377</v>
      </c>
      <c r="E33" s="4" t="s">
        <v>490</v>
      </c>
      <c r="F33" s="56"/>
      <c r="G33" s="27">
        <f>G34</f>
        <v>14000</v>
      </c>
      <c r="H33" s="27">
        <f>H34</f>
        <v>14000</v>
      </c>
      <c r="I33" s="153">
        <f t="shared" si="0"/>
        <v>1</v>
      </c>
    </row>
    <row r="34" spans="1:9" ht="31.5">
      <c r="A34" s="3" t="s">
        <v>766</v>
      </c>
      <c r="B34" s="4" t="s">
        <v>420</v>
      </c>
      <c r="C34" s="4" t="s">
        <v>698</v>
      </c>
      <c r="D34" s="4" t="s">
        <v>377</v>
      </c>
      <c r="E34" s="4" t="s">
        <v>491</v>
      </c>
      <c r="F34" s="56"/>
      <c r="G34" s="27">
        <f>G35+G36</f>
        <v>14000</v>
      </c>
      <c r="H34" s="27">
        <f>H35+H36</f>
        <v>14000</v>
      </c>
      <c r="I34" s="153">
        <f t="shared" si="0"/>
        <v>1</v>
      </c>
    </row>
    <row r="35" spans="1:12" ht="124.5" customHeight="1" hidden="1">
      <c r="A35" s="3" t="s">
        <v>858</v>
      </c>
      <c r="B35" s="4" t="s">
        <v>420</v>
      </c>
      <c r="C35" s="4" t="s">
        <v>698</v>
      </c>
      <c r="D35" s="4" t="s">
        <v>377</v>
      </c>
      <c r="E35" s="4" t="s">
        <v>491</v>
      </c>
      <c r="F35" s="56">
        <v>100</v>
      </c>
      <c r="G35" s="27">
        <f>10000+30000-40000</f>
        <v>0</v>
      </c>
      <c r="H35" s="27">
        <f>10000+30000-40000</f>
        <v>0</v>
      </c>
      <c r="I35" s="153" t="e">
        <f t="shared" si="0"/>
        <v>#DIV/0!</v>
      </c>
      <c r="L35" s="24"/>
    </row>
    <row r="36" spans="1:12" ht="47.25">
      <c r="A36" s="3" t="s">
        <v>746</v>
      </c>
      <c r="B36" s="4" t="s">
        <v>420</v>
      </c>
      <c r="C36" s="4" t="s">
        <v>698</v>
      </c>
      <c r="D36" s="4" t="s">
        <v>377</v>
      </c>
      <c r="E36" s="4" t="s">
        <v>491</v>
      </c>
      <c r="F36" s="56">
        <v>200</v>
      </c>
      <c r="G36" s="27">
        <f>31000+91000-108000</f>
        <v>14000</v>
      </c>
      <c r="H36" s="27">
        <f>31000+91000-108000</f>
        <v>14000</v>
      </c>
      <c r="I36" s="153">
        <f t="shared" si="0"/>
        <v>1</v>
      </c>
      <c r="L36" s="24"/>
    </row>
    <row r="37" spans="1:11" s="14" customFormat="1" ht="15.75">
      <c r="A37" s="1" t="s">
        <v>719</v>
      </c>
      <c r="B37" s="2" t="s">
        <v>420</v>
      </c>
      <c r="C37" s="2" t="s">
        <v>708</v>
      </c>
      <c r="D37" s="2"/>
      <c r="E37" s="2"/>
      <c r="F37" s="2"/>
      <c r="G37" s="30">
        <f aca="true" t="shared" si="1" ref="G37:H41">G38</f>
        <v>210570</v>
      </c>
      <c r="H37" s="30">
        <f t="shared" si="1"/>
        <v>117980</v>
      </c>
      <c r="I37" s="152">
        <f t="shared" si="0"/>
        <v>0.560288740086432</v>
      </c>
      <c r="J37" s="43"/>
      <c r="K37" s="43"/>
    </row>
    <row r="38" spans="1:9" ht="15.75">
      <c r="A38" s="3" t="s">
        <v>372</v>
      </c>
      <c r="B38" s="4" t="s">
        <v>420</v>
      </c>
      <c r="C38" s="4" t="s">
        <v>708</v>
      </c>
      <c r="D38" s="4" t="s">
        <v>706</v>
      </c>
      <c r="E38" s="4"/>
      <c r="F38" s="4"/>
      <c r="G38" s="27">
        <f t="shared" si="1"/>
        <v>210570</v>
      </c>
      <c r="H38" s="27">
        <f t="shared" si="1"/>
        <v>117980</v>
      </c>
      <c r="I38" s="153">
        <f t="shared" si="0"/>
        <v>0.560288740086432</v>
      </c>
    </row>
    <row r="39" spans="1:9" ht="79.5" customHeight="1">
      <c r="A39" s="3" t="s">
        <v>747</v>
      </c>
      <c r="B39" s="4" t="s">
        <v>420</v>
      </c>
      <c r="C39" s="4" t="s">
        <v>708</v>
      </c>
      <c r="D39" s="4" t="s">
        <v>706</v>
      </c>
      <c r="E39" s="4" t="s">
        <v>748</v>
      </c>
      <c r="F39" s="4"/>
      <c r="G39" s="27">
        <f t="shared" si="1"/>
        <v>210570</v>
      </c>
      <c r="H39" s="27">
        <f t="shared" si="1"/>
        <v>117980</v>
      </c>
      <c r="I39" s="153">
        <f t="shared" si="0"/>
        <v>0.560288740086432</v>
      </c>
    </row>
    <row r="40" spans="1:9" ht="63">
      <c r="A40" s="3" t="s">
        <v>749</v>
      </c>
      <c r="B40" s="4" t="s">
        <v>420</v>
      </c>
      <c r="C40" s="4" t="s">
        <v>708</v>
      </c>
      <c r="D40" s="4" t="s">
        <v>706</v>
      </c>
      <c r="E40" s="4" t="s">
        <v>750</v>
      </c>
      <c r="F40" s="4"/>
      <c r="G40" s="27">
        <f t="shared" si="1"/>
        <v>210570</v>
      </c>
      <c r="H40" s="27">
        <f t="shared" si="1"/>
        <v>117980</v>
      </c>
      <c r="I40" s="153">
        <f t="shared" si="0"/>
        <v>0.560288740086432</v>
      </c>
    </row>
    <row r="41" spans="1:9" ht="31.5">
      <c r="A41" s="3" t="s">
        <v>751</v>
      </c>
      <c r="B41" s="4" t="s">
        <v>420</v>
      </c>
      <c r="C41" s="4" t="s">
        <v>708</v>
      </c>
      <c r="D41" s="4" t="s">
        <v>706</v>
      </c>
      <c r="E41" s="4" t="s">
        <v>752</v>
      </c>
      <c r="F41" s="4"/>
      <c r="G41" s="27">
        <f t="shared" si="1"/>
        <v>210570</v>
      </c>
      <c r="H41" s="27">
        <f t="shared" si="1"/>
        <v>117980</v>
      </c>
      <c r="I41" s="153">
        <f t="shared" si="0"/>
        <v>0.560288740086432</v>
      </c>
    </row>
    <row r="42" spans="1:9" ht="47.25">
      <c r="A42" s="3" t="s">
        <v>746</v>
      </c>
      <c r="B42" s="4" t="s">
        <v>420</v>
      </c>
      <c r="C42" s="4" t="s">
        <v>708</v>
      </c>
      <c r="D42" s="4" t="s">
        <v>706</v>
      </c>
      <c r="E42" s="4" t="s">
        <v>752</v>
      </c>
      <c r="F42" s="4" t="s">
        <v>380</v>
      </c>
      <c r="G42" s="27">
        <v>210570</v>
      </c>
      <c r="H42" s="27">
        <v>117980</v>
      </c>
      <c r="I42" s="153">
        <f t="shared" si="0"/>
        <v>0.560288740086432</v>
      </c>
    </row>
    <row r="43" spans="1:12" ht="150">
      <c r="A43" s="8" t="s">
        <v>694</v>
      </c>
      <c r="B43" s="9" t="s">
        <v>421</v>
      </c>
      <c r="C43" s="9"/>
      <c r="D43" s="9"/>
      <c r="E43" s="9"/>
      <c r="F43" s="9"/>
      <c r="G43" s="32">
        <f>G44+G153+G179+G131+G193</f>
        <v>180078425.32999998</v>
      </c>
      <c r="H43" s="32">
        <f>H44+H153+H179+H131+H193</f>
        <v>176824758.77</v>
      </c>
      <c r="I43" s="150">
        <f>H43/G43</f>
        <v>0.9819319468501709</v>
      </c>
      <c r="L43" s="24"/>
    </row>
    <row r="44" spans="1:9" ht="18.75">
      <c r="A44" s="1" t="s">
        <v>717</v>
      </c>
      <c r="B44" s="2" t="s">
        <v>421</v>
      </c>
      <c r="C44" s="2" t="s">
        <v>698</v>
      </c>
      <c r="D44" s="7"/>
      <c r="E44" s="7"/>
      <c r="F44" s="7"/>
      <c r="G44" s="33">
        <f>G45+G57+G75</f>
        <v>79254404.62</v>
      </c>
      <c r="H44" s="33">
        <f>H45+H57+H75</f>
        <v>76747623.27000001</v>
      </c>
      <c r="I44" s="151">
        <f>H44/G44</f>
        <v>0.9683704475225166</v>
      </c>
    </row>
    <row r="45" spans="1:9" ht="126">
      <c r="A45" s="1" t="s">
        <v>374</v>
      </c>
      <c r="B45" s="2" t="s">
        <v>421</v>
      </c>
      <c r="C45" s="2" t="s">
        <v>698</v>
      </c>
      <c r="D45" s="2" t="s">
        <v>708</v>
      </c>
      <c r="E45" s="2"/>
      <c r="F45" s="2"/>
      <c r="G45" s="30">
        <f>G46</f>
        <v>29496952</v>
      </c>
      <c r="H45" s="30">
        <f>H46</f>
        <v>29391240.670000006</v>
      </c>
      <c r="I45" s="152">
        <f>H45/G45</f>
        <v>0.9964161947987035</v>
      </c>
    </row>
    <row r="46" spans="1:9" ht="85.5" customHeight="1">
      <c r="A46" s="25" t="s">
        <v>753</v>
      </c>
      <c r="B46" s="4" t="s">
        <v>421</v>
      </c>
      <c r="C46" s="4" t="s">
        <v>698</v>
      </c>
      <c r="D46" s="4" t="s">
        <v>708</v>
      </c>
      <c r="E46" s="4" t="s">
        <v>754</v>
      </c>
      <c r="F46" s="4"/>
      <c r="G46" s="27">
        <f>G47</f>
        <v>29496952</v>
      </c>
      <c r="H46" s="27">
        <f>H47</f>
        <v>29391240.670000006</v>
      </c>
      <c r="I46" s="153">
        <f>H46/G46</f>
        <v>0.9964161947987035</v>
      </c>
    </row>
    <row r="47" spans="1:9" ht="66.75" customHeight="1">
      <c r="A47" s="25" t="s">
        <v>755</v>
      </c>
      <c r="B47" s="4" t="s">
        <v>421</v>
      </c>
      <c r="C47" s="4" t="s">
        <v>698</v>
      </c>
      <c r="D47" s="4" t="s">
        <v>708</v>
      </c>
      <c r="E47" s="4" t="s">
        <v>756</v>
      </c>
      <c r="F47" s="4"/>
      <c r="G47" s="27">
        <f>G48+G50+G52+G55</f>
        <v>29496952</v>
      </c>
      <c r="H47" s="27">
        <f>H48+H50+H52+H55</f>
        <v>29391240.670000006</v>
      </c>
      <c r="I47" s="153">
        <f aca="true" t="shared" si="2" ref="I47:I110">H47/G47</f>
        <v>0.9964161947987035</v>
      </c>
    </row>
    <row r="48" spans="1:9" ht="47.25">
      <c r="A48" s="25" t="s">
        <v>859</v>
      </c>
      <c r="B48" s="4" t="s">
        <v>421</v>
      </c>
      <c r="C48" s="4" t="s">
        <v>698</v>
      </c>
      <c r="D48" s="4" t="s">
        <v>708</v>
      </c>
      <c r="E48" s="4" t="s">
        <v>860</v>
      </c>
      <c r="F48" s="4"/>
      <c r="G48" s="27">
        <f>G49</f>
        <v>2165093.24</v>
      </c>
      <c r="H48" s="27">
        <f>H49</f>
        <v>2162086.42</v>
      </c>
      <c r="I48" s="153">
        <f t="shared" si="2"/>
        <v>0.998611228401415</v>
      </c>
    </row>
    <row r="49" spans="1:9" ht="126">
      <c r="A49" s="25" t="s">
        <v>858</v>
      </c>
      <c r="B49" s="4" t="s">
        <v>421</v>
      </c>
      <c r="C49" s="4" t="s">
        <v>698</v>
      </c>
      <c r="D49" s="4" t="s">
        <v>708</v>
      </c>
      <c r="E49" s="4" t="s">
        <v>860</v>
      </c>
      <c r="F49" s="4" t="s">
        <v>379</v>
      </c>
      <c r="G49" s="27">
        <f>1372087.82+551500.72+42916.78+155528.47+19522.2+23537.25</f>
        <v>2165093.24</v>
      </c>
      <c r="H49" s="27">
        <v>2162086.42</v>
      </c>
      <c r="I49" s="153">
        <f t="shared" si="2"/>
        <v>0.998611228401415</v>
      </c>
    </row>
    <row r="50" spans="1:9" ht="47.25">
      <c r="A50" s="25" t="s">
        <v>854</v>
      </c>
      <c r="B50" s="4" t="s">
        <v>421</v>
      </c>
      <c r="C50" s="4" t="s">
        <v>698</v>
      </c>
      <c r="D50" s="4" t="s">
        <v>708</v>
      </c>
      <c r="E50" s="4" t="s">
        <v>861</v>
      </c>
      <c r="F50" s="4"/>
      <c r="G50" s="27">
        <f>G51</f>
        <v>26606443.830000002</v>
      </c>
      <c r="H50" s="27">
        <f>H51</f>
        <v>26512215.42</v>
      </c>
      <c r="I50" s="153">
        <f t="shared" si="2"/>
        <v>0.9964584365125205</v>
      </c>
    </row>
    <row r="51" spans="1:9" ht="126">
      <c r="A51" s="25" t="s">
        <v>858</v>
      </c>
      <c r="B51" s="4" t="s">
        <v>421</v>
      </c>
      <c r="C51" s="4" t="s">
        <v>698</v>
      </c>
      <c r="D51" s="4" t="s">
        <v>708</v>
      </c>
      <c r="E51" s="4" t="s">
        <v>861</v>
      </c>
      <c r="F51" s="4" t="s">
        <v>379</v>
      </c>
      <c r="G51" s="27">
        <f>26891831.37-551500.72-96886.82+363000</f>
        <v>26606443.830000002</v>
      </c>
      <c r="H51" s="27">
        <v>26512215.42</v>
      </c>
      <c r="I51" s="153">
        <f t="shared" si="2"/>
        <v>0.9964584365125205</v>
      </c>
    </row>
    <row r="52" spans="1:9" ht="47.25">
      <c r="A52" s="25" t="s">
        <v>856</v>
      </c>
      <c r="B52" s="4" t="s">
        <v>421</v>
      </c>
      <c r="C52" s="4" t="s">
        <v>698</v>
      </c>
      <c r="D52" s="4" t="s">
        <v>708</v>
      </c>
      <c r="E52" s="4" t="s">
        <v>862</v>
      </c>
      <c r="F52" s="4"/>
      <c r="G52" s="27">
        <f>G53+G54</f>
        <v>379453.06</v>
      </c>
      <c r="H52" s="27">
        <f>H53+H54</f>
        <v>370976.95999999996</v>
      </c>
      <c r="I52" s="153">
        <f t="shared" si="2"/>
        <v>0.9776623227125905</v>
      </c>
    </row>
    <row r="53" spans="1:9" ht="126">
      <c r="A53" s="25" t="s">
        <v>858</v>
      </c>
      <c r="B53" s="4" t="s">
        <v>421</v>
      </c>
      <c r="C53" s="4" t="s">
        <v>698</v>
      </c>
      <c r="D53" s="4" t="s">
        <v>708</v>
      </c>
      <c r="E53" s="4" t="s">
        <v>862</v>
      </c>
      <c r="F53" s="4" t="s">
        <v>379</v>
      </c>
      <c r="G53" s="27">
        <f>128710.05+33000-1200-2402.5-35870-70707.5</f>
        <v>51530.04999999999</v>
      </c>
      <c r="H53" s="27">
        <v>51482.72</v>
      </c>
      <c r="I53" s="153">
        <f t="shared" si="2"/>
        <v>0.9990815068101042</v>
      </c>
    </row>
    <row r="54" spans="1:9" ht="47.25">
      <c r="A54" s="25" t="s">
        <v>746</v>
      </c>
      <c r="B54" s="4" t="s">
        <v>421</v>
      </c>
      <c r="C54" s="4" t="s">
        <v>698</v>
      </c>
      <c r="D54" s="4" t="s">
        <v>708</v>
      </c>
      <c r="E54" s="4" t="s">
        <v>862</v>
      </c>
      <c r="F54" s="4" t="s">
        <v>380</v>
      </c>
      <c r="G54" s="27">
        <f>769870-33000-24637.38-17800-28676-57500-280333.61</f>
        <v>327923.01</v>
      </c>
      <c r="H54" s="27">
        <f>231823.9+87670.34</f>
        <v>319494.24</v>
      </c>
      <c r="I54" s="153">
        <f t="shared" si="2"/>
        <v>0.9742964972174413</v>
      </c>
    </row>
    <row r="55" spans="1:9" ht="110.25">
      <c r="A55" s="25" t="s">
        <v>850</v>
      </c>
      <c r="B55" s="4" t="s">
        <v>421</v>
      </c>
      <c r="C55" s="4" t="s">
        <v>698</v>
      </c>
      <c r="D55" s="4" t="s">
        <v>708</v>
      </c>
      <c r="E55" s="4" t="s">
        <v>863</v>
      </c>
      <c r="F55" s="4"/>
      <c r="G55" s="27">
        <f>G56</f>
        <v>345961.87</v>
      </c>
      <c r="H55" s="27">
        <f>H56</f>
        <v>345961.87</v>
      </c>
      <c r="I55" s="153">
        <f t="shared" si="2"/>
        <v>1</v>
      </c>
    </row>
    <row r="56" spans="1:9" ht="126">
      <c r="A56" s="25" t="s">
        <v>858</v>
      </c>
      <c r="B56" s="4" t="s">
        <v>421</v>
      </c>
      <c r="C56" s="4" t="s">
        <v>698</v>
      </c>
      <c r="D56" s="4" t="s">
        <v>708</v>
      </c>
      <c r="E56" s="4" t="s">
        <v>863</v>
      </c>
      <c r="F56" s="4" t="s">
        <v>379</v>
      </c>
      <c r="G56" s="27">
        <f>334452.76+24637.38-1169.38-11958.89</f>
        <v>345961.87</v>
      </c>
      <c r="H56" s="27">
        <v>345961.87</v>
      </c>
      <c r="I56" s="153">
        <f t="shared" si="2"/>
        <v>1</v>
      </c>
    </row>
    <row r="57" spans="1:9" ht="15.75">
      <c r="A57" s="11" t="s">
        <v>726</v>
      </c>
      <c r="B57" s="5" t="s">
        <v>421</v>
      </c>
      <c r="C57" s="5" t="s">
        <v>698</v>
      </c>
      <c r="D57" s="5" t="s">
        <v>528</v>
      </c>
      <c r="E57" s="21"/>
      <c r="F57" s="21"/>
      <c r="G57" s="26">
        <f aca="true" t="shared" si="3" ref="G57:H59">G58</f>
        <v>100000</v>
      </c>
      <c r="H57" s="26">
        <f t="shared" si="3"/>
        <v>0</v>
      </c>
      <c r="I57" s="154">
        <f t="shared" si="2"/>
        <v>0</v>
      </c>
    </row>
    <row r="58" spans="1:9" ht="15.75">
      <c r="A58" s="3" t="s">
        <v>757</v>
      </c>
      <c r="B58" s="4" t="s">
        <v>421</v>
      </c>
      <c r="C58" s="4" t="s">
        <v>698</v>
      </c>
      <c r="D58" s="4" t="s">
        <v>528</v>
      </c>
      <c r="E58" s="4" t="s">
        <v>744</v>
      </c>
      <c r="F58" s="4"/>
      <c r="G58" s="27">
        <f t="shared" si="3"/>
        <v>100000</v>
      </c>
      <c r="H58" s="27">
        <f t="shared" si="3"/>
        <v>0</v>
      </c>
      <c r="I58" s="153">
        <f t="shared" si="2"/>
        <v>0</v>
      </c>
    </row>
    <row r="59" spans="1:9" ht="31.5">
      <c r="A59" s="3" t="s">
        <v>758</v>
      </c>
      <c r="B59" s="4" t="s">
        <v>421</v>
      </c>
      <c r="C59" s="4" t="s">
        <v>698</v>
      </c>
      <c r="D59" s="4" t="s">
        <v>528</v>
      </c>
      <c r="E59" s="4" t="s">
        <v>759</v>
      </c>
      <c r="F59" s="4"/>
      <c r="G59" s="27">
        <f t="shared" si="3"/>
        <v>100000</v>
      </c>
      <c r="H59" s="27">
        <f t="shared" si="3"/>
        <v>0</v>
      </c>
      <c r="I59" s="153">
        <f t="shared" si="2"/>
        <v>0</v>
      </c>
    </row>
    <row r="60" spans="1:9" ht="23.25" customHeight="1">
      <c r="A60" s="3" t="s">
        <v>676</v>
      </c>
      <c r="B60" s="4" t="s">
        <v>421</v>
      </c>
      <c r="C60" s="4" t="s">
        <v>698</v>
      </c>
      <c r="D60" s="4" t="s">
        <v>528</v>
      </c>
      <c r="E60" s="4" t="s">
        <v>759</v>
      </c>
      <c r="F60" s="4" t="s">
        <v>383</v>
      </c>
      <c r="G60" s="27">
        <f>500000-500000+100000</f>
        <v>100000</v>
      </c>
      <c r="H60" s="27">
        <v>0</v>
      </c>
      <c r="I60" s="161">
        <f t="shared" si="2"/>
        <v>0</v>
      </c>
    </row>
    <row r="61" spans="1:9" ht="15.75" customHeight="1" hidden="1">
      <c r="A61" s="3" t="s">
        <v>676</v>
      </c>
      <c r="B61" s="4" t="s">
        <v>421</v>
      </c>
      <c r="C61" s="4" t="s">
        <v>698</v>
      </c>
      <c r="D61" s="4" t="s">
        <v>528</v>
      </c>
      <c r="E61" s="4" t="s">
        <v>376</v>
      </c>
      <c r="F61" s="4" t="s">
        <v>383</v>
      </c>
      <c r="G61" s="27"/>
      <c r="H61" s="27"/>
      <c r="I61" s="153" t="e">
        <f t="shared" si="2"/>
        <v>#DIV/0!</v>
      </c>
    </row>
    <row r="62" spans="1:11" s="23" customFormat="1" ht="15.75" customHeight="1" hidden="1">
      <c r="A62" s="3" t="s">
        <v>677</v>
      </c>
      <c r="B62" s="4" t="s">
        <v>421</v>
      </c>
      <c r="C62" s="4" t="s">
        <v>698</v>
      </c>
      <c r="D62" s="4" t="s">
        <v>528</v>
      </c>
      <c r="E62" s="4" t="s">
        <v>376</v>
      </c>
      <c r="F62" s="4" t="s">
        <v>678</v>
      </c>
      <c r="G62" s="41"/>
      <c r="H62" s="41"/>
      <c r="I62" s="153" t="e">
        <f t="shared" si="2"/>
        <v>#DIV/0!</v>
      </c>
      <c r="J62" s="42"/>
      <c r="K62" s="42"/>
    </row>
    <row r="63" spans="1:11" s="23" customFormat="1" ht="15.75" customHeight="1" hidden="1">
      <c r="A63" s="44"/>
      <c r="B63" s="4"/>
      <c r="C63" s="4"/>
      <c r="D63" s="4"/>
      <c r="E63" s="4"/>
      <c r="F63" s="4"/>
      <c r="G63" s="34"/>
      <c r="H63" s="34"/>
      <c r="I63" s="153" t="e">
        <f t="shared" si="2"/>
        <v>#DIV/0!</v>
      </c>
      <c r="J63" s="42"/>
      <c r="K63" s="42"/>
    </row>
    <row r="64" spans="1:11" s="23" customFormat="1" ht="15.75" customHeight="1" hidden="1">
      <c r="A64" s="44"/>
      <c r="B64" s="4"/>
      <c r="C64" s="4"/>
      <c r="D64" s="4"/>
      <c r="E64" s="4"/>
      <c r="F64" s="4"/>
      <c r="G64" s="34"/>
      <c r="H64" s="34"/>
      <c r="I64" s="153" t="e">
        <f t="shared" si="2"/>
        <v>#DIV/0!</v>
      </c>
      <c r="J64" s="42"/>
      <c r="K64" s="42"/>
    </row>
    <row r="65" spans="1:9" ht="15.75" customHeight="1" hidden="1">
      <c r="A65" s="3"/>
      <c r="B65" s="4"/>
      <c r="C65" s="4"/>
      <c r="D65" s="4"/>
      <c r="E65" s="4"/>
      <c r="F65" s="4"/>
      <c r="G65" s="27"/>
      <c r="H65" s="27"/>
      <c r="I65" s="153" t="e">
        <f t="shared" si="2"/>
        <v>#DIV/0!</v>
      </c>
    </row>
    <row r="66" spans="1:9" ht="15.75" customHeight="1" hidden="1">
      <c r="A66" s="3"/>
      <c r="B66" s="4"/>
      <c r="C66" s="4"/>
      <c r="D66" s="4"/>
      <c r="E66" s="4"/>
      <c r="F66" s="4"/>
      <c r="G66" s="27"/>
      <c r="H66" s="27"/>
      <c r="I66" s="153" t="e">
        <f t="shared" si="2"/>
        <v>#DIV/0!</v>
      </c>
    </row>
    <row r="67" spans="1:9" ht="15.75" customHeight="1" hidden="1">
      <c r="A67" s="3"/>
      <c r="B67" s="4"/>
      <c r="C67" s="4"/>
      <c r="D67" s="4"/>
      <c r="E67" s="4"/>
      <c r="F67" s="4"/>
      <c r="G67" s="27"/>
      <c r="H67" s="27"/>
      <c r="I67" s="153" t="e">
        <f t="shared" si="2"/>
        <v>#DIV/0!</v>
      </c>
    </row>
    <row r="68" spans="1:9" ht="15.75" customHeight="1" hidden="1">
      <c r="A68" s="3"/>
      <c r="B68" s="4"/>
      <c r="C68" s="4"/>
      <c r="D68" s="4"/>
      <c r="E68" s="4"/>
      <c r="F68" s="4"/>
      <c r="G68" s="27"/>
      <c r="H68" s="27"/>
      <c r="I68" s="153" t="e">
        <f t="shared" si="2"/>
        <v>#DIV/0!</v>
      </c>
    </row>
    <row r="69" spans="1:9" ht="15.75" customHeight="1" hidden="1">
      <c r="A69" s="11"/>
      <c r="B69" s="5"/>
      <c r="C69" s="5"/>
      <c r="D69" s="5"/>
      <c r="E69" s="5"/>
      <c r="F69" s="21"/>
      <c r="G69" s="26"/>
      <c r="H69" s="26"/>
      <c r="I69" s="153" t="e">
        <f t="shared" si="2"/>
        <v>#DIV/0!</v>
      </c>
    </row>
    <row r="70" spans="1:9" ht="15.75" customHeight="1" hidden="1">
      <c r="A70" s="3"/>
      <c r="B70" s="4"/>
      <c r="C70" s="4"/>
      <c r="D70" s="4"/>
      <c r="E70" s="4"/>
      <c r="F70" s="4"/>
      <c r="G70" s="27"/>
      <c r="H70" s="27"/>
      <c r="I70" s="153" t="e">
        <f t="shared" si="2"/>
        <v>#DIV/0!</v>
      </c>
    </row>
    <row r="71" spans="1:9" ht="15.75" customHeight="1" hidden="1">
      <c r="A71" s="3"/>
      <c r="B71" s="4"/>
      <c r="C71" s="4"/>
      <c r="D71" s="4"/>
      <c r="E71" s="4"/>
      <c r="F71" s="4"/>
      <c r="G71" s="27"/>
      <c r="H71" s="27"/>
      <c r="I71" s="153" t="e">
        <f t="shared" si="2"/>
        <v>#DIV/0!</v>
      </c>
    </row>
    <row r="72" spans="1:9" ht="15.75" customHeight="1" hidden="1">
      <c r="A72" s="3"/>
      <c r="B72" s="4"/>
      <c r="C72" s="4"/>
      <c r="D72" s="4"/>
      <c r="E72" s="4"/>
      <c r="F72" s="4"/>
      <c r="G72" s="27"/>
      <c r="H72" s="27"/>
      <c r="I72" s="153" t="e">
        <f t="shared" si="2"/>
        <v>#DIV/0!</v>
      </c>
    </row>
    <row r="73" spans="1:9" ht="15.75" customHeight="1" hidden="1">
      <c r="A73" s="3"/>
      <c r="B73" s="4"/>
      <c r="C73" s="4"/>
      <c r="D73" s="4"/>
      <c r="E73" s="4"/>
      <c r="F73" s="4"/>
      <c r="G73" s="27"/>
      <c r="H73" s="27"/>
      <c r="I73" s="153" t="e">
        <f t="shared" si="2"/>
        <v>#DIV/0!</v>
      </c>
    </row>
    <row r="74" spans="1:9" ht="15.75" customHeight="1" hidden="1">
      <c r="A74" s="3"/>
      <c r="B74" s="4"/>
      <c r="C74" s="4"/>
      <c r="D74" s="4"/>
      <c r="E74" s="4"/>
      <c r="F74" s="4"/>
      <c r="G74" s="27"/>
      <c r="H74" s="27"/>
      <c r="I74" s="153" t="e">
        <f t="shared" si="2"/>
        <v>#DIV/0!</v>
      </c>
    </row>
    <row r="75" spans="1:9" ht="31.5">
      <c r="A75" s="11" t="s">
        <v>727</v>
      </c>
      <c r="B75" s="5" t="s">
        <v>421</v>
      </c>
      <c r="C75" s="5" t="s">
        <v>698</v>
      </c>
      <c r="D75" s="5" t="s">
        <v>377</v>
      </c>
      <c r="E75" s="21"/>
      <c r="F75" s="21"/>
      <c r="G75" s="26">
        <f>G76+G86+G82+G124+G96</f>
        <v>49657452.620000005</v>
      </c>
      <c r="H75" s="26">
        <f>H76+H86+H82+H124+H96</f>
        <v>47356382.60000001</v>
      </c>
      <c r="I75" s="152">
        <f t="shared" si="2"/>
        <v>0.9536611344603445</v>
      </c>
    </row>
    <row r="76" spans="1:9" ht="78.75">
      <c r="A76" s="3" t="s">
        <v>764</v>
      </c>
      <c r="B76" s="4" t="s">
        <v>421</v>
      </c>
      <c r="C76" s="4" t="s">
        <v>698</v>
      </c>
      <c r="D76" s="4" t="s">
        <v>377</v>
      </c>
      <c r="E76" s="4" t="s">
        <v>765</v>
      </c>
      <c r="F76" s="4"/>
      <c r="G76" s="27">
        <f>G77+G80</f>
        <v>914980</v>
      </c>
      <c r="H76" s="27">
        <f>H77+H80</f>
        <v>910014</v>
      </c>
      <c r="I76" s="153">
        <f t="shared" si="2"/>
        <v>0.9945725589630374</v>
      </c>
    </row>
    <row r="77" spans="1:9" ht="31.5">
      <c r="A77" s="3" t="s">
        <v>766</v>
      </c>
      <c r="B77" s="4" t="s">
        <v>421</v>
      </c>
      <c r="C77" s="4" t="s">
        <v>698</v>
      </c>
      <c r="D77" s="4" t="s">
        <v>377</v>
      </c>
      <c r="E77" s="4" t="s">
        <v>767</v>
      </c>
      <c r="F77" s="4"/>
      <c r="G77" s="27">
        <f>G79+G78</f>
        <v>745980</v>
      </c>
      <c r="H77" s="27">
        <f>H79+H78</f>
        <v>745738</v>
      </c>
      <c r="I77" s="153">
        <f t="shared" si="2"/>
        <v>0.9996755945199604</v>
      </c>
    </row>
    <row r="78" spans="1:9" ht="47.25">
      <c r="A78" s="3" t="s">
        <v>746</v>
      </c>
      <c r="B78" s="4" t="s">
        <v>421</v>
      </c>
      <c r="C78" s="4" t="s">
        <v>698</v>
      </c>
      <c r="D78" s="4" t="s">
        <v>377</v>
      </c>
      <c r="E78" s="4" t="s">
        <v>767</v>
      </c>
      <c r="F78" s="4" t="s">
        <v>380</v>
      </c>
      <c r="G78" s="27">
        <f>60000</f>
        <v>60000</v>
      </c>
      <c r="H78" s="27">
        <v>60000</v>
      </c>
      <c r="I78" s="153">
        <f t="shared" si="2"/>
        <v>1</v>
      </c>
    </row>
    <row r="79" spans="1:9" ht="31.5">
      <c r="A79" s="3" t="s">
        <v>680</v>
      </c>
      <c r="B79" s="4" t="s">
        <v>421</v>
      </c>
      <c r="C79" s="4" t="s">
        <v>698</v>
      </c>
      <c r="D79" s="4" t="s">
        <v>377</v>
      </c>
      <c r="E79" s="4" t="s">
        <v>767</v>
      </c>
      <c r="F79" s="4" t="s">
        <v>681</v>
      </c>
      <c r="G79" s="27">
        <v>685980</v>
      </c>
      <c r="H79" s="27">
        <v>685738</v>
      </c>
      <c r="I79" s="153">
        <f t="shared" si="2"/>
        <v>0.9996472200355695</v>
      </c>
    </row>
    <row r="80" spans="1:9" ht="73.5" customHeight="1">
      <c r="A80" s="3" t="s">
        <v>768</v>
      </c>
      <c r="B80" s="4" t="s">
        <v>421</v>
      </c>
      <c r="C80" s="4" t="s">
        <v>698</v>
      </c>
      <c r="D80" s="4" t="s">
        <v>377</v>
      </c>
      <c r="E80" s="4" t="s">
        <v>769</v>
      </c>
      <c r="F80" s="4"/>
      <c r="G80" s="27">
        <f>G81</f>
        <v>169000</v>
      </c>
      <c r="H80" s="27">
        <f>H81</f>
        <v>164276</v>
      </c>
      <c r="I80" s="153">
        <f t="shared" si="2"/>
        <v>0.9720473372781065</v>
      </c>
    </row>
    <row r="81" spans="1:9" ht="63">
      <c r="A81" s="55" t="s">
        <v>770</v>
      </c>
      <c r="B81" s="4" t="s">
        <v>421</v>
      </c>
      <c r="C81" s="4" t="s">
        <v>698</v>
      </c>
      <c r="D81" s="4" t="s">
        <v>377</v>
      </c>
      <c r="E81" s="4" t="s">
        <v>769</v>
      </c>
      <c r="F81" s="4" t="s">
        <v>384</v>
      </c>
      <c r="G81" s="27">
        <f>100000+69000</f>
        <v>169000</v>
      </c>
      <c r="H81" s="27">
        <v>164276</v>
      </c>
      <c r="I81" s="153">
        <f t="shared" si="2"/>
        <v>0.9720473372781065</v>
      </c>
    </row>
    <row r="82" spans="1:9" ht="78.75">
      <c r="A82" s="25" t="s">
        <v>783</v>
      </c>
      <c r="B82" s="4" t="s">
        <v>421</v>
      </c>
      <c r="C82" s="4" t="s">
        <v>698</v>
      </c>
      <c r="D82" s="4" t="s">
        <v>377</v>
      </c>
      <c r="E82" s="4" t="s">
        <v>784</v>
      </c>
      <c r="F82" s="4"/>
      <c r="G82" s="27">
        <f aca="true" t="shared" si="4" ref="G82:H84">G83</f>
        <v>5000</v>
      </c>
      <c r="H82" s="27">
        <f t="shared" si="4"/>
        <v>5000</v>
      </c>
      <c r="I82" s="153">
        <f t="shared" si="2"/>
        <v>1</v>
      </c>
    </row>
    <row r="83" spans="1:9" ht="15.75">
      <c r="A83" s="55" t="s">
        <v>518</v>
      </c>
      <c r="B83" s="4" t="s">
        <v>421</v>
      </c>
      <c r="C83" s="4" t="s">
        <v>698</v>
      </c>
      <c r="D83" s="4" t="s">
        <v>377</v>
      </c>
      <c r="E83" s="4" t="s">
        <v>519</v>
      </c>
      <c r="F83" s="4"/>
      <c r="G83" s="27">
        <f t="shared" si="4"/>
        <v>5000</v>
      </c>
      <c r="H83" s="27">
        <f t="shared" si="4"/>
        <v>5000</v>
      </c>
      <c r="I83" s="153">
        <f t="shared" si="2"/>
        <v>1</v>
      </c>
    </row>
    <row r="84" spans="1:9" ht="31.5">
      <c r="A84" s="3" t="s">
        <v>766</v>
      </c>
      <c r="B84" s="4" t="s">
        <v>421</v>
      </c>
      <c r="C84" s="4" t="s">
        <v>698</v>
      </c>
      <c r="D84" s="4" t="s">
        <v>377</v>
      </c>
      <c r="E84" s="4" t="s">
        <v>520</v>
      </c>
      <c r="F84" s="4"/>
      <c r="G84" s="27">
        <f t="shared" si="4"/>
        <v>5000</v>
      </c>
      <c r="H84" s="27">
        <f t="shared" si="4"/>
        <v>5000</v>
      </c>
      <c r="I84" s="153">
        <f t="shared" si="2"/>
        <v>1</v>
      </c>
    </row>
    <row r="85" spans="1:9" ht="47.25">
      <c r="A85" s="3" t="s">
        <v>746</v>
      </c>
      <c r="B85" s="4" t="s">
        <v>421</v>
      </c>
      <c r="C85" s="4" t="s">
        <v>698</v>
      </c>
      <c r="D85" s="4" t="s">
        <v>377</v>
      </c>
      <c r="E85" s="4" t="s">
        <v>520</v>
      </c>
      <c r="F85" s="4" t="s">
        <v>380</v>
      </c>
      <c r="G85" s="27">
        <v>5000</v>
      </c>
      <c r="H85" s="27">
        <v>5000</v>
      </c>
      <c r="I85" s="153">
        <f t="shared" si="2"/>
        <v>1</v>
      </c>
    </row>
    <row r="86" spans="1:9" ht="70.5" customHeight="1">
      <c r="A86" s="3" t="s">
        <v>747</v>
      </c>
      <c r="B86" s="4" t="s">
        <v>421</v>
      </c>
      <c r="C86" s="4" t="s">
        <v>698</v>
      </c>
      <c r="D86" s="4" t="s">
        <v>377</v>
      </c>
      <c r="E86" s="4" t="s">
        <v>748</v>
      </c>
      <c r="F86" s="4"/>
      <c r="G86" s="27">
        <f>G87</f>
        <v>6500374</v>
      </c>
      <c r="H86" s="27">
        <f>H87</f>
        <v>5112240.29</v>
      </c>
      <c r="I86" s="153">
        <f t="shared" si="2"/>
        <v>0.7864532548434906</v>
      </c>
    </row>
    <row r="87" spans="1:9" ht="94.5">
      <c r="A87" s="55" t="s">
        <v>778</v>
      </c>
      <c r="B87" s="4" t="s">
        <v>421</v>
      </c>
      <c r="C87" s="4" t="s">
        <v>698</v>
      </c>
      <c r="D87" s="4" t="s">
        <v>377</v>
      </c>
      <c r="E87" s="4" t="s">
        <v>779</v>
      </c>
      <c r="F87" s="4"/>
      <c r="G87" s="27">
        <f>G93+G88+G91</f>
        <v>6500374</v>
      </c>
      <c r="H87" s="27">
        <f>H93+H88+H91</f>
        <v>5112240.29</v>
      </c>
      <c r="I87" s="153">
        <f t="shared" si="2"/>
        <v>0.7864532548434906</v>
      </c>
    </row>
    <row r="88" spans="1:9" ht="110.25">
      <c r="A88" s="3" t="s">
        <v>650</v>
      </c>
      <c r="B88" s="4" t="s">
        <v>421</v>
      </c>
      <c r="C88" s="4" t="s">
        <v>698</v>
      </c>
      <c r="D88" s="4" t="s">
        <v>377</v>
      </c>
      <c r="E88" s="4" t="s">
        <v>443</v>
      </c>
      <c r="F88" s="4"/>
      <c r="G88" s="27">
        <f>G89+G90+G95</f>
        <v>6500374</v>
      </c>
      <c r="H88" s="27">
        <f>H89+H90+H95</f>
        <v>5112240.29</v>
      </c>
      <c r="I88" s="153">
        <f t="shared" si="2"/>
        <v>0.7864532548434906</v>
      </c>
    </row>
    <row r="89" spans="1:12" ht="126" customHeight="1" hidden="1">
      <c r="A89" s="3" t="s">
        <v>745</v>
      </c>
      <c r="B89" s="4" t="s">
        <v>421</v>
      </c>
      <c r="C89" s="4" t="s">
        <v>698</v>
      </c>
      <c r="D89" s="4" t="s">
        <v>377</v>
      </c>
      <c r="E89" s="4" t="s">
        <v>443</v>
      </c>
      <c r="F89" s="4" t="s">
        <v>379</v>
      </c>
      <c r="G89" s="27">
        <f>3565344-3565344</f>
        <v>0</v>
      </c>
      <c r="H89" s="27">
        <f>3565344-3565344</f>
        <v>0</v>
      </c>
      <c r="I89" s="153" t="e">
        <f t="shared" si="2"/>
        <v>#DIV/0!</v>
      </c>
      <c r="L89" s="24"/>
    </row>
    <row r="90" spans="1:12" ht="47.25">
      <c r="A90" s="3" t="s">
        <v>746</v>
      </c>
      <c r="B90" s="4" t="s">
        <v>421</v>
      </c>
      <c r="C90" s="4" t="s">
        <v>698</v>
      </c>
      <c r="D90" s="4" t="s">
        <v>377</v>
      </c>
      <c r="E90" s="4" t="s">
        <v>443</v>
      </c>
      <c r="F90" s="4" t="s">
        <v>380</v>
      </c>
      <c r="G90" s="27">
        <f>6551584-2000000-2702286-105522-113540-275312-22180</f>
        <v>1332744</v>
      </c>
      <c r="H90" s="27">
        <f>0</f>
        <v>0</v>
      </c>
      <c r="I90" s="153">
        <f t="shared" si="2"/>
        <v>0</v>
      </c>
      <c r="L90" s="24"/>
    </row>
    <row r="91" spans="1:9" ht="63" customHeight="1" hidden="1">
      <c r="A91" s="3" t="s">
        <v>663</v>
      </c>
      <c r="B91" s="4" t="s">
        <v>421</v>
      </c>
      <c r="C91" s="4" t="s">
        <v>698</v>
      </c>
      <c r="D91" s="4" t="s">
        <v>377</v>
      </c>
      <c r="E91" s="4" t="s">
        <v>444</v>
      </c>
      <c r="F91" s="4"/>
      <c r="G91" s="27">
        <f>G92</f>
        <v>0</v>
      </c>
      <c r="H91" s="27">
        <f>H92</f>
        <v>0</v>
      </c>
      <c r="I91" s="153" t="e">
        <f t="shared" si="2"/>
        <v>#DIV/0!</v>
      </c>
    </row>
    <row r="92" spans="1:9" ht="63" customHeight="1" hidden="1">
      <c r="A92" s="3" t="s">
        <v>406</v>
      </c>
      <c r="B92" s="4" t="s">
        <v>421</v>
      </c>
      <c r="C92" s="4" t="s">
        <v>698</v>
      </c>
      <c r="D92" s="4" t="s">
        <v>377</v>
      </c>
      <c r="E92" s="4" t="s">
        <v>444</v>
      </c>
      <c r="F92" s="4" t="s">
        <v>738</v>
      </c>
      <c r="G92" s="27"/>
      <c r="H92" s="27"/>
      <c r="I92" s="153" t="e">
        <f t="shared" si="2"/>
        <v>#DIV/0!</v>
      </c>
    </row>
    <row r="93" spans="1:9" ht="47.25" customHeight="1" hidden="1">
      <c r="A93" s="55" t="s">
        <v>780</v>
      </c>
      <c r="B93" s="4" t="s">
        <v>421</v>
      </c>
      <c r="C93" s="4" t="s">
        <v>698</v>
      </c>
      <c r="D93" s="4" t="s">
        <v>377</v>
      </c>
      <c r="E93" s="4" t="s">
        <v>781</v>
      </c>
      <c r="F93" s="4"/>
      <c r="G93" s="27"/>
      <c r="H93" s="27"/>
      <c r="I93" s="153" t="e">
        <f t="shared" si="2"/>
        <v>#DIV/0!</v>
      </c>
    </row>
    <row r="94" spans="1:9" ht="47.25" customHeight="1" hidden="1">
      <c r="A94" s="3" t="s">
        <v>746</v>
      </c>
      <c r="B94" s="4" t="s">
        <v>421</v>
      </c>
      <c r="C94" s="4" t="s">
        <v>698</v>
      </c>
      <c r="D94" s="4" t="s">
        <v>377</v>
      </c>
      <c r="E94" s="4" t="s">
        <v>781</v>
      </c>
      <c r="F94" s="4" t="s">
        <v>380</v>
      </c>
      <c r="G94" s="27"/>
      <c r="H94" s="27"/>
      <c r="I94" s="153" t="e">
        <f t="shared" si="2"/>
        <v>#DIV/0!</v>
      </c>
    </row>
    <row r="95" spans="1:12" ht="63">
      <c r="A95" s="3" t="s">
        <v>770</v>
      </c>
      <c r="B95" s="4" t="s">
        <v>421</v>
      </c>
      <c r="C95" s="4" t="s">
        <v>698</v>
      </c>
      <c r="D95" s="4" t="s">
        <v>377</v>
      </c>
      <c r="E95" s="4" t="s">
        <v>443</v>
      </c>
      <c r="F95" s="4" t="s">
        <v>384</v>
      </c>
      <c r="G95" s="27">
        <f>5167630</f>
        <v>5167630</v>
      </c>
      <c r="H95" s="27">
        <f>2954895.23+2157345.06</f>
        <v>5112240.29</v>
      </c>
      <c r="I95" s="153">
        <f t="shared" si="2"/>
        <v>0.989281409466235</v>
      </c>
      <c r="L95" s="24"/>
    </row>
    <row r="96" spans="1:9" ht="85.5" customHeight="1">
      <c r="A96" s="25" t="s">
        <v>753</v>
      </c>
      <c r="B96" s="4" t="s">
        <v>421</v>
      </c>
      <c r="C96" s="4" t="s">
        <v>698</v>
      </c>
      <c r="D96" s="4" t="s">
        <v>377</v>
      </c>
      <c r="E96" s="4" t="s">
        <v>754</v>
      </c>
      <c r="F96" s="4"/>
      <c r="G96" s="27">
        <f>G97+G103+G109+G120</f>
        <v>41417144.59</v>
      </c>
      <c r="H96" s="27">
        <f>H97+H103+H109+H120</f>
        <v>40666972.690000005</v>
      </c>
      <c r="I96" s="153">
        <f t="shared" si="2"/>
        <v>0.9818874065939078</v>
      </c>
    </row>
    <row r="97" spans="1:9" ht="64.5" customHeight="1">
      <c r="A97" s="25" t="s">
        <v>755</v>
      </c>
      <c r="B97" s="4" t="s">
        <v>421</v>
      </c>
      <c r="C97" s="4" t="s">
        <v>698</v>
      </c>
      <c r="D97" s="4" t="s">
        <v>377</v>
      </c>
      <c r="E97" s="4" t="s">
        <v>756</v>
      </c>
      <c r="F97" s="4"/>
      <c r="G97" s="27">
        <f>G98+G100</f>
        <v>1370800</v>
      </c>
      <c r="H97" s="27">
        <f>H98+H100</f>
        <v>990307.4299999999</v>
      </c>
      <c r="I97" s="153">
        <f t="shared" si="2"/>
        <v>0.7224302815873942</v>
      </c>
    </row>
    <row r="98" spans="1:9" ht="220.5">
      <c r="A98" s="3" t="s">
        <v>390</v>
      </c>
      <c r="B98" s="4" t="s">
        <v>421</v>
      </c>
      <c r="C98" s="4" t="s">
        <v>698</v>
      </c>
      <c r="D98" s="4" t="s">
        <v>377</v>
      </c>
      <c r="E98" s="4" t="s">
        <v>760</v>
      </c>
      <c r="F98" s="4"/>
      <c r="G98" s="27">
        <f>G99</f>
        <v>6000</v>
      </c>
      <c r="H98" s="27">
        <f>H99</f>
        <v>0</v>
      </c>
      <c r="I98" s="153">
        <f t="shared" si="2"/>
        <v>0</v>
      </c>
    </row>
    <row r="99" spans="1:9" ht="47.25">
      <c r="A99" s="3" t="s">
        <v>746</v>
      </c>
      <c r="B99" s="4" t="s">
        <v>421</v>
      </c>
      <c r="C99" s="4" t="s">
        <v>698</v>
      </c>
      <c r="D99" s="4" t="s">
        <v>377</v>
      </c>
      <c r="E99" s="4" t="s">
        <v>760</v>
      </c>
      <c r="F99" s="4" t="s">
        <v>380</v>
      </c>
      <c r="G99" s="27">
        <v>6000</v>
      </c>
      <c r="H99" s="27">
        <v>0</v>
      </c>
      <c r="I99" s="153">
        <f t="shared" si="2"/>
        <v>0</v>
      </c>
    </row>
    <row r="100" spans="1:9" ht="47.25">
      <c r="A100" s="3" t="s">
        <v>761</v>
      </c>
      <c r="B100" s="4" t="s">
        <v>421</v>
      </c>
      <c r="C100" s="4" t="s">
        <v>698</v>
      </c>
      <c r="D100" s="4" t="s">
        <v>377</v>
      </c>
      <c r="E100" s="4" t="s">
        <v>762</v>
      </c>
      <c r="F100" s="4"/>
      <c r="G100" s="27">
        <f>G101+G102</f>
        <v>1364800</v>
      </c>
      <c r="H100" s="27">
        <f>H101+H102</f>
        <v>990307.4299999999</v>
      </c>
      <c r="I100" s="153">
        <f t="shared" si="2"/>
        <v>0.7256062646541618</v>
      </c>
    </row>
    <row r="101" spans="1:9" ht="126">
      <c r="A101" s="3" t="s">
        <v>745</v>
      </c>
      <c r="B101" s="4" t="s">
        <v>421</v>
      </c>
      <c r="C101" s="4" t="s">
        <v>698</v>
      </c>
      <c r="D101" s="4" t="s">
        <v>377</v>
      </c>
      <c r="E101" s="4" t="s">
        <v>762</v>
      </c>
      <c r="F101" s="4" t="s">
        <v>379</v>
      </c>
      <c r="G101" s="27">
        <f>1119753+62491.79-62491.79</f>
        <v>1119753</v>
      </c>
      <c r="H101" s="27">
        <f>919065.59+12471.57</f>
        <v>931537.1599999999</v>
      </c>
      <c r="I101" s="153">
        <f t="shared" si="2"/>
        <v>0.8319130736867862</v>
      </c>
    </row>
    <row r="102" spans="1:9" ht="47.25">
      <c r="A102" s="3" t="s">
        <v>746</v>
      </c>
      <c r="B102" s="4" t="s">
        <v>421</v>
      </c>
      <c r="C102" s="4" t="s">
        <v>698</v>
      </c>
      <c r="D102" s="4" t="s">
        <v>377</v>
      </c>
      <c r="E102" s="4" t="s">
        <v>762</v>
      </c>
      <c r="F102" s="4" t="s">
        <v>380</v>
      </c>
      <c r="G102" s="27">
        <f>245047-62491.79+62491.79</f>
        <v>245047</v>
      </c>
      <c r="H102" s="27">
        <f>23396.22+35374.05</f>
        <v>58770.270000000004</v>
      </c>
      <c r="I102" s="153">
        <f t="shared" si="2"/>
        <v>0.23983264434985943</v>
      </c>
    </row>
    <row r="103" spans="1:9" ht="31.5">
      <c r="A103" s="3" t="s">
        <v>446</v>
      </c>
      <c r="B103" s="4" t="s">
        <v>421</v>
      </c>
      <c r="C103" s="4" t="s">
        <v>698</v>
      </c>
      <c r="D103" s="4" t="s">
        <v>377</v>
      </c>
      <c r="E103" s="4" t="s">
        <v>447</v>
      </c>
      <c r="F103" s="4"/>
      <c r="G103" s="27">
        <f>G104+G107</f>
        <v>6702782</v>
      </c>
      <c r="H103" s="27">
        <f>H104+H107</f>
        <v>6608673.43</v>
      </c>
      <c r="I103" s="153">
        <f t="shared" si="2"/>
        <v>0.985959774612989</v>
      </c>
    </row>
    <row r="104" spans="1:9" ht="110.25">
      <c r="A104" s="3" t="s">
        <v>650</v>
      </c>
      <c r="B104" s="4" t="s">
        <v>421</v>
      </c>
      <c r="C104" s="4" t="s">
        <v>698</v>
      </c>
      <c r="D104" s="4" t="s">
        <v>377</v>
      </c>
      <c r="E104" s="4" t="s">
        <v>448</v>
      </c>
      <c r="F104" s="4"/>
      <c r="G104" s="27">
        <f>G105+G106</f>
        <v>6634505.54</v>
      </c>
      <c r="H104" s="27">
        <f>H105+H106</f>
        <v>6545491.93</v>
      </c>
      <c r="I104" s="153">
        <f t="shared" si="2"/>
        <v>0.986583233752187</v>
      </c>
    </row>
    <row r="105" spans="1:9" ht="126">
      <c r="A105" s="3" t="s">
        <v>745</v>
      </c>
      <c r="B105" s="4" t="s">
        <v>421</v>
      </c>
      <c r="C105" s="4" t="s">
        <v>698</v>
      </c>
      <c r="D105" s="4" t="s">
        <v>377</v>
      </c>
      <c r="E105" s="4" t="s">
        <v>448</v>
      </c>
      <c r="F105" s="4" t="s">
        <v>379</v>
      </c>
      <c r="G105" s="27">
        <f>5279763.3-68276.46</f>
        <v>5211486.84</v>
      </c>
      <c r="H105" s="27">
        <f>5171726.33+1319.66</f>
        <v>5173045.99</v>
      </c>
      <c r="I105" s="153">
        <f t="shared" si="2"/>
        <v>0.9926238228781559</v>
      </c>
    </row>
    <row r="106" spans="1:9" ht="47.25">
      <c r="A106" s="3" t="s">
        <v>746</v>
      </c>
      <c r="B106" s="4" t="s">
        <v>421</v>
      </c>
      <c r="C106" s="4" t="s">
        <v>698</v>
      </c>
      <c r="D106" s="4" t="s">
        <v>377</v>
      </c>
      <c r="E106" s="4" t="s">
        <v>448</v>
      </c>
      <c r="F106" s="4" t="s">
        <v>380</v>
      </c>
      <c r="G106" s="27">
        <f>1231018.7+192000</f>
        <v>1423018.7</v>
      </c>
      <c r="H106" s="27">
        <f>38441.64+1334004.3</f>
        <v>1372445.94</v>
      </c>
      <c r="I106" s="153">
        <f t="shared" si="2"/>
        <v>0.9644609308366784</v>
      </c>
    </row>
    <row r="107" spans="1:9" ht="110.25">
      <c r="A107" s="3" t="s">
        <v>850</v>
      </c>
      <c r="B107" s="4" t="s">
        <v>421</v>
      </c>
      <c r="C107" s="4" t="s">
        <v>698</v>
      </c>
      <c r="D107" s="4" t="s">
        <v>377</v>
      </c>
      <c r="E107" s="4" t="s">
        <v>864</v>
      </c>
      <c r="F107" s="4"/>
      <c r="G107" s="27">
        <f>G108</f>
        <v>68276.46</v>
      </c>
      <c r="H107" s="27">
        <f>H108</f>
        <v>63181.5</v>
      </c>
      <c r="I107" s="153">
        <f t="shared" si="2"/>
        <v>0.9253775019970278</v>
      </c>
    </row>
    <row r="108" spans="1:9" ht="126">
      <c r="A108" s="3" t="s">
        <v>858</v>
      </c>
      <c r="B108" s="4" t="s">
        <v>421</v>
      </c>
      <c r="C108" s="4" t="s">
        <v>698</v>
      </c>
      <c r="D108" s="4" t="s">
        <v>377</v>
      </c>
      <c r="E108" s="4" t="s">
        <v>864</v>
      </c>
      <c r="F108" s="4" t="s">
        <v>379</v>
      </c>
      <c r="G108" s="27">
        <v>68276.46</v>
      </c>
      <c r="H108" s="27">
        <v>63181.5</v>
      </c>
      <c r="I108" s="153">
        <f t="shared" si="2"/>
        <v>0.9253775019970278</v>
      </c>
    </row>
    <row r="109" spans="1:9" ht="47.25">
      <c r="A109" s="3" t="s">
        <v>450</v>
      </c>
      <c r="B109" s="4" t="s">
        <v>421</v>
      </c>
      <c r="C109" s="4" t="s">
        <v>698</v>
      </c>
      <c r="D109" s="4" t="s">
        <v>377</v>
      </c>
      <c r="E109" s="4" t="s">
        <v>451</v>
      </c>
      <c r="F109" s="4"/>
      <c r="G109" s="27">
        <f>G110+G118+G114+G116</f>
        <v>32576710.59</v>
      </c>
      <c r="H109" s="27">
        <f>H110+H118+H114+H116</f>
        <v>32449646.330000006</v>
      </c>
      <c r="I109" s="153">
        <f t="shared" si="2"/>
        <v>0.9960995368255812</v>
      </c>
    </row>
    <row r="110" spans="1:9" ht="110.25">
      <c r="A110" s="3" t="s">
        <v>650</v>
      </c>
      <c r="B110" s="4" t="s">
        <v>421</v>
      </c>
      <c r="C110" s="4" t="s">
        <v>698</v>
      </c>
      <c r="D110" s="4" t="s">
        <v>377</v>
      </c>
      <c r="E110" s="4" t="s">
        <v>452</v>
      </c>
      <c r="F110" s="4"/>
      <c r="G110" s="27">
        <f>G111+G112+G113</f>
        <v>32177641.24</v>
      </c>
      <c r="H110" s="27">
        <f>H111+H112+H113</f>
        <v>32052154.680000003</v>
      </c>
      <c r="I110" s="153">
        <f t="shared" si="2"/>
        <v>0.9961001939494557</v>
      </c>
    </row>
    <row r="111" spans="1:9" ht="126">
      <c r="A111" s="3" t="s">
        <v>745</v>
      </c>
      <c r="B111" s="4" t="s">
        <v>421</v>
      </c>
      <c r="C111" s="4" t="s">
        <v>698</v>
      </c>
      <c r="D111" s="4" t="s">
        <v>377</v>
      </c>
      <c r="E111" s="4" t="s">
        <v>452</v>
      </c>
      <c r="F111" s="4" t="s">
        <v>379</v>
      </c>
      <c r="G111" s="27">
        <f>18024876-413776+7321-97000</f>
        <v>17521421</v>
      </c>
      <c r="H111" s="27">
        <f>17459963.03+19065</f>
        <v>17479028.03</v>
      </c>
      <c r="I111" s="153">
        <f aca="true" t="shared" si="5" ref="I111:I174">H111/G111</f>
        <v>0.9975805061701332</v>
      </c>
    </row>
    <row r="112" spans="1:12" ht="47.25">
      <c r="A112" s="3" t="s">
        <v>746</v>
      </c>
      <c r="B112" s="4" t="s">
        <v>421</v>
      </c>
      <c r="C112" s="4" t="s">
        <v>698</v>
      </c>
      <c r="D112" s="4" t="s">
        <v>377</v>
      </c>
      <c r="E112" s="4" t="s">
        <v>452</v>
      </c>
      <c r="F112" s="4" t="s">
        <v>380</v>
      </c>
      <c r="G112" s="27">
        <f>13554355+610000+2500000-2200000-27367.86+265522-257096.56-496.67-5946.96+70000+92218.53</f>
        <v>14601187.479999999</v>
      </c>
      <c r="H112" s="27">
        <f>91216.24+14426877.65</f>
        <v>14518093.89</v>
      </c>
      <c r="I112" s="153">
        <f t="shared" si="5"/>
        <v>0.9943091210825273</v>
      </c>
      <c r="L112" s="24"/>
    </row>
    <row r="113" spans="1:9" ht="22.5" customHeight="1">
      <c r="A113" s="3" t="s">
        <v>676</v>
      </c>
      <c r="B113" s="4" t="s">
        <v>421</v>
      </c>
      <c r="C113" s="4" t="s">
        <v>698</v>
      </c>
      <c r="D113" s="4" t="s">
        <v>377</v>
      </c>
      <c r="E113" s="4" t="s">
        <v>452</v>
      </c>
      <c r="F113" s="56">
        <v>800</v>
      </c>
      <c r="G113" s="27">
        <f>78653-23620.24</f>
        <v>55032.759999999995</v>
      </c>
      <c r="H113" s="27">
        <f>78653-23620.24</f>
        <v>55032.759999999995</v>
      </c>
      <c r="I113" s="153">
        <f t="shared" si="5"/>
        <v>1</v>
      </c>
    </row>
    <row r="114" spans="1:9" ht="47.25">
      <c r="A114" s="3" t="s">
        <v>669</v>
      </c>
      <c r="B114" s="4" t="s">
        <v>421</v>
      </c>
      <c r="C114" s="4" t="s">
        <v>698</v>
      </c>
      <c r="D114" s="4" t="s">
        <v>377</v>
      </c>
      <c r="E114" s="4" t="s">
        <v>409</v>
      </c>
      <c r="F114" s="56"/>
      <c r="G114" s="27">
        <f>G115</f>
        <v>165732.64</v>
      </c>
      <c r="H114" s="27">
        <f>H115</f>
        <v>165732.64</v>
      </c>
      <c r="I114" s="153">
        <f t="shared" si="5"/>
        <v>1</v>
      </c>
    </row>
    <row r="115" spans="1:9" ht="47.25">
      <c r="A115" s="3" t="s">
        <v>746</v>
      </c>
      <c r="B115" s="4" t="s">
        <v>421</v>
      </c>
      <c r="C115" s="4" t="s">
        <v>698</v>
      </c>
      <c r="D115" s="4" t="s">
        <v>377</v>
      </c>
      <c r="E115" s="4" t="s">
        <v>409</v>
      </c>
      <c r="F115" s="56">
        <v>200</v>
      </c>
      <c r="G115" s="27">
        <v>165732.64</v>
      </c>
      <c r="H115" s="27">
        <v>165732.64</v>
      </c>
      <c r="I115" s="153">
        <f t="shared" si="5"/>
        <v>1</v>
      </c>
    </row>
    <row r="116" spans="1:9" ht="31.5">
      <c r="A116" s="3" t="s">
        <v>766</v>
      </c>
      <c r="B116" s="4" t="s">
        <v>421</v>
      </c>
      <c r="C116" s="4" t="s">
        <v>698</v>
      </c>
      <c r="D116" s="4" t="s">
        <v>377</v>
      </c>
      <c r="E116" s="4" t="s">
        <v>890</v>
      </c>
      <c r="F116" s="56"/>
      <c r="G116" s="27">
        <f>G117</f>
        <v>28480</v>
      </c>
      <c r="H116" s="27">
        <f>H117</f>
        <v>28480</v>
      </c>
      <c r="I116" s="153">
        <f t="shared" si="5"/>
        <v>1</v>
      </c>
    </row>
    <row r="117" spans="1:12" ht="47.25">
      <c r="A117" s="3" t="s">
        <v>746</v>
      </c>
      <c r="B117" s="4" t="s">
        <v>421</v>
      </c>
      <c r="C117" s="4" t="s">
        <v>698</v>
      </c>
      <c r="D117" s="4" t="s">
        <v>377</v>
      </c>
      <c r="E117" s="4" t="s">
        <v>890</v>
      </c>
      <c r="F117" s="56">
        <v>200</v>
      </c>
      <c r="G117" s="27">
        <f>28480</f>
        <v>28480</v>
      </c>
      <c r="H117" s="27">
        <f>28480</f>
        <v>28480</v>
      </c>
      <c r="I117" s="153">
        <f t="shared" si="5"/>
        <v>1</v>
      </c>
      <c r="L117" s="24"/>
    </row>
    <row r="118" spans="1:9" ht="110.25">
      <c r="A118" s="3" t="s">
        <v>850</v>
      </c>
      <c r="B118" s="4" t="s">
        <v>421</v>
      </c>
      <c r="C118" s="4" t="s">
        <v>698</v>
      </c>
      <c r="D118" s="4" t="s">
        <v>377</v>
      </c>
      <c r="E118" s="4" t="s">
        <v>865</v>
      </c>
      <c r="F118" s="4"/>
      <c r="G118" s="27">
        <f>G119</f>
        <v>204856.71</v>
      </c>
      <c r="H118" s="27">
        <f>H119</f>
        <v>203279.01</v>
      </c>
      <c r="I118" s="153">
        <f t="shared" si="5"/>
        <v>0.9922985192918504</v>
      </c>
    </row>
    <row r="119" spans="1:12" ht="126">
      <c r="A119" s="3" t="s">
        <v>858</v>
      </c>
      <c r="B119" s="4" t="s">
        <v>421</v>
      </c>
      <c r="C119" s="4" t="s">
        <v>698</v>
      </c>
      <c r="D119" s="4" t="s">
        <v>377</v>
      </c>
      <c r="E119" s="4" t="s">
        <v>865</v>
      </c>
      <c r="F119" s="4" t="s">
        <v>379</v>
      </c>
      <c r="G119" s="27">
        <f>413776-7321-160000-1000-40598.29</f>
        <v>204856.71</v>
      </c>
      <c r="H119" s="27">
        <v>203279.01</v>
      </c>
      <c r="I119" s="153">
        <f t="shared" si="5"/>
        <v>0.9922985192918504</v>
      </c>
      <c r="L119" s="24"/>
    </row>
    <row r="120" spans="1:9" ht="47.25">
      <c r="A120" s="3" t="s">
        <v>489</v>
      </c>
      <c r="B120" s="4" t="s">
        <v>421</v>
      </c>
      <c r="C120" s="4" t="s">
        <v>698</v>
      </c>
      <c r="D120" s="4" t="s">
        <v>377</v>
      </c>
      <c r="E120" s="4" t="s">
        <v>490</v>
      </c>
      <c r="F120" s="56"/>
      <c r="G120" s="27">
        <f>G121</f>
        <v>766852</v>
      </c>
      <c r="H120" s="27">
        <f>H121</f>
        <v>618345.5</v>
      </c>
      <c r="I120" s="153">
        <f t="shared" si="5"/>
        <v>0.8063426841163615</v>
      </c>
    </row>
    <row r="121" spans="1:9" ht="31.5">
      <c r="A121" s="3" t="s">
        <v>766</v>
      </c>
      <c r="B121" s="4" t="s">
        <v>421</v>
      </c>
      <c r="C121" s="4" t="s">
        <v>698</v>
      </c>
      <c r="D121" s="4" t="s">
        <v>377</v>
      </c>
      <c r="E121" s="4" t="s">
        <v>491</v>
      </c>
      <c r="F121" s="56"/>
      <c r="G121" s="27">
        <f>G122+G123</f>
        <v>766852</v>
      </c>
      <c r="H121" s="27">
        <f>H122+H123</f>
        <v>618345.5</v>
      </c>
      <c r="I121" s="153">
        <f t="shared" si="5"/>
        <v>0.8063426841163615</v>
      </c>
    </row>
    <row r="122" spans="1:12" ht="126">
      <c r="A122" s="3" t="s">
        <v>858</v>
      </c>
      <c r="B122" s="4" t="s">
        <v>421</v>
      </c>
      <c r="C122" s="4" t="s">
        <v>698</v>
      </c>
      <c r="D122" s="4" t="s">
        <v>377</v>
      </c>
      <c r="E122" s="4" t="s">
        <v>491</v>
      </c>
      <c r="F122" s="56">
        <v>100</v>
      </c>
      <c r="G122" s="27">
        <f>78000+11200+6630+92350</f>
        <v>188180</v>
      </c>
      <c r="H122" s="27">
        <v>145057.5</v>
      </c>
      <c r="I122" s="153">
        <f t="shared" si="5"/>
        <v>0.7708444042937613</v>
      </c>
      <c r="L122" s="24"/>
    </row>
    <row r="123" spans="1:12" ht="47.25">
      <c r="A123" s="3" t="s">
        <v>746</v>
      </c>
      <c r="B123" s="4" t="s">
        <v>421</v>
      </c>
      <c r="C123" s="4" t="s">
        <v>698</v>
      </c>
      <c r="D123" s="4" t="s">
        <v>377</v>
      </c>
      <c r="E123" s="4" t="s">
        <v>491</v>
      </c>
      <c r="F123" s="56">
        <v>200</v>
      </c>
      <c r="G123" s="27">
        <f>300000+278672</f>
        <v>578672</v>
      </c>
      <c r="H123" s="27">
        <v>473288</v>
      </c>
      <c r="I123" s="153">
        <f t="shared" si="5"/>
        <v>0.8178864710924323</v>
      </c>
      <c r="L123" s="24"/>
    </row>
    <row r="124" spans="1:9" ht="15.75">
      <c r="A124" s="3" t="s">
        <v>743</v>
      </c>
      <c r="B124" s="4" t="s">
        <v>421</v>
      </c>
      <c r="C124" s="4" t="s">
        <v>698</v>
      </c>
      <c r="D124" s="4" t="s">
        <v>377</v>
      </c>
      <c r="E124" s="4" t="s">
        <v>744</v>
      </c>
      <c r="F124" s="4"/>
      <c r="G124" s="27">
        <f>G125+G128</f>
        <v>819954.03</v>
      </c>
      <c r="H124" s="27">
        <f>H125+H128</f>
        <v>662155.62</v>
      </c>
      <c r="I124" s="153">
        <f t="shared" si="5"/>
        <v>0.8075521258185657</v>
      </c>
    </row>
    <row r="125" spans="1:9" ht="31.5">
      <c r="A125" s="3" t="s">
        <v>733</v>
      </c>
      <c r="B125" s="4" t="s">
        <v>421</v>
      </c>
      <c r="C125" s="4" t="s">
        <v>698</v>
      </c>
      <c r="D125" s="4" t="s">
        <v>377</v>
      </c>
      <c r="E125" s="4" t="s">
        <v>763</v>
      </c>
      <c r="F125" s="4"/>
      <c r="G125" s="27">
        <f>G126+G127</f>
        <v>501785.41000000003</v>
      </c>
      <c r="H125" s="27">
        <f>H126+H127</f>
        <v>343987</v>
      </c>
      <c r="I125" s="153">
        <f t="shared" si="5"/>
        <v>0.6855261096571141</v>
      </c>
    </row>
    <row r="126" spans="1:12" ht="47.25">
      <c r="A126" s="3" t="s">
        <v>746</v>
      </c>
      <c r="B126" s="4" t="s">
        <v>421</v>
      </c>
      <c r="C126" s="4" t="s">
        <v>698</v>
      </c>
      <c r="D126" s="4" t="s">
        <v>377</v>
      </c>
      <c r="E126" s="4" t="s">
        <v>763</v>
      </c>
      <c r="F126" s="4" t="s">
        <v>380</v>
      </c>
      <c r="G126" s="27">
        <f>613577-400000-65200-200</f>
        <v>148177</v>
      </c>
      <c r="H126" s="27">
        <v>10000</v>
      </c>
      <c r="I126" s="153">
        <f t="shared" si="5"/>
        <v>0.06748685693461198</v>
      </c>
      <c r="L126" s="24"/>
    </row>
    <row r="127" spans="1:9" ht="15.75">
      <c r="A127" s="3" t="s">
        <v>676</v>
      </c>
      <c r="B127" s="4" t="s">
        <v>421</v>
      </c>
      <c r="C127" s="4" t="s">
        <v>698</v>
      </c>
      <c r="D127" s="4" t="s">
        <v>377</v>
      </c>
      <c r="E127" s="4" t="s">
        <v>763</v>
      </c>
      <c r="F127" s="56">
        <v>800</v>
      </c>
      <c r="G127" s="27">
        <f>400000-46391.59</f>
        <v>353608.41000000003</v>
      </c>
      <c r="H127" s="27">
        <f>333987</f>
        <v>333987</v>
      </c>
      <c r="I127" s="153">
        <f t="shared" si="5"/>
        <v>0.9445109068531485</v>
      </c>
    </row>
    <row r="128" spans="1:9" ht="31.5">
      <c r="A128" s="3" t="s">
        <v>830</v>
      </c>
      <c r="B128" s="4" t="s">
        <v>421</v>
      </c>
      <c r="C128" s="4" t="s">
        <v>698</v>
      </c>
      <c r="D128" s="4" t="s">
        <v>377</v>
      </c>
      <c r="E128" s="4" t="s">
        <v>831</v>
      </c>
      <c r="F128" s="56"/>
      <c r="G128" s="27">
        <f>G129+G130</f>
        <v>318168.62</v>
      </c>
      <c r="H128" s="27">
        <f>H129+H130</f>
        <v>318168.62</v>
      </c>
      <c r="I128" s="153">
        <f t="shared" si="5"/>
        <v>1</v>
      </c>
    </row>
    <row r="129" spans="1:9" ht="47.25">
      <c r="A129" s="3" t="s">
        <v>746</v>
      </c>
      <c r="B129" s="4" t="s">
        <v>421</v>
      </c>
      <c r="C129" s="4" t="s">
        <v>698</v>
      </c>
      <c r="D129" s="4" t="s">
        <v>377</v>
      </c>
      <c r="E129" s="4" t="s">
        <v>831</v>
      </c>
      <c r="F129" s="4" t="s">
        <v>380</v>
      </c>
      <c r="G129" s="27">
        <v>162238.3</v>
      </c>
      <c r="H129" s="27">
        <v>162238.3</v>
      </c>
      <c r="I129" s="153">
        <f t="shared" si="5"/>
        <v>1</v>
      </c>
    </row>
    <row r="130" spans="1:12" ht="26.25" customHeight="1">
      <c r="A130" s="3" t="s">
        <v>676</v>
      </c>
      <c r="B130" s="4" t="s">
        <v>421</v>
      </c>
      <c r="C130" s="4" t="s">
        <v>698</v>
      </c>
      <c r="D130" s="4" t="s">
        <v>377</v>
      </c>
      <c r="E130" s="4" t="s">
        <v>831</v>
      </c>
      <c r="F130" s="56">
        <v>800</v>
      </c>
      <c r="G130" s="27">
        <f>6067.15+6500+46391.59+69403.72+27367.86+200</f>
        <v>155930.32</v>
      </c>
      <c r="H130" s="27">
        <f>6067.15+6500+46391.59+69403.72+27367.86+200</f>
        <v>155930.32</v>
      </c>
      <c r="I130" s="153">
        <f t="shared" si="5"/>
        <v>1</v>
      </c>
      <c r="L130" s="24"/>
    </row>
    <row r="131" spans="1:9" ht="75">
      <c r="A131" s="8" t="s">
        <v>718</v>
      </c>
      <c r="B131" s="9" t="s">
        <v>421</v>
      </c>
      <c r="C131" s="9" t="s">
        <v>705</v>
      </c>
      <c r="D131" s="9"/>
      <c r="E131" s="9"/>
      <c r="F131" s="21"/>
      <c r="G131" s="26">
        <f>G132+G138</f>
        <v>49435440.89</v>
      </c>
      <c r="H131" s="26">
        <f>H132+H138</f>
        <v>49234081.24</v>
      </c>
      <c r="I131" s="154">
        <f t="shared" si="5"/>
        <v>0.9959268159366061</v>
      </c>
    </row>
    <row r="132" spans="1:9" ht="18.75">
      <c r="A132" s="6" t="s">
        <v>378</v>
      </c>
      <c r="B132" s="7" t="s">
        <v>421</v>
      </c>
      <c r="C132" s="7" t="s">
        <v>705</v>
      </c>
      <c r="D132" s="7" t="s">
        <v>708</v>
      </c>
      <c r="E132" s="7"/>
      <c r="F132" s="4"/>
      <c r="G132" s="27">
        <f aca="true" t="shared" si="6" ref="G132:H134">G133</f>
        <v>2235400.0000000005</v>
      </c>
      <c r="H132" s="27">
        <f t="shared" si="6"/>
        <v>2234267.5000000005</v>
      </c>
      <c r="I132" s="153">
        <f t="shared" si="5"/>
        <v>0.9994933792609824</v>
      </c>
    </row>
    <row r="133" spans="1:9" ht="94.5" customHeight="1">
      <c r="A133" s="25" t="s">
        <v>753</v>
      </c>
      <c r="B133" s="4" t="s">
        <v>421</v>
      </c>
      <c r="C133" s="4" t="s">
        <v>705</v>
      </c>
      <c r="D133" s="4" t="s">
        <v>708</v>
      </c>
      <c r="E133" s="4" t="s">
        <v>754</v>
      </c>
      <c r="F133" s="4"/>
      <c r="G133" s="27">
        <f t="shared" si="6"/>
        <v>2235400.0000000005</v>
      </c>
      <c r="H133" s="27">
        <f t="shared" si="6"/>
        <v>2234267.5000000005</v>
      </c>
      <c r="I133" s="153">
        <f t="shared" si="5"/>
        <v>0.9994933792609824</v>
      </c>
    </row>
    <row r="134" spans="1:9" ht="70.5" customHeight="1">
      <c r="A134" s="25" t="s">
        <v>755</v>
      </c>
      <c r="B134" s="4" t="s">
        <v>421</v>
      </c>
      <c r="C134" s="4" t="s">
        <v>705</v>
      </c>
      <c r="D134" s="4" t="s">
        <v>708</v>
      </c>
      <c r="E134" s="4" t="s">
        <v>756</v>
      </c>
      <c r="F134" s="4"/>
      <c r="G134" s="27">
        <f t="shared" si="6"/>
        <v>2235400.0000000005</v>
      </c>
      <c r="H134" s="27">
        <f t="shared" si="6"/>
        <v>2234267.5000000005</v>
      </c>
      <c r="I134" s="153">
        <f t="shared" si="5"/>
        <v>0.9994933792609824</v>
      </c>
    </row>
    <row r="135" spans="1:9" ht="67.5" customHeight="1">
      <c r="A135" s="3" t="s">
        <v>649</v>
      </c>
      <c r="B135" s="4" t="s">
        <v>421</v>
      </c>
      <c r="C135" s="4" t="s">
        <v>705</v>
      </c>
      <c r="D135" s="4" t="s">
        <v>708</v>
      </c>
      <c r="E135" s="4" t="s">
        <v>459</v>
      </c>
      <c r="F135" s="4"/>
      <c r="G135" s="27">
        <f>G136+G137</f>
        <v>2235400.0000000005</v>
      </c>
      <c r="H135" s="27">
        <f>H136+H137</f>
        <v>2234267.5000000005</v>
      </c>
      <c r="I135" s="153">
        <f t="shared" si="5"/>
        <v>0.9994933792609824</v>
      </c>
    </row>
    <row r="136" spans="1:9" ht="126">
      <c r="A136" s="3" t="s">
        <v>745</v>
      </c>
      <c r="B136" s="4" t="s">
        <v>421</v>
      </c>
      <c r="C136" s="4" t="s">
        <v>705</v>
      </c>
      <c r="D136" s="4" t="s">
        <v>708</v>
      </c>
      <c r="E136" s="4" t="s">
        <v>459</v>
      </c>
      <c r="F136" s="4" t="s">
        <v>379</v>
      </c>
      <c r="G136" s="27">
        <f>2259200-23800-58301.51+2300+4377.31</f>
        <v>2183775.8000000003</v>
      </c>
      <c r="H136" s="27">
        <f>2130200.7+52442.6</f>
        <v>2182643.3000000003</v>
      </c>
      <c r="I136" s="153">
        <f t="shared" si="5"/>
        <v>0.9994814028070098</v>
      </c>
    </row>
    <row r="137" spans="1:9" ht="47.25">
      <c r="A137" s="3" t="s">
        <v>746</v>
      </c>
      <c r="B137" s="4" t="s">
        <v>421</v>
      </c>
      <c r="C137" s="4" t="s">
        <v>705</v>
      </c>
      <c r="D137" s="4" t="s">
        <v>708</v>
      </c>
      <c r="E137" s="4" t="s">
        <v>459</v>
      </c>
      <c r="F137" s="4" t="s">
        <v>380</v>
      </c>
      <c r="G137" s="27">
        <f>58301.51-6677.31</f>
        <v>51624.200000000004</v>
      </c>
      <c r="H137" s="27">
        <f>23439.2+28185</f>
        <v>51624.2</v>
      </c>
      <c r="I137" s="153">
        <f t="shared" si="5"/>
        <v>0.9999999999999999</v>
      </c>
    </row>
    <row r="138" spans="1:9" ht="139.5" customHeight="1">
      <c r="A138" s="6" t="s">
        <v>417</v>
      </c>
      <c r="B138" s="7" t="s">
        <v>421</v>
      </c>
      <c r="C138" s="7" t="s">
        <v>705</v>
      </c>
      <c r="D138" s="7" t="s">
        <v>704</v>
      </c>
      <c r="E138" s="7"/>
      <c r="F138" s="7"/>
      <c r="G138" s="33">
        <f>G139</f>
        <v>47200040.89</v>
      </c>
      <c r="H138" s="33">
        <f>H139</f>
        <v>46999813.74</v>
      </c>
      <c r="I138" s="152">
        <f t="shared" si="5"/>
        <v>0.9957579030393929</v>
      </c>
    </row>
    <row r="139" spans="1:9" ht="78.75">
      <c r="A139" s="3" t="s">
        <v>474</v>
      </c>
      <c r="B139" s="4" t="s">
        <v>421</v>
      </c>
      <c r="C139" s="4" t="s">
        <v>705</v>
      </c>
      <c r="D139" s="4" t="s">
        <v>704</v>
      </c>
      <c r="E139" s="4" t="s">
        <v>475</v>
      </c>
      <c r="F139" s="4"/>
      <c r="G139" s="27">
        <f>G140</f>
        <v>47200040.89</v>
      </c>
      <c r="H139" s="27">
        <f>H140</f>
        <v>46999813.74</v>
      </c>
      <c r="I139" s="153">
        <f t="shared" si="5"/>
        <v>0.9957579030393929</v>
      </c>
    </row>
    <row r="140" spans="1:9" ht="78.75">
      <c r="A140" s="3" t="s">
        <v>483</v>
      </c>
      <c r="B140" s="4" t="s">
        <v>421</v>
      </c>
      <c r="C140" s="4" t="s">
        <v>705</v>
      </c>
      <c r="D140" s="4" t="s">
        <v>704</v>
      </c>
      <c r="E140" s="4" t="s">
        <v>484</v>
      </c>
      <c r="F140" s="4"/>
      <c r="G140" s="27">
        <f>G141+G150+G151+G145+G147</f>
        <v>47200040.89</v>
      </c>
      <c r="H140" s="27">
        <f>H141+H150+H151+H145+H147</f>
        <v>46999813.74</v>
      </c>
      <c r="I140" s="153">
        <f t="shared" si="5"/>
        <v>0.9957579030393929</v>
      </c>
    </row>
    <row r="141" spans="1:9" ht="110.25">
      <c r="A141" s="3" t="s">
        <v>650</v>
      </c>
      <c r="B141" s="4" t="s">
        <v>421</v>
      </c>
      <c r="C141" s="4" t="s">
        <v>705</v>
      </c>
      <c r="D141" s="4" t="s">
        <v>704</v>
      </c>
      <c r="E141" s="4" t="s">
        <v>485</v>
      </c>
      <c r="F141" s="4"/>
      <c r="G141" s="27">
        <f>G142+G143+G144</f>
        <v>33020403.97</v>
      </c>
      <c r="H141" s="27">
        <f>H142+H143+H144</f>
        <v>32911739.81</v>
      </c>
      <c r="I141" s="153">
        <f t="shared" si="5"/>
        <v>0.9967091813867958</v>
      </c>
    </row>
    <row r="142" spans="1:9" ht="126">
      <c r="A142" s="3" t="s">
        <v>745</v>
      </c>
      <c r="B142" s="4" t="s">
        <v>421</v>
      </c>
      <c r="C142" s="4" t="s">
        <v>705</v>
      </c>
      <c r="D142" s="4" t="s">
        <v>704</v>
      </c>
      <c r="E142" s="4" t="s">
        <v>485</v>
      </c>
      <c r="F142" s="4" t="s">
        <v>379</v>
      </c>
      <c r="G142" s="27">
        <f>29376296.42+241216.29</f>
        <v>29617512.71</v>
      </c>
      <c r="H142" s="27">
        <f>29376248.01+241216.29</f>
        <v>29617464.3</v>
      </c>
      <c r="I142" s="153">
        <f t="shared" si="5"/>
        <v>0.9999983654940753</v>
      </c>
    </row>
    <row r="143" spans="1:9" ht="47.25">
      <c r="A143" s="3" t="s">
        <v>746</v>
      </c>
      <c r="B143" s="4" t="s">
        <v>421</v>
      </c>
      <c r="C143" s="4" t="s">
        <v>705</v>
      </c>
      <c r="D143" s="4" t="s">
        <v>704</v>
      </c>
      <c r="E143" s="4" t="s">
        <v>485</v>
      </c>
      <c r="F143" s="4" t="s">
        <v>380</v>
      </c>
      <c r="G143" s="27">
        <f>851791.5+208079.55+2320148.21</f>
        <v>3380019.26</v>
      </c>
      <c r="H143" s="27">
        <f>851788.97+168039.54+2267417.46</f>
        <v>3287245.9699999997</v>
      </c>
      <c r="I143" s="153">
        <f t="shared" si="5"/>
        <v>0.9725524374674717</v>
      </c>
    </row>
    <row r="144" spans="1:9" ht="15.75">
      <c r="A144" s="3" t="s">
        <v>676</v>
      </c>
      <c r="B144" s="4" t="s">
        <v>421</v>
      </c>
      <c r="C144" s="4" t="s">
        <v>705</v>
      </c>
      <c r="D144" s="4" t="s">
        <v>704</v>
      </c>
      <c r="E144" s="4" t="s">
        <v>485</v>
      </c>
      <c r="F144" s="4" t="s">
        <v>383</v>
      </c>
      <c r="G144" s="27">
        <f>22872</f>
        <v>22872</v>
      </c>
      <c r="H144" s="27">
        <v>7029.54</v>
      </c>
      <c r="I144" s="153">
        <f t="shared" si="5"/>
        <v>0.30734260230849947</v>
      </c>
    </row>
    <row r="145" spans="1:9" ht="110.25">
      <c r="A145" s="3" t="s">
        <v>850</v>
      </c>
      <c r="B145" s="4" t="s">
        <v>421</v>
      </c>
      <c r="C145" s="4" t="s">
        <v>705</v>
      </c>
      <c r="D145" s="4" t="s">
        <v>704</v>
      </c>
      <c r="E145" s="4" t="s">
        <v>866</v>
      </c>
      <c r="F145" s="4"/>
      <c r="G145" s="27">
        <f>G146</f>
        <v>540917</v>
      </c>
      <c r="H145" s="27">
        <f>H146</f>
        <v>450239.2</v>
      </c>
      <c r="I145" s="153">
        <f t="shared" si="5"/>
        <v>0.8323628209133749</v>
      </c>
    </row>
    <row r="146" spans="1:9" ht="126">
      <c r="A146" s="3" t="s">
        <v>858</v>
      </c>
      <c r="B146" s="4" t="s">
        <v>421</v>
      </c>
      <c r="C146" s="4" t="s">
        <v>705</v>
      </c>
      <c r="D146" s="4" t="s">
        <v>704</v>
      </c>
      <c r="E146" s="4" t="s">
        <v>866</v>
      </c>
      <c r="F146" s="4" t="s">
        <v>379</v>
      </c>
      <c r="G146" s="27">
        <v>540917</v>
      </c>
      <c r="H146" s="27">
        <v>450239.2</v>
      </c>
      <c r="I146" s="153">
        <f t="shared" si="5"/>
        <v>0.8323628209133749</v>
      </c>
    </row>
    <row r="147" spans="1:9" ht="65.25" customHeight="1" hidden="1">
      <c r="A147" s="3" t="s">
        <v>669</v>
      </c>
      <c r="B147" s="4" t="s">
        <v>421</v>
      </c>
      <c r="C147" s="4" t="s">
        <v>705</v>
      </c>
      <c r="D147" s="4" t="s">
        <v>704</v>
      </c>
      <c r="E147" s="4" t="s">
        <v>891</v>
      </c>
      <c r="F147" s="4"/>
      <c r="G147" s="27">
        <f>G148</f>
        <v>0</v>
      </c>
      <c r="H147" s="27">
        <f>H148</f>
        <v>0</v>
      </c>
      <c r="I147" s="153" t="e">
        <f t="shared" si="5"/>
        <v>#DIV/0!</v>
      </c>
    </row>
    <row r="148" spans="1:9" ht="47.25" customHeight="1" hidden="1">
      <c r="A148" s="3" t="s">
        <v>746</v>
      </c>
      <c r="B148" s="4" t="s">
        <v>421</v>
      </c>
      <c r="C148" s="4" t="s">
        <v>705</v>
      </c>
      <c r="D148" s="4" t="s">
        <v>704</v>
      </c>
      <c r="E148" s="4" t="s">
        <v>891</v>
      </c>
      <c r="F148" s="4" t="s">
        <v>380</v>
      </c>
      <c r="G148" s="27"/>
      <c r="H148" s="27"/>
      <c r="I148" s="153" t="e">
        <f t="shared" si="5"/>
        <v>#DIV/0!</v>
      </c>
    </row>
    <row r="149" spans="1:9" ht="31.5">
      <c r="A149" s="3" t="s">
        <v>766</v>
      </c>
      <c r="B149" s="4" t="s">
        <v>421</v>
      </c>
      <c r="C149" s="4" t="s">
        <v>705</v>
      </c>
      <c r="D149" s="4" t="s">
        <v>704</v>
      </c>
      <c r="E149" s="4" t="s">
        <v>486</v>
      </c>
      <c r="F149" s="4"/>
      <c r="G149" s="27">
        <f>G150</f>
        <v>2502987.9200000004</v>
      </c>
      <c r="H149" s="27">
        <f>H150</f>
        <v>2502102.92</v>
      </c>
      <c r="I149" s="153">
        <f t="shared" si="5"/>
        <v>0.9996464225844125</v>
      </c>
    </row>
    <row r="150" spans="1:9" ht="47.25">
      <c r="A150" s="3" t="s">
        <v>746</v>
      </c>
      <c r="B150" s="4" t="s">
        <v>421</v>
      </c>
      <c r="C150" s="4" t="s">
        <v>705</v>
      </c>
      <c r="D150" s="4" t="s">
        <v>704</v>
      </c>
      <c r="E150" s="4" t="s">
        <v>486</v>
      </c>
      <c r="F150" s="4" t="s">
        <v>380</v>
      </c>
      <c r="G150" s="27">
        <f>2369818+2500000-1547129.43-802823.1-18777.55+1900</f>
        <v>2502987.9200000004</v>
      </c>
      <c r="H150" s="27">
        <f>167532.65+2334570.27</f>
        <v>2502102.92</v>
      </c>
      <c r="I150" s="153">
        <f t="shared" si="5"/>
        <v>0.9996464225844125</v>
      </c>
    </row>
    <row r="151" spans="1:9" ht="63">
      <c r="A151" s="3" t="s">
        <v>663</v>
      </c>
      <c r="B151" s="4" t="s">
        <v>421</v>
      </c>
      <c r="C151" s="4" t="s">
        <v>705</v>
      </c>
      <c r="D151" s="4" t="s">
        <v>704</v>
      </c>
      <c r="E151" s="4" t="s">
        <v>492</v>
      </c>
      <c r="F151" s="4"/>
      <c r="G151" s="27">
        <f>G152</f>
        <v>11135732</v>
      </c>
      <c r="H151" s="27">
        <f>H152</f>
        <v>11135731.81</v>
      </c>
      <c r="I151" s="153">
        <f t="shared" si="5"/>
        <v>0.9999999829378078</v>
      </c>
    </row>
    <row r="152" spans="1:9" ht="63">
      <c r="A152" s="3" t="s">
        <v>406</v>
      </c>
      <c r="B152" s="4" t="s">
        <v>421</v>
      </c>
      <c r="C152" s="4" t="s">
        <v>705</v>
      </c>
      <c r="D152" s="4" t="s">
        <v>704</v>
      </c>
      <c r="E152" s="4" t="s">
        <v>492</v>
      </c>
      <c r="F152" s="4" t="s">
        <v>738</v>
      </c>
      <c r="G152" s="27">
        <f>6000000+9000000-2500000-1364268</f>
        <v>11135732</v>
      </c>
      <c r="H152" s="27">
        <v>11135731.81</v>
      </c>
      <c r="I152" s="153">
        <f t="shared" si="5"/>
        <v>0.9999999829378078</v>
      </c>
    </row>
    <row r="153" spans="1:9" ht="18.75">
      <c r="A153" s="8" t="s">
        <v>719</v>
      </c>
      <c r="B153" s="9" t="s">
        <v>421</v>
      </c>
      <c r="C153" s="9" t="s">
        <v>708</v>
      </c>
      <c r="D153" s="51"/>
      <c r="E153" s="21"/>
      <c r="F153" s="21"/>
      <c r="G153" s="26">
        <f>G161+G154+G174</f>
        <v>45741379.82</v>
      </c>
      <c r="H153" s="26">
        <f>H161+H154+H174</f>
        <v>45394010.51</v>
      </c>
      <c r="I153" s="154">
        <f t="shared" si="5"/>
        <v>0.9924057973028588</v>
      </c>
    </row>
    <row r="154" spans="1:9" ht="15.75">
      <c r="A154" s="18" t="s">
        <v>720</v>
      </c>
      <c r="B154" s="2" t="s">
        <v>421</v>
      </c>
      <c r="C154" s="2" t="s">
        <v>708</v>
      </c>
      <c r="D154" s="2" t="s">
        <v>702</v>
      </c>
      <c r="E154" s="4"/>
      <c r="F154" s="4"/>
      <c r="G154" s="30">
        <f>G155</f>
        <v>33466000</v>
      </c>
      <c r="H154" s="30">
        <f>H155</f>
        <v>33457637.75</v>
      </c>
      <c r="I154" s="152">
        <f t="shared" si="5"/>
        <v>0.9997501269945617</v>
      </c>
    </row>
    <row r="155" spans="1:9" ht="111" customHeight="1">
      <c r="A155" s="3" t="s">
        <v>391</v>
      </c>
      <c r="B155" s="4" t="s">
        <v>421</v>
      </c>
      <c r="C155" s="4" t="s">
        <v>708</v>
      </c>
      <c r="D155" s="4" t="s">
        <v>702</v>
      </c>
      <c r="E155" s="4" t="s">
        <v>392</v>
      </c>
      <c r="F155" s="4"/>
      <c r="G155" s="27">
        <f>G156</f>
        <v>33466000</v>
      </c>
      <c r="H155" s="27">
        <f>H156</f>
        <v>33457637.75</v>
      </c>
      <c r="I155" s="153">
        <f t="shared" si="5"/>
        <v>0.9997501269945617</v>
      </c>
    </row>
    <row r="156" spans="1:9" ht="47.25">
      <c r="A156" s="3" t="s">
        <v>393</v>
      </c>
      <c r="B156" s="4" t="s">
        <v>421</v>
      </c>
      <c r="C156" s="4" t="s">
        <v>708</v>
      </c>
      <c r="D156" s="4" t="s">
        <v>702</v>
      </c>
      <c r="E156" s="4" t="s">
        <v>394</v>
      </c>
      <c r="F156" s="4"/>
      <c r="G156" s="27">
        <f>G159+G157</f>
        <v>33466000</v>
      </c>
      <c r="H156" s="27">
        <f>H159+H157</f>
        <v>33457637.75</v>
      </c>
      <c r="I156" s="153">
        <f t="shared" si="5"/>
        <v>0.9997501269945617</v>
      </c>
    </row>
    <row r="157" spans="1:9" ht="63">
      <c r="A157" s="3" t="s">
        <v>665</v>
      </c>
      <c r="B157" s="4" t="s">
        <v>421</v>
      </c>
      <c r="C157" s="4" t="s">
        <v>708</v>
      </c>
      <c r="D157" s="4" t="s">
        <v>702</v>
      </c>
      <c r="E157" s="4" t="s">
        <v>666</v>
      </c>
      <c r="F157" s="4"/>
      <c r="G157" s="27">
        <f>G158</f>
        <v>32737400</v>
      </c>
      <c r="H157" s="27">
        <f>H158</f>
        <v>32737400</v>
      </c>
      <c r="I157" s="153">
        <f t="shared" si="5"/>
        <v>1</v>
      </c>
    </row>
    <row r="158" spans="1:9" ht="15.75">
      <c r="A158" s="3" t="s">
        <v>676</v>
      </c>
      <c r="B158" s="4" t="s">
        <v>421</v>
      </c>
      <c r="C158" s="4" t="s">
        <v>708</v>
      </c>
      <c r="D158" s="4" t="s">
        <v>702</v>
      </c>
      <c r="E158" s="4" t="s">
        <v>666</v>
      </c>
      <c r="F158" s="4" t="s">
        <v>383</v>
      </c>
      <c r="G158" s="27">
        <v>32737400</v>
      </c>
      <c r="H158" s="27">
        <v>32737400</v>
      </c>
      <c r="I158" s="153">
        <f t="shared" si="5"/>
        <v>1</v>
      </c>
    </row>
    <row r="159" spans="1:9" ht="145.5" customHeight="1">
      <c r="A159" s="3" t="s">
        <v>395</v>
      </c>
      <c r="B159" s="4" t="s">
        <v>421</v>
      </c>
      <c r="C159" s="4" t="s">
        <v>708</v>
      </c>
      <c r="D159" s="4" t="s">
        <v>702</v>
      </c>
      <c r="E159" s="4" t="s">
        <v>396</v>
      </c>
      <c r="F159" s="4"/>
      <c r="G159" s="27">
        <f>G160</f>
        <v>728600</v>
      </c>
      <c r="H159" s="27">
        <f>H160</f>
        <v>720237.75</v>
      </c>
      <c r="I159" s="153">
        <f t="shared" si="5"/>
        <v>0.9885228520450179</v>
      </c>
    </row>
    <row r="160" spans="1:9" ht="23.25" customHeight="1">
      <c r="A160" s="3" t="s">
        <v>676</v>
      </c>
      <c r="B160" s="4" t="s">
        <v>421</v>
      </c>
      <c r="C160" s="4" t="s">
        <v>708</v>
      </c>
      <c r="D160" s="4" t="s">
        <v>702</v>
      </c>
      <c r="E160" s="4" t="s">
        <v>396</v>
      </c>
      <c r="F160" s="4" t="s">
        <v>383</v>
      </c>
      <c r="G160" s="27">
        <f>687100+41500</f>
        <v>728600</v>
      </c>
      <c r="H160" s="27">
        <v>720237.75</v>
      </c>
      <c r="I160" s="153">
        <f t="shared" si="5"/>
        <v>0.9885228520450179</v>
      </c>
    </row>
    <row r="161" spans="1:9" ht="15.75">
      <c r="A161" s="1" t="s">
        <v>372</v>
      </c>
      <c r="B161" s="2" t="s">
        <v>421</v>
      </c>
      <c r="C161" s="2" t="s">
        <v>708</v>
      </c>
      <c r="D161" s="2" t="s">
        <v>706</v>
      </c>
      <c r="E161" s="2"/>
      <c r="F161" s="2"/>
      <c r="G161" s="30">
        <f>G162</f>
        <v>12219879.82</v>
      </c>
      <c r="H161" s="30">
        <f>H162</f>
        <v>11899875.16</v>
      </c>
      <c r="I161" s="152">
        <f t="shared" si="5"/>
        <v>0.9738127817365064</v>
      </c>
    </row>
    <row r="162" spans="1:9" ht="70.5" customHeight="1">
      <c r="A162" s="3" t="s">
        <v>747</v>
      </c>
      <c r="B162" s="4" t="s">
        <v>421</v>
      </c>
      <c r="C162" s="4" t="s">
        <v>708</v>
      </c>
      <c r="D162" s="4" t="s">
        <v>706</v>
      </c>
      <c r="E162" s="4" t="s">
        <v>748</v>
      </c>
      <c r="F162" s="4"/>
      <c r="G162" s="27">
        <f>G169+G163</f>
        <v>12219879.82</v>
      </c>
      <c r="H162" s="27">
        <f>H169+H163</f>
        <v>11899875.16</v>
      </c>
      <c r="I162" s="153">
        <f t="shared" si="5"/>
        <v>0.9738127817365064</v>
      </c>
    </row>
    <row r="163" spans="1:9" ht="85.5" customHeight="1">
      <c r="A163" s="3" t="s">
        <v>436</v>
      </c>
      <c r="B163" s="4" t="s">
        <v>421</v>
      </c>
      <c r="C163" s="4" t="s">
        <v>708</v>
      </c>
      <c r="D163" s="4" t="s">
        <v>706</v>
      </c>
      <c r="E163" s="4" t="s">
        <v>437</v>
      </c>
      <c r="F163" s="4"/>
      <c r="G163" s="27">
        <f>G164+G167</f>
        <v>9357890.76</v>
      </c>
      <c r="H163" s="27">
        <f>H164+H167</f>
        <v>9343598.35</v>
      </c>
      <c r="I163" s="153">
        <f t="shared" si="5"/>
        <v>0.9984726889459864</v>
      </c>
    </row>
    <row r="164" spans="1:9" ht="111" customHeight="1">
      <c r="A164" s="3" t="s">
        <v>650</v>
      </c>
      <c r="B164" s="4" t="s">
        <v>421</v>
      </c>
      <c r="C164" s="4" t="s">
        <v>708</v>
      </c>
      <c r="D164" s="4" t="s">
        <v>706</v>
      </c>
      <c r="E164" s="4" t="s">
        <v>438</v>
      </c>
      <c r="F164" s="4"/>
      <c r="G164" s="27">
        <f>G165+G166</f>
        <v>9204293.81</v>
      </c>
      <c r="H164" s="27">
        <f>H165+H166</f>
        <v>9190248.4</v>
      </c>
      <c r="I164" s="153">
        <f t="shared" si="5"/>
        <v>0.9984740371950382</v>
      </c>
    </row>
    <row r="165" spans="1:12" ht="119.25" customHeight="1">
      <c r="A165" s="3" t="s">
        <v>745</v>
      </c>
      <c r="B165" s="4" t="s">
        <v>421</v>
      </c>
      <c r="C165" s="4" t="s">
        <v>708</v>
      </c>
      <c r="D165" s="4" t="s">
        <v>706</v>
      </c>
      <c r="E165" s="4" t="s">
        <v>438</v>
      </c>
      <c r="F165" s="4" t="s">
        <v>379</v>
      </c>
      <c r="G165" s="27">
        <f>8549201+180840-180840+338035.76+3342</f>
        <v>8890578.76</v>
      </c>
      <c r="H165" s="27">
        <f>8876813.02+3477.33</f>
        <v>8880290.35</v>
      </c>
      <c r="I165" s="153">
        <f t="shared" si="5"/>
        <v>0.9988427738758371</v>
      </c>
      <c r="L165" s="24"/>
    </row>
    <row r="166" spans="1:12" ht="70.5" customHeight="1">
      <c r="A166" s="3" t="s">
        <v>746</v>
      </c>
      <c r="B166" s="4" t="s">
        <v>421</v>
      </c>
      <c r="C166" s="4" t="s">
        <v>708</v>
      </c>
      <c r="D166" s="4" t="s">
        <v>706</v>
      </c>
      <c r="E166" s="4" t="s">
        <v>438</v>
      </c>
      <c r="F166" s="4" t="s">
        <v>380</v>
      </c>
      <c r="G166" s="27">
        <f>470654-180840-1209.28-2132.72+27243.05</f>
        <v>313715.05</v>
      </c>
      <c r="H166" s="27">
        <f>36666.51+273291.54</f>
        <v>309958.05</v>
      </c>
      <c r="I166" s="153">
        <f t="shared" si="5"/>
        <v>0.9880241639666315</v>
      </c>
      <c r="L166" s="24"/>
    </row>
    <row r="167" spans="1:9" ht="105.75" customHeight="1">
      <c r="A167" s="3" t="s">
        <v>850</v>
      </c>
      <c r="B167" s="4" t="s">
        <v>421</v>
      </c>
      <c r="C167" s="4" t="s">
        <v>708</v>
      </c>
      <c r="D167" s="4" t="s">
        <v>706</v>
      </c>
      <c r="E167" s="4" t="s">
        <v>867</v>
      </c>
      <c r="F167" s="4"/>
      <c r="G167" s="27">
        <f>G168</f>
        <v>153596.95</v>
      </c>
      <c r="H167" s="27">
        <f>H168</f>
        <v>153349.95</v>
      </c>
      <c r="I167" s="153">
        <f t="shared" si="5"/>
        <v>0.9983918951515639</v>
      </c>
    </row>
    <row r="168" spans="1:9" ht="126">
      <c r="A168" s="3" t="s">
        <v>745</v>
      </c>
      <c r="B168" s="4" t="s">
        <v>421</v>
      </c>
      <c r="C168" s="4" t="s">
        <v>708</v>
      </c>
      <c r="D168" s="4" t="s">
        <v>706</v>
      </c>
      <c r="E168" s="4" t="s">
        <v>867</v>
      </c>
      <c r="F168" s="4" t="s">
        <v>379</v>
      </c>
      <c r="G168" s="27">
        <f>180840-27243.05</f>
        <v>153596.95</v>
      </c>
      <c r="H168" s="27">
        <v>153349.95</v>
      </c>
      <c r="I168" s="153">
        <f t="shared" si="5"/>
        <v>0.9983918951515639</v>
      </c>
    </row>
    <row r="169" spans="1:9" ht="69.75" customHeight="1">
      <c r="A169" s="3" t="s">
        <v>749</v>
      </c>
      <c r="B169" s="4" t="s">
        <v>421</v>
      </c>
      <c r="C169" s="4" t="s">
        <v>708</v>
      </c>
      <c r="D169" s="4" t="s">
        <v>706</v>
      </c>
      <c r="E169" s="4" t="s">
        <v>750</v>
      </c>
      <c r="F169" s="4"/>
      <c r="G169" s="27">
        <f>G172+G170</f>
        <v>2861989.06</v>
      </c>
      <c r="H169" s="27">
        <f>H172+H170</f>
        <v>2556276.81</v>
      </c>
      <c r="I169" s="153">
        <f t="shared" si="5"/>
        <v>0.8931818942732087</v>
      </c>
    </row>
    <row r="170" spans="1:9" ht="66.75" customHeight="1">
      <c r="A170" s="3" t="s">
        <v>751</v>
      </c>
      <c r="B170" s="4" t="s">
        <v>421</v>
      </c>
      <c r="C170" s="4" t="s">
        <v>708</v>
      </c>
      <c r="D170" s="4" t="s">
        <v>706</v>
      </c>
      <c r="E170" s="4" t="s">
        <v>752</v>
      </c>
      <c r="F170" s="4"/>
      <c r="G170" s="27">
        <f>G171</f>
        <v>2850589.06</v>
      </c>
      <c r="H170" s="27">
        <f>H171</f>
        <v>2544876.81</v>
      </c>
      <c r="I170" s="153">
        <f t="shared" si="5"/>
        <v>0.892754710144015</v>
      </c>
    </row>
    <row r="171" spans="1:9" ht="69.75" customHeight="1">
      <c r="A171" s="3" t="s">
        <v>746</v>
      </c>
      <c r="B171" s="4" t="s">
        <v>421</v>
      </c>
      <c r="C171" s="4" t="s">
        <v>708</v>
      </c>
      <c r="D171" s="4" t="s">
        <v>706</v>
      </c>
      <c r="E171" s="4" t="s">
        <v>752</v>
      </c>
      <c r="F171" s="4" t="s">
        <v>380</v>
      </c>
      <c r="G171" s="27">
        <f>2673622+29859+45928.5+7348.56+93831</f>
        <v>2850589.06</v>
      </c>
      <c r="H171" s="27">
        <f>2449988.81+94888</f>
        <v>2544876.81</v>
      </c>
      <c r="I171" s="153">
        <f t="shared" si="5"/>
        <v>0.892754710144015</v>
      </c>
    </row>
    <row r="172" spans="1:9" ht="120" customHeight="1">
      <c r="A172" s="3" t="s">
        <v>776</v>
      </c>
      <c r="B172" s="4" t="s">
        <v>421</v>
      </c>
      <c r="C172" s="4" t="s">
        <v>708</v>
      </c>
      <c r="D172" s="4" t="s">
        <v>706</v>
      </c>
      <c r="E172" s="4" t="s">
        <v>777</v>
      </c>
      <c r="F172" s="4"/>
      <c r="G172" s="27">
        <f>G173</f>
        <v>11400</v>
      </c>
      <c r="H172" s="27">
        <f>H173</f>
        <v>11400</v>
      </c>
      <c r="I172" s="153">
        <f t="shared" si="5"/>
        <v>1</v>
      </c>
    </row>
    <row r="173" spans="1:9" ht="47.25">
      <c r="A173" s="3" t="s">
        <v>746</v>
      </c>
      <c r="B173" s="4" t="s">
        <v>421</v>
      </c>
      <c r="C173" s="4" t="s">
        <v>708</v>
      </c>
      <c r="D173" s="4" t="s">
        <v>706</v>
      </c>
      <c r="E173" s="4" t="s">
        <v>777</v>
      </c>
      <c r="F173" s="4" t="s">
        <v>380</v>
      </c>
      <c r="G173" s="27">
        <v>11400</v>
      </c>
      <c r="H173" s="27">
        <v>11400</v>
      </c>
      <c r="I173" s="153">
        <f t="shared" si="5"/>
        <v>1</v>
      </c>
    </row>
    <row r="174" spans="1:9" ht="31.5">
      <c r="A174" s="1" t="s">
        <v>721</v>
      </c>
      <c r="B174" s="2" t="s">
        <v>421</v>
      </c>
      <c r="C174" s="2" t="s">
        <v>708</v>
      </c>
      <c r="D174" s="2" t="s">
        <v>375</v>
      </c>
      <c r="E174" s="4"/>
      <c r="F174" s="4"/>
      <c r="G174" s="30">
        <f aca="true" t="shared" si="7" ref="G174:H177">G175</f>
        <v>55500</v>
      </c>
      <c r="H174" s="30">
        <f t="shared" si="7"/>
        <v>36497.6</v>
      </c>
      <c r="I174" s="152">
        <f t="shared" si="5"/>
        <v>0.6576144144144144</v>
      </c>
    </row>
    <row r="175" spans="1:9" ht="85.5" customHeight="1">
      <c r="A175" s="25" t="s">
        <v>753</v>
      </c>
      <c r="B175" s="4" t="s">
        <v>421</v>
      </c>
      <c r="C175" s="4" t="s">
        <v>708</v>
      </c>
      <c r="D175" s="4" t="s">
        <v>375</v>
      </c>
      <c r="E175" s="4" t="s">
        <v>754</v>
      </c>
      <c r="F175" s="4"/>
      <c r="G175" s="27">
        <f t="shared" si="7"/>
        <v>55500</v>
      </c>
      <c r="H175" s="27">
        <f t="shared" si="7"/>
        <v>36497.6</v>
      </c>
      <c r="I175" s="153">
        <f aca="true" t="shared" si="8" ref="I175:I198">H175/G175</f>
        <v>0.6576144144144144</v>
      </c>
    </row>
    <row r="176" spans="1:9" ht="47.25">
      <c r="A176" s="25" t="s">
        <v>755</v>
      </c>
      <c r="B176" s="4" t="s">
        <v>421</v>
      </c>
      <c r="C176" s="4" t="s">
        <v>708</v>
      </c>
      <c r="D176" s="4" t="s">
        <v>375</v>
      </c>
      <c r="E176" s="4" t="s">
        <v>756</v>
      </c>
      <c r="F176" s="4"/>
      <c r="G176" s="27">
        <f t="shared" si="7"/>
        <v>55500</v>
      </c>
      <c r="H176" s="27">
        <f t="shared" si="7"/>
        <v>36497.6</v>
      </c>
      <c r="I176" s="153">
        <f t="shared" si="8"/>
        <v>0.6576144144144144</v>
      </c>
    </row>
    <row r="177" spans="1:9" ht="165" customHeight="1">
      <c r="A177" s="3" t="s">
        <v>673</v>
      </c>
      <c r="B177" s="4" t="s">
        <v>421</v>
      </c>
      <c r="C177" s="4" t="s">
        <v>708</v>
      </c>
      <c r="D177" s="4" t="s">
        <v>375</v>
      </c>
      <c r="E177" s="4" t="s">
        <v>401</v>
      </c>
      <c r="F177" s="4"/>
      <c r="G177" s="27">
        <f t="shared" si="7"/>
        <v>55500</v>
      </c>
      <c r="H177" s="27">
        <f t="shared" si="7"/>
        <v>36497.6</v>
      </c>
      <c r="I177" s="153">
        <f t="shared" si="8"/>
        <v>0.6576144144144144</v>
      </c>
    </row>
    <row r="178" spans="1:9" ht="126">
      <c r="A178" s="3" t="s">
        <v>745</v>
      </c>
      <c r="B178" s="4" t="s">
        <v>421</v>
      </c>
      <c r="C178" s="4" t="s">
        <v>708</v>
      </c>
      <c r="D178" s="4" t="s">
        <v>375</v>
      </c>
      <c r="E178" s="4" t="s">
        <v>401</v>
      </c>
      <c r="F178" s="4" t="s">
        <v>379</v>
      </c>
      <c r="G178" s="27">
        <v>55500</v>
      </c>
      <c r="H178" s="27">
        <v>36497.6</v>
      </c>
      <c r="I178" s="153">
        <f t="shared" si="8"/>
        <v>0.6576144144144144</v>
      </c>
    </row>
    <row r="179" spans="1:9" ht="18.75">
      <c r="A179" s="8" t="s">
        <v>712</v>
      </c>
      <c r="B179" s="9" t="s">
        <v>421</v>
      </c>
      <c r="C179" s="9" t="s">
        <v>706</v>
      </c>
      <c r="D179" s="5"/>
      <c r="E179" s="5"/>
      <c r="F179" s="21"/>
      <c r="G179" s="26">
        <f>G184+G180</f>
        <v>2647200</v>
      </c>
      <c r="H179" s="26">
        <f>H184+H180</f>
        <v>2449043.75</v>
      </c>
      <c r="I179" s="154">
        <f t="shared" si="8"/>
        <v>0.9251449644907828</v>
      </c>
    </row>
    <row r="180" spans="1:9" ht="15.75">
      <c r="A180" s="1" t="s">
        <v>729</v>
      </c>
      <c r="B180" s="2" t="s">
        <v>421</v>
      </c>
      <c r="C180" s="2" t="s">
        <v>706</v>
      </c>
      <c r="D180" s="2" t="s">
        <v>698</v>
      </c>
      <c r="E180" s="2"/>
      <c r="F180" s="4"/>
      <c r="G180" s="30">
        <f aca="true" t="shared" si="9" ref="G180:H182">G181</f>
        <v>1335000</v>
      </c>
      <c r="H180" s="30">
        <f t="shared" si="9"/>
        <v>1154282.55</v>
      </c>
      <c r="I180" s="152">
        <f t="shared" si="8"/>
        <v>0.8646311235955056</v>
      </c>
    </row>
    <row r="181" spans="1:9" ht="15.75">
      <c r="A181" s="3" t="s">
        <v>743</v>
      </c>
      <c r="B181" s="4" t="s">
        <v>421</v>
      </c>
      <c r="C181" s="4" t="s">
        <v>706</v>
      </c>
      <c r="D181" s="4" t="s">
        <v>698</v>
      </c>
      <c r="E181" s="4" t="s">
        <v>744</v>
      </c>
      <c r="F181" s="4"/>
      <c r="G181" s="27">
        <f t="shared" si="9"/>
        <v>1335000</v>
      </c>
      <c r="H181" s="27">
        <f t="shared" si="9"/>
        <v>1154282.55</v>
      </c>
      <c r="I181" s="153">
        <f t="shared" si="8"/>
        <v>0.8646311235955056</v>
      </c>
    </row>
    <row r="182" spans="1:9" ht="179.25" customHeight="1">
      <c r="A182" s="3" t="s">
        <v>493</v>
      </c>
      <c r="B182" s="4" t="s">
        <v>421</v>
      </c>
      <c r="C182" s="4" t="s">
        <v>706</v>
      </c>
      <c r="D182" s="4" t="s">
        <v>698</v>
      </c>
      <c r="E182" s="4" t="s">
        <v>494</v>
      </c>
      <c r="F182" s="4"/>
      <c r="G182" s="27">
        <f t="shared" si="9"/>
        <v>1335000</v>
      </c>
      <c r="H182" s="27">
        <f t="shared" si="9"/>
        <v>1154282.55</v>
      </c>
      <c r="I182" s="153">
        <f t="shared" si="8"/>
        <v>0.8646311235955056</v>
      </c>
    </row>
    <row r="183" spans="1:9" ht="31.5">
      <c r="A183" s="3" t="s">
        <v>680</v>
      </c>
      <c r="B183" s="4" t="s">
        <v>421</v>
      </c>
      <c r="C183" s="4" t="s">
        <v>706</v>
      </c>
      <c r="D183" s="4" t="s">
        <v>698</v>
      </c>
      <c r="E183" s="4" t="s">
        <v>494</v>
      </c>
      <c r="F183" s="4" t="s">
        <v>681</v>
      </c>
      <c r="G183" s="27">
        <v>1335000</v>
      </c>
      <c r="H183" s="27">
        <v>1154282.55</v>
      </c>
      <c r="I183" s="153">
        <f t="shared" si="8"/>
        <v>0.8646311235955056</v>
      </c>
    </row>
    <row r="184" spans="1:9" ht="15.75">
      <c r="A184" s="1" t="s">
        <v>737</v>
      </c>
      <c r="B184" s="2" t="s">
        <v>421</v>
      </c>
      <c r="C184" s="2" t="s">
        <v>706</v>
      </c>
      <c r="D184" s="2" t="s">
        <v>708</v>
      </c>
      <c r="E184" s="2"/>
      <c r="F184" s="2"/>
      <c r="G184" s="30">
        <f>G185</f>
        <v>1312200</v>
      </c>
      <c r="H184" s="30">
        <f>H185</f>
        <v>1294761.2000000002</v>
      </c>
      <c r="I184" s="152">
        <f t="shared" si="8"/>
        <v>0.9867102575826857</v>
      </c>
    </row>
    <row r="185" spans="1:9" ht="88.5" customHeight="1">
      <c r="A185" s="25" t="s">
        <v>753</v>
      </c>
      <c r="B185" s="4" t="s">
        <v>421</v>
      </c>
      <c r="C185" s="4" t="s">
        <v>706</v>
      </c>
      <c r="D185" s="4" t="s">
        <v>708</v>
      </c>
      <c r="E185" s="4" t="s">
        <v>754</v>
      </c>
      <c r="F185" s="4"/>
      <c r="G185" s="27">
        <f>G186</f>
        <v>1312200</v>
      </c>
      <c r="H185" s="27">
        <f>H186</f>
        <v>1294761.2000000002</v>
      </c>
      <c r="I185" s="153">
        <f t="shared" si="8"/>
        <v>0.9867102575826857</v>
      </c>
    </row>
    <row r="186" spans="1:9" ht="47.25">
      <c r="A186" s="25" t="s">
        <v>755</v>
      </c>
      <c r="B186" s="4" t="s">
        <v>421</v>
      </c>
      <c r="C186" s="4" t="s">
        <v>706</v>
      </c>
      <c r="D186" s="4" t="s">
        <v>708</v>
      </c>
      <c r="E186" s="4" t="s">
        <v>756</v>
      </c>
      <c r="F186" s="4"/>
      <c r="G186" s="27">
        <f>G187+G190</f>
        <v>1312200</v>
      </c>
      <c r="H186" s="27">
        <f>H187+H190</f>
        <v>1294761.2000000002</v>
      </c>
      <c r="I186" s="153">
        <f t="shared" si="8"/>
        <v>0.9867102575826857</v>
      </c>
    </row>
    <row r="187" spans="1:9" ht="165.75" customHeight="1">
      <c r="A187" s="3" t="s">
        <v>799</v>
      </c>
      <c r="B187" s="4" t="s">
        <v>421</v>
      </c>
      <c r="C187" s="4" t="s">
        <v>706</v>
      </c>
      <c r="D187" s="4" t="s">
        <v>708</v>
      </c>
      <c r="E187" s="4" t="s">
        <v>800</v>
      </c>
      <c r="F187" s="4"/>
      <c r="G187" s="27">
        <f>G188+G189</f>
        <v>118000</v>
      </c>
      <c r="H187" s="27">
        <f>H188+H189</f>
        <v>100742.74</v>
      </c>
      <c r="I187" s="153">
        <f t="shared" si="8"/>
        <v>0.8537520338983051</v>
      </c>
    </row>
    <row r="188" spans="1:9" ht="126">
      <c r="A188" s="3" t="s">
        <v>745</v>
      </c>
      <c r="B188" s="4" t="s">
        <v>421</v>
      </c>
      <c r="C188" s="4" t="s">
        <v>706</v>
      </c>
      <c r="D188" s="4" t="s">
        <v>708</v>
      </c>
      <c r="E188" s="4" t="s">
        <v>800</v>
      </c>
      <c r="F188" s="4" t="s">
        <v>379</v>
      </c>
      <c r="G188" s="27">
        <f>118000-1650</f>
        <v>116350</v>
      </c>
      <c r="H188" s="27">
        <v>100742.74</v>
      </c>
      <c r="I188" s="153">
        <f t="shared" si="8"/>
        <v>0.865859389772239</v>
      </c>
    </row>
    <row r="189" spans="1:9" ht="61.5" customHeight="1">
      <c r="A189" s="3" t="s">
        <v>746</v>
      </c>
      <c r="B189" s="4" t="s">
        <v>421</v>
      </c>
      <c r="C189" s="4" t="s">
        <v>706</v>
      </c>
      <c r="D189" s="4" t="s">
        <v>708</v>
      </c>
      <c r="E189" s="4" t="s">
        <v>800</v>
      </c>
      <c r="F189" s="4" t="s">
        <v>380</v>
      </c>
      <c r="G189" s="27">
        <v>1650</v>
      </c>
      <c r="H189" s="27">
        <v>0</v>
      </c>
      <c r="I189" s="153">
        <f t="shared" si="8"/>
        <v>0</v>
      </c>
    </row>
    <row r="190" spans="1:9" ht="63">
      <c r="A190" s="55" t="s">
        <v>735</v>
      </c>
      <c r="B190" s="4" t="s">
        <v>421</v>
      </c>
      <c r="C190" s="4" t="s">
        <v>706</v>
      </c>
      <c r="D190" s="4" t="s">
        <v>708</v>
      </c>
      <c r="E190" s="4" t="s">
        <v>648</v>
      </c>
      <c r="F190" s="4"/>
      <c r="G190" s="27">
        <f>G191+G192</f>
        <v>1194200</v>
      </c>
      <c r="H190" s="27">
        <f>H191+H192</f>
        <v>1194018.4600000002</v>
      </c>
      <c r="I190" s="153">
        <f t="shared" si="8"/>
        <v>0.9998479819125776</v>
      </c>
    </row>
    <row r="191" spans="1:9" ht="126">
      <c r="A191" s="3" t="s">
        <v>745</v>
      </c>
      <c r="B191" s="4" t="s">
        <v>421</v>
      </c>
      <c r="C191" s="4" t="s">
        <v>706</v>
      </c>
      <c r="D191" s="4" t="s">
        <v>708</v>
      </c>
      <c r="E191" s="4" t="s">
        <v>648</v>
      </c>
      <c r="F191" s="4" t="s">
        <v>379</v>
      </c>
      <c r="G191" s="27">
        <f>1089785+12331.51</f>
        <v>1102116.51</v>
      </c>
      <c r="H191" s="27">
        <f>1061164.87+40770.1</f>
        <v>1101934.9700000002</v>
      </c>
      <c r="I191" s="153">
        <f t="shared" si="8"/>
        <v>0.9998352805730133</v>
      </c>
    </row>
    <row r="192" spans="1:9" ht="47.25">
      <c r="A192" s="3" t="s">
        <v>746</v>
      </c>
      <c r="B192" s="4" t="s">
        <v>421</v>
      </c>
      <c r="C192" s="4" t="s">
        <v>706</v>
      </c>
      <c r="D192" s="4" t="s">
        <v>708</v>
      </c>
      <c r="E192" s="4" t="s">
        <v>648</v>
      </c>
      <c r="F192" s="4" t="s">
        <v>380</v>
      </c>
      <c r="G192" s="27">
        <f>104415-3337.51-8994</f>
        <v>92083.49</v>
      </c>
      <c r="H192" s="27">
        <f>25776.64+66306.85</f>
        <v>92083.49</v>
      </c>
      <c r="I192" s="153">
        <f t="shared" si="8"/>
        <v>1</v>
      </c>
    </row>
    <row r="193" spans="1:9" ht="15.75">
      <c r="A193" s="11" t="s">
        <v>371</v>
      </c>
      <c r="B193" s="5" t="s">
        <v>421</v>
      </c>
      <c r="C193" s="5" t="s">
        <v>375</v>
      </c>
      <c r="D193" s="5" t="s">
        <v>728</v>
      </c>
      <c r="E193" s="5"/>
      <c r="F193" s="5"/>
      <c r="G193" s="26">
        <f aca="true" t="shared" si="10" ref="G193:H197">G194</f>
        <v>3000000</v>
      </c>
      <c r="H193" s="26">
        <f t="shared" si="10"/>
        <v>3000000</v>
      </c>
      <c r="I193" s="154">
        <f t="shared" si="8"/>
        <v>1</v>
      </c>
    </row>
    <row r="194" spans="1:9" ht="31.5">
      <c r="A194" s="3" t="s">
        <v>524</v>
      </c>
      <c r="B194" s="4" t="s">
        <v>421</v>
      </c>
      <c r="C194" s="4" t="s">
        <v>375</v>
      </c>
      <c r="D194" s="4" t="s">
        <v>703</v>
      </c>
      <c r="E194" s="4"/>
      <c r="F194" s="4"/>
      <c r="G194" s="27">
        <f t="shared" si="10"/>
        <v>3000000</v>
      </c>
      <c r="H194" s="27">
        <f t="shared" si="10"/>
        <v>3000000</v>
      </c>
      <c r="I194" s="153">
        <f t="shared" si="8"/>
        <v>1</v>
      </c>
    </row>
    <row r="195" spans="1:9" ht="57" customHeight="1">
      <c r="A195" s="3" t="s">
        <v>747</v>
      </c>
      <c r="B195" s="4" t="s">
        <v>421</v>
      </c>
      <c r="C195" s="4" t="s">
        <v>375</v>
      </c>
      <c r="D195" s="4" t="s">
        <v>703</v>
      </c>
      <c r="E195" s="4" t="s">
        <v>748</v>
      </c>
      <c r="F195" s="4"/>
      <c r="G195" s="27">
        <f t="shared" si="10"/>
        <v>3000000</v>
      </c>
      <c r="H195" s="27">
        <f t="shared" si="10"/>
        <v>3000000</v>
      </c>
      <c r="I195" s="153">
        <f t="shared" si="8"/>
        <v>1</v>
      </c>
    </row>
    <row r="196" spans="1:9" ht="110.25">
      <c r="A196" s="3" t="s">
        <v>439</v>
      </c>
      <c r="B196" s="4" t="s">
        <v>421</v>
      </c>
      <c r="C196" s="4" t="s">
        <v>375</v>
      </c>
      <c r="D196" s="4" t="s">
        <v>703</v>
      </c>
      <c r="E196" s="4" t="s">
        <v>440</v>
      </c>
      <c r="F196" s="4"/>
      <c r="G196" s="27">
        <f t="shared" si="10"/>
        <v>3000000</v>
      </c>
      <c r="H196" s="27">
        <f t="shared" si="10"/>
        <v>3000000</v>
      </c>
      <c r="I196" s="153">
        <f t="shared" si="8"/>
        <v>1</v>
      </c>
    </row>
    <row r="197" spans="1:9" ht="60" customHeight="1">
      <c r="A197" s="3" t="s">
        <v>441</v>
      </c>
      <c r="B197" s="4" t="s">
        <v>421</v>
      </c>
      <c r="C197" s="4" t="s">
        <v>375</v>
      </c>
      <c r="D197" s="4" t="s">
        <v>703</v>
      </c>
      <c r="E197" s="4" t="s">
        <v>442</v>
      </c>
      <c r="F197" s="4"/>
      <c r="G197" s="27">
        <f t="shared" si="10"/>
        <v>3000000</v>
      </c>
      <c r="H197" s="27">
        <f t="shared" si="10"/>
        <v>3000000</v>
      </c>
      <c r="I197" s="153">
        <f t="shared" si="8"/>
        <v>1</v>
      </c>
    </row>
    <row r="198" spans="1:9" ht="15.75">
      <c r="A198" s="3" t="s">
        <v>676</v>
      </c>
      <c r="B198" s="4" t="s">
        <v>421</v>
      </c>
      <c r="C198" s="4" t="s">
        <v>375</v>
      </c>
      <c r="D198" s="4" t="s">
        <v>703</v>
      </c>
      <c r="E198" s="4" t="s">
        <v>442</v>
      </c>
      <c r="F198" s="4" t="s">
        <v>383</v>
      </c>
      <c r="G198" s="27">
        <v>3000000</v>
      </c>
      <c r="H198" s="27">
        <v>3000000</v>
      </c>
      <c r="I198" s="153">
        <f t="shared" si="8"/>
        <v>1</v>
      </c>
    </row>
    <row r="199" spans="1:12" ht="106.5" customHeight="1">
      <c r="A199" s="8" t="s">
        <v>695</v>
      </c>
      <c r="B199" s="9" t="s">
        <v>422</v>
      </c>
      <c r="C199" s="21"/>
      <c r="D199" s="21"/>
      <c r="E199" s="21"/>
      <c r="F199" s="21"/>
      <c r="G199" s="26">
        <f>G200+G302+G392+G377+G368+G271+G259+G398</f>
        <v>738566593.6600001</v>
      </c>
      <c r="H199" s="26">
        <f>H200+H302+H392+H377+H368+H271+H259+H398</f>
        <v>611880252.82</v>
      </c>
      <c r="I199" s="154">
        <f>H199/G199</f>
        <v>0.8284699823583949</v>
      </c>
      <c r="L199" s="24"/>
    </row>
    <row r="200" spans="1:9" ht="15.75">
      <c r="A200" s="1" t="s">
        <v>717</v>
      </c>
      <c r="B200" s="2" t="s">
        <v>422</v>
      </c>
      <c r="C200" s="2" t="s">
        <v>698</v>
      </c>
      <c r="D200" s="4"/>
      <c r="E200" s="4"/>
      <c r="F200" s="4"/>
      <c r="G200" s="30">
        <f>G211+G201</f>
        <v>57782560.029999994</v>
      </c>
      <c r="H200" s="30">
        <f>H211+H201</f>
        <v>55965826.03999999</v>
      </c>
      <c r="I200" s="152">
        <f>H200/G200</f>
        <v>0.9685591294491491</v>
      </c>
    </row>
    <row r="201" spans="1:12" ht="126">
      <c r="A201" s="1" t="s">
        <v>374</v>
      </c>
      <c r="B201" s="2" t="s">
        <v>422</v>
      </c>
      <c r="C201" s="2" t="s">
        <v>698</v>
      </c>
      <c r="D201" s="2" t="s">
        <v>708</v>
      </c>
      <c r="E201" s="2"/>
      <c r="F201" s="4"/>
      <c r="G201" s="30">
        <f>G202</f>
        <v>11063768</v>
      </c>
      <c r="H201" s="30">
        <f>H202</f>
        <v>11052963.52</v>
      </c>
      <c r="I201" s="152">
        <f>H201/G201</f>
        <v>0.9990234357770336</v>
      </c>
      <c r="L201" s="24"/>
    </row>
    <row r="202" spans="1:9" ht="63">
      <c r="A202" s="25" t="s">
        <v>753</v>
      </c>
      <c r="B202" s="4" t="s">
        <v>422</v>
      </c>
      <c r="C202" s="4" t="s">
        <v>698</v>
      </c>
      <c r="D202" s="4" t="s">
        <v>708</v>
      </c>
      <c r="E202" s="4" t="s">
        <v>754</v>
      </c>
      <c r="F202" s="4"/>
      <c r="G202" s="27">
        <f>G203</f>
        <v>11063768</v>
      </c>
      <c r="H202" s="27">
        <f>H203</f>
        <v>11052963.52</v>
      </c>
      <c r="I202" s="153">
        <f>H202/G202</f>
        <v>0.9990234357770336</v>
      </c>
    </row>
    <row r="203" spans="1:9" ht="78.75">
      <c r="A203" s="25" t="s">
        <v>445</v>
      </c>
      <c r="B203" s="4" t="s">
        <v>422</v>
      </c>
      <c r="C203" s="4" t="s">
        <v>698</v>
      </c>
      <c r="D203" s="4" t="s">
        <v>708</v>
      </c>
      <c r="E203" s="4" t="s">
        <v>457</v>
      </c>
      <c r="F203" s="4"/>
      <c r="G203" s="27">
        <f>G204+G206+G209</f>
        <v>11063768</v>
      </c>
      <c r="H203" s="27">
        <f>H204+H206+H209</f>
        <v>11052963.52</v>
      </c>
      <c r="I203" s="153">
        <f aca="true" t="shared" si="11" ref="I203:I266">H203/G203</f>
        <v>0.9990234357770336</v>
      </c>
    </row>
    <row r="204" spans="1:9" ht="47.25">
      <c r="A204" s="25" t="s">
        <v>854</v>
      </c>
      <c r="B204" s="4" t="s">
        <v>422</v>
      </c>
      <c r="C204" s="4" t="s">
        <v>698</v>
      </c>
      <c r="D204" s="4" t="s">
        <v>708</v>
      </c>
      <c r="E204" s="4" t="s">
        <v>868</v>
      </c>
      <c r="F204" s="4"/>
      <c r="G204" s="27">
        <f>G205</f>
        <v>10642447</v>
      </c>
      <c r="H204" s="27">
        <f>H205</f>
        <v>10631642.52</v>
      </c>
      <c r="I204" s="153">
        <f t="shared" si="11"/>
        <v>0.9989847748360879</v>
      </c>
    </row>
    <row r="205" spans="1:9" ht="126">
      <c r="A205" s="25" t="s">
        <v>858</v>
      </c>
      <c r="B205" s="4" t="s">
        <v>422</v>
      </c>
      <c r="C205" s="4" t="s">
        <v>698</v>
      </c>
      <c r="D205" s="4" t="s">
        <v>708</v>
      </c>
      <c r="E205" s="4" t="s">
        <v>868</v>
      </c>
      <c r="F205" s="4" t="s">
        <v>379</v>
      </c>
      <c r="G205" s="27">
        <f>10019810+436147-40000-162210-25000+413700</f>
        <v>10642447</v>
      </c>
      <c r="H205" s="27">
        <v>10631642.52</v>
      </c>
      <c r="I205" s="153">
        <f t="shared" si="11"/>
        <v>0.9989847748360879</v>
      </c>
    </row>
    <row r="206" spans="1:9" ht="47.25">
      <c r="A206" s="25" t="s">
        <v>856</v>
      </c>
      <c r="B206" s="4" t="s">
        <v>422</v>
      </c>
      <c r="C206" s="4" t="s">
        <v>698</v>
      </c>
      <c r="D206" s="4" t="s">
        <v>708</v>
      </c>
      <c r="E206" s="4" t="s">
        <v>869</v>
      </c>
      <c r="F206" s="4"/>
      <c r="G206" s="27">
        <f>G207+G208</f>
        <v>206880</v>
      </c>
      <c r="H206" s="27">
        <f>H207+H208</f>
        <v>206880</v>
      </c>
      <c r="I206" s="153">
        <f t="shared" si="11"/>
        <v>1</v>
      </c>
    </row>
    <row r="207" spans="1:9" ht="126">
      <c r="A207" s="25" t="s">
        <v>858</v>
      </c>
      <c r="B207" s="4" t="s">
        <v>422</v>
      </c>
      <c r="C207" s="4" t="s">
        <v>698</v>
      </c>
      <c r="D207" s="4" t="s">
        <v>708</v>
      </c>
      <c r="E207" s="4" t="s">
        <v>869</v>
      </c>
      <c r="F207" s="4" t="s">
        <v>379</v>
      </c>
      <c r="G207" s="27">
        <f>3750+3403.75</f>
        <v>7153.75</v>
      </c>
      <c r="H207" s="27">
        <f>3750+3403.75</f>
        <v>7153.75</v>
      </c>
      <c r="I207" s="153">
        <f t="shared" si="11"/>
        <v>1</v>
      </c>
    </row>
    <row r="208" spans="1:12" ht="47.25">
      <c r="A208" s="25" t="s">
        <v>746</v>
      </c>
      <c r="B208" s="4" t="s">
        <v>422</v>
      </c>
      <c r="C208" s="4" t="s">
        <v>698</v>
      </c>
      <c r="D208" s="4" t="s">
        <v>708</v>
      </c>
      <c r="E208" s="4" t="s">
        <v>869</v>
      </c>
      <c r="F208" s="4" t="s">
        <v>380</v>
      </c>
      <c r="G208" s="27">
        <f>170000+25000+43130-38403.75</f>
        <v>199726.25</v>
      </c>
      <c r="H208" s="27">
        <f>170000+25000+43130-38403.75</f>
        <v>199726.25</v>
      </c>
      <c r="I208" s="153">
        <f t="shared" si="11"/>
        <v>1</v>
      </c>
      <c r="L208" s="24"/>
    </row>
    <row r="209" spans="1:9" ht="110.25">
      <c r="A209" s="25" t="s">
        <v>850</v>
      </c>
      <c r="B209" s="4" t="s">
        <v>422</v>
      </c>
      <c r="C209" s="4" t="s">
        <v>698</v>
      </c>
      <c r="D209" s="4" t="s">
        <v>708</v>
      </c>
      <c r="E209" s="4" t="s">
        <v>870</v>
      </c>
      <c r="F209" s="4"/>
      <c r="G209" s="27">
        <f>G210</f>
        <v>214441</v>
      </c>
      <c r="H209" s="27">
        <f>H210</f>
        <v>214441</v>
      </c>
      <c r="I209" s="153">
        <f t="shared" si="11"/>
        <v>1</v>
      </c>
    </row>
    <row r="210" spans="1:12" ht="126">
      <c r="A210" s="25" t="s">
        <v>858</v>
      </c>
      <c r="B210" s="4" t="s">
        <v>422</v>
      </c>
      <c r="C210" s="4" t="s">
        <v>698</v>
      </c>
      <c r="D210" s="4" t="s">
        <v>708</v>
      </c>
      <c r="E210" s="4" t="s">
        <v>870</v>
      </c>
      <c r="F210" s="4" t="s">
        <v>379</v>
      </c>
      <c r="G210" s="27">
        <f>158460+20981+35000</f>
        <v>214441</v>
      </c>
      <c r="H210" s="27">
        <f>158460+20981+35000</f>
        <v>214441</v>
      </c>
      <c r="I210" s="153">
        <f t="shared" si="11"/>
        <v>1</v>
      </c>
      <c r="L210" s="24"/>
    </row>
    <row r="211" spans="1:9" ht="31.5">
      <c r="A211" s="1" t="s">
        <v>727</v>
      </c>
      <c r="B211" s="2" t="s">
        <v>422</v>
      </c>
      <c r="C211" s="2" t="s">
        <v>698</v>
      </c>
      <c r="D211" s="2" t="s">
        <v>377</v>
      </c>
      <c r="E211" s="2"/>
      <c r="F211" s="2"/>
      <c r="G211" s="30">
        <f>G225+G212+G240+G228+G253+G222+G218</f>
        <v>46718792.029999994</v>
      </c>
      <c r="H211" s="30">
        <f>H225+H212+H240+H228+H253+H222+H218</f>
        <v>44912862.519999996</v>
      </c>
      <c r="I211" s="152">
        <f t="shared" si="11"/>
        <v>0.9613446874045815</v>
      </c>
    </row>
    <row r="212" spans="1:9" ht="63">
      <c r="A212" s="3" t="s">
        <v>407</v>
      </c>
      <c r="B212" s="4" t="s">
        <v>422</v>
      </c>
      <c r="C212" s="4" t="s">
        <v>698</v>
      </c>
      <c r="D212" s="4" t="s">
        <v>377</v>
      </c>
      <c r="E212" s="4" t="s">
        <v>408</v>
      </c>
      <c r="F212" s="2"/>
      <c r="G212" s="27">
        <f>G213</f>
        <v>1870000</v>
      </c>
      <c r="H212" s="27">
        <f>H213</f>
        <v>1630819</v>
      </c>
      <c r="I212" s="153">
        <f t="shared" si="11"/>
        <v>0.8720957219251337</v>
      </c>
    </row>
    <row r="213" spans="1:9" ht="63">
      <c r="A213" s="3" t="s">
        <v>501</v>
      </c>
      <c r="B213" s="4" t="s">
        <v>422</v>
      </c>
      <c r="C213" s="4" t="s">
        <v>698</v>
      </c>
      <c r="D213" s="4" t="s">
        <v>377</v>
      </c>
      <c r="E213" s="4" t="s">
        <v>502</v>
      </c>
      <c r="F213" s="4"/>
      <c r="G213" s="27">
        <f>G214+G216</f>
        <v>1870000</v>
      </c>
      <c r="H213" s="27">
        <f>H214+H216</f>
        <v>1630819</v>
      </c>
      <c r="I213" s="153">
        <f t="shared" si="11"/>
        <v>0.8720957219251337</v>
      </c>
    </row>
    <row r="214" spans="1:9" ht="47.25">
      <c r="A214" s="3" t="s">
        <v>669</v>
      </c>
      <c r="B214" s="4" t="s">
        <v>422</v>
      </c>
      <c r="C214" s="4" t="s">
        <v>698</v>
      </c>
      <c r="D214" s="4" t="s">
        <v>377</v>
      </c>
      <c r="E214" s="4" t="s">
        <v>503</v>
      </c>
      <c r="F214" s="4"/>
      <c r="G214" s="27">
        <f>G215</f>
        <v>1632177</v>
      </c>
      <c r="H214" s="27">
        <f>H215</f>
        <v>1392996</v>
      </c>
      <c r="I214" s="153">
        <f t="shared" si="11"/>
        <v>0.8534589079493217</v>
      </c>
    </row>
    <row r="215" spans="1:9" ht="47.25">
      <c r="A215" s="3" t="s">
        <v>746</v>
      </c>
      <c r="B215" s="4" t="s">
        <v>422</v>
      </c>
      <c r="C215" s="4" t="s">
        <v>698</v>
      </c>
      <c r="D215" s="4" t="s">
        <v>377</v>
      </c>
      <c r="E215" s="4" t="s">
        <v>503</v>
      </c>
      <c r="F215" s="4" t="s">
        <v>380</v>
      </c>
      <c r="G215" s="27">
        <f>1820000-187823</f>
        <v>1632177</v>
      </c>
      <c r="H215" s="27">
        <v>1392996</v>
      </c>
      <c r="I215" s="153">
        <f t="shared" si="11"/>
        <v>0.8534589079493217</v>
      </c>
    </row>
    <row r="216" spans="1:9" ht="31.5">
      <c r="A216" s="3" t="s">
        <v>766</v>
      </c>
      <c r="B216" s="4" t="s">
        <v>422</v>
      </c>
      <c r="C216" s="4" t="s">
        <v>698</v>
      </c>
      <c r="D216" s="4" t="s">
        <v>377</v>
      </c>
      <c r="E216" s="4" t="s">
        <v>504</v>
      </c>
      <c r="F216" s="4"/>
      <c r="G216" s="27">
        <f>G217</f>
        <v>237823</v>
      </c>
      <c r="H216" s="27">
        <f>H217</f>
        <v>237823</v>
      </c>
      <c r="I216" s="153">
        <f t="shared" si="11"/>
        <v>1</v>
      </c>
    </row>
    <row r="217" spans="1:9" ht="47.25">
      <c r="A217" s="3" t="s">
        <v>746</v>
      </c>
      <c r="B217" s="4" t="s">
        <v>422</v>
      </c>
      <c r="C217" s="4" t="s">
        <v>698</v>
      </c>
      <c r="D217" s="4" t="s">
        <v>377</v>
      </c>
      <c r="E217" s="4" t="s">
        <v>504</v>
      </c>
      <c r="F217" s="4" t="s">
        <v>380</v>
      </c>
      <c r="G217" s="27">
        <f>50000+187823</f>
        <v>237823</v>
      </c>
      <c r="H217" s="27">
        <f>50000+187823</f>
        <v>237823</v>
      </c>
      <c r="I217" s="153">
        <f t="shared" si="11"/>
        <v>1</v>
      </c>
    </row>
    <row r="218" spans="1:9" ht="78.75">
      <c r="A218" s="3" t="s">
        <v>474</v>
      </c>
      <c r="B218" s="4" t="s">
        <v>422</v>
      </c>
      <c r="C218" s="4" t="s">
        <v>698</v>
      </c>
      <c r="D218" s="4" t="s">
        <v>377</v>
      </c>
      <c r="E218" s="4" t="s">
        <v>475</v>
      </c>
      <c r="F218" s="4"/>
      <c r="G218" s="27">
        <f aca="true" t="shared" si="12" ref="G218:H220">G219</f>
        <v>445471.41</v>
      </c>
      <c r="H218" s="27">
        <f t="shared" si="12"/>
        <v>428521.41</v>
      </c>
      <c r="I218" s="153">
        <f t="shared" si="11"/>
        <v>0.9619504201178702</v>
      </c>
    </row>
    <row r="219" spans="1:9" ht="63">
      <c r="A219" s="3" t="s">
        <v>476</v>
      </c>
      <c r="B219" s="4" t="s">
        <v>422</v>
      </c>
      <c r="C219" s="4" t="s">
        <v>698</v>
      </c>
      <c r="D219" s="4" t="s">
        <v>377</v>
      </c>
      <c r="E219" s="4" t="s">
        <v>477</v>
      </c>
      <c r="F219" s="4"/>
      <c r="G219" s="27">
        <f t="shared" si="12"/>
        <v>445471.41</v>
      </c>
      <c r="H219" s="27">
        <f t="shared" si="12"/>
        <v>428521.41</v>
      </c>
      <c r="I219" s="153">
        <f t="shared" si="11"/>
        <v>0.9619504201178702</v>
      </c>
    </row>
    <row r="220" spans="1:9" ht="63">
      <c r="A220" s="3" t="s">
        <v>663</v>
      </c>
      <c r="B220" s="4" t="s">
        <v>422</v>
      </c>
      <c r="C220" s="4" t="s">
        <v>698</v>
      </c>
      <c r="D220" s="4" t="s">
        <v>377</v>
      </c>
      <c r="E220" s="4" t="s">
        <v>487</v>
      </c>
      <c r="F220" s="4"/>
      <c r="G220" s="27">
        <f t="shared" si="12"/>
        <v>445471.41</v>
      </c>
      <c r="H220" s="27">
        <f t="shared" si="12"/>
        <v>428521.41</v>
      </c>
      <c r="I220" s="153">
        <f t="shared" si="11"/>
        <v>0.9619504201178702</v>
      </c>
    </row>
    <row r="221" spans="1:9" ht="63">
      <c r="A221" s="3" t="s">
        <v>406</v>
      </c>
      <c r="B221" s="4" t="s">
        <v>422</v>
      </c>
      <c r="C221" s="4" t="s">
        <v>698</v>
      </c>
      <c r="D221" s="4" t="s">
        <v>377</v>
      </c>
      <c r="E221" s="4" t="s">
        <v>487</v>
      </c>
      <c r="F221" s="4" t="s">
        <v>738</v>
      </c>
      <c r="G221" s="27">
        <v>445471.41</v>
      </c>
      <c r="H221" s="27">
        <v>428521.41</v>
      </c>
      <c r="I221" s="153">
        <f t="shared" si="11"/>
        <v>0.9619504201178702</v>
      </c>
    </row>
    <row r="222" spans="1:9" ht="63">
      <c r="A222" s="3" t="s">
        <v>428</v>
      </c>
      <c r="B222" s="4" t="s">
        <v>422</v>
      </c>
      <c r="C222" s="4" t="s">
        <v>698</v>
      </c>
      <c r="D222" s="4" t="s">
        <v>377</v>
      </c>
      <c r="E222" s="4" t="s">
        <v>429</v>
      </c>
      <c r="F222" s="4"/>
      <c r="G222" s="27">
        <f>G223</f>
        <v>2200000</v>
      </c>
      <c r="H222" s="27">
        <f>H223</f>
        <v>783078.74</v>
      </c>
      <c r="I222" s="153">
        <f t="shared" si="11"/>
        <v>0.3559448818181818</v>
      </c>
    </row>
    <row r="223" spans="1:9" ht="47.25">
      <c r="A223" s="3" t="s">
        <v>669</v>
      </c>
      <c r="B223" s="4" t="s">
        <v>422</v>
      </c>
      <c r="C223" s="4" t="s">
        <v>698</v>
      </c>
      <c r="D223" s="4" t="s">
        <v>377</v>
      </c>
      <c r="E223" s="4" t="s">
        <v>430</v>
      </c>
      <c r="F223" s="4"/>
      <c r="G223" s="27">
        <f>G224</f>
        <v>2200000</v>
      </c>
      <c r="H223" s="27">
        <f>H224</f>
        <v>783078.74</v>
      </c>
      <c r="I223" s="153">
        <f t="shared" si="11"/>
        <v>0.3559448818181818</v>
      </c>
    </row>
    <row r="224" spans="1:9" ht="47.25">
      <c r="A224" s="3" t="s">
        <v>746</v>
      </c>
      <c r="B224" s="4" t="s">
        <v>422</v>
      </c>
      <c r="C224" s="4" t="s">
        <v>698</v>
      </c>
      <c r="D224" s="4" t="s">
        <v>377</v>
      </c>
      <c r="E224" s="4" t="s">
        <v>430</v>
      </c>
      <c r="F224" s="4" t="s">
        <v>380</v>
      </c>
      <c r="G224" s="27">
        <f>2200000-3990+3990</f>
        <v>2200000</v>
      </c>
      <c r="H224" s="27">
        <v>783078.74</v>
      </c>
      <c r="I224" s="153">
        <f t="shared" si="11"/>
        <v>0.3559448818181818</v>
      </c>
    </row>
    <row r="225" spans="1:9" ht="78.75">
      <c r="A225" s="3" t="s">
        <v>365</v>
      </c>
      <c r="B225" s="4" t="s">
        <v>422</v>
      </c>
      <c r="C225" s="4" t="s">
        <v>698</v>
      </c>
      <c r="D225" s="4" t="s">
        <v>377</v>
      </c>
      <c r="E225" s="4" t="s">
        <v>366</v>
      </c>
      <c r="F225" s="4"/>
      <c r="G225" s="27">
        <f>G226</f>
        <v>200000</v>
      </c>
      <c r="H225" s="27">
        <f>H226</f>
        <v>200000</v>
      </c>
      <c r="I225" s="153">
        <f t="shared" si="11"/>
        <v>1</v>
      </c>
    </row>
    <row r="226" spans="1:9" ht="31.5">
      <c r="A226" s="3" t="s">
        <v>766</v>
      </c>
      <c r="B226" s="4" t="s">
        <v>422</v>
      </c>
      <c r="C226" s="4" t="s">
        <v>698</v>
      </c>
      <c r="D226" s="4" t="s">
        <v>377</v>
      </c>
      <c r="E226" s="4" t="s">
        <v>367</v>
      </c>
      <c r="F226" s="4"/>
      <c r="G226" s="27">
        <f>G227</f>
        <v>200000</v>
      </c>
      <c r="H226" s="27">
        <f>H227</f>
        <v>200000</v>
      </c>
      <c r="I226" s="153">
        <f t="shared" si="11"/>
        <v>1</v>
      </c>
    </row>
    <row r="227" spans="1:9" ht="47.25">
      <c r="A227" s="3" t="s">
        <v>746</v>
      </c>
      <c r="B227" s="4" t="s">
        <v>422</v>
      </c>
      <c r="C227" s="4" t="s">
        <v>698</v>
      </c>
      <c r="D227" s="4" t="s">
        <v>377</v>
      </c>
      <c r="E227" s="4" t="s">
        <v>367</v>
      </c>
      <c r="F227" s="4" t="s">
        <v>380</v>
      </c>
      <c r="G227" s="27">
        <v>200000</v>
      </c>
      <c r="H227" s="27">
        <v>200000</v>
      </c>
      <c r="I227" s="153">
        <f t="shared" si="11"/>
        <v>1</v>
      </c>
    </row>
    <row r="228" spans="1:9" ht="47.25">
      <c r="A228" s="3" t="s">
        <v>747</v>
      </c>
      <c r="B228" s="4" t="s">
        <v>422</v>
      </c>
      <c r="C228" s="4" t="s">
        <v>698</v>
      </c>
      <c r="D228" s="4" t="s">
        <v>377</v>
      </c>
      <c r="E228" s="4" t="s">
        <v>748</v>
      </c>
      <c r="F228" s="4"/>
      <c r="G228" s="27">
        <f>G229</f>
        <v>20452635</v>
      </c>
      <c r="H228" s="27">
        <f>H229</f>
        <v>20363731.33</v>
      </c>
      <c r="I228" s="153">
        <f t="shared" si="11"/>
        <v>0.9956531923637223</v>
      </c>
    </row>
    <row r="229" spans="1:9" ht="94.5">
      <c r="A229" s="55" t="s">
        <v>778</v>
      </c>
      <c r="B229" s="4" t="s">
        <v>422</v>
      </c>
      <c r="C229" s="4" t="s">
        <v>698</v>
      </c>
      <c r="D229" s="4" t="s">
        <v>377</v>
      </c>
      <c r="E229" s="4" t="s">
        <v>779</v>
      </c>
      <c r="F229" s="4"/>
      <c r="G229" s="27">
        <f>G238+G230+G234+G232+G236</f>
        <v>20452635</v>
      </c>
      <c r="H229" s="27">
        <f>H238+H230+H234+H232+H236</f>
        <v>20363731.33</v>
      </c>
      <c r="I229" s="153">
        <f t="shared" si="11"/>
        <v>0.9956531923637223</v>
      </c>
    </row>
    <row r="230" spans="1:9" ht="110.25">
      <c r="A230" s="3" t="s">
        <v>650</v>
      </c>
      <c r="B230" s="4" t="s">
        <v>422</v>
      </c>
      <c r="C230" s="4" t="s">
        <v>698</v>
      </c>
      <c r="D230" s="4" t="s">
        <v>377</v>
      </c>
      <c r="E230" s="4" t="s">
        <v>443</v>
      </c>
      <c r="F230" s="4"/>
      <c r="G230" s="27">
        <f>G231</f>
        <v>2086152.39</v>
      </c>
      <c r="H230" s="27">
        <f>H231</f>
        <v>2086145.92</v>
      </c>
      <c r="I230" s="153">
        <f t="shared" si="11"/>
        <v>0.9999968985966553</v>
      </c>
    </row>
    <row r="231" spans="1:12" ht="47.25">
      <c r="A231" s="3" t="s">
        <v>746</v>
      </c>
      <c r="B231" s="4" t="s">
        <v>422</v>
      </c>
      <c r="C231" s="4" t="s">
        <v>698</v>
      </c>
      <c r="D231" s="4" t="s">
        <v>377</v>
      </c>
      <c r="E231" s="4" t="s">
        <v>443</v>
      </c>
      <c r="F231" s="4" t="s">
        <v>380</v>
      </c>
      <c r="G231" s="27">
        <v>2086152.39</v>
      </c>
      <c r="H231" s="27">
        <f>2086145.92</f>
        <v>2086145.92</v>
      </c>
      <c r="I231" s="153">
        <f t="shared" si="11"/>
        <v>0.9999968985966553</v>
      </c>
      <c r="L231" s="24"/>
    </row>
    <row r="232" spans="1:12" ht="33.75" customHeight="1">
      <c r="A232" s="3" t="s">
        <v>766</v>
      </c>
      <c r="B232" s="4" t="s">
        <v>422</v>
      </c>
      <c r="C232" s="4" t="s">
        <v>698</v>
      </c>
      <c r="D232" s="4" t="s">
        <v>377</v>
      </c>
      <c r="E232" s="4" t="s">
        <v>488</v>
      </c>
      <c r="F232" s="4"/>
      <c r="G232" s="27">
        <f>G233</f>
        <v>1958395.72</v>
      </c>
      <c r="H232" s="27">
        <f>H233</f>
        <v>1958395.72</v>
      </c>
      <c r="I232" s="153">
        <f t="shared" si="11"/>
        <v>1</v>
      </c>
      <c r="L232" s="24"/>
    </row>
    <row r="233" spans="1:12" ht="56.25" customHeight="1">
      <c r="A233" s="3" t="s">
        <v>746</v>
      </c>
      <c r="B233" s="4" t="s">
        <v>422</v>
      </c>
      <c r="C233" s="4" t="s">
        <v>698</v>
      </c>
      <c r="D233" s="4" t="s">
        <v>377</v>
      </c>
      <c r="E233" s="4" t="s">
        <v>488</v>
      </c>
      <c r="F233" s="4" t="s">
        <v>380</v>
      </c>
      <c r="G233" s="27">
        <v>1958395.72</v>
      </c>
      <c r="H233" s="27">
        <v>1958395.72</v>
      </c>
      <c r="I233" s="153">
        <f t="shared" si="11"/>
        <v>1</v>
      </c>
      <c r="L233" s="24"/>
    </row>
    <row r="234" spans="1:9" ht="63">
      <c r="A234" s="3" t="s">
        <v>663</v>
      </c>
      <c r="B234" s="4" t="s">
        <v>422</v>
      </c>
      <c r="C234" s="4" t="s">
        <v>698</v>
      </c>
      <c r="D234" s="4" t="s">
        <v>377</v>
      </c>
      <c r="E234" s="4" t="s">
        <v>444</v>
      </c>
      <c r="F234" s="4"/>
      <c r="G234" s="27">
        <f>G235</f>
        <v>7883986.89</v>
      </c>
      <c r="H234" s="27">
        <f>H235</f>
        <v>7795089.69</v>
      </c>
      <c r="I234" s="153">
        <f t="shared" si="11"/>
        <v>0.9887243343703734</v>
      </c>
    </row>
    <row r="235" spans="1:12" ht="63">
      <c r="A235" s="3" t="s">
        <v>406</v>
      </c>
      <c r="B235" s="4" t="s">
        <v>422</v>
      </c>
      <c r="C235" s="4" t="s">
        <v>698</v>
      </c>
      <c r="D235" s="4" t="s">
        <v>377</v>
      </c>
      <c r="E235" s="4" t="s">
        <v>444</v>
      </c>
      <c r="F235" s="4" t="s">
        <v>738</v>
      </c>
      <c r="G235" s="27">
        <v>7883986.89</v>
      </c>
      <c r="H235" s="27">
        <v>7795089.69</v>
      </c>
      <c r="I235" s="153">
        <f t="shared" si="11"/>
        <v>0.9887243343703734</v>
      </c>
      <c r="L235" s="24"/>
    </row>
    <row r="236" spans="1:12" ht="63">
      <c r="A236" s="55" t="s">
        <v>687</v>
      </c>
      <c r="B236" s="4" t="s">
        <v>422</v>
      </c>
      <c r="C236" s="4" t="s">
        <v>698</v>
      </c>
      <c r="D236" s="4" t="s">
        <v>377</v>
      </c>
      <c r="E236" s="4" t="s">
        <v>688</v>
      </c>
      <c r="F236" s="4"/>
      <c r="G236" s="27">
        <f>G237</f>
        <v>7377100</v>
      </c>
      <c r="H236" s="27">
        <f>H237</f>
        <v>7377100</v>
      </c>
      <c r="I236" s="153">
        <f t="shared" si="11"/>
        <v>1</v>
      </c>
      <c r="L236" s="24"/>
    </row>
    <row r="237" spans="1:12" ht="69" customHeight="1">
      <c r="A237" s="3" t="s">
        <v>406</v>
      </c>
      <c r="B237" s="4" t="s">
        <v>422</v>
      </c>
      <c r="C237" s="4" t="s">
        <v>698</v>
      </c>
      <c r="D237" s="4" t="s">
        <v>377</v>
      </c>
      <c r="E237" s="4" t="s">
        <v>688</v>
      </c>
      <c r="F237" s="4" t="s">
        <v>738</v>
      </c>
      <c r="G237" s="27">
        <v>7377100</v>
      </c>
      <c r="H237" s="27">
        <v>7377100</v>
      </c>
      <c r="I237" s="153">
        <f t="shared" si="11"/>
        <v>1</v>
      </c>
      <c r="L237" s="24"/>
    </row>
    <row r="238" spans="1:9" ht="47.25">
      <c r="A238" s="55" t="s">
        <v>780</v>
      </c>
      <c r="B238" s="4" t="s">
        <v>422</v>
      </c>
      <c r="C238" s="4" t="s">
        <v>698</v>
      </c>
      <c r="D238" s="4" t="s">
        <v>377</v>
      </c>
      <c r="E238" s="4" t="s">
        <v>781</v>
      </c>
      <c r="F238" s="4"/>
      <c r="G238" s="27">
        <f>G239</f>
        <v>1147000</v>
      </c>
      <c r="H238" s="27">
        <f>H239</f>
        <v>1147000</v>
      </c>
      <c r="I238" s="153">
        <f t="shared" si="11"/>
        <v>1</v>
      </c>
    </row>
    <row r="239" spans="1:9" ht="47.25">
      <c r="A239" s="3" t="s">
        <v>746</v>
      </c>
      <c r="B239" s="4" t="s">
        <v>422</v>
      </c>
      <c r="C239" s="4" t="s">
        <v>698</v>
      </c>
      <c r="D239" s="4" t="s">
        <v>377</v>
      </c>
      <c r="E239" s="4" t="s">
        <v>781</v>
      </c>
      <c r="F239" s="4" t="s">
        <v>380</v>
      </c>
      <c r="G239" s="27">
        <v>1147000</v>
      </c>
      <c r="H239" s="27">
        <v>1147000</v>
      </c>
      <c r="I239" s="153">
        <f t="shared" si="11"/>
        <v>1</v>
      </c>
    </row>
    <row r="240" spans="1:9" ht="75.75" customHeight="1">
      <c r="A240" s="25" t="s">
        <v>753</v>
      </c>
      <c r="B240" s="4" t="s">
        <v>422</v>
      </c>
      <c r="C240" s="4" t="s">
        <v>698</v>
      </c>
      <c r="D240" s="4" t="s">
        <v>377</v>
      </c>
      <c r="E240" s="4" t="s">
        <v>754</v>
      </c>
      <c r="F240" s="4"/>
      <c r="G240" s="27">
        <f>G241+G244+G250</f>
        <v>20775355.259999998</v>
      </c>
      <c r="H240" s="27">
        <f>H241+H244+H250</f>
        <v>20748811.46</v>
      </c>
      <c r="I240" s="153">
        <f t="shared" si="11"/>
        <v>0.9987223419446837</v>
      </c>
    </row>
    <row r="241" spans="1:9" ht="85.5" customHeight="1">
      <c r="A241" s="25" t="s">
        <v>445</v>
      </c>
      <c r="B241" s="4" t="s">
        <v>422</v>
      </c>
      <c r="C241" s="4" t="s">
        <v>698</v>
      </c>
      <c r="D241" s="4" t="s">
        <v>377</v>
      </c>
      <c r="E241" s="4" t="s">
        <v>457</v>
      </c>
      <c r="F241" s="4"/>
      <c r="G241" s="27">
        <f>G242</f>
        <v>55385.399999999994</v>
      </c>
      <c r="H241" s="27">
        <f>H242</f>
        <v>55385.399999999994</v>
      </c>
      <c r="I241" s="153">
        <f t="shared" si="11"/>
        <v>1</v>
      </c>
    </row>
    <row r="242" spans="1:9" ht="81" customHeight="1">
      <c r="A242" s="25" t="s">
        <v>696</v>
      </c>
      <c r="B242" s="4" t="s">
        <v>422</v>
      </c>
      <c r="C242" s="4" t="s">
        <v>698</v>
      </c>
      <c r="D242" s="4" t="s">
        <v>377</v>
      </c>
      <c r="E242" s="4" t="s">
        <v>456</v>
      </c>
      <c r="F242" s="4"/>
      <c r="G242" s="27">
        <f>G243</f>
        <v>55385.399999999994</v>
      </c>
      <c r="H242" s="27">
        <f>H243</f>
        <v>55385.399999999994</v>
      </c>
      <c r="I242" s="153">
        <f t="shared" si="11"/>
        <v>1</v>
      </c>
    </row>
    <row r="243" spans="1:12" ht="59.25" customHeight="1">
      <c r="A243" s="3" t="s">
        <v>746</v>
      </c>
      <c r="B243" s="4" t="s">
        <v>422</v>
      </c>
      <c r="C243" s="4" t="s">
        <v>698</v>
      </c>
      <c r="D243" s="4" t="s">
        <v>377</v>
      </c>
      <c r="E243" s="4" t="s">
        <v>456</v>
      </c>
      <c r="F243" s="4" t="s">
        <v>380</v>
      </c>
      <c r="G243" s="27">
        <f>635113-168867.76-40000-15000-200741.57-155118.27</f>
        <v>55385.399999999994</v>
      </c>
      <c r="H243" s="27">
        <f>635113-168867.76-40000-15000-200741.57-155118.27</f>
        <v>55385.399999999994</v>
      </c>
      <c r="I243" s="153">
        <f t="shared" si="11"/>
        <v>1</v>
      </c>
      <c r="L243" s="24"/>
    </row>
    <row r="244" spans="1:9" ht="102" customHeight="1">
      <c r="A244" s="3" t="s">
        <v>402</v>
      </c>
      <c r="B244" s="4" t="s">
        <v>422</v>
      </c>
      <c r="C244" s="4" t="s">
        <v>698</v>
      </c>
      <c r="D244" s="4" t="s">
        <v>377</v>
      </c>
      <c r="E244" s="4" t="s">
        <v>403</v>
      </c>
      <c r="F244" s="4"/>
      <c r="G244" s="27">
        <f>G245+G248</f>
        <v>20639481.86</v>
      </c>
      <c r="H244" s="27">
        <f>H245+H248</f>
        <v>20612938.060000002</v>
      </c>
      <c r="I244" s="153">
        <f t="shared" si="11"/>
        <v>0.9987139308932246</v>
      </c>
    </row>
    <row r="245" spans="1:9" ht="114.75" customHeight="1">
      <c r="A245" s="3" t="s">
        <v>650</v>
      </c>
      <c r="B245" s="4" t="s">
        <v>422</v>
      </c>
      <c r="C245" s="4" t="s">
        <v>698</v>
      </c>
      <c r="D245" s="4" t="s">
        <v>377</v>
      </c>
      <c r="E245" s="4" t="s">
        <v>449</v>
      </c>
      <c r="F245" s="4"/>
      <c r="G245" s="27">
        <f>G246+G247</f>
        <v>20245020.33</v>
      </c>
      <c r="H245" s="27">
        <f>H246+H247</f>
        <v>20218476.53</v>
      </c>
      <c r="I245" s="153">
        <f t="shared" si="11"/>
        <v>0.9986888726428857</v>
      </c>
    </row>
    <row r="246" spans="1:12" ht="126">
      <c r="A246" s="3" t="s">
        <v>745</v>
      </c>
      <c r="B246" s="4" t="s">
        <v>422</v>
      </c>
      <c r="C246" s="4" t="s">
        <v>698</v>
      </c>
      <c r="D246" s="4" t="s">
        <v>377</v>
      </c>
      <c r="E246" s="4" t="s">
        <v>449</v>
      </c>
      <c r="F246" s="4" t="s">
        <v>379</v>
      </c>
      <c r="G246" s="27">
        <f>17492608.58-44461.53-20000+1720571.86-10000</f>
        <v>19138718.909999996</v>
      </c>
      <c r="H246" s="27">
        <f>18759738.52+352436.59</f>
        <v>19112175.11</v>
      </c>
      <c r="I246" s="153">
        <f t="shared" si="11"/>
        <v>0.9986130837636092</v>
      </c>
      <c r="L246" s="24"/>
    </row>
    <row r="247" spans="1:12" ht="47.25">
      <c r="A247" s="3" t="s">
        <v>746</v>
      </c>
      <c r="B247" s="4" t="s">
        <v>422</v>
      </c>
      <c r="C247" s="4" t="s">
        <v>698</v>
      </c>
      <c r="D247" s="4" t="s">
        <v>377</v>
      </c>
      <c r="E247" s="4" t="s">
        <v>449</v>
      </c>
      <c r="F247" s="4" t="s">
        <v>380</v>
      </c>
      <c r="G247" s="27">
        <f>925801.42+170500+10000</f>
        <v>1106301.42</v>
      </c>
      <c r="H247" s="27">
        <f>925801.42+170500+10000</f>
        <v>1106301.42</v>
      </c>
      <c r="I247" s="153">
        <f t="shared" si="11"/>
        <v>1</v>
      </c>
      <c r="L247" s="24"/>
    </row>
    <row r="248" spans="1:9" ht="110.25">
      <c r="A248" s="3" t="s">
        <v>850</v>
      </c>
      <c r="B248" s="4" t="s">
        <v>422</v>
      </c>
      <c r="C248" s="4" t="s">
        <v>698</v>
      </c>
      <c r="D248" s="4" t="s">
        <v>377</v>
      </c>
      <c r="E248" s="4" t="s">
        <v>871</v>
      </c>
      <c r="F248" s="4"/>
      <c r="G248" s="27">
        <f>G249</f>
        <v>394461.53</v>
      </c>
      <c r="H248" s="27">
        <f>H249</f>
        <v>394461.53</v>
      </c>
      <c r="I248" s="153">
        <f t="shared" si="11"/>
        <v>1</v>
      </c>
    </row>
    <row r="249" spans="1:12" ht="126">
      <c r="A249" s="3" t="s">
        <v>858</v>
      </c>
      <c r="B249" s="4" t="s">
        <v>422</v>
      </c>
      <c r="C249" s="4" t="s">
        <v>698</v>
      </c>
      <c r="D249" s="4" t="s">
        <v>377</v>
      </c>
      <c r="E249" s="4" t="s">
        <v>871</v>
      </c>
      <c r="F249" s="4" t="s">
        <v>379</v>
      </c>
      <c r="G249" s="27">
        <f>44461.53+20000+330000</f>
        <v>394461.53</v>
      </c>
      <c r="H249" s="27">
        <f>44461.53+20000+330000</f>
        <v>394461.53</v>
      </c>
      <c r="I249" s="153">
        <f t="shared" si="11"/>
        <v>1</v>
      </c>
      <c r="L249" s="24"/>
    </row>
    <row r="250" spans="1:12" ht="47.25">
      <c r="A250" s="3" t="s">
        <v>489</v>
      </c>
      <c r="B250" s="4" t="s">
        <v>422</v>
      </c>
      <c r="C250" s="4" t="s">
        <v>698</v>
      </c>
      <c r="D250" s="4" t="s">
        <v>377</v>
      </c>
      <c r="E250" s="4" t="s">
        <v>490</v>
      </c>
      <c r="F250" s="4"/>
      <c r="G250" s="27">
        <f>G251</f>
        <v>80488</v>
      </c>
      <c r="H250" s="27">
        <f>H251</f>
        <v>80488</v>
      </c>
      <c r="I250" s="153">
        <f t="shared" si="11"/>
        <v>1</v>
      </c>
      <c r="L250" s="24"/>
    </row>
    <row r="251" spans="1:12" ht="31.5">
      <c r="A251" s="3" t="s">
        <v>766</v>
      </c>
      <c r="B251" s="4" t="s">
        <v>422</v>
      </c>
      <c r="C251" s="4" t="s">
        <v>698</v>
      </c>
      <c r="D251" s="4" t="s">
        <v>377</v>
      </c>
      <c r="E251" s="4" t="s">
        <v>491</v>
      </c>
      <c r="F251" s="4"/>
      <c r="G251" s="27">
        <f>G252</f>
        <v>80488</v>
      </c>
      <c r="H251" s="27">
        <f>H252</f>
        <v>80488</v>
      </c>
      <c r="I251" s="153">
        <f t="shared" si="11"/>
        <v>1</v>
      </c>
      <c r="L251" s="24"/>
    </row>
    <row r="252" spans="1:12" ht="47.25">
      <c r="A252" s="3" t="s">
        <v>746</v>
      </c>
      <c r="B252" s="4" t="s">
        <v>422</v>
      </c>
      <c r="C252" s="4" t="s">
        <v>698</v>
      </c>
      <c r="D252" s="4" t="s">
        <v>377</v>
      </c>
      <c r="E252" s="4" t="s">
        <v>491</v>
      </c>
      <c r="F252" s="4" t="s">
        <v>380</v>
      </c>
      <c r="G252" s="27">
        <f>117740-37252</f>
        <v>80488</v>
      </c>
      <c r="H252" s="27">
        <f>117740-37252</f>
        <v>80488</v>
      </c>
      <c r="I252" s="153">
        <f t="shared" si="11"/>
        <v>1</v>
      </c>
      <c r="L252" s="24"/>
    </row>
    <row r="253" spans="1:9" ht="22.5" customHeight="1">
      <c r="A253" s="25" t="s">
        <v>743</v>
      </c>
      <c r="B253" s="4" t="s">
        <v>422</v>
      </c>
      <c r="C253" s="4" t="s">
        <v>698</v>
      </c>
      <c r="D253" s="4" t="s">
        <v>377</v>
      </c>
      <c r="E253" s="4" t="s">
        <v>744</v>
      </c>
      <c r="F253" s="4"/>
      <c r="G253" s="27">
        <f>G256+G254</f>
        <v>775330.36</v>
      </c>
      <c r="H253" s="27">
        <f>H256+H254</f>
        <v>757900.5800000001</v>
      </c>
      <c r="I253" s="153">
        <f t="shared" si="11"/>
        <v>0.9775195440560333</v>
      </c>
    </row>
    <row r="254" spans="1:9" ht="48" customHeight="1">
      <c r="A254" s="3" t="s">
        <v>733</v>
      </c>
      <c r="B254" s="4" t="s">
        <v>422</v>
      </c>
      <c r="C254" s="4" t="s">
        <v>698</v>
      </c>
      <c r="D254" s="4" t="s">
        <v>377</v>
      </c>
      <c r="E254" s="4" t="s">
        <v>763</v>
      </c>
      <c r="F254" s="4"/>
      <c r="G254" s="27">
        <f>G255</f>
        <v>15000</v>
      </c>
      <c r="H254" s="27">
        <f>H255</f>
        <v>15000</v>
      </c>
      <c r="I254" s="153">
        <f t="shared" si="11"/>
        <v>1</v>
      </c>
    </row>
    <row r="255" spans="1:12" ht="51.75" customHeight="1">
      <c r="A255" s="3" t="s">
        <v>746</v>
      </c>
      <c r="B255" s="4" t="s">
        <v>422</v>
      </c>
      <c r="C255" s="4" t="s">
        <v>698</v>
      </c>
      <c r="D255" s="4" t="s">
        <v>377</v>
      </c>
      <c r="E255" s="4" t="s">
        <v>763</v>
      </c>
      <c r="F255" s="4" t="s">
        <v>380</v>
      </c>
      <c r="G255" s="27">
        <v>15000</v>
      </c>
      <c r="H255" s="27">
        <v>15000</v>
      </c>
      <c r="I255" s="153">
        <f t="shared" si="11"/>
        <v>1</v>
      </c>
      <c r="L255" s="24"/>
    </row>
    <row r="256" spans="1:9" ht="31.5">
      <c r="A256" s="3" t="s">
        <v>830</v>
      </c>
      <c r="B256" s="4" t="s">
        <v>422</v>
      </c>
      <c r="C256" s="4" t="s">
        <v>698</v>
      </c>
      <c r="D256" s="4" t="s">
        <v>377</v>
      </c>
      <c r="E256" s="4" t="s">
        <v>831</v>
      </c>
      <c r="F256" s="56"/>
      <c r="G256" s="27">
        <f>G257+G258</f>
        <v>760330.36</v>
      </c>
      <c r="H256" s="27">
        <f>H257+H258</f>
        <v>742900.5800000001</v>
      </c>
      <c r="I256" s="153">
        <f t="shared" si="11"/>
        <v>0.9770760436292457</v>
      </c>
    </row>
    <row r="257" spans="1:9" ht="47.25">
      <c r="A257" s="3" t="s">
        <v>746</v>
      </c>
      <c r="B257" s="4" t="s">
        <v>422</v>
      </c>
      <c r="C257" s="4" t="s">
        <v>698</v>
      </c>
      <c r="D257" s="4" t="s">
        <v>377</v>
      </c>
      <c r="E257" s="4" t="s">
        <v>831</v>
      </c>
      <c r="F257" s="4" t="s">
        <v>380</v>
      </c>
      <c r="G257" s="27">
        <f>240467.98+43013.91</f>
        <v>283481.89</v>
      </c>
      <c r="H257" s="27">
        <f>240467.98+43013.91</f>
        <v>283481.89</v>
      </c>
      <c r="I257" s="153">
        <f t="shared" si="11"/>
        <v>1</v>
      </c>
    </row>
    <row r="258" spans="1:9" ht="29.25" customHeight="1">
      <c r="A258" s="3" t="s">
        <v>676</v>
      </c>
      <c r="B258" s="4" t="s">
        <v>422</v>
      </c>
      <c r="C258" s="4" t="s">
        <v>698</v>
      </c>
      <c r="D258" s="4" t="s">
        <v>377</v>
      </c>
      <c r="E258" s="4" t="s">
        <v>831</v>
      </c>
      <c r="F258" s="56">
        <v>800</v>
      </c>
      <c r="G258" s="27">
        <f>7809.36+40000+2000+168867.76+40000+200741.57+17429.78</f>
        <v>476848.47</v>
      </c>
      <c r="H258" s="27">
        <f>237489.53+221929.16</f>
        <v>459418.69</v>
      </c>
      <c r="I258" s="153">
        <f t="shared" si="11"/>
        <v>0.9634479691210921</v>
      </c>
    </row>
    <row r="259" spans="1:9" ht="75">
      <c r="A259" s="8" t="s">
        <v>718</v>
      </c>
      <c r="B259" s="5" t="s">
        <v>422</v>
      </c>
      <c r="C259" s="5" t="s">
        <v>705</v>
      </c>
      <c r="D259" s="5" t="s">
        <v>728</v>
      </c>
      <c r="E259" s="5"/>
      <c r="F259" s="5"/>
      <c r="G259" s="26">
        <f>G260</f>
        <v>3772645.11</v>
      </c>
      <c r="H259" s="26">
        <f>H260</f>
        <v>1526000</v>
      </c>
      <c r="I259" s="154">
        <f t="shared" si="11"/>
        <v>0.4044907367393484</v>
      </c>
    </row>
    <row r="260" spans="1:10" ht="112.5">
      <c r="A260" s="6" t="s">
        <v>417</v>
      </c>
      <c r="B260" s="2" t="s">
        <v>422</v>
      </c>
      <c r="C260" s="2" t="s">
        <v>705</v>
      </c>
      <c r="D260" s="2" t="s">
        <v>704</v>
      </c>
      <c r="E260" s="2"/>
      <c r="F260" s="2"/>
      <c r="G260" s="30">
        <f>G265+G261</f>
        <v>3772645.11</v>
      </c>
      <c r="H260" s="30">
        <f>H265+H261</f>
        <v>1526000</v>
      </c>
      <c r="I260" s="152">
        <f t="shared" si="11"/>
        <v>0.4044907367393484</v>
      </c>
      <c r="J260" s="144"/>
    </row>
    <row r="261" spans="1:9" ht="78.75">
      <c r="A261" s="3" t="s">
        <v>474</v>
      </c>
      <c r="B261" s="4" t="s">
        <v>422</v>
      </c>
      <c r="C261" s="4" t="s">
        <v>705</v>
      </c>
      <c r="D261" s="4" t="s">
        <v>704</v>
      </c>
      <c r="E261" s="4" t="s">
        <v>475</v>
      </c>
      <c r="F261" s="2"/>
      <c r="G261" s="27">
        <f aca="true" t="shared" si="13" ref="G261:H263">G262</f>
        <v>2622645.11</v>
      </c>
      <c r="H261" s="27">
        <f t="shared" si="13"/>
        <v>376000</v>
      </c>
      <c r="I261" s="153">
        <f t="shared" si="11"/>
        <v>0.14336670964986187</v>
      </c>
    </row>
    <row r="262" spans="1:9" ht="78.75">
      <c r="A262" s="3" t="s">
        <v>483</v>
      </c>
      <c r="B262" s="4" t="s">
        <v>422</v>
      </c>
      <c r="C262" s="4" t="s">
        <v>705</v>
      </c>
      <c r="D262" s="4" t="s">
        <v>704</v>
      </c>
      <c r="E262" s="4" t="s">
        <v>484</v>
      </c>
      <c r="F262" s="2"/>
      <c r="G262" s="27">
        <f t="shared" si="13"/>
        <v>2622645.11</v>
      </c>
      <c r="H262" s="27">
        <f t="shared" si="13"/>
        <v>376000</v>
      </c>
      <c r="I262" s="153">
        <f t="shared" si="11"/>
        <v>0.14336670964986187</v>
      </c>
    </row>
    <row r="263" spans="1:9" ht="31.5">
      <c r="A263" s="3" t="s">
        <v>766</v>
      </c>
      <c r="B263" s="4" t="s">
        <v>422</v>
      </c>
      <c r="C263" s="4" t="s">
        <v>705</v>
      </c>
      <c r="D263" s="4" t="s">
        <v>704</v>
      </c>
      <c r="E263" s="4" t="s">
        <v>486</v>
      </c>
      <c r="F263" s="4"/>
      <c r="G263" s="27">
        <f t="shared" si="13"/>
        <v>2622645.11</v>
      </c>
      <c r="H263" s="27">
        <f t="shared" si="13"/>
        <v>376000</v>
      </c>
      <c r="I263" s="153">
        <f t="shared" si="11"/>
        <v>0.14336670964986187</v>
      </c>
    </row>
    <row r="264" spans="1:9" ht="47.25">
      <c r="A264" s="3" t="s">
        <v>746</v>
      </c>
      <c r="B264" s="4" t="s">
        <v>422</v>
      </c>
      <c r="C264" s="4" t="s">
        <v>705</v>
      </c>
      <c r="D264" s="4" t="s">
        <v>704</v>
      </c>
      <c r="E264" s="4" t="s">
        <v>486</v>
      </c>
      <c r="F264" s="4" t="s">
        <v>380</v>
      </c>
      <c r="G264" s="27">
        <f>2622645.11</f>
        <v>2622645.11</v>
      </c>
      <c r="H264" s="27">
        <v>376000</v>
      </c>
      <c r="I264" s="153">
        <f t="shared" si="11"/>
        <v>0.14336670964986187</v>
      </c>
    </row>
    <row r="265" spans="1:9" ht="22.5" customHeight="1">
      <c r="A265" s="25" t="s">
        <v>743</v>
      </c>
      <c r="B265" s="4" t="s">
        <v>422</v>
      </c>
      <c r="C265" s="4" t="s">
        <v>705</v>
      </c>
      <c r="D265" s="4" t="s">
        <v>704</v>
      </c>
      <c r="E265" s="4" t="s">
        <v>744</v>
      </c>
      <c r="F265" s="4"/>
      <c r="G265" s="27">
        <f>G266+G268</f>
        <v>1150000</v>
      </c>
      <c r="H265" s="27">
        <f>H266+H268</f>
        <v>1150000</v>
      </c>
      <c r="I265" s="153">
        <f t="shared" si="11"/>
        <v>1</v>
      </c>
    </row>
    <row r="266" spans="1:9" ht="39.75" customHeight="1">
      <c r="A266" s="3" t="s">
        <v>758</v>
      </c>
      <c r="B266" s="4" t="s">
        <v>422</v>
      </c>
      <c r="C266" s="4" t="s">
        <v>705</v>
      </c>
      <c r="D266" s="4" t="s">
        <v>704</v>
      </c>
      <c r="E266" s="4" t="s">
        <v>759</v>
      </c>
      <c r="F266" s="4"/>
      <c r="G266" s="27">
        <f>G267</f>
        <v>500000</v>
      </c>
      <c r="H266" s="27">
        <f>H267</f>
        <v>500000</v>
      </c>
      <c r="I266" s="153">
        <f t="shared" si="11"/>
        <v>1</v>
      </c>
    </row>
    <row r="267" spans="1:9" ht="52.5" customHeight="1">
      <c r="A267" s="3" t="s">
        <v>746</v>
      </c>
      <c r="B267" s="4" t="s">
        <v>422</v>
      </c>
      <c r="C267" s="4" t="s">
        <v>705</v>
      </c>
      <c r="D267" s="4" t="s">
        <v>704</v>
      </c>
      <c r="E267" s="4" t="s">
        <v>759</v>
      </c>
      <c r="F267" s="4" t="s">
        <v>380</v>
      </c>
      <c r="G267" s="27">
        <v>500000</v>
      </c>
      <c r="H267" s="27">
        <v>500000</v>
      </c>
      <c r="I267" s="153">
        <f aca="true" t="shared" si="14" ref="I267:I330">H267/G267</f>
        <v>1</v>
      </c>
    </row>
    <row r="268" spans="1:9" ht="25.5" customHeight="1">
      <c r="A268" s="3" t="s">
        <v>902</v>
      </c>
      <c r="B268" s="4" t="s">
        <v>422</v>
      </c>
      <c r="C268" s="4" t="s">
        <v>705</v>
      </c>
      <c r="D268" s="4" t="s">
        <v>704</v>
      </c>
      <c r="E268" s="4" t="s">
        <v>903</v>
      </c>
      <c r="F268" s="4"/>
      <c r="G268" s="27">
        <f>G269</f>
        <v>650000</v>
      </c>
      <c r="H268" s="27">
        <f>H269</f>
        <v>650000</v>
      </c>
      <c r="I268" s="153">
        <f t="shared" si="14"/>
        <v>1</v>
      </c>
    </row>
    <row r="269" spans="1:9" ht="31.5">
      <c r="A269" s="3" t="s">
        <v>900</v>
      </c>
      <c r="B269" s="4" t="s">
        <v>422</v>
      </c>
      <c r="C269" s="4" t="s">
        <v>705</v>
      </c>
      <c r="D269" s="4" t="s">
        <v>704</v>
      </c>
      <c r="E269" s="4" t="s">
        <v>901</v>
      </c>
      <c r="F269" s="4"/>
      <c r="G269" s="27">
        <f>G270</f>
        <v>650000</v>
      </c>
      <c r="H269" s="27">
        <f>H270</f>
        <v>650000</v>
      </c>
      <c r="I269" s="153">
        <f t="shared" si="14"/>
        <v>1</v>
      </c>
    </row>
    <row r="270" spans="1:9" ht="47.25">
      <c r="A270" s="3" t="s">
        <v>746</v>
      </c>
      <c r="B270" s="4" t="s">
        <v>422</v>
      </c>
      <c r="C270" s="4" t="s">
        <v>705</v>
      </c>
      <c r="D270" s="4" t="s">
        <v>704</v>
      </c>
      <c r="E270" s="4" t="s">
        <v>901</v>
      </c>
      <c r="F270" s="4" t="s">
        <v>380</v>
      </c>
      <c r="G270" s="27">
        <v>650000</v>
      </c>
      <c r="H270" s="27">
        <v>650000</v>
      </c>
      <c r="I270" s="153">
        <f t="shared" si="14"/>
        <v>1</v>
      </c>
    </row>
    <row r="271" spans="1:11" s="14" customFormat="1" ht="15.75">
      <c r="A271" s="11" t="s">
        <v>719</v>
      </c>
      <c r="B271" s="5" t="s">
        <v>422</v>
      </c>
      <c r="C271" s="5" t="s">
        <v>708</v>
      </c>
      <c r="D271" s="5" t="s">
        <v>728</v>
      </c>
      <c r="E271" s="5"/>
      <c r="F271" s="5"/>
      <c r="G271" s="26">
        <f>G272+G287+G282</f>
        <v>122635542.99999999</v>
      </c>
      <c r="H271" s="26">
        <f>H272+H287+H282</f>
        <v>121590411.99</v>
      </c>
      <c r="I271" s="154">
        <f t="shared" si="14"/>
        <v>0.9914777479315275</v>
      </c>
      <c r="J271" s="43"/>
      <c r="K271" s="43"/>
    </row>
    <row r="272" spans="1:9" ht="31.5">
      <c r="A272" s="1" t="s">
        <v>675</v>
      </c>
      <c r="B272" s="2" t="s">
        <v>422</v>
      </c>
      <c r="C272" s="2" t="s">
        <v>708</v>
      </c>
      <c r="D272" s="2" t="s">
        <v>704</v>
      </c>
      <c r="E272" s="4"/>
      <c r="F272" s="4"/>
      <c r="G272" s="30">
        <f>G273</f>
        <v>110684834.13999999</v>
      </c>
      <c r="H272" s="30">
        <f>H273</f>
        <v>109816971.02999999</v>
      </c>
      <c r="I272" s="152">
        <f t="shared" si="14"/>
        <v>0.9921591506483871</v>
      </c>
    </row>
    <row r="273" spans="1:9" ht="63">
      <c r="A273" s="3" t="s">
        <v>682</v>
      </c>
      <c r="B273" s="4" t="s">
        <v>422</v>
      </c>
      <c r="C273" s="4" t="s">
        <v>708</v>
      </c>
      <c r="D273" s="4" t="s">
        <v>704</v>
      </c>
      <c r="E273" s="4" t="s">
        <v>468</v>
      </c>
      <c r="F273" s="4"/>
      <c r="G273" s="27">
        <f>G274+G276+G278+G280</f>
        <v>110684834.13999999</v>
      </c>
      <c r="H273" s="27">
        <f>H274+H276+H278+H280</f>
        <v>109816971.02999999</v>
      </c>
      <c r="I273" s="153">
        <f t="shared" si="14"/>
        <v>0.9921591506483871</v>
      </c>
    </row>
    <row r="274" spans="1:9" ht="47.25">
      <c r="A274" s="3" t="s">
        <v>469</v>
      </c>
      <c r="B274" s="4" t="s">
        <v>422</v>
      </c>
      <c r="C274" s="4" t="s">
        <v>708</v>
      </c>
      <c r="D274" s="4" t="s">
        <v>704</v>
      </c>
      <c r="E274" s="4" t="s">
        <v>470</v>
      </c>
      <c r="F274" s="4"/>
      <c r="G274" s="27">
        <f>G275</f>
        <v>2534200</v>
      </c>
      <c r="H274" s="27">
        <f>H275</f>
        <v>2533408.97</v>
      </c>
      <c r="I274" s="153">
        <f t="shared" si="14"/>
        <v>0.999687858101176</v>
      </c>
    </row>
    <row r="275" spans="1:9" ht="47.25">
      <c r="A275" s="3" t="s">
        <v>746</v>
      </c>
      <c r="B275" s="4" t="s">
        <v>422</v>
      </c>
      <c r="C275" s="4" t="s">
        <v>708</v>
      </c>
      <c r="D275" s="4" t="s">
        <v>704</v>
      </c>
      <c r="E275" s="4" t="s">
        <v>470</v>
      </c>
      <c r="F275" s="4" t="s">
        <v>380</v>
      </c>
      <c r="G275" s="27">
        <v>2534200</v>
      </c>
      <c r="H275" s="27">
        <v>2533408.97</v>
      </c>
      <c r="I275" s="153">
        <f t="shared" si="14"/>
        <v>0.999687858101176</v>
      </c>
    </row>
    <row r="276" spans="1:12" ht="95.25" customHeight="1">
      <c r="A276" s="3" t="s">
        <v>471</v>
      </c>
      <c r="B276" s="4" t="s">
        <v>422</v>
      </c>
      <c r="C276" s="4" t="s">
        <v>708</v>
      </c>
      <c r="D276" s="4" t="s">
        <v>704</v>
      </c>
      <c r="E276" s="4" t="s">
        <v>472</v>
      </c>
      <c r="F276" s="4"/>
      <c r="G276" s="27">
        <f>G277</f>
        <v>94589466.44999999</v>
      </c>
      <c r="H276" s="27">
        <f>H277</f>
        <v>94589406.82</v>
      </c>
      <c r="I276" s="153">
        <f t="shared" si="14"/>
        <v>0.9999993695915388</v>
      </c>
      <c r="L276" s="24"/>
    </row>
    <row r="277" spans="1:12" ht="47.25">
      <c r="A277" s="3" t="s">
        <v>746</v>
      </c>
      <c r="B277" s="4" t="s">
        <v>422</v>
      </c>
      <c r="C277" s="4" t="s">
        <v>708</v>
      </c>
      <c r="D277" s="4" t="s">
        <v>704</v>
      </c>
      <c r="E277" s="4" t="s">
        <v>472</v>
      </c>
      <c r="F277" s="4" t="s">
        <v>380</v>
      </c>
      <c r="G277" s="27">
        <f>50470710+20000000-1244124.98+3000000+22520081.43-157200</f>
        <v>94589466.44999999</v>
      </c>
      <c r="H277" s="27">
        <v>94589406.82</v>
      </c>
      <c r="I277" s="153">
        <f t="shared" si="14"/>
        <v>0.9999993695915388</v>
      </c>
      <c r="L277" s="24"/>
    </row>
    <row r="278" spans="1:9" ht="31.5">
      <c r="A278" s="3" t="s">
        <v>766</v>
      </c>
      <c r="B278" s="4" t="s">
        <v>422</v>
      </c>
      <c r="C278" s="4" t="s">
        <v>708</v>
      </c>
      <c r="D278" s="4" t="s">
        <v>704</v>
      </c>
      <c r="E278" s="4" t="s">
        <v>473</v>
      </c>
      <c r="F278" s="4"/>
      <c r="G278" s="27">
        <f>G279</f>
        <v>4711819.970000001</v>
      </c>
      <c r="H278" s="27">
        <f>H279</f>
        <v>4697042.6</v>
      </c>
      <c r="I278" s="153">
        <f t="shared" si="14"/>
        <v>0.996863765998258</v>
      </c>
    </row>
    <row r="279" spans="1:9" ht="47.25">
      <c r="A279" s="3" t="s">
        <v>746</v>
      </c>
      <c r="B279" s="4" t="s">
        <v>422</v>
      </c>
      <c r="C279" s="4" t="s">
        <v>708</v>
      </c>
      <c r="D279" s="4" t="s">
        <v>704</v>
      </c>
      <c r="E279" s="4" t="s">
        <v>473</v>
      </c>
      <c r="F279" s="4" t="s">
        <v>380</v>
      </c>
      <c r="G279" s="27">
        <f>2751290+747827+1244124.98-2653.54-28768.47</f>
        <v>4711819.970000001</v>
      </c>
      <c r="H279" s="27">
        <v>4697042.6</v>
      </c>
      <c r="I279" s="153">
        <f t="shared" si="14"/>
        <v>0.996863765998258</v>
      </c>
    </row>
    <row r="280" spans="1:9" ht="78.75">
      <c r="A280" s="3" t="s">
        <v>894</v>
      </c>
      <c r="B280" s="4" t="s">
        <v>422</v>
      </c>
      <c r="C280" s="4" t="s">
        <v>708</v>
      </c>
      <c r="D280" s="4" t="s">
        <v>704</v>
      </c>
      <c r="E280" s="4" t="s">
        <v>895</v>
      </c>
      <c r="F280" s="4"/>
      <c r="G280" s="27">
        <f>G281</f>
        <v>8849347.72</v>
      </c>
      <c r="H280" s="27">
        <f>H281</f>
        <v>7997112.64</v>
      </c>
      <c r="I280" s="153">
        <f t="shared" si="14"/>
        <v>0.9036951527993522</v>
      </c>
    </row>
    <row r="281" spans="1:9" ht="47.25">
      <c r="A281" s="3" t="s">
        <v>746</v>
      </c>
      <c r="B281" s="4" t="s">
        <v>422</v>
      </c>
      <c r="C281" s="4" t="s">
        <v>708</v>
      </c>
      <c r="D281" s="4" t="s">
        <v>704</v>
      </c>
      <c r="E281" s="4" t="s">
        <v>895</v>
      </c>
      <c r="F281" s="4" t="s">
        <v>380</v>
      </c>
      <c r="G281" s="27">
        <f>8873027.17-23679.45</f>
        <v>8849347.72</v>
      </c>
      <c r="H281" s="27">
        <v>7997112.64</v>
      </c>
      <c r="I281" s="153">
        <f t="shared" si="14"/>
        <v>0.9036951527993522</v>
      </c>
    </row>
    <row r="282" spans="1:9" ht="15.75">
      <c r="A282" s="1" t="s">
        <v>372</v>
      </c>
      <c r="B282" s="2" t="s">
        <v>422</v>
      </c>
      <c r="C282" s="2" t="s">
        <v>708</v>
      </c>
      <c r="D282" s="2" t="s">
        <v>706</v>
      </c>
      <c r="E282" s="2"/>
      <c r="F282" s="2"/>
      <c r="G282" s="30">
        <f aca="true" t="shared" si="15" ref="G282:H285">G283</f>
        <v>2249571.5</v>
      </c>
      <c r="H282" s="30">
        <f t="shared" si="15"/>
        <v>2168525.04</v>
      </c>
      <c r="I282" s="152">
        <f t="shared" si="14"/>
        <v>0.96397248987196</v>
      </c>
    </row>
    <row r="283" spans="1:9" ht="47.25">
      <c r="A283" s="3" t="s">
        <v>747</v>
      </c>
      <c r="B283" s="4" t="s">
        <v>422</v>
      </c>
      <c r="C283" s="4" t="s">
        <v>708</v>
      </c>
      <c r="D283" s="4" t="s">
        <v>706</v>
      </c>
      <c r="E283" s="4" t="s">
        <v>748</v>
      </c>
      <c r="F283" s="4"/>
      <c r="G283" s="27">
        <f t="shared" si="15"/>
        <v>2249571.5</v>
      </c>
      <c r="H283" s="27">
        <f t="shared" si="15"/>
        <v>2168525.04</v>
      </c>
      <c r="I283" s="153">
        <f t="shared" si="14"/>
        <v>0.96397248987196</v>
      </c>
    </row>
    <row r="284" spans="1:9" ht="63">
      <c r="A284" s="3" t="s">
        <v>749</v>
      </c>
      <c r="B284" s="4" t="s">
        <v>422</v>
      </c>
      <c r="C284" s="4" t="s">
        <v>708</v>
      </c>
      <c r="D284" s="4" t="s">
        <v>706</v>
      </c>
      <c r="E284" s="4" t="s">
        <v>750</v>
      </c>
      <c r="F284" s="4"/>
      <c r="G284" s="27">
        <f t="shared" si="15"/>
        <v>2249571.5</v>
      </c>
      <c r="H284" s="27">
        <f t="shared" si="15"/>
        <v>2168525.04</v>
      </c>
      <c r="I284" s="153">
        <f t="shared" si="14"/>
        <v>0.96397248987196</v>
      </c>
    </row>
    <row r="285" spans="1:9" ht="31.5">
      <c r="A285" s="3" t="s">
        <v>751</v>
      </c>
      <c r="B285" s="4" t="s">
        <v>422</v>
      </c>
      <c r="C285" s="4" t="s">
        <v>708</v>
      </c>
      <c r="D285" s="4" t="s">
        <v>706</v>
      </c>
      <c r="E285" s="4" t="s">
        <v>752</v>
      </c>
      <c r="F285" s="4"/>
      <c r="G285" s="27">
        <f t="shared" si="15"/>
        <v>2249571.5</v>
      </c>
      <c r="H285" s="27">
        <f t="shared" si="15"/>
        <v>2168525.04</v>
      </c>
      <c r="I285" s="153">
        <f t="shared" si="14"/>
        <v>0.96397248987196</v>
      </c>
    </row>
    <row r="286" spans="1:12" ht="47.25">
      <c r="A286" s="3" t="s">
        <v>746</v>
      </c>
      <c r="B286" s="4" t="s">
        <v>422</v>
      </c>
      <c r="C286" s="4" t="s">
        <v>708</v>
      </c>
      <c r="D286" s="4" t="s">
        <v>706</v>
      </c>
      <c r="E286" s="4" t="s">
        <v>752</v>
      </c>
      <c r="F286" s="4" t="s">
        <v>380</v>
      </c>
      <c r="G286" s="27">
        <f>2466000-45928.5-170500</f>
        <v>2249571.5</v>
      </c>
      <c r="H286" s="27">
        <v>2168525.04</v>
      </c>
      <c r="I286" s="153">
        <f t="shared" si="14"/>
        <v>0.96397248987196</v>
      </c>
      <c r="L286" s="24"/>
    </row>
    <row r="287" spans="1:9" ht="31.5">
      <c r="A287" s="1" t="s">
        <v>721</v>
      </c>
      <c r="B287" s="2" t="s">
        <v>422</v>
      </c>
      <c r="C287" s="2" t="s">
        <v>708</v>
      </c>
      <c r="D287" s="2" t="s">
        <v>375</v>
      </c>
      <c r="E287" s="2"/>
      <c r="F287" s="2"/>
      <c r="G287" s="30">
        <f>G288+G291</f>
        <v>9701137.36</v>
      </c>
      <c r="H287" s="30">
        <f>H288+H291</f>
        <v>9604915.919999998</v>
      </c>
      <c r="I287" s="152">
        <f t="shared" si="14"/>
        <v>0.9900814269060095</v>
      </c>
    </row>
    <row r="288" spans="1:9" ht="63">
      <c r="A288" s="3" t="s">
        <v>428</v>
      </c>
      <c r="B288" s="4" t="s">
        <v>422</v>
      </c>
      <c r="C288" s="4" t="s">
        <v>708</v>
      </c>
      <c r="D288" s="4" t="s">
        <v>375</v>
      </c>
      <c r="E288" s="4" t="s">
        <v>429</v>
      </c>
      <c r="F288" s="4"/>
      <c r="G288" s="27">
        <f>G289</f>
        <v>350000</v>
      </c>
      <c r="H288" s="27">
        <f>H289</f>
        <v>349500</v>
      </c>
      <c r="I288" s="153">
        <f t="shared" si="14"/>
        <v>0.9985714285714286</v>
      </c>
    </row>
    <row r="289" spans="1:9" ht="47.25">
      <c r="A289" s="3" t="s">
        <v>669</v>
      </c>
      <c r="B289" s="4" t="s">
        <v>422</v>
      </c>
      <c r="C289" s="4" t="s">
        <v>708</v>
      </c>
      <c r="D289" s="4" t="s">
        <v>375</v>
      </c>
      <c r="E289" s="4" t="s">
        <v>430</v>
      </c>
      <c r="F289" s="4"/>
      <c r="G289" s="27">
        <f>G290</f>
        <v>350000</v>
      </c>
      <c r="H289" s="27">
        <f>H290</f>
        <v>349500</v>
      </c>
      <c r="I289" s="153">
        <f t="shared" si="14"/>
        <v>0.9985714285714286</v>
      </c>
    </row>
    <row r="290" spans="1:9" ht="47.25">
      <c r="A290" s="3" t="s">
        <v>746</v>
      </c>
      <c r="B290" s="4" t="s">
        <v>422</v>
      </c>
      <c r="C290" s="4" t="s">
        <v>708</v>
      </c>
      <c r="D290" s="4" t="s">
        <v>375</v>
      </c>
      <c r="E290" s="4" t="s">
        <v>430</v>
      </c>
      <c r="F290" s="4" t="s">
        <v>380</v>
      </c>
      <c r="G290" s="27">
        <v>350000</v>
      </c>
      <c r="H290" s="27">
        <v>349500</v>
      </c>
      <c r="I290" s="153">
        <f t="shared" si="14"/>
        <v>0.9985714285714286</v>
      </c>
    </row>
    <row r="291" spans="1:9" ht="63">
      <c r="A291" s="25" t="s">
        <v>753</v>
      </c>
      <c r="B291" s="4" t="s">
        <v>422</v>
      </c>
      <c r="C291" s="4" t="s">
        <v>708</v>
      </c>
      <c r="D291" s="4" t="s">
        <v>375</v>
      </c>
      <c r="E291" s="4" t="s">
        <v>754</v>
      </c>
      <c r="F291" s="4"/>
      <c r="G291" s="27">
        <f>G295+G292</f>
        <v>9351137.36</v>
      </c>
      <c r="H291" s="27">
        <f>H295+H292</f>
        <v>9255415.919999998</v>
      </c>
      <c r="I291" s="153">
        <f t="shared" si="14"/>
        <v>0.9897636580113287</v>
      </c>
    </row>
    <row r="292" spans="1:9" ht="78.75">
      <c r="A292" s="25" t="s">
        <v>445</v>
      </c>
      <c r="B292" s="4" t="s">
        <v>422</v>
      </c>
      <c r="C292" s="4" t="s">
        <v>708</v>
      </c>
      <c r="D292" s="4" t="s">
        <v>375</v>
      </c>
      <c r="E292" s="4" t="s">
        <v>457</v>
      </c>
      <c r="F292" s="4"/>
      <c r="G292" s="27">
        <f>G293</f>
        <v>1701282.36</v>
      </c>
      <c r="H292" s="27">
        <f>H293</f>
        <v>1701282.36</v>
      </c>
      <c r="I292" s="153">
        <f t="shared" si="14"/>
        <v>1</v>
      </c>
    </row>
    <row r="293" spans="1:9" ht="31.5">
      <c r="A293" s="25" t="s">
        <v>523</v>
      </c>
      <c r="B293" s="4" t="s">
        <v>422</v>
      </c>
      <c r="C293" s="4" t="s">
        <v>708</v>
      </c>
      <c r="D293" s="4" t="s">
        <v>375</v>
      </c>
      <c r="E293" s="4" t="s">
        <v>458</v>
      </c>
      <c r="F293" s="4"/>
      <c r="G293" s="27">
        <f>G294</f>
        <v>1701282.36</v>
      </c>
      <c r="H293" s="27">
        <f>H294</f>
        <v>1701282.36</v>
      </c>
      <c r="I293" s="153">
        <f t="shared" si="14"/>
        <v>1</v>
      </c>
    </row>
    <row r="294" spans="1:12" ht="47.25">
      <c r="A294" s="3" t="s">
        <v>746</v>
      </c>
      <c r="B294" s="4" t="s">
        <v>422</v>
      </c>
      <c r="C294" s="4" t="s">
        <v>708</v>
      </c>
      <c r="D294" s="4" t="s">
        <v>375</v>
      </c>
      <c r="E294" s="4" t="s">
        <v>458</v>
      </c>
      <c r="F294" s="4" t="s">
        <v>380</v>
      </c>
      <c r="G294" s="27">
        <f>1797400-96117.64</f>
        <v>1701282.36</v>
      </c>
      <c r="H294" s="27">
        <f>1797400-96117.64</f>
        <v>1701282.36</v>
      </c>
      <c r="I294" s="153">
        <f t="shared" si="14"/>
        <v>1</v>
      </c>
      <c r="L294" s="24"/>
    </row>
    <row r="295" spans="1:9" ht="125.25" customHeight="1">
      <c r="A295" s="3" t="s">
        <v>453</v>
      </c>
      <c r="B295" s="4" t="s">
        <v>422</v>
      </c>
      <c r="C295" s="4" t="s">
        <v>708</v>
      </c>
      <c r="D295" s="4" t="s">
        <v>375</v>
      </c>
      <c r="E295" s="4" t="s">
        <v>454</v>
      </c>
      <c r="F295" s="4"/>
      <c r="G295" s="27">
        <f>G296+G300</f>
        <v>7649855</v>
      </c>
      <c r="H295" s="27">
        <f>H296+H300</f>
        <v>7554133.559999999</v>
      </c>
      <c r="I295" s="153">
        <f t="shared" si="14"/>
        <v>0.9874871562925047</v>
      </c>
    </row>
    <row r="296" spans="1:9" ht="125.25" customHeight="1">
      <c r="A296" s="3" t="s">
        <v>824</v>
      </c>
      <c r="B296" s="4" t="s">
        <v>422</v>
      </c>
      <c r="C296" s="4" t="s">
        <v>708</v>
      </c>
      <c r="D296" s="4" t="s">
        <v>375</v>
      </c>
      <c r="E296" s="4" t="s">
        <v>455</v>
      </c>
      <c r="F296" s="4"/>
      <c r="G296" s="27">
        <f>G297+G298+G299</f>
        <v>7460250.24</v>
      </c>
      <c r="H296" s="27">
        <f>H297+H298+H299</f>
        <v>7364528.799999999</v>
      </c>
      <c r="I296" s="153">
        <f t="shared" si="14"/>
        <v>0.9871691381762548</v>
      </c>
    </row>
    <row r="297" spans="1:9" ht="126">
      <c r="A297" s="3" t="s">
        <v>745</v>
      </c>
      <c r="B297" s="4" t="s">
        <v>422</v>
      </c>
      <c r="C297" s="4" t="s">
        <v>708</v>
      </c>
      <c r="D297" s="4" t="s">
        <v>375</v>
      </c>
      <c r="E297" s="4" t="s">
        <v>455</v>
      </c>
      <c r="F297" s="4" t="s">
        <v>379</v>
      </c>
      <c r="G297" s="27">
        <f>7008510-186495+110334.44+144.42</f>
        <v>6932493.86</v>
      </c>
      <c r="H297" s="27">
        <f>6813450.22+43720</f>
        <v>6857170.22</v>
      </c>
      <c r="I297" s="153">
        <f t="shared" si="14"/>
        <v>0.9891346979137461</v>
      </c>
    </row>
    <row r="298" spans="1:9" ht="47.25">
      <c r="A298" s="3" t="s">
        <v>746</v>
      </c>
      <c r="B298" s="4" t="s">
        <v>422</v>
      </c>
      <c r="C298" s="4" t="s">
        <v>708</v>
      </c>
      <c r="D298" s="4" t="s">
        <v>375</v>
      </c>
      <c r="E298" s="4" t="s">
        <v>455</v>
      </c>
      <c r="F298" s="4" t="s">
        <v>380</v>
      </c>
      <c r="G298" s="27">
        <v>482082</v>
      </c>
      <c r="H298" s="27">
        <f>48253.19+429050.12</f>
        <v>477303.31</v>
      </c>
      <c r="I298" s="153">
        <f t="shared" si="14"/>
        <v>0.9900873917715244</v>
      </c>
    </row>
    <row r="299" spans="1:9" ht="15.75">
      <c r="A299" s="3" t="s">
        <v>676</v>
      </c>
      <c r="B299" s="4" t="s">
        <v>422</v>
      </c>
      <c r="C299" s="4" t="s">
        <v>708</v>
      </c>
      <c r="D299" s="4" t="s">
        <v>375</v>
      </c>
      <c r="E299" s="4" t="s">
        <v>455</v>
      </c>
      <c r="F299" s="4" t="s">
        <v>383</v>
      </c>
      <c r="G299" s="27">
        <f>159263-113588.62</f>
        <v>45674.380000000005</v>
      </c>
      <c r="H299" s="27">
        <v>30055.27</v>
      </c>
      <c r="I299" s="153">
        <f t="shared" si="14"/>
        <v>0.6580334533276642</v>
      </c>
    </row>
    <row r="300" spans="1:9" ht="110.25">
      <c r="A300" s="3" t="s">
        <v>850</v>
      </c>
      <c r="B300" s="4" t="s">
        <v>422</v>
      </c>
      <c r="C300" s="4" t="s">
        <v>708</v>
      </c>
      <c r="D300" s="4" t="s">
        <v>375</v>
      </c>
      <c r="E300" s="4" t="s">
        <v>872</v>
      </c>
      <c r="F300" s="4"/>
      <c r="G300" s="27">
        <f>G301</f>
        <v>189604.76</v>
      </c>
      <c r="H300" s="27">
        <f>H301</f>
        <v>189604.76</v>
      </c>
      <c r="I300" s="153">
        <f t="shared" si="14"/>
        <v>1</v>
      </c>
    </row>
    <row r="301" spans="1:9" ht="126">
      <c r="A301" s="3" t="s">
        <v>858</v>
      </c>
      <c r="B301" s="4" t="s">
        <v>422</v>
      </c>
      <c r="C301" s="4" t="s">
        <v>708</v>
      </c>
      <c r="D301" s="4" t="s">
        <v>375</v>
      </c>
      <c r="E301" s="4" t="s">
        <v>872</v>
      </c>
      <c r="F301" s="4" t="s">
        <v>379</v>
      </c>
      <c r="G301" s="27">
        <f>186495+3109.76</f>
        <v>189604.76</v>
      </c>
      <c r="H301" s="27">
        <f>186495+3109.76</f>
        <v>189604.76</v>
      </c>
      <c r="I301" s="153">
        <f t="shared" si="14"/>
        <v>1</v>
      </c>
    </row>
    <row r="302" spans="1:9" ht="37.5">
      <c r="A302" s="8" t="s">
        <v>707</v>
      </c>
      <c r="B302" s="9" t="s">
        <v>422</v>
      </c>
      <c r="C302" s="9" t="s">
        <v>700</v>
      </c>
      <c r="D302" s="21"/>
      <c r="E302" s="21"/>
      <c r="F302" s="21"/>
      <c r="G302" s="26">
        <f>G352+G303+G321+G333</f>
        <v>201861462.12</v>
      </c>
      <c r="H302" s="26">
        <f>H352+H303+H321+H333</f>
        <v>198393347.06</v>
      </c>
      <c r="I302" s="154">
        <f t="shared" si="14"/>
        <v>0.9828193305271002</v>
      </c>
    </row>
    <row r="303" spans="1:9" ht="15.75">
      <c r="A303" s="1" t="s">
        <v>713</v>
      </c>
      <c r="B303" s="2" t="s">
        <v>422</v>
      </c>
      <c r="C303" s="2" t="s">
        <v>700</v>
      </c>
      <c r="D303" s="2" t="s">
        <v>698</v>
      </c>
      <c r="E303" s="2"/>
      <c r="F303" s="2"/>
      <c r="G303" s="27">
        <f>G304+G312</f>
        <v>34102704.44</v>
      </c>
      <c r="H303" s="27">
        <f>H304+H312</f>
        <v>31266871.47</v>
      </c>
      <c r="I303" s="153">
        <f t="shared" si="14"/>
        <v>0.9168443378152211</v>
      </c>
    </row>
    <row r="304" spans="1:9" ht="118.5" customHeight="1">
      <c r="A304" s="3" t="s">
        <v>391</v>
      </c>
      <c r="B304" s="4" t="s">
        <v>422</v>
      </c>
      <c r="C304" s="4" t="s">
        <v>700</v>
      </c>
      <c r="D304" s="4" t="s">
        <v>698</v>
      </c>
      <c r="E304" s="4" t="s">
        <v>392</v>
      </c>
      <c r="F304" s="4"/>
      <c r="G304" s="27">
        <f>G305</f>
        <v>25200984.8</v>
      </c>
      <c r="H304" s="27">
        <f>H305</f>
        <v>22378526.08</v>
      </c>
      <c r="I304" s="153">
        <f t="shared" si="14"/>
        <v>0.8880020466501768</v>
      </c>
    </row>
    <row r="305" spans="1:9" ht="47.25">
      <c r="A305" s="3" t="s">
        <v>667</v>
      </c>
      <c r="B305" s="4" t="s">
        <v>422</v>
      </c>
      <c r="C305" s="4" t="s">
        <v>700</v>
      </c>
      <c r="D305" s="4" t="s">
        <v>698</v>
      </c>
      <c r="E305" s="4" t="s">
        <v>668</v>
      </c>
      <c r="F305" s="4"/>
      <c r="G305" s="27">
        <f>G306+G308</f>
        <v>25200984.8</v>
      </c>
      <c r="H305" s="27">
        <f>H306+H308</f>
        <v>22378526.08</v>
      </c>
      <c r="I305" s="153">
        <f t="shared" si="14"/>
        <v>0.8880020466501768</v>
      </c>
    </row>
    <row r="306" spans="1:9" ht="47.25">
      <c r="A306" s="3" t="s">
        <v>669</v>
      </c>
      <c r="B306" s="4" t="s">
        <v>422</v>
      </c>
      <c r="C306" s="4" t="s">
        <v>700</v>
      </c>
      <c r="D306" s="4" t="s">
        <v>698</v>
      </c>
      <c r="E306" s="4" t="s">
        <v>670</v>
      </c>
      <c r="F306" s="4"/>
      <c r="G306" s="27">
        <f>G307</f>
        <v>18109355.71</v>
      </c>
      <c r="H306" s="27">
        <f>H307</f>
        <v>15286896.99</v>
      </c>
      <c r="I306" s="153">
        <f t="shared" si="14"/>
        <v>0.8441436147592243</v>
      </c>
    </row>
    <row r="307" spans="1:12" ht="47.25">
      <c r="A307" s="3" t="s">
        <v>746</v>
      </c>
      <c r="B307" s="4" t="s">
        <v>422</v>
      </c>
      <c r="C307" s="4" t="s">
        <v>700</v>
      </c>
      <c r="D307" s="4" t="s">
        <v>698</v>
      </c>
      <c r="E307" s="4" t="s">
        <v>670</v>
      </c>
      <c r="F307" s="4" t="s">
        <v>380</v>
      </c>
      <c r="G307" s="27">
        <f>23732000+1106272.12-7091629.09+463616-100903.32</f>
        <v>18109355.71</v>
      </c>
      <c r="H307" s="27">
        <v>15286896.99</v>
      </c>
      <c r="I307" s="153">
        <f t="shared" si="14"/>
        <v>0.8441436147592243</v>
      </c>
      <c r="L307" s="24"/>
    </row>
    <row r="308" spans="1:9" ht="54.75" customHeight="1">
      <c r="A308" s="3" t="s">
        <v>905</v>
      </c>
      <c r="B308" s="4" t="s">
        <v>422</v>
      </c>
      <c r="C308" s="4" t="s">
        <v>700</v>
      </c>
      <c r="D308" s="4" t="s">
        <v>698</v>
      </c>
      <c r="E308" s="4" t="s">
        <v>904</v>
      </c>
      <c r="F308" s="4"/>
      <c r="G308" s="27">
        <f>G309</f>
        <v>7091629.09</v>
      </c>
      <c r="H308" s="27">
        <f>H309</f>
        <v>7091629.09</v>
      </c>
      <c r="I308" s="153">
        <f t="shared" si="14"/>
        <v>1</v>
      </c>
    </row>
    <row r="309" spans="1:9" ht="63">
      <c r="A309" s="3" t="s">
        <v>770</v>
      </c>
      <c r="B309" s="4" t="s">
        <v>422</v>
      </c>
      <c r="C309" s="4" t="s">
        <v>700</v>
      </c>
      <c r="D309" s="4" t="s">
        <v>698</v>
      </c>
      <c r="E309" s="4" t="s">
        <v>904</v>
      </c>
      <c r="F309" s="4" t="s">
        <v>384</v>
      </c>
      <c r="G309" s="27">
        <v>7091629.09</v>
      </c>
      <c r="H309" s="27">
        <v>7091629.09</v>
      </c>
      <c r="I309" s="153">
        <f t="shared" si="14"/>
        <v>1</v>
      </c>
    </row>
    <row r="310" spans="1:9" ht="15.75" customHeight="1" hidden="1">
      <c r="A310" s="3"/>
      <c r="B310" s="4"/>
      <c r="C310" s="4"/>
      <c r="D310" s="4"/>
      <c r="E310" s="4"/>
      <c r="F310" s="4"/>
      <c r="G310" s="27"/>
      <c r="H310" s="27"/>
      <c r="I310" s="153" t="e">
        <f t="shared" si="14"/>
        <v>#DIV/0!</v>
      </c>
    </row>
    <row r="311" spans="1:9" ht="15.75" customHeight="1" hidden="1">
      <c r="A311" s="3"/>
      <c r="B311" s="4"/>
      <c r="C311" s="4"/>
      <c r="D311" s="4"/>
      <c r="E311" s="4"/>
      <c r="F311" s="4"/>
      <c r="G311" s="27"/>
      <c r="H311" s="27"/>
      <c r="I311" s="153" t="e">
        <f t="shared" si="14"/>
        <v>#DIV/0!</v>
      </c>
    </row>
    <row r="312" spans="1:9" ht="63">
      <c r="A312" s="3" t="s">
        <v>428</v>
      </c>
      <c r="B312" s="4" t="s">
        <v>422</v>
      </c>
      <c r="C312" s="4" t="s">
        <v>700</v>
      </c>
      <c r="D312" s="4" t="s">
        <v>698</v>
      </c>
      <c r="E312" s="4" t="s">
        <v>429</v>
      </c>
      <c r="F312" s="4"/>
      <c r="G312" s="27">
        <f>G313+G315+G317+G319</f>
        <v>8901719.64</v>
      </c>
      <c r="H312" s="27">
        <f>H313+H315+H317+H319</f>
        <v>8888345.39</v>
      </c>
      <c r="I312" s="153">
        <f t="shared" si="14"/>
        <v>0.9984975655782392</v>
      </c>
    </row>
    <row r="313" spans="1:9" ht="31.5">
      <c r="A313" s="3" t="s">
        <v>766</v>
      </c>
      <c r="B313" s="4" t="s">
        <v>422</v>
      </c>
      <c r="C313" s="4" t="s">
        <v>700</v>
      </c>
      <c r="D313" s="4" t="s">
        <v>698</v>
      </c>
      <c r="E313" s="4" t="s">
        <v>431</v>
      </c>
      <c r="F313" s="4"/>
      <c r="G313" s="27">
        <f>G314</f>
        <v>3189219.96</v>
      </c>
      <c r="H313" s="27">
        <f>H314</f>
        <v>3189219.96</v>
      </c>
      <c r="I313" s="153">
        <f t="shared" si="14"/>
        <v>1</v>
      </c>
    </row>
    <row r="314" spans="1:9" ht="47.25">
      <c r="A314" s="3" t="s">
        <v>746</v>
      </c>
      <c r="B314" s="4" t="s">
        <v>422</v>
      </c>
      <c r="C314" s="4" t="s">
        <v>700</v>
      </c>
      <c r="D314" s="4" t="s">
        <v>698</v>
      </c>
      <c r="E314" s="4" t="s">
        <v>431</v>
      </c>
      <c r="F314" s="4" t="s">
        <v>380</v>
      </c>
      <c r="G314" s="27">
        <f>1295750+85012.77+1911739.19-103282</f>
        <v>3189219.96</v>
      </c>
      <c r="H314" s="27">
        <f>1295750+85012.77+1911739.19-103282</f>
        <v>3189219.96</v>
      </c>
      <c r="I314" s="153">
        <f t="shared" si="14"/>
        <v>1</v>
      </c>
    </row>
    <row r="315" spans="1:9" ht="63">
      <c r="A315" s="3" t="s">
        <v>434</v>
      </c>
      <c r="B315" s="4" t="s">
        <v>422</v>
      </c>
      <c r="C315" s="4" t="s">
        <v>700</v>
      </c>
      <c r="D315" s="4" t="s">
        <v>698</v>
      </c>
      <c r="E315" s="4" t="s">
        <v>435</v>
      </c>
      <c r="F315" s="4"/>
      <c r="G315" s="27">
        <f>G316</f>
        <v>50000</v>
      </c>
      <c r="H315" s="27">
        <f>H316</f>
        <v>36625.75</v>
      </c>
      <c r="I315" s="153">
        <f t="shared" si="14"/>
        <v>0.732515</v>
      </c>
    </row>
    <row r="316" spans="1:9" ht="31.5">
      <c r="A316" s="3" t="s">
        <v>680</v>
      </c>
      <c r="B316" s="4" t="s">
        <v>422</v>
      </c>
      <c r="C316" s="4" t="s">
        <v>700</v>
      </c>
      <c r="D316" s="4" t="s">
        <v>698</v>
      </c>
      <c r="E316" s="4" t="s">
        <v>435</v>
      </c>
      <c r="F316" s="4" t="s">
        <v>681</v>
      </c>
      <c r="G316" s="27">
        <v>50000</v>
      </c>
      <c r="H316" s="27">
        <v>36625.75</v>
      </c>
      <c r="I316" s="153">
        <f t="shared" si="14"/>
        <v>0.732515</v>
      </c>
    </row>
    <row r="317" spans="1:9" ht="110.25">
      <c r="A317" s="3" t="s">
        <v>636</v>
      </c>
      <c r="B317" s="4" t="s">
        <v>422</v>
      </c>
      <c r="C317" s="4" t="s">
        <v>700</v>
      </c>
      <c r="D317" s="4" t="s">
        <v>698</v>
      </c>
      <c r="E317" s="4" t="s">
        <v>637</v>
      </c>
      <c r="F317" s="4"/>
      <c r="G317" s="27">
        <f>G318</f>
        <v>309629.96</v>
      </c>
      <c r="H317" s="27">
        <f>H318</f>
        <v>309629.96</v>
      </c>
      <c r="I317" s="153">
        <f t="shared" si="14"/>
        <v>1</v>
      </c>
    </row>
    <row r="318" spans="1:9" ht="31.5">
      <c r="A318" s="3" t="s">
        <v>680</v>
      </c>
      <c r="B318" s="4" t="s">
        <v>422</v>
      </c>
      <c r="C318" s="4" t="s">
        <v>700</v>
      </c>
      <c r="D318" s="4" t="s">
        <v>698</v>
      </c>
      <c r="E318" s="4" t="s">
        <v>637</v>
      </c>
      <c r="F318" s="4" t="s">
        <v>681</v>
      </c>
      <c r="G318" s="27">
        <v>309629.96</v>
      </c>
      <c r="H318" s="27">
        <v>309629.96</v>
      </c>
      <c r="I318" s="153">
        <f t="shared" si="14"/>
        <v>1</v>
      </c>
    </row>
    <row r="319" spans="1:9" ht="110.25">
      <c r="A319" s="3" t="s">
        <v>641</v>
      </c>
      <c r="B319" s="4" t="s">
        <v>422</v>
      </c>
      <c r="C319" s="4" t="s">
        <v>700</v>
      </c>
      <c r="D319" s="4" t="s">
        <v>698</v>
      </c>
      <c r="E319" s="4" t="s">
        <v>642</v>
      </c>
      <c r="F319" s="4"/>
      <c r="G319" s="27">
        <f>G320</f>
        <v>5352869.72</v>
      </c>
      <c r="H319" s="27">
        <f>H320</f>
        <v>5352869.72</v>
      </c>
      <c r="I319" s="153">
        <f t="shared" si="14"/>
        <v>1</v>
      </c>
    </row>
    <row r="320" spans="1:9" ht="47.25">
      <c r="A320" s="3" t="s">
        <v>746</v>
      </c>
      <c r="B320" s="4" t="s">
        <v>422</v>
      </c>
      <c r="C320" s="4" t="s">
        <v>700</v>
      </c>
      <c r="D320" s="4" t="s">
        <v>698</v>
      </c>
      <c r="E320" s="4" t="s">
        <v>642</v>
      </c>
      <c r="F320" s="4" t="s">
        <v>380</v>
      </c>
      <c r="G320" s="27">
        <v>5352869.72</v>
      </c>
      <c r="H320" s="27">
        <v>5352869.72</v>
      </c>
      <c r="I320" s="153">
        <f t="shared" si="14"/>
        <v>1</v>
      </c>
    </row>
    <row r="321" spans="1:9" ht="15.75">
      <c r="A321" s="1" t="s">
        <v>373</v>
      </c>
      <c r="B321" s="2" t="s">
        <v>422</v>
      </c>
      <c r="C321" s="2" t="s">
        <v>700</v>
      </c>
      <c r="D321" s="2" t="s">
        <v>703</v>
      </c>
      <c r="E321" s="2"/>
      <c r="F321" s="2"/>
      <c r="G321" s="30">
        <f>G322</f>
        <v>36051441.45</v>
      </c>
      <c r="H321" s="30">
        <f>H322</f>
        <v>36050361.77</v>
      </c>
      <c r="I321" s="152">
        <f t="shared" si="14"/>
        <v>0.9999700516829126</v>
      </c>
    </row>
    <row r="322" spans="1:9" ht="127.5" customHeight="1">
      <c r="A322" s="3" t="s">
        <v>391</v>
      </c>
      <c r="B322" s="4" t="s">
        <v>422</v>
      </c>
      <c r="C322" s="4" t="s">
        <v>700</v>
      </c>
      <c r="D322" s="4" t="s">
        <v>703</v>
      </c>
      <c r="E322" s="4" t="s">
        <v>392</v>
      </c>
      <c r="F322" s="4"/>
      <c r="G322" s="27">
        <f>G323+G328</f>
        <v>36051441.45</v>
      </c>
      <c r="H322" s="27">
        <f>H323+H328</f>
        <v>36050361.77</v>
      </c>
      <c r="I322" s="153">
        <f t="shared" si="14"/>
        <v>0.9999700516829126</v>
      </c>
    </row>
    <row r="323" spans="1:9" ht="100.5" customHeight="1">
      <c r="A323" s="3" t="s">
        <v>817</v>
      </c>
      <c r="B323" s="4" t="s">
        <v>422</v>
      </c>
      <c r="C323" s="4" t="s">
        <v>700</v>
      </c>
      <c r="D323" s="4" t="s">
        <v>703</v>
      </c>
      <c r="E323" s="4" t="s">
        <v>818</v>
      </c>
      <c r="F323" s="4"/>
      <c r="G323" s="27">
        <f>G324+G326</f>
        <v>6961079.46</v>
      </c>
      <c r="H323" s="27">
        <f>H324+H326</f>
        <v>6959999.779999999</v>
      </c>
      <c r="I323" s="153">
        <f t="shared" si="14"/>
        <v>0.9998448976187954</v>
      </c>
    </row>
    <row r="324" spans="1:9" ht="47.25">
      <c r="A324" s="3" t="s">
        <v>671</v>
      </c>
      <c r="B324" s="4" t="s">
        <v>422</v>
      </c>
      <c r="C324" s="4" t="s">
        <v>700</v>
      </c>
      <c r="D324" s="4" t="s">
        <v>703</v>
      </c>
      <c r="E324" s="4" t="s">
        <v>672</v>
      </c>
      <c r="F324" s="4"/>
      <c r="G324" s="27">
        <f>G325</f>
        <v>3844252.6900000004</v>
      </c>
      <c r="H324" s="27">
        <f>H325</f>
        <v>3843173.01</v>
      </c>
      <c r="I324" s="153">
        <f t="shared" si="14"/>
        <v>0.9997191443728949</v>
      </c>
    </row>
    <row r="325" spans="1:12" ht="47.25">
      <c r="A325" s="3" t="s">
        <v>746</v>
      </c>
      <c r="B325" s="4" t="s">
        <v>422</v>
      </c>
      <c r="C325" s="4" t="s">
        <v>700</v>
      </c>
      <c r="D325" s="4" t="s">
        <v>703</v>
      </c>
      <c r="E325" s="4" t="s">
        <v>672</v>
      </c>
      <c r="F325" s="4" t="s">
        <v>380</v>
      </c>
      <c r="G325" s="27">
        <f>2423469+960701.16+486199.95-26117.42</f>
        <v>3844252.6900000004</v>
      </c>
      <c r="H325" s="27">
        <v>3843173.01</v>
      </c>
      <c r="I325" s="153">
        <f t="shared" si="14"/>
        <v>0.9997191443728949</v>
      </c>
      <c r="L325" s="24"/>
    </row>
    <row r="326" spans="1:9" ht="31.5">
      <c r="A326" s="3" t="s">
        <v>766</v>
      </c>
      <c r="B326" s="4" t="s">
        <v>422</v>
      </c>
      <c r="C326" s="4" t="s">
        <v>700</v>
      </c>
      <c r="D326" s="4" t="s">
        <v>703</v>
      </c>
      <c r="E326" s="4" t="s">
        <v>846</v>
      </c>
      <c r="F326" s="4"/>
      <c r="G326" s="27">
        <f>G327</f>
        <v>3116826.7699999996</v>
      </c>
      <c r="H326" s="27">
        <f>H327</f>
        <v>3116826.7699999996</v>
      </c>
      <c r="I326" s="153">
        <f t="shared" si="14"/>
        <v>1</v>
      </c>
    </row>
    <row r="327" spans="1:12" ht="47.25">
      <c r="A327" s="3" t="s">
        <v>746</v>
      </c>
      <c r="B327" s="4" t="s">
        <v>422</v>
      </c>
      <c r="C327" s="4" t="s">
        <v>700</v>
      </c>
      <c r="D327" s="4" t="s">
        <v>703</v>
      </c>
      <c r="E327" s="4" t="s">
        <v>846</v>
      </c>
      <c r="F327" s="4" t="s">
        <v>380</v>
      </c>
      <c r="G327" s="27">
        <f>5800000-960701.16-1106272.12-616199.95</f>
        <v>3116826.7699999996</v>
      </c>
      <c r="H327" s="27">
        <f>5800000-960701.16-1106272.12-616199.95</f>
        <v>3116826.7699999996</v>
      </c>
      <c r="I327" s="153">
        <f t="shared" si="14"/>
        <v>1</v>
      </c>
      <c r="L327" s="24"/>
    </row>
    <row r="328" spans="1:9" ht="78.75">
      <c r="A328" s="3" t="s">
        <v>819</v>
      </c>
      <c r="B328" s="4" t="s">
        <v>422</v>
      </c>
      <c r="C328" s="4" t="s">
        <v>700</v>
      </c>
      <c r="D328" s="4" t="s">
        <v>703</v>
      </c>
      <c r="E328" s="4" t="s">
        <v>820</v>
      </c>
      <c r="F328" s="4"/>
      <c r="G328" s="27">
        <f>G329+G331</f>
        <v>29090361.990000002</v>
      </c>
      <c r="H328" s="27">
        <f>H329+H331</f>
        <v>29090361.990000002</v>
      </c>
      <c r="I328" s="153">
        <f t="shared" si="14"/>
        <v>1</v>
      </c>
    </row>
    <row r="329" spans="1:9" ht="31.5">
      <c r="A329" s="3" t="s">
        <v>766</v>
      </c>
      <c r="B329" s="4" t="s">
        <v>422</v>
      </c>
      <c r="C329" s="4" t="s">
        <v>700</v>
      </c>
      <c r="D329" s="4" t="s">
        <v>703</v>
      </c>
      <c r="E329" s="4" t="s">
        <v>821</v>
      </c>
      <c r="F329" s="4"/>
      <c r="G329" s="27">
        <f>G330</f>
        <v>2430510.75</v>
      </c>
      <c r="H329" s="27">
        <f>H330</f>
        <v>2430510.75</v>
      </c>
      <c r="I329" s="153">
        <f t="shared" si="14"/>
        <v>1</v>
      </c>
    </row>
    <row r="330" spans="1:12" ht="47.25">
      <c r="A330" s="3" t="s">
        <v>746</v>
      </c>
      <c r="B330" s="4" t="s">
        <v>422</v>
      </c>
      <c r="C330" s="4" t="s">
        <v>700</v>
      </c>
      <c r="D330" s="4" t="s">
        <v>703</v>
      </c>
      <c r="E330" s="4" t="s">
        <v>821</v>
      </c>
      <c r="F330" s="4" t="s">
        <v>380</v>
      </c>
      <c r="G330" s="27">
        <f>1756480+30000+96117.64+169709.19+395633.7-17429.78</f>
        <v>2430510.75</v>
      </c>
      <c r="H330" s="27">
        <f>1756480+30000+96117.64+169709.19+395633.7-17429.78</f>
        <v>2430510.75</v>
      </c>
      <c r="I330" s="153">
        <f t="shared" si="14"/>
        <v>1</v>
      </c>
      <c r="L330" s="24"/>
    </row>
    <row r="331" spans="1:9" ht="31.5">
      <c r="A331" s="3" t="s">
        <v>822</v>
      </c>
      <c r="B331" s="4" t="s">
        <v>422</v>
      </c>
      <c r="C331" s="4" t="s">
        <v>700</v>
      </c>
      <c r="D331" s="4" t="s">
        <v>703</v>
      </c>
      <c r="E331" s="4" t="s">
        <v>823</v>
      </c>
      <c r="F331" s="4"/>
      <c r="G331" s="27">
        <f>G332</f>
        <v>26659851.240000002</v>
      </c>
      <c r="H331" s="27">
        <f>H332</f>
        <v>26659851.240000002</v>
      </c>
      <c r="I331" s="153">
        <f aca="true" t="shared" si="16" ref="I331:I394">H331/G331</f>
        <v>1</v>
      </c>
    </row>
    <row r="332" spans="1:12" ht="30.75" customHeight="1">
      <c r="A332" s="3" t="s">
        <v>676</v>
      </c>
      <c r="B332" s="4" t="s">
        <v>422</v>
      </c>
      <c r="C332" s="4" t="s">
        <v>700</v>
      </c>
      <c r="D332" s="4" t="s">
        <v>703</v>
      </c>
      <c r="E332" s="4" t="s">
        <v>823</v>
      </c>
      <c r="F332" s="4" t="s">
        <v>383</v>
      </c>
      <c r="G332" s="27">
        <f>29717321-240467.98-7809.36-168305.45-362609.63-45013.91-30000-1297945.03-702054.97-201263.43-2000</f>
        <v>26659851.240000002</v>
      </c>
      <c r="H332" s="27">
        <f>29717321-240467.98-7809.36-168305.45-362609.63-45013.91-30000-1297945.03-702054.97-201263.43-2000</f>
        <v>26659851.240000002</v>
      </c>
      <c r="I332" s="153">
        <f t="shared" si="16"/>
        <v>1</v>
      </c>
      <c r="L332" s="24"/>
    </row>
    <row r="333" spans="1:9" ht="15.75">
      <c r="A333" s="1" t="s">
        <v>684</v>
      </c>
      <c r="B333" s="2" t="s">
        <v>422</v>
      </c>
      <c r="C333" s="2" t="s">
        <v>700</v>
      </c>
      <c r="D333" s="2" t="s">
        <v>705</v>
      </c>
      <c r="E333" s="2"/>
      <c r="F333" s="2"/>
      <c r="G333" s="30">
        <f>G334</f>
        <v>36075022.67</v>
      </c>
      <c r="H333" s="30">
        <f>H334</f>
        <v>35972245.980000004</v>
      </c>
      <c r="I333" s="152">
        <f t="shared" si="16"/>
        <v>0.9971510290945578</v>
      </c>
    </row>
    <row r="334" spans="1:9" ht="101.25" customHeight="1">
      <c r="A334" s="3" t="s">
        <v>391</v>
      </c>
      <c r="B334" s="4" t="s">
        <v>422</v>
      </c>
      <c r="C334" s="4" t="s">
        <v>700</v>
      </c>
      <c r="D334" s="4" t="s">
        <v>705</v>
      </c>
      <c r="E334" s="4" t="s">
        <v>392</v>
      </c>
      <c r="F334" s="4"/>
      <c r="G334" s="27">
        <f>G335</f>
        <v>36075022.67</v>
      </c>
      <c r="H334" s="27">
        <f>H335</f>
        <v>35972245.980000004</v>
      </c>
      <c r="I334" s="153">
        <f t="shared" si="16"/>
        <v>0.9971510290945578</v>
      </c>
    </row>
    <row r="335" spans="1:9" ht="67.5" customHeight="1">
      <c r="A335" s="3" t="s">
        <v>826</v>
      </c>
      <c r="B335" s="4" t="s">
        <v>422</v>
      </c>
      <c r="C335" s="4" t="s">
        <v>700</v>
      </c>
      <c r="D335" s="4" t="s">
        <v>705</v>
      </c>
      <c r="E335" s="4" t="s">
        <v>827</v>
      </c>
      <c r="F335" s="4"/>
      <c r="G335" s="27">
        <f>G336+G338+G340+G342+G344+G346+G348+G350</f>
        <v>36075022.67</v>
      </c>
      <c r="H335" s="27">
        <f>H336+H338+H340+H342+H344+H346+H348+H350</f>
        <v>35972245.980000004</v>
      </c>
      <c r="I335" s="153">
        <f t="shared" si="16"/>
        <v>0.9971510290945578</v>
      </c>
    </row>
    <row r="336" spans="1:9" ht="47.25">
      <c r="A336" s="3" t="s">
        <v>828</v>
      </c>
      <c r="B336" s="4" t="s">
        <v>422</v>
      </c>
      <c r="C336" s="4" t="s">
        <v>700</v>
      </c>
      <c r="D336" s="4" t="s">
        <v>705</v>
      </c>
      <c r="E336" s="4" t="s">
        <v>829</v>
      </c>
      <c r="F336" s="4"/>
      <c r="G336" s="27">
        <f>G337</f>
        <v>12943311.3</v>
      </c>
      <c r="H336" s="27">
        <f>H337</f>
        <v>12942256.33</v>
      </c>
      <c r="I336" s="153">
        <f t="shared" si="16"/>
        <v>0.9999184930366312</v>
      </c>
    </row>
    <row r="337" spans="1:9" ht="47.25">
      <c r="A337" s="3" t="s">
        <v>746</v>
      </c>
      <c r="B337" s="4" t="s">
        <v>422</v>
      </c>
      <c r="C337" s="4" t="s">
        <v>700</v>
      </c>
      <c r="D337" s="4" t="s">
        <v>705</v>
      </c>
      <c r="E337" s="4" t="s">
        <v>829</v>
      </c>
      <c r="F337" s="4" t="s">
        <v>380</v>
      </c>
      <c r="G337" s="27">
        <f>10775110+373646.15+991596.86+702054.97+100903.32</f>
        <v>12943311.3</v>
      </c>
      <c r="H337" s="27">
        <v>12942256.33</v>
      </c>
      <c r="I337" s="153">
        <f t="shared" si="16"/>
        <v>0.9999184930366312</v>
      </c>
    </row>
    <row r="338" spans="1:9" ht="63">
      <c r="A338" s="3" t="s">
        <v>832</v>
      </c>
      <c r="B338" s="4" t="s">
        <v>422</v>
      </c>
      <c r="C338" s="4" t="s">
        <v>700</v>
      </c>
      <c r="D338" s="4" t="s">
        <v>705</v>
      </c>
      <c r="E338" s="4" t="s">
        <v>833</v>
      </c>
      <c r="F338" s="4"/>
      <c r="G338" s="27">
        <f>G339</f>
        <v>14257972.870000001</v>
      </c>
      <c r="H338" s="27">
        <f>H339</f>
        <v>14205910.2</v>
      </c>
      <c r="I338" s="153">
        <f t="shared" si="16"/>
        <v>0.9963485222987382</v>
      </c>
    </row>
    <row r="339" spans="1:12" ht="47.25">
      <c r="A339" s="3" t="s">
        <v>746</v>
      </c>
      <c r="B339" s="4" t="s">
        <v>422</v>
      </c>
      <c r="C339" s="4" t="s">
        <v>700</v>
      </c>
      <c r="D339" s="4" t="s">
        <v>705</v>
      </c>
      <c r="E339" s="4" t="s">
        <v>833</v>
      </c>
      <c r="F339" s="4" t="s">
        <v>380</v>
      </c>
      <c r="G339" s="27">
        <f>8943561+658100+948600+250000+1761468.75+1696243.12</f>
        <v>14257972.870000001</v>
      </c>
      <c r="H339" s="27">
        <v>14205910.2</v>
      </c>
      <c r="I339" s="153">
        <f t="shared" si="16"/>
        <v>0.9963485222987382</v>
      </c>
      <c r="L339" s="24"/>
    </row>
    <row r="340" spans="1:9" ht="47.25">
      <c r="A340" s="3" t="s">
        <v>834</v>
      </c>
      <c r="B340" s="4" t="s">
        <v>422</v>
      </c>
      <c r="C340" s="4" t="s">
        <v>700</v>
      </c>
      <c r="D340" s="4" t="s">
        <v>705</v>
      </c>
      <c r="E340" s="4" t="s">
        <v>835</v>
      </c>
      <c r="F340" s="4"/>
      <c r="G340" s="27">
        <f>G341</f>
        <v>832000</v>
      </c>
      <c r="H340" s="27">
        <f>H341</f>
        <v>831756.88</v>
      </c>
      <c r="I340" s="153">
        <f t="shared" si="16"/>
        <v>0.9997077884615385</v>
      </c>
    </row>
    <row r="341" spans="1:9" ht="47.25">
      <c r="A341" s="3" t="s">
        <v>746</v>
      </c>
      <c r="B341" s="4" t="s">
        <v>422</v>
      </c>
      <c r="C341" s="4" t="s">
        <v>700</v>
      </c>
      <c r="D341" s="4" t="s">
        <v>705</v>
      </c>
      <c r="E341" s="4" t="s">
        <v>835</v>
      </c>
      <c r="F341" s="4" t="s">
        <v>380</v>
      </c>
      <c r="G341" s="27">
        <v>832000</v>
      </c>
      <c r="H341" s="27">
        <v>831756.88</v>
      </c>
      <c r="I341" s="153">
        <f t="shared" si="16"/>
        <v>0.9997077884615385</v>
      </c>
    </row>
    <row r="342" spans="1:9" ht="47.25" customHeight="1" hidden="1">
      <c r="A342" s="3" t="s">
        <v>669</v>
      </c>
      <c r="B342" s="4" t="s">
        <v>422</v>
      </c>
      <c r="C342" s="4" t="s">
        <v>700</v>
      </c>
      <c r="D342" s="4" t="s">
        <v>705</v>
      </c>
      <c r="E342" s="4" t="s">
        <v>836</v>
      </c>
      <c r="F342" s="4"/>
      <c r="G342" s="27">
        <f>G343</f>
        <v>0</v>
      </c>
      <c r="H342" s="27">
        <f>H343</f>
        <v>0</v>
      </c>
      <c r="I342" s="153" t="e">
        <f t="shared" si="16"/>
        <v>#DIV/0!</v>
      </c>
    </row>
    <row r="343" spans="1:12" ht="47.25" customHeight="1" hidden="1">
      <c r="A343" s="3" t="s">
        <v>746</v>
      </c>
      <c r="B343" s="4" t="s">
        <v>422</v>
      </c>
      <c r="C343" s="4" t="s">
        <v>700</v>
      </c>
      <c r="D343" s="4" t="s">
        <v>705</v>
      </c>
      <c r="E343" s="4" t="s">
        <v>836</v>
      </c>
      <c r="F343" s="4" t="s">
        <v>380</v>
      </c>
      <c r="G343" s="27">
        <f>2663530-373646.15-329298.95-1761468.75-199116.15</f>
        <v>0</v>
      </c>
      <c r="H343" s="27">
        <f>2663530-373646.15-329298.95-1761468.75-199116.15</f>
        <v>0</v>
      </c>
      <c r="I343" s="153" t="e">
        <f t="shared" si="16"/>
        <v>#DIV/0!</v>
      </c>
      <c r="L343" s="24"/>
    </row>
    <row r="344" spans="1:9" ht="47.25" customHeight="1" hidden="1">
      <c r="A344" s="3" t="s">
        <v>671</v>
      </c>
      <c r="B344" s="4" t="s">
        <v>422</v>
      </c>
      <c r="C344" s="4" t="s">
        <v>700</v>
      </c>
      <c r="D344" s="4" t="s">
        <v>705</v>
      </c>
      <c r="E344" s="4" t="s">
        <v>837</v>
      </c>
      <c r="F344" s="4"/>
      <c r="G344" s="27">
        <f>G345</f>
        <v>0</v>
      </c>
      <c r="H344" s="27">
        <f>H345</f>
        <v>0</v>
      </c>
      <c r="I344" s="153" t="e">
        <f t="shared" si="16"/>
        <v>#DIV/0!</v>
      </c>
    </row>
    <row r="345" spans="1:12" ht="47.25" customHeight="1" hidden="1">
      <c r="A345" s="3" t="s">
        <v>746</v>
      </c>
      <c r="B345" s="4" t="s">
        <v>422</v>
      </c>
      <c r="C345" s="4" t="s">
        <v>700</v>
      </c>
      <c r="D345" s="4" t="s">
        <v>705</v>
      </c>
      <c r="E345" s="4" t="s">
        <v>837</v>
      </c>
      <c r="F345" s="4" t="s">
        <v>380</v>
      </c>
      <c r="G345" s="27">
        <f>750000-250000-154112.36-311926.23-33961.41</f>
        <v>0</v>
      </c>
      <c r="H345" s="27">
        <f>750000-250000-154112.36-311926.23-33961.41</f>
        <v>0</v>
      </c>
      <c r="I345" s="153" t="e">
        <f t="shared" si="16"/>
        <v>#DIV/0!</v>
      </c>
      <c r="L345" s="24"/>
    </row>
    <row r="346" spans="1:9" ht="31.5">
      <c r="A346" s="3" t="s">
        <v>766</v>
      </c>
      <c r="B346" s="4" t="s">
        <v>422</v>
      </c>
      <c r="C346" s="4" t="s">
        <v>700</v>
      </c>
      <c r="D346" s="4" t="s">
        <v>705</v>
      </c>
      <c r="E346" s="4" t="s">
        <v>838</v>
      </c>
      <c r="F346" s="4"/>
      <c r="G346" s="27">
        <f>G347</f>
        <v>8041738.5</v>
      </c>
      <c r="H346" s="27">
        <f>H347</f>
        <v>7992322.57</v>
      </c>
      <c r="I346" s="153">
        <f t="shared" si="16"/>
        <v>0.9938550687764841</v>
      </c>
    </row>
    <row r="347" spans="1:12" ht="47.25">
      <c r="A347" s="3" t="s">
        <v>746</v>
      </c>
      <c r="B347" s="4" t="s">
        <v>422</v>
      </c>
      <c r="C347" s="4" t="s">
        <v>700</v>
      </c>
      <c r="D347" s="4" t="s">
        <v>705</v>
      </c>
      <c r="E347" s="4" t="s">
        <v>838</v>
      </c>
      <c r="F347" s="4" t="s">
        <v>380</v>
      </c>
      <c r="G347" s="27">
        <f>5258364+2842730+329298.95-991596.86+199116.15-1696243.12-978221.96+1550000+311926.23+1297945.03-85012.77+33961.41-30528.56</f>
        <v>8041738.5</v>
      </c>
      <c r="H347" s="27">
        <v>7992322.57</v>
      </c>
      <c r="I347" s="153">
        <f t="shared" si="16"/>
        <v>0.9938550687764841</v>
      </c>
      <c r="L347" s="24"/>
    </row>
    <row r="348" spans="1:9" ht="110.25" customHeight="1" hidden="1">
      <c r="A348" s="3" t="s">
        <v>839</v>
      </c>
      <c r="B348" s="4" t="s">
        <v>422</v>
      </c>
      <c r="C348" s="4" t="s">
        <v>700</v>
      </c>
      <c r="D348" s="4" t="s">
        <v>705</v>
      </c>
      <c r="E348" s="4" t="s">
        <v>840</v>
      </c>
      <c r="F348" s="4"/>
      <c r="G348" s="27">
        <f>G349</f>
        <v>0</v>
      </c>
      <c r="H348" s="27">
        <f>H349</f>
        <v>0</v>
      </c>
      <c r="I348" s="152" t="e">
        <f t="shared" si="16"/>
        <v>#DIV/0!</v>
      </c>
    </row>
    <row r="349" spans="1:9" ht="15.75" customHeight="1" hidden="1">
      <c r="A349" s="3" t="s">
        <v>676</v>
      </c>
      <c r="B349" s="4" t="s">
        <v>422</v>
      </c>
      <c r="C349" s="4" t="s">
        <v>700</v>
      </c>
      <c r="D349" s="4" t="s">
        <v>705</v>
      </c>
      <c r="E349" s="4" t="s">
        <v>840</v>
      </c>
      <c r="F349" s="4" t="s">
        <v>383</v>
      </c>
      <c r="G349" s="27"/>
      <c r="H349" s="27"/>
      <c r="I349" s="152" t="e">
        <f t="shared" si="16"/>
        <v>#DIV/0!</v>
      </c>
    </row>
    <row r="350" spans="1:9" ht="110.25" customHeight="1" hidden="1">
      <c r="A350" s="3" t="s">
        <v>841</v>
      </c>
      <c r="B350" s="4" t="s">
        <v>422</v>
      </c>
      <c r="C350" s="4" t="s">
        <v>700</v>
      </c>
      <c r="D350" s="4" t="s">
        <v>705</v>
      </c>
      <c r="E350" s="4" t="s">
        <v>842</v>
      </c>
      <c r="F350" s="4"/>
      <c r="G350" s="27">
        <f>G351</f>
        <v>0</v>
      </c>
      <c r="H350" s="27">
        <f>H351</f>
        <v>0</v>
      </c>
      <c r="I350" s="152" t="e">
        <f t="shared" si="16"/>
        <v>#DIV/0!</v>
      </c>
    </row>
    <row r="351" spans="1:9" ht="15.75" customHeight="1" hidden="1">
      <c r="A351" s="3" t="s">
        <v>676</v>
      </c>
      <c r="B351" s="4" t="s">
        <v>422</v>
      </c>
      <c r="C351" s="4" t="s">
        <v>700</v>
      </c>
      <c r="D351" s="4" t="s">
        <v>705</v>
      </c>
      <c r="E351" s="4" t="s">
        <v>842</v>
      </c>
      <c r="F351" s="4" t="s">
        <v>383</v>
      </c>
      <c r="G351" s="27"/>
      <c r="H351" s="27"/>
      <c r="I351" s="152" t="e">
        <f t="shared" si="16"/>
        <v>#DIV/0!</v>
      </c>
    </row>
    <row r="352" spans="1:9" ht="47.25">
      <c r="A352" s="1" t="s">
        <v>725</v>
      </c>
      <c r="B352" s="2" t="s">
        <v>422</v>
      </c>
      <c r="C352" s="2" t="s">
        <v>700</v>
      </c>
      <c r="D352" s="2" t="s">
        <v>700</v>
      </c>
      <c r="E352" s="4"/>
      <c r="F352" s="4"/>
      <c r="G352" s="30">
        <f>G364+G353</f>
        <v>95632293.56</v>
      </c>
      <c r="H352" s="30">
        <f>H364+H353</f>
        <v>95103867.84</v>
      </c>
      <c r="I352" s="152">
        <f t="shared" si="16"/>
        <v>0.9944744008500804</v>
      </c>
    </row>
    <row r="353" spans="1:9" ht="116.25" customHeight="1">
      <c r="A353" s="3" t="s">
        <v>391</v>
      </c>
      <c r="B353" s="4" t="s">
        <v>422</v>
      </c>
      <c r="C353" s="4" t="s">
        <v>700</v>
      </c>
      <c r="D353" s="4" t="s">
        <v>700</v>
      </c>
      <c r="E353" s="4" t="s">
        <v>392</v>
      </c>
      <c r="F353" s="4"/>
      <c r="G353" s="27">
        <f>G354+G357</f>
        <v>20816287.84</v>
      </c>
      <c r="H353" s="27">
        <f>H354+H357</f>
        <v>20287862.119999997</v>
      </c>
      <c r="I353" s="153">
        <f t="shared" si="16"/>
        <v>0.9746147956801119</v>
      </c>
    </row>
    <row r="354" spans="1:9" ht="78.75">
      <c r="A354" s="3" t="s">
        <v>819</v>
      </c>
      <c r="B354" s="4" t="s">
        <v>422</v>
      </c>
      <c r="C354" s="4" t="s">
        <v>700</v>
      </c>
      <c r="D354" s="4" t="s">
        <v>700</v>
      </c>
      <c r="E354" s="4" t="s">
        <v>820</v>
      </c>
      <c r="F354" s="4"/>
      <c r="G354" s="27">
        <f>G355</f>
        <v>5743368.59</v>
      </c>
      <c r="H354" s="27">
        <f>H355</f>
        <v>5743368.59</v>
      </c>
      <c r="I354" s="153">
        <f t="shared" si="16"/>
        <v>1</v>
      </c>
    </row>
    <row r="355" spans="1:9" ht="110.25">
      <c r="A355" s="3" t="s">
        <v>824</v>
      </c>
      <c r="B355" s="4" t="s">
        <v>422</v>
      </c>
      <c r="C355" s="4" t="s">
        <v>700</v>
      </c>
      <c r="D355" s="4" t="s">
        <v>700</v>
      </c>
      <c r="E355" s="4" t="s">
        <v>825</v>
      </c>
      <c r="F355" s="4"/>
      <c r="G355" s="27">
        <f>G356</f>
        <v>5743368.59</v>
      </c>
      <c r="H355" s="27">
        <f>H356</f>
        <v>5743368.59</v>
      </c>
      <c r="I355" s="153">
        <f t="shared" si="16"/>
        <v>1</v>
      </c>
    </row>
    <row r="356" spans="1:12" ht="63">
      <c r="A356" s="3" t="s">
        <v>770</v>
      </c>
      <c r="B356" s="4" t="s">
        <v>422</v>
      </c>
      <c r="C356" s="4" t="s">
        <v>700</v>
      </c>
      <c r="D356" s="4" t="s">
        <v>700</v>
      </c>
      <c r="E356" s="4" t="s">
        <v>825</v>
      </c>
      <c r="F356" s="4" t="s">
        <v>384</v>
      </c>
      <c r="G356" s="27">
        <f>6652456-909087.41</f>
        <v>5743368.59</v>
      </c>
      <c r="H356" s="27">
        <f>6652456-909087.41</f>
        <v>5743368.59</v>
      </c>
      <c r="I356" s="153">
        <f t="shared" si="16"/>
        <v>1</v>
      </c>
      <c r="L356" s="24"/>
    </row>
    <row r="357" spans="1:9" ht="63">
      <c r="A357" s="3" t="s">
        <v>843</v>
      </c>
      <c r="B357" s="4" t="s">
        <v>422</v>
      </c>
      <c r="C357" s="4" t="s">
        <v>700</v>
      </c>
      <c r="D357" s="4" t="s">
        <v>700</v>
      </c>
      <c r="E357" s="4" t="s">
        <v>844</v>
      </c>
      <c r="F357" s="4"/>
      <c r="G357" s="27">
        <f>G358+G362</f>
        <v>15072919.25</v>
      </c>
      <c r="H357" s="27">
        <f>H358+H362</f>
        <v>14544493.53</v>
      </c>
      <c r="I357" s="153">
        <f t="shared" si="16"/>
        <v>0.9649420453174656</v>
      </c>
    </row>
    <row r="358" spans="1:9" ht="110.25">
      <c r="A358" s="3" t="s">
        <v>650</v>
      </c>
      <c r="B358" s="4" t="s">
        <v>422</v>
      </c>
      <c r="C358" s="4" t="s">
        <v>700</v>
      </c>
      <c r="D358" s="4" t="s">
        <v>700</v>
      </c>
      <c r="E358" s="4" t="s">
        <v>845</v>
      </c>
      <c r="F358" s="4"/>
      <c r="G358" s="27">
        <f>G359+G360+G361</f>
        <v>14784369.26</v>
      </c>
      <c r="H358" s="27">
        <f>H359+H360+H361</f>
        <v>14255943.54</v>
      </c>
      <c r="I358" s="153">
        <f t="shared" si="16"/>
        <v>0.9642578110227747</v>
      </c>
    </row>
    <row r="359" spans="1:12" ht="126">
      <c r="A359" s="3" t="s">
        <v>745</v>
      </c>
      <c r="B359" s="4" t="s">
        <v>422</v>
      </c>
      <c r="C359" s="4" t="s">
        <v>700</v>
      </c>
      <c r="D359" s="4" t="s">
        <v>700</v>
      </c>
      <c r="E359" s="4" t="s">
        <v>845</v>
      </c>
      <c r="F359" s="4" t="s">
        <v>379</v>
      </c>
      <c r="G359" s="27">
        <f>11285687-110000-300000+220000+1521416.26</f>
        <v>12617103.26</v>
      </c>
      <c r="H359" s="27">
        <f>12442095.53+4500</f>
        <v>12446595.53</v>
      </c>
      <c r="I359" s="153">
        <f t="shared" si="16"/>
        <v>0.9864859844223863</v>
      </c>
      <c r="L359" s="24"/>
    </row>
    <row r="360" spans="1:9" ht="47.25">
      <c r="A360" s="3" t="s">
        <v>746</v>
      </c>
      <c r="B360" s="4" t="s">
        <v>422</v>
      </c>
      <c r="C360" s="4" t="s">
        <v>700</v>
      </c>
      <c r="D360" s="4" t="s">
        <v>700</v>
      </c>
      <c r="E360" s="4" t="s">
        <v>845</v>
      </c>
      <c r="F360" s="4" t="s">
        <v>380</v>
      </c>
      <c r="G360" s="27">
        <f>877266-16306.93</f>
        <v>860959.07</v>
      </c>
      <c r="H360" s="27">
        <f>133288.28+679752.8</f>
        <v>813041.0800000001</v>
      </c>
      <c r="I360" s="153">
        <f t="shared" si="16"/>
        <v>0.9443434750039861</v>
      </c>
    </row>
    <row r="361" spans="1:12" ht="47.25" customHeight="1">
      <c r="A361" s="3" t="s">
        <v>676</v>
      </c>
      <c r="B361" s="4" t="s">
        <v>422</v>
      </c>
      <c r="C361" s="4" t="s">
        <v>700</v>
      </c>
      <c r="D361" s="4" t="s">
        <v>700</v>
      </c>
      <c r="E361" s="4" t="s">
        <v>845</v>
      </c>
      <c r="F361" s="4" t="s">
        <v>383</v>
      </c>
      <c r="G361" s="27">
        <f>300000+16306.93+80000+300000+300000+10000+300000</f>
        <v>1306306.93</v>
      </c>
      <c r="H361" s="27">
        <f>96306.93+900000</f>
        <v>996306.9299999999</v>
      </c>
      <c r="I361" s="153">
        <f t="shared" si="16"/>
        <v>0.7626897684757746</v>
      </c>
      <c r="L361" s="24"/>
    </row>
    <row r="362" spans="1:9" ht="110.25">
      <c r="A362" s="3" t="s">
        <v>850</v>
      </c>
      <c r="B362" s="4" t="s">
        <v>422</v>
      </c>
      <c r="C362" s="4" t="s">
        <v>700</v>
      </c>
      <c r="D362" s="4" t="s">
        <v>700</v>
      </c>
      <c r="E362" s="4" t="s">
        <v>873</v>
      </c>
      <c r="F362" s="4"/>
      <c r="G362" s="27">
        <f>G363</f>
        <v>288549.99</v>
      </c>
      <c r="H362" s="27">
        <f>H363</f>
        <v>288549.99</v>
      </c>
      <c r="I362" s="153">
        <f t="shared" si="16"/>
        <v>1</v>
      </c>
    </row>
    <row r="363" spans="1:12" ht="126">
      <c r="A363" s="3" t="s">
        <v>858</v>
      </c>
      <c r="B363" s="4" t="s">
        <v>422</v>
      </c>
      <c r="C363" s="4" t="s">
        <v>700</v>
      </c>
      <c r="D363" s="4" t="s">
        <v>700</v>
      </c>
      <c r="E363" s="4" t="s">
        <v>873</v>
      </c>
      <c r="F363" s="4" t="s">
        <v>379</v>
      </c>
      <c r="G363" s="27">
        <f>110000+130000+48549.99</f>
        <v>288549.99</v>
      </c>
      <c r="H363" s="27">
        <f>110000+130000+48549.99</f>
        <v>288549.99</v>
      </c>
      <c r="I363" s="153">
        <f t="shared" si="16"/>
        <v>1</v>
      </c>
      <c r="L363" s="24"/>
    </row>
    <row r="364" spans="1:9" ht="88.5" customHeight="1">
      <c r="A364" s="25" t="s">
        <v>753</v>
      </c>
      <c r="B364" s="4" t="s">
        <v>422</v>
      </c>
      <c r="C364" s="4" t="s">
        <v>700</v>
      </c>
      <c r="D364" s="4" t="s">
        <v>700</v>
      </c>
      <c r="E364" s="4" t="s">
        <v>754</v>
      </c>
      <c r="F364" s="4"/>
      <c r="G364" s="27">
        <f aca="true" t="shared" si="17" ref="G364:H366">G365</f>
        <v>74816005.72</v>
      </c>
      <c r="H364" s="27">
        <f t="shared" si="17"/>
        <v>74816005.72</v>
      </c>
      <c r="I364" s="153">
        <f t="shared" si="16"/>
        <v>1</v>
      </c>
    </row>
    <row r="365" spans="1:9" ht="78.75">
      <c r="A365" s="3" t="s">
        <v>402</v>
      </c>
      <c r="B365" s="4" t="s">
        <v>422</v>
      </c>
      <c r="C365" s="4" t="s">
        <v>700</v>
      </c>
      <c r="D365" s="4" t="s">
        <v>700</v>
      </c>
      <c r="E365" s="4" t="s">
        <v>403</v>
      </c>
      <c r="F365" s="4"/>
      <c r="G365" s="27">
        <f t="shared" si="17"/>
        <v>74816005.72</v>
      </c>
      <c r="H365" s="27">
        <f t="shared" si="17"/>
        <v>74816005.72</v>
      </c>
      <c r="I365" s="153">
        <f t="shared" si="16"/>
        <v>1</v>
      </c>
    </row>
    <row r="366" spans="1:9" ht="104.25" customHeight="1">
      <c r="A366" s="3" t="s">
        <v>404</v>
      </c>
      <c r="B366" s="4" t="s">
        <v>422</v>
      </c>
      <c r="C366" s="4" t="s">
        <v>700</v>
      </c>
      <c r="D366" s="4" t="s">
        <v>700</v>
      </c>
      <c r="E366" s="4" t="s">
        <v>405</v>
      </c>
      <c r="F366" s="4"/>
      <c r="G366" s="27">
        <f t="shared" si="17"/>
        <v>74816005.72</v>
      </c>
      <c r="H366" s="27">
        <f t="shared" si="17"/>
        <v>74816005.72</v>
      </c>
      <c r="I366" s="153">
        <f t="shared" si="16"/>
        <v>1</v>
      </c>
    </row>
    <row r="367" spans="1:9" ht="63">
      <c r="A367" s="3" t="s">
        <v>406</v>
      </c>
      <c r="B367" s="4" t="s">
        <v>422</v>
      </c>
      <c r="C367" s="4" t="s">
        <v>700</v>
      </c>
      <c r="D367" s="4" t="s">
        <v>700</v>
      </c>
      <c r="E367" s="4" t="s">
        <v>405</v>
      </c>
      <c r="F367" s="4" t="s">
        <v>738</v>
      </c>
      <c r="G367" s="27">
        <f>66452430+8363575.72</f>
        <v>74816005.72</v>
      </c>
      <c r="H367" s="27">
        <f>66452430+8363575.72</f>
        <v>74816005.72</v>
      </c>
      <c r="I367" s="153">
        <f t="shared" si="16"/>
        <v>1</v>
      </c>
    </row>
    <row r="368" spans="1:9" ht="15.75">
      <c r="A368" s="11" t="s">
        <v>386</v>
      </c>
      <c r="B368" s="5" t="s">
        <v>422</v>
      </c>
      <c r="C368" s="5" t="s">
        <v>699</v>
      </c>
      <c r="D368" s="5"/>
      <c r="E368" s="5"/>
      <c r="F368" s="5"/>
      <c r="G368" s="26">
        <f>G373+G369</f>
        <v>859086.3700000001</v>
      </c>
      <c r="H368" s="26">
        <f>H373+H369</f>
        <v>859086.3700000001</v>
      </c>
      <c r="I368" s="154">
        <f t="shared" si="16"/>
        <v>1</v>
      </c>
    </row>
    <row r="369" spans="1:9" ht="62.25" customHeight="1">
      <c r="A369" s="1" t="s">
        <v>638</v>
      </c>
      <c r="B369" s="2" t="s">
        <v>422</v>
      </c>
      <c r="C369" s="2" t="s">
        <v>699</v>
      </c>
      <c r="D369" s="2" t="s">
        <v>705</v>
      </c>
      <c r="E369" s="2"/>
      <c r="F369" s="2"/>
      <c r="G369" s="30">
        <f aca="true" t="shared" si="18" ref="G369:H371">G370</f>
        <v>310168.31</v>
      </c>
      <c r="H369" s="30">
        <f t="shared" si="18"/>
        <v>310168.31</v>
      </c>
      <c r="I369" s="152">
        <f t="shared" si="16"/>
        <v>1</v>
      </c>
    </row>
    <row r="370" spans="1:9" ht="63">
      <c r="A370" s="3" t="s">
        <v>362</v>
      </c>
      <c r="B370" s="4" t="s">
        <v>422</v>
      </c>
      <c r="C370" s="4" t="s">
        <v>699</v>
      </c>
      <c r="D370" s="4" t="s">
        <v>705</v>
      </c>
      <c r="E370" s="4" t="s">
        <v>363</v>
      </c>
      <c r="F370" s="2"/>
      <c r="G370" s="27">
        <f t="shared" si="18"/>
        <v>310168.31</v>
      </c>
      <c r="H370" s="27">
        <f t="shared" si="18"/>
        <v>310168.31</v>
      </c>
      <c r="I370" s="153">
        <f t="shared" si="16"/>
        <v>1</v>
      </c>
    </row>
    <row r="371" spans="1:9" ht="162.75" customHeight="1">
      <c r="A371" s="3" t="s">
        <v>639</v>
      </c>
      <c r="B371" s="4" t="s">
        <v>422</v>
      </c>
      <c r="C371" s="4" t="s">
        <v>699</v>
      </c>
      <c r="D371" s="4" t="s">
        <v>705</v>
      </c>
      <c r="E371" s="4" t="s">
        <v>640</v>
      </c>
      <c r="F371" s="4"/>
      <c r="G371" s="27">
        <f t="shared" si="18"/>
        <v>310168.31</v>
      </c>
      <c r="H371" s="27">
        <f t="shared" si="18"/>
        <v>310168.31</v>
      </c>
      <c r="I371" s="153">
        <f t="shared" si="16"/>
        <v>1</v>
      </c>
    </row>
    <row r="372" spans="1:9" ht="47.25">
      <c r="A372" s="3" t="s">
        <v>746</v>
      </c>
      <c r="B372" s="4" t="s">
        <v>422</v>
      </c>
      <c r="C372" s="4" t="s">
        <v>699</v>
      </c>
      <c r="D372" s="4" t="s">
        <v>705</v>
      </c>
      <c r="E372" s="4" t="s">
        <v>640</v>
      </c>
      <c r="F372" s="4" t="s">
        <v>380</v>
      </c>
      <c r="G372" s="27">
        <v>310168.31</v>
      </c>
      <c r="H372" s="27">
        <v>310168.31</v>
      </c>
      <c r="I372" s="153">
        <f t="shared" si="16"/>
        <v>1</v>
      </c>
    </row>
    <row r="373" spans="1:9" ht="31.5">
      <c r="A373" s="1" t="s">
        <v>387</v>
      </c>
      <c r="B373" s="2" t="s">
        <v>422</v>
      </c>
      <c r="C373" s="2" t="s">
        <v>699</v>
      </c>
      <c r="D373" s="2" t="s">
        <v>700</v>
      </c>
      <c r="E373" s="2"/>
      <c r="F373" s="2"/>
      <c r="G373" s="30">
        <f aca="true" t="shared" si="19" ref="G373:H375">G374</f>
        <v>548918.06</v>
      </c>
      <c r="H373" s="30">
        <f t="shared" si="19"/>
        <v>548918.06</v>
      </c>
      <c r="I373" s="152">
        <f t="shared" si="16"/>
        <v>1</v>
      </c>
    </row>
    <row r="374" spans="1:9" ht="63">
      <c r="A374" s="3" t="s">
        <v>362</v>
      </c>
      <c r="B374" s="4" t="s">
        <v>422</v>
      </c>
      <c r="C374" s="4" t="s">
        <v>699</v>
      </c>
      <c r="D374" s="4" t="s">
        <v>700</v>
      </c>
      <c r="E374" s="4" t="s">
        <v>363</v>
      </c>
      <c r="F374" s="4"/>
      <c r="G374" s="27">
        <f t="shared" si="19"/>
        <v>548918.06</v>
      </c>
      <c r="H374" s="27">
        <f t="shared" si="19"/>
        <v>548918.06</v>
      </c>
      <c r="I374" s="153">
        <f t="shared" si="16"/>
        <v>1</v>
      </c>
    </row>
    <row r="375" spans="1:9" ht="31.5">
      <c r="A375" s="3" t="s">
        <v>766</v>
      </c>
      <c r="B375" s="4" t="s">
        <v>422</v>
      </c>
      <c r="C375" s="4" t="s">
        <v>699</v>
      </c>
      <c r="D375" s="4" t="s">
        <v>700</v>
      </c>
      <c r="E375" s="4" t="s">
        <v>364</v>
      </c>
      <c r="F375" s="4"/>
      <c r="G375" s="27">
        <f t="shared" si="19"/>
        <v>548918.06</v>
      </c>
      <c r="H375" s="27">
        <f t="shared" si="19"/>
        <v>548918.06</v>
      </c>
      <c r="I375" s="153">
        <f t="shared" si="16"/>
        <v>1</v>
      </c>
    </row>
    <row r="376" spans="1:12" ht="47.25">
      <c r="A376" s="3" t="s">
        <v>746</v>
      </c>
      <c r="B376" s="4" t="s">
        <v>422</v>
      </c>
      <c r="C376" s="4" t="s">
        <v>699</v>
      </c>
      <c r="D376" s="4" t="s">
        <v>700</v>
      </c>
      <c r="E376" s="4" t="s">
        <v>364</v>
      </c>
      <c r="F376" s="4" t="s">
        <v>380</v>
      </c>
      <c r="G376" s="27">
        <f>1020000-10000-450000-11081.94</f>
        <v>548918.06</v>
      </c>
      <c r="H376" s="27">
        <f>1020000-10000-450000-11081.94</f>
        <v>548918.06</v>
      </c>
      <c r="I376" s="153">
        <f t="shared" si="16"/>
        <v>1</v>
      </c>
      <c r="L376" s="24"/>
    </row>
    <row r="377" spans="1:9" ht="15.75">
      <c r="A377" s="11" t="s">
        <v>709</v>
      </c>
      <c r="B377" s="5" t="s">
        <v>422</v>
      </c>
      <c r="C377" s="5" t="s">
        <v>701</v>
      </c>
      <c r="D377" s="5"/>
      <c r="E377" s="5"/>
      <c r="F377" s="5"/>
      <c r="G377" s="26">
        <f>G378+G385</f>
        <v>340807502.75</v>
      </c>
      <c r="H377" s="26">
        <f>H378+H385</f>
        <v>222808511.5</v>
      </c>
      <c r="I377" s="154">
        <f t="shared" si="16"/>
        <v>0.6537664508619742</v>
      </c>
    </row>
    <row r="378" spans="1:9" ht="15.75">
      <c r="A378" s="1" t="s">
        <v>710</v>
      </c>
      <c r="B378" s="2" t="s">
        <v>422</v>
      </c>
      <c r="C378" s="2" t="s">
        <v>701</v>
      </c>
      <c r="D378" s="2" t="s">
        <v>698</v>
      </c>
      <c r="E378" s="2"/>
      <c r="F378" s="4"/>
      <c r="G378" s="30">
        <f>G379</f>
        <v>155467418.57</v>
      </c>
      <c r="H378" s="30">
        <f>H379</f>
        <v>136190307</v>
      </c>
      <c r="I378" s="152">
        <f t="shared" si="16"/>
        <v>0.8760054566589438</v>
      </c>
    </row>
    <row r="379" spans="1:9" ht="47.25">
      <c r="A379" s="3" t="s">
        <v>771</v>
      </c>
      <c r="B379" s="4" t="s">
        <v>422</v>
      </c>
      <c r="C379" s="4" t="s">
        <v>701</v>
      </c>
      <c r="D379" s="4" t="s">
        <v>698</v>
      </c>
      <c r="E379" s="4" t="s">
        <v>772</v>
      </c>
      <c r="F379" s="4"/>
      <c r="G379" s="27">
        <f>G380</f>
        <v>155467418.57</v>
      </c>
      <c r="H379" s="27">
        <f>H380</f>
        <v>136190307</v>
      </c>
      <c r="I379" s="153">
        <f t="shared" si="16"/>
        <v>0.8760054566589438</v>
      </c>
    </row>
    <row r="380" spans="1:9" ht="63">
      <c r="A380" s="3" t="s">
        <v>414</v>
      </c>
      <c r="B380" s="4" t="s">
        <v>422</v>
      </c>
      <c r="C380" s="4" t="s">
        <v>701</v>
      </c>
      <c r="D380" s="4" t="s">
        <v>698</v>
      </c>
      <c r="E380" s="4" t="s">
        <v>415</v>
      </c>
      <c r="F380" s="4"/>
      <c r="G380" s="27">
        <f>G383+G381</f>
        <v>155467418.57</v>
      </c>
      <c r="H380" s="27">
        <f>H383+H381</f>
        <v>136190307</v>
      </c>
      <c r="I380" s="153">
        <f t="shared" si="16"/>
        <v>0.8760054566589438</v>
      </c>
    </row>
    <row r="381" spans="1:9" ht="63">
      <c r="A381" s="3" t="s">
        <v>663</v>
      </c>
      <c r="B381" s="4" t="s">
        <v>422</v>
      </c>
      <c r="C381" s="4" t="s">
        <v>701</v>
      </c>
      <c r="D381" s="4" t="s">
        <v>698</v>
      </c>
      <c r="E381" s="4" t="s">
        <v>664</v>
      </c>
      <c r="F381" s="4"/>
      <c r="G381" s="27">
        <f>G382</f>
        <v>30717418.57</v>
      </c>
      <c r="H381" s="27">
        <f>H382</f>
        <v>11440307</v>
      </c>
      <c r="I381" s="153">
        <f t="shared" si="16"/>
        <v>0.37243712305867765</v>
      </c>
    </row>
    <row r="382" spans="1:12" ht="63">
      <c r="A382" s="3" t="s">
        <v>406</v>
      </c>
      <c r="B382" s="4" t="s">
        <v>422</v>
      </c>
      <c r="C382" s="4" t="s">
        <v>701</v>
      </c>
      <c r="D382" s="4" t="s">
        <v>698</v>
      </c>
      <c r="E382" s="4" t="s">
        <v>664</v>
      </c>
      <c r="F382" s="4" t="s">
        <v>738</v>
      </c>
      <c r="G382" s="27">
        <f>53237500-22520081.43</f>
        <v>30717418.57</v>
      </c>
      <c r="H382" s="27">
        <v>11440307</v>
      </c>
      <c r="I382" s="153">
        <f t="shared" si="16"/>
        <v>0.37243712305867765</v>
      </c>
      <c r="L382" s="24"/>
    </row>
    <row r="383" spans="1:9" ht="51" customHeight="1">
      <c r="A383" s="3" t="s">
        <v>896</v>
      </c>
      <c r="B383" s="4" t="s">
        <v>422</v>
      </c>
      <c r="C383" s="4" t="s">
        <v>701</v>
      </c>
      <c r="D383" s="4" t="s">
        <v>698</v>
      </c>
      <c r="E383" s="4" t="s">
        <v>897</v>
      </c>
      <c r="F383" s="4"/>
      <c r="G383" s="27">
        <f>G384</f>
        <v>124750000</v>
      </c>
      <c r="H383" s="27">
        <f>H384</f>
        <v>124750000</v>
      </c>
      <c r="I383" s="153">
        <f t="shared" si="16"/>
        <v>1</v>
      </c>
    </row>
    <row r="384" spans="1:9" ht="63">
      <c r="A384" s="3" t="s">
        <v>406</v>
      </c>
      <c r="B384" s="4" t="s">
        <v>422</v>
      </c>
      <c r="C384" s="4" t="s">
        <v>701</v>
      </c>
      <c r="D384" s="4" t="s">
        <v>698</v>
      </c>
      <c r="E384" s="4" t="s">
        <v>897</v>
      </c>
      <c r="F384" s="4" t="s">
        <v>738</v>
      </c>
      <c r="G384" s="27">
        <v>124750000</v>
      </c>
      <c r="H384" s="27">
        <v>124750000</v>
      </c>
      <c r="I384" s="153">
        <f t="shared" si="16"/>
        <v>1</v>
      </c>
    </row>
    <row r="385" spans="1:9" ht="15.75">
      <c r="A385" s="11" t="s">
        <v>711</v>
      </c>
      <c r="B385" s="5" t="s">
        <v>422</v>
      </c>
      <c r="C385" s="5" t="s">
        <v>701</v>
      </c>
      <c r="D385" s="5" t="s">
        <v>703</v>
      </c>
      <c r="E385" s="21"/>
      <c r="F385" s="21"/>
      <c r="G385" s="26">
        <f>G386</f>
        <v>185340084.18</v>
      </c>
      <c r="H385" s="26">
        <f>H386</f>
        <v>86618204.5</v>
      </c>
      <c r="I385" s="154">
        <f t="shared" si="16"/>
        <v>0.46734738943939114</v>
      </c>
    </row>
    <row r="386" spans="1:9" ht="47.25">
      <c r="A386" s="3" t="s">
        <v>771</v>
      </c>
      <c r="B386" s="4" t="s">
        <v>422</v>
      </c>
      <c r="C386" s="4" t="s">
        <v>701</v>
      </c>
      <c r="D386" s="4" t="s">
        <v>703</v>
      </c>
      <c r="E386" s="4" t="s">
        <v>772</v>
      </c>
      <c r="F386" s="4"/>
      <c r="G386" s="27">
        <f>G387</f>
        <v>185340084.18</v>
      </c>
      <c r="H386" s="27">
        <f>H387</f>
        <v>86618204.5</v>
      </c>
      <c r="I386" s="153">
        <f t="shared" si="16"/>
        <v>0.46734738943939114</v>
      </c>
    </row>
    <row r="387" spans="1:9" ht="63">
      <c r="A387" s="3" t="s">
        <v>414</v>
      </c>
      <c r="B387" s="4" t="s">
        <v>422</v>
      </c>
      <c r="C387" s="4" t="s">
        <v>701</v>
      </c>
      <c r="D387" s="4" t="s">
        <v>703</v>
      </c>
      <c r="E387" s="4" t="s">
        <v>415</v>
      </c>
      <c r="F387" s="4"/>
      <c r="G387" s="27">
        <f>G388+G390</f>
        <v>185340084.18</v>
      </c>
      <c r="H387" s="27">
        <f>H388+H390</f>
        <v>86618204.5</v>
      </c>
      <c r="I387" s="153">
        <f t="shared" si="16"/>
        <v>0.46734738943939114</v>
      </c>
    </row>
    <row r="388" spans="1:9" ht="63">
      <c r="A388" s="3" t="s">
        <v>663</v>
      </c>
      <c r="B388" s="4" t="s">
        <v>422</v>
      </c>
      <c r="C388" s="4" t="s">
        <v>701</v>
      </c>
      <c r="D388" s="4" t="s">
        <v>703</v>
      </c>
      <c r="E388" s="4" t="s">
        <v>664</v>
      </c>
      <c r="F388" s="4"/>
      <c r="G388" s="27">
        <f>G389</f>
        <v>156233600</v>
      </c>
      <c r="H388" s="27">
        <f>H389</f>
        <v>57511720.32</v>
      </c>
      <c r="I388" s="153">
        <f t="shared" si="16"/>
        <v>0.36811364725641604</v>
      </c>
    </row>
    <row r="389" spans="1:12" ht="63">
      <c r="A389" s="3" t="s">
        <v>406</v>
      </c>
      <c r="B389" s="4" t="s">
        <v>422</v>
      </c>
      <c r="C389" s="4" t="s">
        <v>701</v>
      </c>
      <c r="D389" s="4" t="s">
        <v>703</v>
      </c>
      <c r="E389" s="4" t="s">
        <v>664</v>
      </c>
      <c r="F389" s="4" t="s">
        <v>738</v>
      </c>
      <c r="G389" s="27">
        <f>78115022+29368978-2537663.72+51287263.72</f>
        <v>156233600</v>
      </c>
      <c r="H389" s="27">
        <f>57511720.32</f>
        <v>57511720.32</v>
      </c>
      <c r="I389" s="153">
        <f t="shared" si="16"/>
        <v>0.36811364725641604</v>
      </c>
      <c r="L389" s="24"/>
    </row>
    <row r="390" spans="1:9" ht="63">
      <c r="A390" s="3" t="s">
        <v>889</v>
      </c>
      <c r="B390" s="4" t="s">
        <v>422</v>
      </c>
      <c r="C390" s="4" t="s">
        <v>701</v>
      </c>
      <c r="D390" s="4" t="s">
        <v>703</v>
      </c>
      <c r="E390" s="4" t="s">
        <v>888</v>
      </c>
      <c r="F390" s="4"/>
      <c r="G390" s="27">
        <f>G391</f>
        <v>29106484.18</v>
      </c>
      <c r="H390" s="27">
        <f>H391</f>
        <v>29106484.18</v>
      </c>
      <c r="I390" s="153">
        <f t="shared" si="16"/>
        <v>1</v>
      </c>
    </row>
    <row r="391" spans="1:9" ht="63">
      <c r="A391" s="3" t="s">
        <v>406</v>
      </c>
      <c r="B391" s="4" t="s">
        <v>422</v>
      </c>
      <c r="C391" s="4" t="s">
        <v>701</v>
      </c>
      <c r="D391" s="4" t="s">
        <v>703</v>
      </c>
      <c r="E391" s="4" t="s">
        <v>888</v>
      </c>
      <c r="F391" s="4" t="s">
        <v>738</v>
      </c>
      <c r="G391" s="27">
        <v>29106484.18</v>
      </c>
      <c r="H391" s="27">
        <v>29106484.18</v>
      </c>
      <c r="I391" s="153">
        <f t="shared" si="16"/>
        <v>1</v>
      </c>
    </row>
    <row r="392" spans="1:9" ht="15.75">
      <c r="A392" s="11" t="s">
        <v>712</v>
      </c>
      <c r="B392" s="5" t="s">
        <v>422</v>
      </c>
      <c r="C392" s="5" t="s">
        <v>706</v>
      </c>
      <c r="D392" s="5"/>
      <c r="E392" s="5"/>
      <c r="F392" s="5"/>
      <c r="G392" s="26">
        <f aca="true" t="shared" si="20" ref="G392:H396">G393</f>
        <v>7881994.28</v>
      </c>
      <c r="H392" s="26">
        <f t="shared" si="20"/>
        <v>7881994.28</v>
      </c>
      <c r="I392" s="154">
        <f t="shared" si="16"/>
        <v>1</v>
      </c>
    </row>
    <row r="393" spans="1:9" ht="31.5">
      <c r="A393" s="1" t="s">
        <v>732</v>
      </c>
      <c r="B393" s="2" t="s">
        <v>422</v>
      </c>
      <c r="C393" s="2" t="s">
        <v>706</v>
      </c>
      <c r="D393" s="2" t="s">
        <v>699</v>
      </c>
      <c r="E393" s="2"/>
      <c r="F393" s="2"/>
      <c r="G393" s="30">
        <f t="shared" si="20"/>
        <v>7881994.28</v>
      </c>
      <c r="H393" s="30">
        <f t="shared" si="20"/>
        <v>7881994.28</v>
      </c>
      <c r="I393" s="152">
        <f t="shared" si="16"/>
        <v>1</v>
      </c>
    </row>
    <row r="394" spans="1:9" ht="92.25" customHeight="1">
      <c r="A394" s="25" t="s">
        <v>753</v>
      </c>
      <c r="B394" s="4" t="s">
        <v>422</v>
      </c>
      <c r="C394" s="4" t="s">
        <v>706</v>
      </c>
      <c r="D394" s="4" t="s">
        <v>699</v>
      </c>
      <c r="E394" s="4" t="s">
        <v>754</v>
      </c>
      <c r="F394" s="4"/>
      <c r="G394" s="27">
        <f t="shared" si="20"/>
        <v>7881994.28</v>
      </c>
      <c r="H394" s="27">
        <f t="shared" si="20"/>
        <v>7881994.28</v>
      </c>
      <c r="I394" s="153">
        <f t="shared" si="16"/>
        <v>1</v>
      </c>
    </row>
    <row r="395" spans="1:9" ht="112.5" customHeight="1">
      <c r="A395" s="3" t="s">
        <v>402</v>
      </c>
      <c r="B395" s="4" t="s">
        <v>422</v>
      </c>
      <c r="C395" s="4" t="s">
        <v>706</v>
      </c>
      <c r="D395" s="4" t="s">
        <v>699</v>
      </c>
      <c r="E395" s="4" t="s">
        <v>403</v>
      </c>
      <c r="F395" s="4"/>
      <c r="G395" s="27">
        <f t="shared" si="20"/>
        <v>7881994.28</v>
      </c>
      <c r="H395" s="27">
        <f t="shared" si="20"/>
        <v>7881994.28</v>
      </c>
      <c r="I395" s="153">
        <f aca="true" t="shared" si="21" ref="I395:I407">H395/G395</f>
        <v>1</v>
      </c>
    </row>
    <row r="396" spans="1:9" ht="63">
      <c r="A396" s="3" t="s">
        <v>404</v>
      </c>
      <c r="B396" s="4" t="s">
        <v>422</v>
      </c>
      <c r="C396" s="4" t="s">
        <v>706</v>
      </c>
      <c r="D396" s="4" t="s">
        <v>699</v>
      </c>
      <c r="E396" s="4" t="s">
        <v>405</v>
      </c>
      <c r="F396" s="4"/>
      <c r="G396" s="27">
        <f t="shared" si="20"/>
        <v>7881994.28</v>
      </c>
      <c r="H396" s="27">
        <f t="shared" si="20"/>
        <v>7881994.28</v>
      </c>
      <c r="I396" s="153">
        <f t="shared" si="21"/>
        <v>1</v>
      </c>
    </row>
    <row r="397" spans="1:9" ht="31.5">
      <c r="A397" s="55" t="s">
        <v>680</v>
      </c>
      <c r="B397" s="4" t="s">
        <v>422</v>
      </c>
      <c r="C397" s="4" t="s">
        <v>706</v>
      </c>
      <c r="D397" s="4" t="s">
        <v>699</v>
      </c>
      <c r="E397" s="4" t="s">
        <v>405</v>
      </c>
      <c r="F397" s="4" t="s">
        <v>681</v>
      </c>
      <c r="G397" s="27">
        <f>16245570-8363575.72</f>
        <v>7881994.28</v>
      </c>
      <c r="H397" s="27">
        <f>16245570-8363575.72</f>
        <v>7881994.28</v>
      </c>
      <c r="I397" s="153">
        <f t="shared" si="21"/>
        <v>1</v>
      </c>
    </row>
    <row r="398" spans="1:9" ht="15.75">
      <c r="A398" s="36" t="s">
        <v>525</v>
      </c>
      <c r="B398" s="5" t="s">
        <v>422</v>
      </c>
      <c r="C398" s="5" t="s">
        <v>528</v>
      </c>
      <c r="D398" s="5" t="s">
        <v>728</v>
      </c>
      <c r="E398" s="21"/>
      <c r="F398" s="21"/>
      <c r="G398" s="26">
        <f aca="true" t="shared" si="22" ref="G398:H400">G399</f>
        <v>2965800</v>
      </c>
      <c r="H398" s="26">
        <f t="shared" si="22"/>
        <v>2855075.58</v>
      </c>
      <c r="I398" s="154">
        <f t="shared" si="21"/>
        <v>0.9626662553105402</v>
      </c>
    </row>
    <row r="399" spans="1:9" ht="15.75">
      <c r="A399" s="45" t="s">
        <v>370</v>
      </c>
      <c r="B399" s="2" t="s">
        <v>422</v>
      </c>
      <c r="C399" s="2" t="s">
        <v>528</v>
      </c>
      <c r="D399" s="2" t="s">
        <v>698</v>
      </c>
      <c r="E399" s="4"/>
      <c r="F399" s="4"/>
      <c r="G399" s="30">
        <f t="shared" si="22"/>
        <v>2965800</v>
      </c>
      <c r="H399" s="30">
        <f t="shared" si="22"/>
        <v>2855075.58</v>
      </c>
      <c r="I399" s="152">
        <f t="shared" si="21"/>
        <v>0.9626662553105402</v>
      </c>
    </row>
    <row r="400" spans="1:9" ht="78.75">
      <c r="A400" s="25" t="s">
        <v>783</v>
      </c>
      <c r="B400" s="4" t="s">
        <v>422</v>
      </c>
      <c r="C400" s="4" t="s">
        <v>528</v>
      </c>
      <c r="D400" s="4" t="s">
        <v>698</v>
      </c>
      <c r="E400" s="4" t="s">
        <v>784</v>
      </c>
      <c r="F400" s="35"/>
      <c r="G400" s="27">
        <f t="shared" si="22"/>
        <v>2965800</v>
      </c>
      <c r="H400" s="27">
        <f t="shared" si="22"/>
        <v>2855075.58</v>
      </c>
      <c r="I400" s="153">
        <f t="shared" si="21"/>
        <v>0.9626662553105402</v>
      </c>
    </row>
    <row r="401" spans="1:9" ht="31.5">
      <c r="A401" s="25" t="s">
        <v>787</v>
      </c>
      <c r="B401" s="4" t="s">
        <v>422</v>
      </c>
      <c r="C401" s="4" t="s">
        <v>528</v>
      </c>
      <c r="D401" s="4" t="s">
        <v>698</v>
      </c>
      <c r="E401" s="4" t="s">
        <v>788</v>
      </c>
      <c r="F401" s="35"/>
      <c r="G401" s="27">
        <f>G402+G406+G404</f>
        <v>2965800</v>
      </c>
      <c r="H401" s="27">
        <f>H402+H406+H404</f>
        <v>2855075.58</v>
      </c>
      <c r="I401" s="153">
        <f t="shared" si="21"/>
        <v>0.9626662553105402</v>
      </c>
    </row>
    <row r="402" spans="1:9" ht="31.5">
      <c r="A402" s="25" t="s">
        <v>766</v>
      </c>
      <c r="B402" s="4" t="s">
        <v>422</v>
      </c>
      <c r="C402" s="4" t="s">
        <v>528</v>
      </c>
      <c r="D402" s="4" t="s">
        <v>698</v>
      </c>
      <c r="E402" s="4" t="s">
        <v>509</v>
      </c>
      <c r="F402" s="35"/>
      <c r="G402" s="27">
        <f>G403</f>
        <v>65800</v>
      </c>
      <c r="H402" s="27">
        <f>H403</f>
        <v>60262.93</v>
      </c>
      <c r="I402" s="153">
        <f t="shared" si="21"/>
        <v>0.91585</v>
      </c>
    </row>
    <row r="403" spans="1:9" ht="47.25">
      <c r="A403" s="3" t="s">
        <v>746</v>
      </c>
      <c r="B403" s="4" t="s">
        <v>422</v>
      </c>
      <c r="C403" s="4" t="s">
        <v>528</v>
      </c>
      <c r="D403" s="4" t="s">
        <v>698</v>
      </c>
      <c r="E403" s="4" t="s">
        <v>509</v>
      </c>
      <c r="F403" s="4" t="s">
        <v>380</v>
      </c>
      <c r="G403" s="27">
        <f>2000000-350000+65800-1650000</f>
        <v>65800</v>
      </c>
      <c r="H403" s="27">
        <v>60262.93</v>
      </c>
      <c r="I403" s="153">
        <f t="shared" si="21"/>
        <v>0.91585</v>
      </c>
    </row>
    <row r="404" spans="1:9" ht="63">
      <c r="A404" s="3" t="s">
        <v>663</v>
      </c>
      <c r="B404" s="4" t="s">
        <v>422</v>
      </c>
      <c r="C404" s="4" t="s">
        <v>528</v>
      </c>
      <c r="D404" s="4" t="s">
        <v>698</v>
      </c>
      <c r="E404" s="4" t="s">
        <v>692</v>
      </c>
      <c r="F404" s="4"/>
      <c r="G404" s="27">
        <f>G405</f>
        <v>1650000</v>
      </c>
      <c r="H404" s="27">
        <f>H405</f>
        <v>1650000</v>
      </c>
      <c r="I404" s="153">
        <f t="shared" si="21"/>
        <v>1</v>
      </c>
    </row>
    <row r="405" spans="1:9" ht="63">
      <c r="A405" s="3" t="s">
        <v>406</v>
      </c>
      <c r="B405" s="4" t="s">
        <v>422</v>
      </c>
      <c r="C405" s="4" t="s">
        <v>528</v>
      </c>
      <c r="D405" s="4" t="s">
        <v>698</v>
      </c>
      <c r="E405" s="4" t="s">
        <v>692</v>
      </c>
      <c r="F405" s="4" t="s">
        <v>738</v>
      </c>
      <c r="G405" s="27">
        <v>1650000</v>
      </c>
      <c r="H405" s="27">
        <v>1650000</v>
      </c>
      <c r="I405" s="153">
        <f t="shared" si="21"/>
        <v>1</v>
      </c>
    </row>
    <row r="406" spans="1:9" ht="63">
      <c r="A406" s="3" t="s">
        <v>898</v>
      </c>
      <c r="B406" s="4" t="s">
        <v>422</v>
      </c>
      <c r="C406" s="4" t="s">
        <v>528</v>
      </c>
      <c r="D406" s="4" t="s">
        <v>698</v>
      </c>
      <c r="E406" s="4" t="s">
        <v>899</v>
      </c>
      <c r="F406" s="4"/>
      <c r="G406" s="27">
        <f>G407</f>
        <v>1250000</v>
      </c>
      <c r="H406" s="27">
        <f>H407</f>
        <v>1144812.65</v>
      </c>
      <c r="I406" s="153">
        <f t="shared" si="21"/>
        <v>0.9158501199999999</v>
      </c>
    </row>
    <row r="407" spans="1:9" ht="63" customHeight="1">
      <c r="A407" s="3" t="s">
        <v>746</v>
      </c>
      <c r="B407" s="4" t="s">
        <v>422</v>
      </c>
      <c r="C407" s="4" t="s">
        <v>528</v>
      </c>
      <c r="D407" s="4" t="s">
        <v>698</v>
      </c>
      <c r="E407" s="4" t="s">
        <v>899</v>
      </c>
      <c r="F407" s="4" t="s">
        <v>380</v>
      </c>
      <c r="G407" s="27">
        <v>1250000</v>
      </c>
      <c r="H407" s="27">
        <v>1144812.65</v>
      </c>
      <c r="I407" s="153">
        <f t="shared" si="21"/>
        <v>0.9158501199999999</v>
      </c>
    </row>
    <row r="408" spans="1:12" ht="58.5">
      <c r="A408" s="31" t="s">
        <v>685</v>
      </c>
      <c r="B408" s="22" t="s">
        <v>424</v>
      </c>
      <c r="C408" s="22"/>
      <c r="D408" s="22"/>
      <c r="E408" s="5"/>
      <c r="F408" s="5"/>
      <c r="G408" s="26">
        <f>G409+G437+G431</f>
        <v>13475278.02</v>
      </c>
      <c r="H408" s="26">
        <f>H409+H437+H431</f>
        <v>13400217.42</v>
      </c>
      <c r="I408" s="154">
        <f>H408/G408</f>
        <v>0.9944297550010772</v>
      </c>
      <c r="L408" s="24"/>
    </row>
    <row r="409" spans="1:9" ht="15.75">
      <c r="A409" s="1" t="s">
        <v>717</v>
      </c>
      <c r="B409" s="2" t="s">
        <v>424</v>
      </c>
      <c r="C409" s="2" t="s">
        <v>698</v>
      </c>
      <c r="D409" s="2"/>
      <c r="E409" s="2"/>
      <c r="F409" s="2"/>
      <c r="G409" s="30">
        <f>G410+G421</f>
        <v>10873473.51</v>
      </c>
      <c r="H409" s="30">
        <f>H410+H421</f>
        <v>10799581.51</v>
      </c>
      <c r="I409" s="152">
        <f>H409/G409</f>
        <v>0.9932043794531671</v>
      </c>
    </row>
    <row r="410" spans="1:9" ht="126">
      <c r="A410" s="1" t="s">
        <v>374</v>
      </c>
      <c r="B410" s="2" t="s">
        <v>424</v>
      </c>
      <c r="C410" s="2" t="s">
        <v>698</v>
      </c>
      <c r="D410" s="2" t="s">
        <v>708</v>
      </c>
      <c r="E410" s="2"/>
      <c r="F410" s="2"/>
      <c r="G410" s="30">
        <f>G411</f>
        <v>10151679</v>
      </c>
      <c r="H410" s="30">
        <f>H411</f>
        <v>10151679</v>
      </c>
      <c r="I410" s="152">
        <f>H410/G410</f>
        <v>1</v>
      </c>
    </row>
    <row r="411" spans="1:12" ht="110.25">
      <c r="A411" s="55" t="s">
        <v>368</v>
      </c>
      <c r="B411" s="4" t="s">
        <v>424</v>
      </c>
      <c r="C411" s="4" t="s">
        <v>698</v>
      </c>
      <c r="D411" s="4" t="s">
        <v>708</v>
      </c>
      <c r="E411" s="4" t="s">
        <v>369</v>
      </c>
      <c r="F411" s="4"/>
      <c r="G411" s="27">
        <f>G412</f>
        <v>10151679</v>
      </c>
      <c r="H411" s="27">
        <f>H412</f>
        <v>10151679</v>
      </c>
      <c r="I411" s="153">
        <f>H411/G411</f>
        <v>1</v>
      </c>
      <c r="L411" s="24"/>
    </row>
    <row r="412" spans="1:9" ht="47.25">
      <c r="A412" s="55" t="s">
        <v>460</v>
      </c>
      <c r="B412" s="4" t="s">
        <v>424</v>
      </c>
      <c r="C412" s="4" t="s">
        <v>698</v>
      </c>
      <c r="D412" s="4" t="s">
        <v>708</v>
      </c>
      <c r="E412" s="4" t="s">
        <v>461</v>
      </c>
      <c r="F412" s="4"/>
      <c r="G412" s="27">
        <f>G413+G415+G419</f>
        <v>10151679</v>
      </c>
      <c r="H412" s="27">
        <f>H413+H415+H419</f>
        <v>10151679</v>
      </c>
      <c r="I412" s="153">
        <f aca="true" t="shared" si="23" ref="I412:I442">H412/G412</f>
        <v>1</v>
      </c>
    </row>
    <row r="413" spans="1:9" ht="47.25">
      <c r="A413" s="55" t="s">
        <v>854</v>
      </c>
      <c r="B413" s="4" t="s">
        <v>424</v>
      </c>
      <c r="C413" s="4" t="s">
        <v>698</v>
      </c>
      <c r="D413" s="4" t="s">
        <v>708</v>
      </c>
      <c r="E413" s="4" t="s">
        <v>874</v>
      </c>
      <c r="F413" s="4"/>
      <c r="G413" s="27">
        <f>G414</f>
        <v>9753978.86</v>
      </c>
      <c r="H413" s="27">
        <f>H414</f>
        <v>9753978.86</v>
      </c>
      <c r="I413" s="153">
        <f t="shared" si="23"/>
        <v>1</v>
      </c>
    </row>
    <row r="414" spans="1:12" ht="126">
      <c r="A414" s="55" t="s">
        <v>875</v>
      </c>
      <c r="B414" s="4" t="s">
        <v>424</v>
      </c>
      <c r="C414" s="4" t="s">
        <v>698</v>
      </c>
      <c r="D414" s="4" t="s">
        <v>708</v>
      </c>
      <c r="E414" s="4" t="s">
        <v>874</v>
      </c>
      <c r="F414" s="4" t="s">
        <v>379</v>
      </c>
      <c r="G414" s="27">
        <f>9854445+76924-198740-100000-35000+121815.83-75827.8+87000+23361.83</f>
        <v>9753978.86</v>
      </c>
      <c r="H414" s="27">
        <f>9854445+76924-198740-100000-35000+121815.83-75827.8+87000+23361.83</f>
        <v>9753978.86</v>
      </c>
      <c r="I414" s="153">
        <f t="shared" si="23"/>
        <v>1</v>
      </c>
      <c r="L414" s="24"/>
    </row>
    <row r="415" spans="1:9" ht="47.25">
      <c r="A415" s="55" t="s">
        <v>856</v>
      </c>
      <c r="B415" s="4" t="s">
        <v>424</v>
      </c>
      <c r="C415" s="4" t="s">
        <v>698</v>
      </c>
      <c r="D415" s="4" t="s">
        <v>708</v>
      </c>
      <c r="E415" s="4" t="s">
        <v>876</v>
      </c>
      <c r="F415" s="4"/>
      <c r="G415" s="27">
        <f>G416+G417+G418</f>
        <v>131548.8</v>
      </c>
      <c r="H415" s="27">
        <f>H416+H417+H418</f>
        <v>131548.8</v>
      </c>
      <c r="I415" s="153">
        <f t="shared" si="23"/>
        <v>1</v>
      </c>
    </row>
    <row r="416" spans="1:12" ht="126">
      <c r="A416" s="55" t="s">
        <v>858</v>
      </c>
      <c r="B416" s="4" t="s">
        <v>424</v>
      </c>
      <c r="C416" s="4" t="s">
        <v>698</v>
      </c>
      <c r="D416" s="4" t="s">
        <v>708</v>
      </c>
      <c r="E416" s="4" t="s">
        <v>876</v>
      </c>
      <c r="F416" s="4" t="s">
        <v>379</v>
      </c>
      <c r="G416" s="27">
        <f>18680+45000-55000-256.67+2647-860-2911</f>
        <v>7299.33</v>
      </c>
      <c r="H416" s="27">
        <f>18680+45000-55000-256.67+2647-860-2911</f>
        <v>7299.33</v>
      </c>
      <c r="I416" s="153">
        <f t="shared" si="23"/>
        <v>1</v>
      </c>
      <c r="L416" s="24"/>
    </row>
    <row r="417" spans="1:12" ht="47.25">
      <c r="A417" s="55" t="s">
        <v>746</v>
      </c>
      <c r="B417" s="4" t="s">
        <v>424</v>
      </c>
      <c r="C417" s="4" t="s">
        <v>698</v>
      </c>
      <c r="D417" s="4" t="s">
        <v>708</v>
      </c>
      <c r="E417" s="4" t="s">
        <v>876</v>
      </c>
      <c r="F417" s="4" t="s">
        <v>380</v>
      </c>
      <c r="G417" s="27">
        <f>220310-45000-20297.5-872.2-4045.5-5394.5-20721.98</f>
        <v>123978.31999999999</v>
      </c>
      <c r="H417" s="27">
        <f>220310-45000-20297.5-872.2-4045.5-5394.5-20721.98</f>
        <v>123978.31999999999</v>
      </c>
      <c r="I417" s="153">
        <f t="shared" si="23"/>
        <v>1</v>
      </c>
      <c r="L417" s="24"/>
    </row>
    <row r="418" spans="1:12" ht="31.5" customHeight="1">
      <c r="A418" s="3" t="s">
        <v>676</v>
      </c>
      <c r="B418" s="4" t="s">
        <v>424</v>
      </c>
      <c r="C418" s="4" t="s">
        <v>698</v>
      </c>
      <c r="D418" s="4" t="s">
        <v>708</v>
      </c>
      <c r="E418" s="4" t="s">
        <v>876</v>
      </c>
      <c r="F418" s="4" t="s">
        <v>383</v>
      </c>
      <c r="G418" s="27">
        <v>271.15</v>
      </c>
      <c r="H418" s="27">
        <v>271.15</v>
      </c>
      <c r="I418" s="153">
        <f t="shared" si="23"/>
        <v>1</v>
      </c>
      <c r="L418" s="24"/>
    </row>
    <row r="419" spans="1:9" ht="110.25">
      <c r="A419" s="3" t="s">
        <v>850</v>
      </c>
      <c r="B419" s="4" t="s">
        <v>424</v>
      </c>
      <c r="C419" s="4" t="s">
        <v>698</v>
      </c>
      <c r="D419" s="4" t="s">
        <v>708</v>
      </c>
      <c r="E419" s="4" t="s">
        <v>877</v>
      </c>
      <c r="F419" s="4"/>
      <c r="G419" s="27">
        <f>G420</f>
        <v>266151.33999999997</v>
      </c>
      <c r="H419" s="27">
        <f>H420</f>
        <v>266151.33999999997</v>
      </c>
      <c r="I419" s="153">
        <f t="shared" si="23"/>
        <v>1</v>
      </c>
    </row>
    <row r="420" spans="1:12" ht="126">
      <c r="A420" s="3" t="s">
        <v>858</v>
      </c>
      <c r="B420" s="4" t="s">
        <v>424</v>
      </c>
      <c r="C420" s="4" t="s">
        <v>698</v>
      </c>
      <c r="D420" s="4" t="s">
        <v>708</v>
      </c>
      <c r="E420" s="4" t="s">
        <v>877</v>
      </c>
      <c r="F420" s="4" t="s">
        <v>379</v>
      </c>
      <c r="G420" s="27">
        <f>180060+155000+35000-103908.66</f>
        <v>266151.33999999997</v>
      </c>
      <c r="H420" s="27">
        <f>180060+155000+35000-103908.66</f>
        <v>266151.33999999997</v>
      </c>
      <c r="I420" s="153">
        <f t="shared" si="23"/>
        <v>1</v>
      </c>
      <c r="L420" s="24"/>
    </row>
    <row r="421" spans="1:9" ht="31.5">
      <c r="A421" s="1" t="s">
        <v>727</v>
      </c>
      <c r="B421" s="2" t="s">
        <v>424</v>
      </c>
      <c r="C421" s="2" t="s">
        <v>698</v>
      </c>
      <c r="D421" s="2" t="s">
        <v>377</v>
      </c>
      <c r="E421" s="2"/>
      <c r="F421" s="2"/>
      <c r="G421" s="30">
        <f>G428+G422</f>
        <v>721794.51</v>
      </c>
      <c r="H421" s="30">
        <f>H428+H422</f>
        <v>647902.51</v>
      </c>
      <c r="I421" s="152">
        <f t="shared" si="23"/>
        <v>0.8976273731979479</v>
      </c>
    </row>
    <row r="422" spans="1:9" ht="63">
      <c r="A422" s="25" t="s">
        <v>753</v>
      </c>
      <c r="B422" s="4" t="s">
        <v>424</v>
      </c>
      <c r="C422" s="4" t="s">
        <v>698</v>
      </c>
      <c r="D422" s="4" t="s">
        <v>377</v>
      </c>
      <c r="E422" s="4" t="s">
        <v>754</v>
      </c>
      <c r="F422" s="4"/>
      <c r="G422" s="27">
        <f>G423</f>
        <v>142100</v>
      </c>
      <c r="H422" s="27">
        <f>H423</f>
        <v>68208</v>
      </c>
      <c r="I422" s="153">
        <f t="shared" si="23"/>
        <v>0.48</v>
      </c>
    </row>
    <row r="423" spans="1:9" ht="47.25">
      <c r="A423" s="3" t="s">
        <v>489</v>
      </c>
      <c r="B423" s="4" t="s">
        <v>424</v>
      </c>
      <c r="C423" s="4" t="s">
        <v>698</v>
      </c>
      <c r="D423" s="4" t="s">
        <v>377</v>
      </c>
      <c r="E423" s="4" t="s">
        <v>490</v>
      </c>
      <c r="F423" s="4"/>
      <c r="G423" s="27">
        <f>G424</f>
        <v>142100</v>
      </c>
      <c r="H423" s="27">
        <f>H424</f>
        <v>68208</v>
      </c>
      <c r="I423" s="153">
        <f t="shared" si="23"/>
        <v>0.48</v>
      </c>
    </row>
    <row r="424" spans="1:9" ht="31.5">
      <c r="A424" s="3" t="s">
        <v>766</v>
      </c>
      <c r="B424" s="4" t="s">
        <v>424</v>
      </c>
      <c r="C424" s="4" t="s">
        <v>698</v>
      </c>
      <c r="D424" s="4" t="s">
        <v>377</v>
      </c>
      <c r="E424" s="4" t="s">
        <v>491</v>
      </c>
      <c r="F424" s="4"/>
      <c r="G424" s="27">
        <f>G426+G425</f>
        <v>142100</v>
      </c>
      <c r="H424" s="27">
        <f>H426+H425</f>
        <v>68208</v>
      </c>
      <c r="I424" s="153">
        <f t="shared" si="23"/>
        <v>0.48</v>
      </c>
    </row>
    <row r="425" spans="1:9" ht="120" customHeight="1">
      <c r="A425" s="3" t="s">
        <v>858</v>
      </c>
      <c r="B425" s="4" t="s">
        <v>424</v>
      </c>
      <c r="C425" s="4" t="s">
        <v>698</v>
      </c>
      <c r="D425" s="4" t="s">
        <v>377</v>
      </c>
      <c r="E425" s="4" t="s">
        <v>491</v>
      </c>
      <c r="F425" s="4" t="s">
        <v>379</v>
      </c>
      <c r="G425" s="27">
        <v>5687</v>
      </c>
      <c r="H425" s="27">
        <v>5687</v>
      </c>
      <c r="I425" s="153">
        <f t="shared" si="23"/>
        <v>1</v>
      </c>
    </row>
    <row r="426" spans="1:12" ht="47.25">
      <c r="A426" s="3" t="s">
        <v>746</v>
      </c>
      <c r="B426" s="4" t="s">
        <v>424</v>
      </c>
      <c r="C426" s="4" t="s">
        <v>698</v>
      </c>
      <c r="D426" s="4" t="s">
        <v>377</v>
      </c>
      <c r="E426" s="4" t="s">
        <v>491</v>
      </c>
      <c r="F426" s="4" t="s">
        <v>380</v>
      </c>
      <c r="G426" s="27">
        <f>142100-5687</f>
        <v>136413</v>
      </c>
      <c r="H426" s="27">
        <v>62521</v>
      </c>
      <c r="I426" s="153">
        <f t="shared" si="23"/>
        <v>0.45832142097893896</v>
      </c>
      <c r="L426" s="24"/>
    </row>
    <row r="427" spans="1:12" ht="15.75">
      <c r="A427" s="25" t="s">
        <v>743</v>
      </c>
      <c r="B427" s="4" t="s">
        <v>424</v>
      </c>
      <c r="C427" s="4" t="s">
        <v>698</v>
      </c>
      <c r="D427" s="4" t="s">
        <v>377</v>
      </c>
      <c r="E427" s="4" t="s">
        <v>744</v>
      </c>
      <c r="F427" s="4"/>
      <c r="G427" s="27">
        <f>G428</f>
        <v>579694.51</v>
      </c>
      <c r="H427" s="27">
        <f>H428</f>
        <v>579694.51</v>
      </c>
      <c r="I427" s="153">
        <f t="shared" si="23"/>
        <v>1</v>
      </c>
      <c r="L427" s="24"/>
    </row>
    <row r="428" spans="1:9" ht="31.5">
      <c r="A428" s="3" t="s">
        <v>830</v>
      </c>
      <c r="B428" s="4" t="s">
        <v>424</v>
      </c>
      <c r="C428" s="4" t="s">
        <v>698</v>
      </c>
      <c r="D428" s="4" t="s">
        <v>377</v>
      </c>
      <c r="E428" s="4" t="s">
        <v>831</v>
      </c>
      <c r="F428" s="56"/>
      <c r="G428" s="27">
        <f>G429+G430</f>
        <v>579694.51</v>
      </c>
      <c r="H428" s="27">
        <f>H429+H430</f>
        <v>579694.51</v>
      </c>
      <c r="I428" s="153">
        <f t="shared" si="23"/>
        <v>1</v>
      </c>
    </row>
    <row r="429" spans="1:12" ht="47.25">
      <c r="A429" s="3" t="s">
        <v>746</v>
      </c>
      <c r="B429" s="4" t="s">
        <v>424</v>
      </c>
      <c r="C429" s="4" t="s">
        <v>698</v>
      </c>
      <c r="D429" s="4" t="s">
        <v>377</v>
      </c>
      <c r="E429" s="4" t="s">
        <v>831</v>
      </c>
      <c r="F429" s="4" t="s">
        <v>380</v>
      </c>
      <c r="G429" s="27">
        <f>352558.46+210472.29</f>
        <v>563030.75</v>
      </c>
      <c r="H429" s="27">
        <f>352558.46+210472.29</f>
        <v>563030.75</v>
      </c>
      <c r="I429" s="153">
        <f t="shared" si="23"/>
        <v>1</v>
      </c>
      <c r="L429" s="24"/>
    </row>
    <row r="430" spans="1:12" ht="15.75">
      <c r="A430" s="3" t="s">
        <v>676</v>
      </c>
      <c r="B430" s="4" t="s">
        <v>424</v>
      </c>
      <c r="C430" s="4" t="s">
        <v>698</v>
      </c>
      <c r="D430" s="4" t="s">
        <v>377</v>
      </c>
      <c r="E430" s="4" t="s">
        <v>831</v>
      </c>
      <c r="F430" s="56">
        <v>800</v>
      </c>
      <c r="G430" s="27">
        <f>10051.17+6612.59</f>
        <v>16663.760000000002</v>
      </c>
      <c r="H430" s="27">
        <f>10051.17+6612.59</f>
        <v>16663.760000000002</v>
      </c>
      <c r="I430" s="153">
        <f t="shared" si="23"/>
        <v>1</v>
      </c>
      <c r="L430" s="24"/>
    </row>
    <row r="431" spans="1:9" ht="15.75">
      <c r="A431" s="1" t="s">
        <v>719</v>
      </c>
      <c r="B431" s="2" t="s">
        <v>424</v>
      </c>
      <c r="C431" s="2" t="s">
        <v>708</v>
      </c>
      <c r="D431" s="2"/>
      <c r="E431" s="2"/>
      <c r="F431" s="2"/>
      <c r="G431" s="30">
        <f aca="true" t="shared" si="24" ref="G431:H435">G432</f>
        <v>420201.44</v>
      </c>
      <c r="H431" s="30">
        <f t="shared" si="24"/>
        <v>419981</v>
      </c>
      <c r="I431" s="152">
        <f t="shared" si="23"/>
        <v>0.9994753944679485</v>
      </c>
    </row>
    <row r="432" spans="1:9" ht="15.75">
      <c r="A432" s="3" t="s">
        <v>372</v>
      </c>
      <c r="B432" s="4" t="s">
        <v>424</v>
      </c>
      <c r="C432" s="4" t="s">
        <v>708</v>
      </c>
      <c r="D432" s="4" t="s">
        <v>706</v>
      </c>
      <c r="E432" s="4"/>
      <c r="F432" s="4"/>
      <c r="G432" s="27">
        <f t="shared" si="24"/>
        <v>420201.44</v>
      </c>
      <c r="H432" s="27">
        <f t="shared" si="24"/>
        <v>419981</v>
      </c>
      <c r="I432" s="153">
        <f t="shared" si="23"/>
        <v>0.9994753944679485</v>
      </c>
    </row>
    <row r="433" spans="1:9" ht="47.25">
      <c r="A433" s="3" t="s">
        <v>747</v>
      </c>
      <c r="B433" s="4" t="s">
        <v>424</v>
      </c>
      <c r="C433" s="4" t="s">
        <v>708</v>
      </c>
      <c r="D433" s="4" t="s">
        <v>706</v>
      </c>
      <c r="E433" s="4" t="s">
        <v>748</v>
      </c>
      <c r="F433" s="4"/>
      <c r="G433" s="27">
        <f t="shared" si="24"/>
        <v>420201.44</v>
      </c>
      <c r="H433" s="27">
        <f t="shared" si="24"/>
        <v>419981</v>
      </c>
      <c r="I433" s="153">
        <f t="shared" si="23"/>
        <v>0.9994753944679485</v>
      </c>
    </row>
    <row r="434" spans="1:9" ht="63">
      <c r="A434" s="3" t="s">
        <v>749</v>
      </c>
      <c r="B434" s="4" t="s">
        <v>424</v>
      </c>
      <c r="C434" s="4" t="s">
        <v>708</v>
      </c>
      <c r="D434" s="4" t="s">
        <v>706</v>
      </c>
      <c r="E434" s="4" t="s">
        <v>750</v>
      </c>
      <c r="F434" s="4"/>
      <c r="G434" s="27">
        <f t="shared" si="24"/>
        <v>420201.44</v>
      </c>
      <c r="H434" s="27">
        <f t="shared" si="24"/>
        <v>419981</v>
      </c>
      <c r="I434" s="153">
        <f t="shared" si="23"/>
        <v>0.9994753944679485</v>
      </c>
    </row>
    <row r="435" spans="1:9" ht="31.5">
      <c r="A435" s="3" t="s">
        <v>751</v>
      </c>
      <c r="B435" s="4" t="s">
        <v>424</v>
      </c>
      <c r="C435" s="4" t="s">
        <v>708</v>
      </c>
      <c r="D435" s="4" t="s">
        <v>706</v>
      </c>
      <c r="E435" s="4" t="s">
        <v>752</v>
      </c>
      <c r="F435" s="4"/>
      <c r="G435" s="27">
        <f t="shared" si="24"/>
        <v>420201.44</v>
      </c>
      <c r="H435" s="27">
        <f t="shared" si="24"/>
        <v>419981</v>
      </c>
      <c r="I435" s="153">
        <f t="shared" si="23"/>
        <v>0.9994753944679485</v>
      </c>
    </row>
    <row r="436" spans="1:12" ht="47.25">
      <c r="A436" s="3" t="s">
        <v>746</v>
      </c>
      <c r="B436" s="4" t="s">
        <v>424</v>
      </c>
      <c r="C436" s="4" t="s">
        <v>708</v>
      </c>
      <c r="D436" s="4" t="s">
        <v>706</v>
      </c>
      <c r="E436" s="4" t="s">
        <v>752</v>
      </c>
      <c r="F436" s="4" t="s">
        <v>380</v>
      </c>
      <c r="G436" s="27">
        <f>417000-7348.56+10550</f>
        <v>420201.44</v>
      </c>
      <c r="H436" s="27">
        <v>419981</v>
      </c>
      <c r="I436" s="153">
        <f t="shared" si="23"/>
        <v>0.9994753944679485</v>
      </c>
      <c r="L436" s="24"/>
    </row>
    <row r="437" spans="1:9" ht="31.5">
      <c r="A437" s="63" t="s">
        <v>527</v>
      </c>
      <c r="B437" s="2" t="s">
        <v>424</v>
      </c>
      <c r="C437" s="2" t="s">
        <v>377</v>
      </c>
      <c r="D437" s="2"/>
      <c r="E437" s="2"/>
      <c r="F437" s="2"/>
      <c r="G437" s="30">
        <f aca="true" t="shared" si="25" ref="G437:H441">G438</f>
        <v>2181603.07</v>
      </c>
      <c r="H437" s="30">
        <f t="shared" si="25"/>
        <v>2180654.91</v>
      </c>
      <c r="I437" s="152">
        <f t="shared" si="23"/>
        <v>0.9995653838165897</v>
      </c>
    </row>
    <row r="438" spans="1:9" ht="47.25">
      <c r="A438" s="63" t="s">
        <v>462</v>
      </c>
      <c r="B438" s="2" t="s">
        <v>424</v>
      </c>
      <c r="C438" s="2" t="s">
        <v>377</v>
      </c>
      <c r="D438" s="2" t="s">
        <v>698</v>
      </c>
      <c r="E438" s="4"/>
      <c r="F438" s="4"/>
      <c r="G438" s="30">
        <f t="shared" si="25"/>
        <v>2181603.07</v>
      </c>
      <c r="H438" s="30">
        <f t="shared" si="25"/>
        <v>2180654.91</v>
      </c>
      <c r="I438" s="152">
        <f t="shared" si="23"/>
        <v>0.9995653838165897</v>
      </c>
    </row>
    <row r="439" spans="1:9" ht="110.25">
      <c r="A439" s="55" t="s">
        <v>368</v>
      </c>
      <c r="B439" s="4" t="s">
        <v>424</v>
      </c>
      <c r="C439" s="4" t="s">
        <v>377</v>
      </c>
      <c r="D439" s="4" t="s">
        <v>698</v>
      </c>
      <c r="E439" s="4" t="s">
        <v>369</v>
      </c>
      <c r="F439" s="4"/>
      <c r="G439" s="27">
        <f t="shared" si="25"/>
        <v>2181603.07</v>
      </c>
      <c r="H439" s="27">
        <f t="shared" si="25"/>
        <v>2180654.91</v>
      </c>
      <c r="I439" s="153">
        <f t="shared" si="23"/>
        <v>0.9995653838165897</v>
      </c>
    </row>
    <row r="440" spans="1:9" ht="47.25">
      <c r="A440" s="55" t="s">
        <v>463</v>
      </c>
      <c r="B440" s="4" t="s">
        <v>424</v>
      </c>
      <c r="C440" s="4" t="s">
        <v>377</v>
      </c>
      <c r="D440" s="4" t="s">
        <v>698</v>
      </c>
      <c r="E440" s="4" t="s">
        <v>464</v>
      </c>
      <c r="F440" s="4"/>
      <c r="G440" s="27">
        <f t="shared" si="25"/>
        <v>2181603.07</v>
      </c>
      <c r="H440" s="27">
        <f t="shared" si="25"/>
        <v>2180654.91</v>
      </c>
      <c r="I440" s="153">
        <f t="shared" si="23"/>
        <v>0.9995653838165897</v>
      </c>
    </row>
    <row r="441" spans="1:12" ht="31.5">
      <c r="A441" s="55" t="s">
        <v>465</v>
      </c>
      <c r="B441" s="4" t="s">
        <v>424</v>
      </c>
      <c r="C441" s="4" t="s">
        <v>377</v>
      </c>
      <c r="D441" s="4" t="s">
        <v>698</v>
      </c>
      <c r="E441" s="4" t="s">
        <v>466</v>
      </c>
      <c r="F441" s="4"/>
      <c r="G441" s="27">
        <f t="shared" si="25"/>
        <v>2181603.07</v>
      </c>
      <c r="H441" s="27">
        <f t="shared" si="25"/>
        <v>2180654.91</v>
      </c>
      <c r="I441" s="153">
        <f t="shared" si="23"/>
        <v>0.9995653838165897</v>
      </c>
      <c r="K441" s="160"/>
      <c r="L441" s="24"/>
    </row>
    <row r="442" spans="1:12" ht="31.5">
      <c r="A442" s="55" t="s">
        <v>739</v>
      </c>
      <c r="B442" s="4" t="s">
        <v>424</v>
      </c>
      <c r="C442" s="4" t="s">
        <v>377</v>
      </c>
      <c r="D442" s="4" t="s">
        <v>698</v>
      </c>
      <c r="E442" s="4" t="s">
        <v>466</v>
      </c>
      <c r="F442" s="4" t="s">
        <v>382</v>
      </c>
      <c r="G442" s="27">
        <f>996619+9680000+3681-3000000-10550-330000-70000-382040-217084.88-2126382.86-1000000-450000-912639.19</f>
        <v>2181603.07</v>
      </c>
      <c r="H442" s="27">
        <v>2180654.91</v>
      </c>
      <c r="I442" s="153">
        <f t="shared" si="23"/>
        <v>0.9995653838165897</v>
      </c>
      <c r="L442" s="24"/>
    </row>
    <row r="443" spans="1:12" ht="58.5">
      <c r="A443" s="31" t="s">
        <v>425</v>
      </c>
      <c r="B443" s="9" t="s">
        <v>426</v>
      </c>
      <c r="C443" s="5"/>
      <c r="D443" s="5"/>
      <c r="E443" s="5"/>
      <c r="F443" s="5"/>
      <c r="G443" s="26">
        <f>G476+G563+G444+G469+G463</f>
        <v>1269224774.72</v>
      </c>
      <c r="H443" s="26">
        <f>H476+H563+H444+H469+H463</f>
        <v>1267123542.14</v>
      </c>
      <c r="I443" s="154">
        <f>H443/G443</f>
        <v>0.9983444756028628</v>
      </c>
      <c r="L443" s="24"/>
    </row>
    <row r="444" spans="1:9" ht="18.75">
      <c r="A444" s="1" t="s">
        <v>717</v>
      </c>
      <c r="B444" s="2" t="s">
        <v>426</v>
      </c>
      <c r="C444" s="2" t="s">
        <v>698</v>
      </c>
      <c r="D444" s="7"/>
      <c r="E444" s="2"/>
      <c r="F444" s="2"/>
      <c r="G444" s="30">
        <f>G445+G457</f>
        <v>12806153</v>
      </c>
      <c r="H444" s="30">
        <f>H445+H457</f>
        <v>12796830.910000002</v>
      </c>
      <c r="I444" s="152">
        <f>H444/G444</f>
        <v>0.9992720616409941</v>
      </c>
    </row>
    <row r="445" spans="1:9" ht="126">
      <c r="A445" s="1" t="s">
        <v>374</v>
      </c>
      <c r="B445" s="2" t="s">
        <v>426</v>
      </c>
      <c r="C445" s="2" t="s">
        <v>698</v>
      </c>
      <c r="D445" s="2" t="s">
        <v>708</v>
      </c>
      <c r="E445" s="2"/>
      <c r="F445" s="2"/>
      <c r="G445" s="30">
        <f>G446</f>
        <v>12523313</v>
      </c>
      <c r="H445" s="30">
        <f>H446</f>
        <v>12523019.110000001</v>
      </c>
      <c r="I445" s="152">
        <f>H445/G445</f>
        <v>0.9999765325677</v>
      </c>
    </row>
    <row r="446" spans="1:9" ht="47.25">
      <c r="A446" s="3" t="s">
        <v>771</v>
      </c>
      <c r="B446" s="4" t="s">
        <v>426</v>
      </c>
      <c r="C446" s="4" t="s">
        <v>698</v>
      </c>
      <c r="D446" s="4" t="s">
        <v>708</v>
      </c>
      <c r="E446" s="4" t="s">
        <v>772</v>
      </c>
      <c r="F446" s="2"/>
      <c r="G446" s="27">
        <f>G447</f>
        <v>12523313</v>
      </c>
      <c r="H446" s="27">
        <f>H447</f>
        <v>12523019.110000001</v>
      </c>
      <c r="I446" s="153">
        <f>H446/G446</f>
        <v>0.9999765325677</v>
      </c>
    </row>
    <row r="447" spans="1:9" ht="63">
      <c r="A447" s="19" t="s">
        <v>802</v>
      </c>
      <c r="B447" s="4" t="s">
        <v>426</v>
      </c>
      <c r="C447" s="4" t="s">
        <v>698</v>
      </c>
      <c r="D447" s="4" t="s">
        <v>708</v>
      </c>
      <c r="E447" s="4" t="s">
        <v>803</v>
      </c>
      <c r="F447" s="4"/>
      <c r="G447" s="27">
        <f>G448+G450+G453+G455</f>
        <v>12523313</v>
      </c>
      <c r="H447" s="27">
        <f>H448+H450+H453+H455</f>
        <v>12523019.110000001</v>
      </c>
      <c r="I447" s="153">
        <f aca="true" t="shared" si="26" ref="I447:I462">H447/G447</f>
        <v>0.9999765325677</v>
      </c>
    </row>
    <row r="448" spans="1:9" ht="47.25">
      <c r="A448" s="19" t="s">
        <v>854</v>
      </c>
      <c r="B448" s="4" t="s">
        <v>426</v>
      </c>
      <c r="C448" s="4" t="s">
        <v>698</v>
      </c>
      <c r="D448" s="4" t="s">
        <v>708</v>
      </c>
      <c r="E448" s="4" t="s">
        <v>879</v>
      </c>
      <c r="F448" s="4"/>
      <c r="G448" s="27">
        <f>G449</f>
        <v>11792555.62</v>
      </c>
      <c r="H448" s="27">
        <f>H449</f>
        <v>11792555.59</v>
      </c>
      <c r="I448" s="153">
        <f t="shared" si="26"/>
        <v>0.9999999974560222</v>
      </c>
    </row>
    <row r="449" spans="1:9" ht="126">
      <c r="A449" s="19" t="s">
        <v>858</v>
      </c>
      <c r="B449" s="4" t="s">
        <v>426</v>
      </c>
      <c r="C449" s="4" t="s">
        <v>698</v>
      </c>
      <c r="D449" s="4" t="s">
        <v>708</v>
      </c>
      <c r="E449" s="4" t="s">
        <v>879</v>
      </c>
      <c r="F449" s="4" t="s">
        <v>379</v>
      </c>
      <c r="G449" s="27">
        <f>12186244+140469-566036.37-15742.96+8802.85+38819.1</f>
        <v>11792555.62</v>
      </c>
      <c r="H449" s="27">
        <v>11792555.59</v>
      </c>
      <c r="I449" s="153">
        <f t="shared" si="26"/>
        <v>0.9999999974560222</v>
      </c>
    </row>
    <row r="450" spans="1:9" ht="47.25">
      <c r="A450" s="19" t="s">
        <v>856</v>
      </c>
      <c r="B450" s="4" t="s">
        <v>426</v>
      </c>
      <c r="C450" s="4" t="s">
        <v>698</v>
      </c>
      <c r="D450" s="4" t="s">
        <v>708</v>
      </c>
      <c r="E450" s="4" t="s">
        <v>880</v>
      </c>
      <c r="F450" s="4"/>
      <c r="G450" s="27">
        <f>G451+G452</f>
        <v>178978.77</v>
      </c>
      <c r="H450" s="27">
        <f>H451+H452</f>
        <v>178684.90999999997</v>
      </c>
      <c r="I450" s="153">
        <f t="shared" si="26"/>
        <v>0.9983581292909767</v>
      </c>
    </row>
    <row r="451" spans="1:9" ht="126">
      <c r="A451" s="19" t="s">
        <v>858</v>
      </c>
      <c r="B451" s="4" t="s">
        <v>426</v>
      </c>
      <c r="C451" s="4" t="s">
        <v>698</v>
      </c>
      <c r="D451" s="4" t="s">
        <v>708</v>
      </c>
      <c r="E451" s="4" t="s">
        <v>880</v>
      </c>
      <c r="F451" s="4" t="s">
        <v>379</v>
      </c>
      <c r="G451" s="27">
        <f>30000+33900-8739.93+282.8-25340</f>
        <v>30102.870000000003</v>
      </c>
      <c r="H451" s="27">
        <f>30000+33900-8739.93+282.8-25340</f>
        <v>30102.870000000003</v>
      </c>
      <c r="I451" s="153">
        <f t="shared" si="26"/>
        <v>1</v>
      </c>
    </row>
    <row r="452" spans="1:9" ht="47.25">
      <c r="A452" s="19" t="s">
        <v>746</v>
      </c>
      <c r="B452" s="4" t="s">
        <v>426</v>
      </c>
      <c r="C452" s="4" t="s">
        <v>698</v>
      </c>
      <c r="D452" s="4" t="s">
        <v>708</v>
      </c>
      <c r="E452" s="4" t="s">
        <v>880</v>
      </c>
      <c r="F452" s="4" t="s">
        <v>380</v>
      </c>
      <c r="G452" s="27">
        <f>196600-33900-22000+21655-13479.1</f>
        <v>148875.9</v>
      </c>
      <c r="H452" s="27">
        <f>142036.49+6545.55</f>
        <v>148582.03999999998</v>
      </c>
      <c r="I452" s="153">
        <f t="shared" si="26"/>
        <v>0.998026141235754</v>
      </c>
    </row>
    <row r="453" spans="1:9" ht="126">
      <c r="A453" s="19" t="s">
        <v>878</v>
      </c>
      <c r="B453" s="4" t="s">
        <v>426</v>
      </c>
      <c r="C453" s="4" t="s">
        <v>698</v>
      </c>
      <c r="D453" s="4" t="s">
        <v>708</v>
      </c>
      <c r="E453" s="4" t="s">
        <v>881</v>
      </c>
      <c r="F453" s="4"/>
      <c r="G453" s="27">
        <f>G454</f>
        <v>437810.65</v>
      </c>
      <c r="H453" s="27">
        <f>H454</f>
        <v>437810.65</v>
      </c>
      <c r="I453" s="153">
        <f t="shared" si="26"/>
        <v>1</v>
      </c>
    </row>
    <row r="454" spans="1:9" ht="126">
      <c r="A454" s="19" t="s">
        <v>858</v>
      </c>
      <c r="B454" s="4" t="s">
        <v>426</v>
      </c>
      <c r="C454" s="4" t="s">
        <v>698</v>
      </c>
      <c r="D454" s="4" t="s">
        <v>708</v>
      </c>
      <c r="E454" s="4" t="s">
        <v>881</v>
      </c>
      <c r="F454" s="4" t="s">
        <v>379</v>
      </c>
      <c r="G454" s="27">
        <f>437811.37-0.72</f>
        <v>437810.65</v>
      </c>
      <c r="H454" s="27">
        <f>437811.37-0.72</f>
        <v>437810.65</v>
      </c>
      <c r="I454" s="153">
        <f t="shared" si="26"/>
        <v>1</v>
      </c>
    </row>
    <row r="455" spans="1:9" ht="110.25">
      <c r="A455" s="19" t="s">
        <v>850</v>
      </c>
      <c r="B455" s="4" t="s">
        <v>426</v>
      </c>
      <c r="C455" s="4" t="s">
        <v>698</v>
      </c>
      <c r="D455" s="4" t="s">
        <v>708</v>
      </c>
      <c r="E455" s="4" t="s">
        <v>882</v>
      </c>
      <c r="F455" s="4"/>
      <c r="G455" s="27">
        <f>G456</f>
        <v>113967.95999999999</v>
      </c>
      <c r="H455" s="27">
        <f>H456</f>
        <v>113967.95999999999</v>
      </c>
      <c r="I455" s="153">
        <f t="shared" si="26"/>
        <v>1</v>
      </c>
    </row>
    <row r="456" spans="1:9" ht="126">
      <c r="A456" s="19" t="s">
        <v>858</v>
      </c>
      <c r="B456" s="4" t="s">
        <v>426</v>
      </c>
      <c r="C456" s="4" t="s">
        <v>698</v>
      </c>
      <c r="D456" s="4" t="s">
        <v>708</v>
      </c>
      <c r="E456" s="4" t="s">
        <v>882</v>
      </c>
      <c r="F456" s="4" t="s">
        <v>379</v>
      </c>
      <c r="G456" s="27">
        <f>98225+30739.93+15742.96-30739.93</f>
        <v>113967.95999999999</v>
      </c>
      <c r="H456" s="27">
        <f>98225+30739.93+15742.96-30739.93</f>
        <v>113967.95999999999</v>
      </c>
      <c r="I456" s="153">
        <f t="shared" si="26"/>
        <v>1</v>
      </c>
    </row>
    <row r="457" spans="1:11" s="14" customFormat="1" ht="31.5">
      <c r="A457" s="1" t="s">
        <v>727</v>
      </c>
      <c r="B457" s="2" t="s">
        <v>426</v>
      </c>
      <c r="C457" s="2" t="s">
        <v>698</v>
      </c>
      <c r="D457" s="2" t="s">
        <v>377</v>
      </c>
      <c r="E457" s="2"/>
      <c r="F457" s="2"/>
      <c r="G457" s="30">
        <f aca="true" t="shared" si="27" ref="G457:H459">G458</f>
        <v>282840</v>
      </c>
      <c r="H457" s="30">
        <f t="shared" si="27"/>
        <v>273811.8</v>
      </c>
      <c r="I457" s="152">
        <f t="shared" si="26"/>
        <v>0.9680801866779805</v>
      </c>
      <c r="J457" s="43"/>
      <c r="K457" s="43"/>
    </row>
    <row r="458" spans="1:9" ht="63">
      <c r="A458" s="25" t="s">
        <v>753</v>
      </c>
      <c r="B458" s="4" t="s">
        <v>426</v>
      </c>
      <c r="C458" s="4" t="s">
        <v>698</v>
      </c>
      <c r="D458" s="4" t="s">
        <v>377</v>
      </c>
      <c r="E458" s="4" t="s">
        <v>754</v>
      </c>
      <c r="F458" s="4"/>
      <c r="G458" s="27">
        <f t="shared" si="27"/>
        <v>282840</v>
      </c>
      <c r="H458" s="27">
        <f t="shared" si="27"/>
        <v>273811.8</v>
      </c>
      <c r="I458" s="153">
        <f t="shared" si="26"/>
        <v>0.9680801866779805</v>
      </c>
    </row>
    <row r="459" spans="1:9" ht="47.25">
      <c r="A459" s="3" t="s">
        <v>489</v>
      </c>
      <c r="B459" s="4" t="s">
        <v>426</v>
      </c>
      <c r="C459" s="4" t="s">
        <v>698</v>
      </c>
      <c r="D459" s="4" t="s">
        <v>377</v>
      </c>
      <c r="E459" s="4" t="s">
        <v>490</v>
      </c>
      <c r="F459" s="4"/>
      <c r="G459" s="27">
        <f t="shared" si="27"/>
        <v>282840</v>
      </c>
      <c r="H459" s="27">
        <f t="shared" si="27"/>
        <v>273811.8</v>
      </c>
      <c r="I459" s="153">
        <f t="shared" si="26"/>
        <v>0.9680801866779805</v>
      </c>
    </row>
    <row r="460" spans="1:9" ht="31.5">
      <c r="A460" s="3" t="s">
        <v>766</v>
      </c>
      <c r="B460" s="4" t="s">
        <v>426</v>
      </c>
      <c r="C460" s="4" t="s">
        <v>698</v>
      </c>
      <c r="D460" s="4" t="s">
        <v>377</v>
      </c>
      <c r="E460" s="4" t="s">
        <v>491</v>
      </c>
      <c r="F460" s="56"/>
      <c r="G460" s="27">
        <f>G461+G462</f>
        <v>282840</v>
      </c>
      <c r="H460" s="27">
        <f>H461+H462</f>
        <v>273811.8</v>
      </c>
      <c r="I460" s="153">
        <f t="shared" si="26"/>
        <v>0.9680801866779805</v>
      </c>
    </row>
    <row r="461" spans="1:12" ht="126">
      <c r="A461" s="3" t="s">
        <v>858</v>
      </c>
      <c r="B461" s="4" t="s">
        <v>426</v>
      </c>
      <c r="C461" s="4" t="s">
        <v>698</v>
      </c>
      <c r="D461" s="4" t="s">
        <v>377</v>
      </c>
      <c r="E461" s="4" t="s">
        <v>491</v>
      </c>
      <c r="F461" s="56">
        <v>100</v>
      </c>
      <c r="G461" s="27">
        <f>240000-92560</f>
        <v>147440</v>
      </c>
      <c r="H461" s="27">
        <v>138411.8</v>
      </c>
      <c r="I461" s="153">
        <f t="shared" si="26"/>
        <v>0.9387669560499186</v>
      </c>
      <c r="L461" s="24"/>
    </row>
    <row r="462" spans="1:12" ht="47.25">
      <c r="A462" s="3" t="s">
        <v>746</v>
      </c>
      <c r="B462" s="4" t="s">
        <v>426</v>
      </c>
      <c r="C462" s="4" t="s">
        <v>698</v>
      </c>
      <c r="D462" s="4" t="s">
        <v>377</v>
      </c>
      <c r="E462" s="4" t="s">
        <v>491</v>
      </c>
      <c r="F462" s="56">
        <v>200</v>
      </c>
      <c r="G462" s="27">
        <f>275400-140000</f>
        <v>135400</v>
      </c>
      <c r="H462" s="27">
        <f>275400-140000</f>
        <v>135400</v>
      </c>
      <c r="I462" s="153">
        <f t="shared" si="26"/>
        <v>1</v>
      </c>
      <c r="L462" s="24"/>
    </row>
    <row r="463" spans="1:9" ht="75">
      <c r="A463" s="8" t="s">
        <v>718</v>
      </c>
      <c r="B463" s="5" t="s">
        <v>426</v>
      </c>
      <c r="C463" s="5" t="s">
        <v>705</v>
      </c>
      <c r="D463" s="5" t="s">
        <v>728</v>
      </c>
      <c r="E463" s="5"/>
      <c r="F463" s="5"/>
      <c r="G463" s="26">
        <f aca="true" t="shared" si="28" ref="G463:H467">G464</f>
        <v>850648</v>
      </c>
      <c r="H463" s="26">
        <f t="shared" si="28"/>
        <v>850648</v>
      </c>
      <c r="I463" s="154">
        <f aca="true" t="shared" si="29" ref="I463:I477">H463/G463</f>
        <v>1</v>
      </c>
    </row>
    <row r="464" spans="1:9" ht="63">
      <c r="A464" s="1" t="s">
        <v>731</v>
      </c>
      <c r="B464" s="2" t="s">
        <v>426</v>
      </c>
      <c r="C464" s="2" t="s">
        <v>705</v>
      </c>
      <c r="D464" s="2" t="s">
        <v>683</v>
      </c>
      <c r="E464" s="2"/>
      <c r="F464" s="2"/>
      <c r="G464" s="30">
        <f t="shared" si="28"/>
        <v>850648</v>
      </c>
      <c r="H464" s="30">
        <f t="shared" si="28"/>
        <v>850648</v>
      </c>
      <c r="I464" s="152">
        <f t="shared" si="29"/>
        <v>1</v>
      </c>
    </row>
    <row r="465" spans="1:9" ht="78.75">
      <c r="A465" s="3" t="s">
        <v>474</v>
      </c>
      <c r="B465" s="4" t="s">
        <v>426</v>
      </c>
      <c r="C465" s="4" t="s">
        <v>705</v>
      </c>
      <c r="D465" s="4" t="s">
        <v>683</v>
      </c>
      <c r="E465" s="4" t="s">
        <v>475</v>
      </c>
      <c r="F465" s="4"/>
      <c r="G465" s="27">
        <f t="shared" si="28"/>
        <v>850648</v>
      </c>
      <c r="H465" s="27">
        <f t="shared" si="28"/>
        <v>850648</v>
      </c>
      <c r="I465" s="153">
        <f t="shared" si="29"/>
        <v>1</v>
      </c>
    </row>
    <row r="466" spans="1:9" ht="63">
      <c r="A466" s="3" t="s">
        <v>476</v>
      </c>
      <c r="B466" s="4" t="s">
        <v>426</v>
      </c>
      <c r="C466" s="4" t="s">
        <v>705</v>
      </c>
      <c r="D466" s="4" t="s">
        <v>683</v>
      </c>
      <c r="E466" s="4" t="s">
        <v>477</v>
      </c>
      <c r="F466" s="4"/>
      <c r="G466" s="27">
        <f t="shared" si="28"/>
        <v>850648</v>
      </c>
      <c r="H466" s="27">
        <f t="shared" si="28"/>
        <v>850648</v>
      </c>
      <c r="I466" s="153">
        <f t="shared" si="29"/>
        <v>1</v>
      </c>
    </row>
    <row r="467" spans="1:9" ht="47.25">
      <c r="A467" s="3" t="s">
        <v>478</v>
      </c>
      <c r="B467" s="4" t="s">
        <v>426</v>
      </c>
      <c r="C467" s="4" t="s">
        <v>705</v>
      </c>
      <c r="D467" s="4" t="s">
        <v>683</v>
      </c>
      <c r="E467" s="4" t="s">
        <v>479</v>
      </c>
      <c r="F467" s="4"/>
      <c r="G467" s="27">
        <f t="shared" si="28"/>
        <v>850648</v>
      </c>
      <c r="H467" s="27">
        <f t="shared" si="28"/>
        <v>850648</v>
      </c>
      <c r="I467" s="153">
        <f t="shared" si="29"/>
        <v>1</v>
      </c>
    </row>
    <row r="468" spans="1:9" ht="87" customHeight="1">
      <c r="A468" s="3" t="s">
        <v>770</v>
      </c>
      <c r="B468" s="4" t="s">
        <v>426</v>
      </c>
      <c r="C468" s="4" t="s">
        <v>705</v>
      </c>
      <c r="D468" s="4" t="s">
        <v>683</v>
      </c>
      <c r="E468" s="4" t="s">
        <v>479</v>
      </c>
      <c r="F468" s="4" t="s">
        <v>384</v>
      </c>
      <c r="G468" s="27">
        <f>850648</f>
        <v>850648</v>
      </c>
      <c r="H468" s="27">
        <f>850648</f>
        <v>850648</v>
      </c>
      <c r="I468" s="153">
        <f t="shared" si="29"/>
        <v>1</v>
      </c>
    </row>
    <row r="469" spans="1:9" ht="15.75">
      <c r="A469" s="11" t="s">
        <v>719</v>
      </c>
      <c r="B469" s="5" t="s">
        <v>426</v>
      </c>
      <c r="C469" s="5" t="s">
        <v>708</v>
      </c>
      <c r="D469" s="5"/>
      <c r="E469" s="5"/>
      <c r="F469" s="5"/>
      <c r="G469" s="26">
        <f aca="true" t="shared" si="30" ref="G469:H472">G470</f>
        <v>6776002.47</v>
      </c>
      <c r="H469" s="26">
        <f t="shared" si="30"/>
        <v>6739994.8</v>
      </c>
      <c r="I469" s="154">
        <f t="shared" si="29"/>
        <v>0.9946860010515906</v>
      </c>
    </row>
    <row r="470" spans="1:9" ht="15.75">
      <c r="A470" s="3" t="s">
        <v>372</v>
      </c>
      <c r="B470" s="4" t="s">
        <v>426</v>
      </c>
      <c r="C470" s="4" t="s">
        <v>708</v>
      </c>
      <c r="D470" s="4" t="s">
        <v>706</v>
      </c>
      <c r="E470" s="4"/>
      <c r="F470" s="4"/>
      <c r="G470" s="27">
        <f t="shared" si="30"/>
        <v>6776002.47</v>
      </c>
      <c r="H470" s="27">
        <f t="shared" si="30"/>
        <v>6739994.8</v>
      </c>
      <c r="I470" s="153">
        <f t="shared" si="29"/>
        <v>0.9946860010515906</v>
      </c>
    </row>
    <row r="471" spans="1:9" ht="47.25">
      <c r="A471" s="3" t="s">
        <v>747</v>
      </c>
      <c r="B471" s="4" t="s">
        <v>426</v>
      </c>
      <c r="C471" s="4" t="s">
        <v>708</v>
      </c>
      <c r="D471" s="4" t="s">
        <v>706</v>
      </c>
      <c r="E471" s="4" t="s">
        <v>748</v>
      </c>
      <c r="F471" s="4"/>
      <c r="G471" s="27">
        <f t="shared" si="30"/>
        <v>6776002.47</v>
      </c>
      <c r="H471" s="27">
        <f t="shared" si="30"/>
        <v>6739994.8</v>
      </c>
      <c r="I471" s="153">
        <f t="shared" si="29"/>
        <v>0.9946860010515906</v>
      </c>
    </row>
    <row r="472" spans="1:9" ht="63">
      <c r="A472" s="3" t="s">
        <v>749</v>
      </c>
      <c r="B472" s="4" t="s">
        <v>426</v>
      </c>
      <c r="C472" s="4" t="s">
        <v>708</v>
      </c>
      <c r="D472" s="4" t="s">
        <v>706</v>
      </c>
      <c r="E472" s="4" t="s">
        <v>750</v>
      </c>
      <c r="F472" s="4"/>
      <c r="G472" s="27">
        <f t="shared" si="30"/>
        <v>6776002.47</v>
      </c>
      <c r="H472" s="27">
        <f t="shared" si="30"/>
        <v>6739994.8</v>
      </c>
      <c r="I472" s="153">
        <f t="shared" si="29"/>
        <v>0.9946860010515906</v>
      </c>
    </row>
    <row r="473" spans="1:9" ht="31.5">
      <c r="A473" s="3" t="s">
        <v>751</v>
      </c>
      <c r="B473" s="4" t="s">
        <v>426</v>
      </c>
      <c r="C473" s="4" t="s">
        <v>708</v>
      </c>
      <c r="D473" s="4" t="s">
        <v>706</v>
      </c>
      <c r="E473" s="4" t="s">
        <v>752</v>
      </c>
      <c r="F473" s="4"/>
      <c r="G473" s="27">
        <f>G474+G475</f>
        <v>6776002.47</v>
      </c>
      <c r="H473" s="27">
        <f>H474+H475</f>
        <v>6739994.8</v>
      </c>
      <c r="I473" s="153">
        <f t="shared" si="29"/>
        <v>0.9946860010515906</v>
      </c>
    </row>
    <row r="474" spans="1:9" ht="47.25">
      <c r="A474" s="3" t="s">
        <v>746</v>
      </c>
      <c r="B474" s="4" t="s">
        <v>426</v>
      </c>
      <c r="C474" s="4" t="s">
        <v>708</v>
      </c>
      <c r="D474" s="4" t="s">
        <v>706</v>
      </c>
      <c r="E474" s="4" t="s">
        <v>752</v>
      </c>
      <c r="F474" s="4" t="s">
        <v>380</v>
      </c>
      <c r="G474" s="27">
        <f>544454-34977</f>
        <v>509477</v>
      </c>
      <c r="H474" s="27">
        <v>473469.33</v>
      </c>
      <c r="I474" s="153">
        <f t="shared" si="29"/>
        <v>0.9293242481996243</v>
      </c>
    </row>
    <row r="475" spans="1:9" ht="63">
      <c r="A475" s="3" t="s">
        <v>770</v>
      </c>
      <c r="B475" s="4" t="s">
        <v>426</v>
      </c>
      <c r="C475" s="4" t="s">
        <v>708</v>
      </c>
      <c r="D475" s="4" t="s">
        <v>706</v>
      </c>
      <c r="E475" s="4" t="s">
        <v>752</v>
      </c>
      <c r="F475" s="4" t="s">
        <v>384</v>
      </c>
      <c r="G475" s="27">
        <f>6457419-190893.53</f>
        <v>6266525.47</v>
      </c>
      <c r="H475" s="27">
        <f>6457419-190893.53</f>
        <v>6266525.47</v>
      </c>
      <c r="I475" s="153">
        <f t="shared" si="29"/>
        <v>1</v>
      </c>
    </row>
    <row r="476" spans="1:9" ht="18.75">
      <c r="A476" s="8" t="s">
        <v>709</v>
      </c>
      <c r="B476" s="9" t="s">
        <v>426</v>
      </c>
      <c r="C476" s="9" t="s">
        <v>701</v>
      </c>
      <c r="D476" s="21"/>
      <c r="E476" s="21"/>
      <c r="F476" s="21"/>
      <c r="G476" s="26">
        <f>G500+G525+G532+G477</f>
        <v>1204121875.25</v>
      </c>
      <c r="H476" s="26">
        <f>H500+H525+H532+H477</f>
        <v>1203424683.69</v>
      </c>
      <c r="I476" s="154">
        <f t="shared" si="29"/>
        <v>0.9994209958523881</v>
      </c>
    </row>
    <row r="477" spans="1:9" ht="23.25" customHeight="1">
      <c r="A477" s="1" t="s">
        <v>710</v>
      </c>
      <c r="B477" s="2" t="s">
        <v>426</v>
      </c>
      <c r="C477" s="2" t="s">
        <v>701</v>
      </c>
      <c r="D477" s="2" t="s">
        <v>698</v>
      </c>
      <c r="E477" s="2"/>
      <c r="F477" s="4"/>
      <c r="G477" s="27">
        <f>G478+G495</f>
        <v>480396646.51</v>
      </c>
      <c r="H477" s="27">
        <f>H478+H495</f>
        <v>480205757.24</v>
      </c>
      <c r="I477" s="153">
        <f t="shared" si="29"/>
        <v>0.9996026423760724</v>
      </c>
    </row>
    <row r="478" spans="1:9" ht="73.5" customHeight="1">
      <c r="A478" s="3" t="s">
        <v>771</v>
      </c>
      <c r="B478" s="4" t="s">
        <v>426</v>
      </c>
      <c r="C478" s="4" t="s">
        <v>701</v>
      </c>
      <c r="D478" s="4" t="s">
        <v>698</v>
      </c>
      <c r="E478" s="4" t="s">
        <v>772</v>
      </c>
      <c r="F478" s="4"/>
      <c r="G478" s="27">
        <f>G479+G490</f>
        <v>480196646.51</v>
      </c>
      <c r="H478" s="27">
        <f>H479+H490</f>
        <v>480005757.24</v>
      </c>
      <c r="I478" s="153">
        <f aca="true" t="shared" si="31" ref="I478:I524">H478/G478</f>
        <v>0.999602476878197</v>
      </c>
    </row>
    <row r="479" spans="1:9" ht="47.25">
      <c r="A479" s="3" t="s">
        <v>794</v>
      </c>
      <c r="B479" s="4" t="s">
        <v>426</v>
      </c>
      <c r="C479" s="4" t="s">
        <v>701</v>
      </c>
      <c r="D479" s="4" t="s">
        <v>698</v>
      </c>
      <c r="E479" s="4" t="s">
        <v>795</v>
      </c>
      <c r="F479" s="4"/>
      <c r="G479" s="27">
        <f>G488+G484+G486+G480+G482</f>
        <v>472280030.56</v>
      </c>
      <c r="H479" s="27">
        <f>H488+H484+H486+H480+H482</f>
        <v>472089141.29</v>
      </c>
      <c r="I479" s="153">
        <f t="shared" si="31"/>
        <v>0.9995958133784025</v>
      </c>
    </row>
    <row r="480" spans="1:9" ht="110.25">
      <c r="A480" s="3" t="s">
        <v>650</v>
      </c>
      <c r="B480" s="4" t="s">
        <v>426</v>
      </c>
      <c r="C480" s="4" t="s">
        <v>701</v>
      </c>
      <c r="D480" s="4" t="s">
        <v>698</v>
      </c>
      <c r="E480" s="4" t="s">
        <v>651</v>
      </c>
      <c r="F480" s="4"/>
      <c r="G480" s="27">
        <f>G481</f>
        <v>188197260.56</v>
      </c>
      <c r="H480" s="27">
        <f>H481</f>
        <v>188197260.56</v>
      </c>
      <c r="I480" s="153">
        <f t="shared" si="31"/>
        <v>1</v>
      </c>
    </row>
    <row r="481" spans="1:9" ht="63">
      <c r="A481" s="3" t="s">
        <v>770</v>
      </c>
      <c r="B481" s="4" t="s">
        <v>426</v>
      </c>
      <c r="C481" s="4" t="s">
        <v>701</v>
      </c>
      <c r="D481" s="4" t="s">
        <v>698</v>
      </c>
      <c r="E481" s="4" t="s">
        <v>651</v>
      </c>
      <c r="F481" s="4" t="s">
        <v>384</v>
      </c>
      <c r="G481" s="27">
        <f>182399586+615093+232288.03+116400+672890+4061003.53+100000</f>
        <v>188197260.56</v>
      </c>
      <c r="H481" s="27">
        <f>182399586+615093+232288.03+116400+672890+4061003.53+100000</f>
        <v>188197260.56</v>
      </c>
      <c r="I481" s="153">
        <f t="shared" si="31"/>
        <v>1</v>
      </c>
    </row>
    <row r="482" spans="1:9" ht="141.75">
      <c r="A482" s="3" t="s">
        <v>979</v>
      </c>
      <c r="B482" s="4" t="s">
        <v>426</v>
      </c>
      <c r="C482" s="4" t="s">
        <v>701</v>
      </c>
      <c r="D482" s="4" t="s">
        <v>698</v>
      </c>
      <c r="E482" s="4" t="s">
        <v>980</v>
      </c>
      <c r="F482" s="4"/>
      <c r="G482" s="27">
        <f>G483</f>
        <v>967810</v>
      </c>
      <c r="H482" s="27">
        <f>H483</f>
        <v>967810</v>
      </c>
      <c r="I482" s="153">
        <f t="shared" si="31"/>
        <v>1</v>
      </c>
    </row>
    <row r="483" spans="1:9" ht="63">
      <c r="A483" s="3" t="s">
        <v>770</v>
      </c>
      <c r="B483" s="4" t="s">
        <v>426</v>
      </c>
      <c r="C483" s="4" t="s">
        <v>701</v>
      </c>
      <c r="D483" s="4" t="s">
        <v>698</v>
      </c>
      <c r="E483" s="4" t="s">
        <v>980</v>
      </c>
      <c r="F483" s="4" t="s">
        <v>384</v>
      </c>
      <c r="G483" s="27">
        <f>967810</f>
        <v>967810</v>
      </c>
      <c r="H483" s="27">
        <f>967810</f>
        <v>967810</v>
      </c>
      <c r="I483" s="153">
        <f t="shared" si="31"/>
        <v>1</v>
      </c>
    </row>
    <row r="484" spans="1:9" ht="141.75">
      <c r="A484" s="3" t="s">
        <v>416</v>
      </c>
      <c r="B484" s="4" t="s">
        <v>426</v>
      </c>
      <c r="C484" s="4" t="s">
        <v>701</v>
      </c>
      <c r="D484" s="4" t="s">
        <v>698</v>
      </c>
      <c r="E484" s="4" t="s">
        <v>622</v>
      </c>
      <c r="F484" s="4"/>
      <c r="G484" s="27">
        <f>G485</f>
        <v>650060</v>
      </c>
      <c r="H484" s="27">
        <f>H485</f>
        <v>639602</v>
      </c>
      <c r="I484" s="153">
        <f t="shared" si="31"/>
        <v>0.9839122542534535</v>
      </c>
    </row>
    <row r="485" spans="1:9" ht="63">
      <c r="A485" s="3" t="s">
        <v>770</v>
      </c>
      <c r="B485" s="4" t="s">
        <v>426</v>
      </c>
      <c r="C485" s="4" t="s">
        <v>701</v>
      </c>
      <c r="D485" s="4" t="s">
        <v>698</v>
      </c>
      <c r="E485" s="4" t="s">
        <v>622</v>
      </c>
      <c r="F485" s="4" t="s">
        <v>384</v>
      </c>
      <c r="G485" s="27">
        <f>889602-239542</f>
        <v>650060</v>
      </c>
      <c r="H485" s="27">
        <v>639602</v>
      </c>
      <c r="I485" s="153">
        <f t="shared" si="31"/>
        <v>0.9839122542534535</v>
      </c>
    </row>
    <row r="486" spans="1:9" ht="110.25">
      <c r="A486" s="3" t="s">
        <v>742</v>
      </c>
      <c r="B486" s="4" t="s">
        <v>426</v>
      </c>
      <c r="C486" s="4" t="s">
        <v>701</v>
      </c>
      <c r="D486" s="4" t="s">
        <v>698</v>
      </c>
      <c r="E486" s="4" t="s">
        <v>628</v>
      </c>
      <c r="F486" s="4"/>
      <c r="G486" s="27">
        <f>G487</f>
        <v>2997400</v>
      </c>
      <c r="H486" s="27">
        <f>H487</f>
        <v>2816968.73</v>
      </c>
      <c r="I486" s="153">
        <f t="shared" si="31"/>
        <v>0.939804073530393</v>
      </c>
    </row>
    <row r="487" spans="1:9" ht="63">
      <c r="A487" s="3" t="s">
        <v>770</v>
      </c>
      <c r="B487" s="4" t="s">
        <v>426</v>
      </c>
      <c r="C487" s="4" t="s">
        <v>701</v>
      </c>
      <c r="D487" s="4" t="s">
        <v>698</v>
      </c>
      <c r="E487" s="4" t="s">
        <v>628</v>
      </c>
      <c r="F487" s="4" t="s">
        <v>384</v>
      </c>
      <c r="G487" s="27">
        <f>4347200-1349800</f>
        <v>2997400</v>
      </c>
      <c r="H487" s="27">
        <v>2816968.73</v>
      </c>
      <c r="I487" s="153">
        <f t="shared" si="31"/>
        <v>0.939804073530393</v>
      </c>
    </row>
    <row r="488" spans="1:9" ht="94.5">
      <c r="A488" s="3" t="s">
        <v>796</v>
      </c>
      <c r="B488" s="4" t="s">
        <v>426</v>
      </c>
      <c r="C488" s="4" t="s">
        <v>701</v>
      </c>
      <c r="D488" s="4" t="s">
        <v>698</v>
      </c>
      <c r="E488" s="4" t="s">
        <v>797</v>
      </c>
      <c r="F488" s="4"/>
      <c r="G488" s="27">
        <f>G489</f>
        <v>279467500</v>
      </c>
      <c r="H488" s="27">
        <f>H489</f>
        <v>279467500</v>
      </c>
      <c r="I488" s="153">
        <f t="shared" si="31"/>
        <v>1</v>
      </c>
    </row>
    <row r="489" spans="1:9" ht="63">
      <c r="A489" s="3" t="s">
        <v>770</v>
      </c>
      <c r="B489" s="4" t="s">
        <v>426</v>
      </c>
      <c r="C489" s="4" t="s">
        <v>701</v>
      </c>
      <c r="D489" s="4" t="s">
        <v>698</v>
      </c>
      <c r="E489" s="4" t="s">
        <v>797</v>
      </c>
      <c r="F489" s="4" t="s">
        <v>384</v>
      </c>
      <c r="G489" s="27">
        <f>269133200+7906700+2427600</f>
        <v>279467500</v>
      </c>
      <c r="H489" s="27">
        <f>269133200+7906700+2427600</f>
        <v>279467500</v>
      </c>
      <c r="I489" s="153">
        <f t="shared" si="31"/>
        <v>1</v>
      </c>
    </row>
    <row r="490" spans="1:9" ht="63">
      <c r="A490" s="3" t="s">
        <v>414</v>
      </c>
      <c r="B490" s="4" t="s">
        <v>426</v>
      </c>
      <c r="C490" s="4" t="s">
        <v>701</v>
      </c>
      <c r="D490" s="4" t="s">
        <v>698</v>
      </c>
      <c r="E490" s="4" t="s">
        <v>415</v>
      </c>
      <c r="F490" s="4"/>
      <c r="G490" s="27">
        <f>G491+G493</f>
        <v>7916615.95</v>
      </c>
      <c r="H490" s="27">
        <f>H491+H493</f>
        <v>7916615.95</v>
      </c>
      <c r="I490" s="153">
        <f t="shared" si="31"/>
        <v>1</v>
      </c>
    </row>
    <row r="491" spans="1:9" ht="47.25">
      <c r="A491" s="3" t="s">
        <v>669</v>
      </c>
      <c r="B491" s="4" t="s">
        <v>426</v>
      </c>
      <c r="C491" s="4" t="s">
        <v>701</v>
      </c>
      <c r="D491" s="4" t="s">
        <v>698</v>
      </c>
      <c r="E491" s="4" t="s">
        <v>618</v>
      </c>
      <c r="F491" s="4"/>
      <c r="G491" s="27">
        <f>G492</f>
        <v>5374152.07</v>
      </c>
      <c r="H491" s="27">
        <f>H492</f>
        <v>5374152.07</v>
      </c>
      <c r="I491" s="153">
        <f t="shared" si="31"/>
        <v>1</v>
      </c>
    </row>
    <row r="492" spans="1:9" ht="63">
      <c r="A492" s="3" t="s">
        <v>770</v>
      </c>
      <c r="B492" s="4" t="s">
        <v>426</v>
      </c>
      <c r="C492" s="4" t="s">
        <v>701</v>
      </c>
      <c r="D492" s="4" t="s">
        <v>698</v>
      </c>
      <c r="E492" s="4" t="s">
        <v>618</v>
      </c>
      <c r="F492" s="4" t="s">
        <v>384</v>
      </c>
      <c r="G492" s="27">
        <f>1374688+958643.75+2092545+1527008.48-1374688+795954.84</f>
        <v>5374152.07</v>
      </c>
      <c r="H492" s="27">
        <f>1374688+958643.75+2092545+1527008.48-1374688+795954.84</f>
        <v>5374152.07</v>
      </c>
      <c r="I492" s="153">
        <f t="shared" si="31"/>
        <v>1</v>
      </c>
    </row>
    <row r="493" spans="1:9" ht="31.5">
      <c r="A493" s="3" t="s">
        <v>751</v>
      </c>
      <c r="B493" s="4" t="s">
        <v>426</v>
      </c>
      <c r="C493" s="4" t="s">
        <v>701</v>
      </c>
      <c r="D493" s="4" t="s">
        <v>698</v>
      </c>
      <c r="E493" s="4" t="s">
        <v>847</v>
      </c>
      <c r="F493" s="4"/>
      <c r="G493" s="27">
        <f>G494</f>
        <v>2542463.88</v>
      </c>
      <c r="H493" s="27">
        <f>H494</f>
        <v>2542463.88</v>
      </c>
      <c r="I493" s="153">
        <f t="shared" si="31"/>
        <v>1</v>
      </c>
    </row>
    <row r="494" spans="1:9" ht="63">
      <c r="A494" s="3" t="s">
        <v>770</v>
      </c>
      <c r="B494" s="4" t="s">
        <v>426</v>
      </c>
      <c r="C494" s="4" t="s">
        <v>701</v>
      </c>
      <c r="D494" s="4" t="s">
        <v>698</v>
      </c>
      <c r="E494" s="4" t="s">
        <v>847</v>
      </c>
      <c r="F494" s="4" t="s">
        <v>384</v>
      </c>
      <c r="G494" s="27">
        <f>1800000+742463.88</f>
        <v>2542463.88</v>
      </c>
      <c r="H494" s="27">
        <f>1800000+742463.88</f>
        <v>2542463.88</v>
      </c>
      <c r="I494" s="153">
        <f t="shared" si="31"/>
        <v>1</v>
      </c>
    </row>
    <row r="495" spans="1:9" ht="78.75">
      <c r="A495" s="3" t="s">
        <v>764</v>
      </c>
      <c r="B495" s="4" t="s">
        <v>426</v>
      </c>
      <c r="C495" s="4" t="s">
        <v>701</v>
      </c>
      <c r="D495" s="4" t="s">
        <v>698</v>
      </c>
      <c r="E495" s="4" t="s">
        <v>765</v>
      </c>
      <c r="F495" s="4"/>
      <c r="G495" s="27">
        <f>G498+G496</f>
        <v>200000</v>
      </c>
      <c r="H495" s="27">
        <f>H498+H496</f>
        <v>200000</v>
      </c>
      <c r="I495" s="153">
        <f t="shared" si="31"/>
        <v>1</v>
      </c>
    </row>
    <row r="496" spans="1:9" ht="31.5">
      <c r="A496" s="3" t="s">
        <v>766</v>
      </c>
      <c r="B496" s="4" t="s">
        <v>426</v>
      </c>
      <c r="C496" s="4" t="s">
        <v>701</v>
      </c>
      <c r="D496" s="4" t="s">
        <v>698</v>
      </c>
      <c r="E496" s="4" t="s">
        <v>767</v>
      </c>
      <c r="F496" s="4"/>
      <c r="G496" s="27">
        <f>G497</f>
        <v>100000</v>
      </c>
      <c r="H496" s="27">
        <f>H497</f>
        <v>100000</v>
      </c>
      <c r="I496" s="153">
        <f t="shared" si="31"/>
        <v>1</v>
      </c>
    </row>
    <row r="497" spans="1:9" ht="63">
      <c r="A497" s="3" t="s">
        <v>770</v>
      </c>
      <c r="B497" s="4" t="s">
        <v>426</v>
      </c>
      <c r="C497" s="4" t="s">
        <v>701</v>
      </c>
      <c r="D497" s="4" t="s">
        <v>698</v>
      </c>
      <c r="E497" s="4" t="s">
        <v>767</v>
      </c>
      <c r="F497" s="4" t="s">
        <v>384</v>
      </c>
      <c r="G497" s="27">
        <f>150000+350000+30000-430000</f>
        <v>100000</v>
      </c>
      <c r="H497" s="27">
        <f>150000+350000+30000-430000</f>
        <v>100000</v>
      </c>
      <c r="I497" s="153">
        <f t="shared" si="31"/>
        <v>1</v>
      </c>
    </row>
    <row r="498" spans="1:9" ht="83.25" customHeight="1">
      <c r="A498" s="3" t="s">
        <v>892</v>
      </c>
      <c r="B498" s="4" t="s">
        <v>426</v>
      </c>
      <c r="C498" s="4" t="s">
        <v>701</v>
      </c>
      <c r="D498" s="4" t="s">
        <v>698</v>
      </c>
      <c r="E498" s="4" t="s">
        <v>893</v>
      </c>
      <c r="F498" s="4"/>
      <c r="G498" s="27">
        <f>G499</f>
        <v>100000</v>
      </c>
      <c r="H498" s="27">
        <f>H499</f>
        <v>100000</v>
      </c>
      <c r="I498" s="153">
        <f t="shared" si="31"/>
        <v>1</v>
      </c>
    </row>
    <row r="499" spans="1:9" ht="63">
      <c r="A499" s="3" t="s">
        <v>770</v>
      </c>
      <c r="B499" s="4" t="s">
        <v>426</v>
      </c>
      <c r="C499" s="4" t="s">
        <v>701</v>
      </c>
      <c r="D499" s="4" t="s">
        <v>698</v>
      </c>
      <c r="E499" s="4" t="s">
        <v>893</v>
      </c>
      <c r="F499" s="4" t="s">
        <v>384</v>
      </c>
      <c r="G499" s="27">
        <v>100000</v>
      </c>
      <c r="H499" s="27">
        <v>100000</v>
      </c>
      <c r="I499" s="153">
        <f t="shared" si="31"/>
        <v>1</v>
      </c>
    </row>
    <row r="500" spans="1:9" ht="15.75">
      <c r="A500" s="1" t="s">
        <v>711</v>
      </c>
      <c r="B500" s="2" t="s">
        <v>426</v>
      </c>
      <c r="C500" s="2" t="s">
        <v>701</v>
      </c>
      <c r="D500" s="2" t="s">
        <v>703</v>
      </c>
      <c r="E500" s="4"/>
      <c r="F500" s="4"/>
      <c r="G500" s="30">
        <f>G501+G520</f>
        <v>621293663.97</v>
      </c>
      <c r="H500" s="30">
        <f>H501+H520</f>
        <v>620890463.6800001</v>
      </c>
      <c r="I500" s="152">
        <f t="shared" si="31"/>
        <v>0.9993510310608616</v>
      </c>
    </row>
    <row r="501" spans="1:9" ht="47.25">
      <c r="A501" s="3" t="s">
        <v>771</v>
      </c>
      <c r="B501" s="4" t="s">
        <v>426</v>
      </c>
      <c r="C501" s="4" t="s">
        <v>701</v>
      </c>
      <c r="D501" s="4" t="s">
        <v>703</v>
      </c>
      <c r="E501" s="4" t="s">
        <v>772</v>
      </c>
      <c r="F501" s="4"/>
      <c r="G501" s="27">
        <f>G502+G513</f>
        <v>616993663.97</v>
      </c>
      <c r="H501" s="27">
        <f>H502+H513</f>
        <v>616590463.6800001</v>
      </c>
      <c r="I501" s="153">
        <f t="shared" si="31"/>
        <v>0.999346508216299</v>
      </c>
    </row>
    <row r="502" spans="1:9" ht="63">
      <c r="A502" s="3" t="s">
        <v>791</v>
      </c>
      <c r="B502" s="4" t="s">
        <v>426</v>
      </c>
      <c r="C502" s="4" t="s">
        <v>701</v>
      </c>
      <c r="D502" s="4" t="s">
        <v>703</v>
      </c>
      <c r="E502" s="4" t="s">
        <v>792</v>
      </c>
      <c r="F502" s="4"/>
      <c r="G502" s="27">
        <f>G509+G507+G511+G503+G505</f>
        <v>587020221.97</v>
      </c>
      <c r="H502" s="27">
        <f>H509+H507+H511+H503+H505</f>
        <v>586657024.6800001</v>
      </c>
      <c r="I502" s="153">
        <f t="shared" si="31"/>
        <v>0.9993812865785422</v>
      </c>
    </row>
    <row r="503" spans="1:9" ht="110.25">
      <c r="A503" s="3" t="s">
        <v>650</v>
      </c>
      <c r="B503" s="4" t="s">
        <v>426</v>
      </c>
      <c r="C503" s="4" t="s">
        <v>701</v>
      </c>
      <c r="D503" s="4" t="s">
        <v>703</v>
      </c>
      <c r="E503" s="4" t="s">
        <v>652</v>
      </c>
      <c r="F503" s="4"/>
      <c r="G503" s="27">
        <f>G504</f>
        <v>280081527.97</v>
      </c>
      <c r="H503" s="27">
        <f>H504</f>
        <v>280081527.97</v>
      </c>
      <c r="I503" s="153">
        <f t="shared" si="31"/>
        <v>1</v>
      </c>
    </row>
    <row r="504" spans="1:9" ht="63">
      <c r="A504" s="3" t="s">
        <v>770</v>
      </c>
      <c r="B504" s="4" t="s">
        <v>426</v>
      </c>
      <c r="C504" s="4" t="s">
        <v>701</v>
      </c>
      <c r="D504" s="4" t="s">
        <v>703</v>
      </c>
      <c r="E504" s="4" t="s">
        <v>652</v>
      </c>
      <c r="F504" s="4" t="s">
        <v>384</v>
      </c>
      <c r="G504" s="27">
        <f>278926372-597511-17582-232288.03+1735000+267537</f>
        <v>280081527.97</v>
      </c>
      <c r="H504" s="27">
        <f>278926372-597511-17582-232288.03+1735000+267537</f>
        <v>280081527.97</v>
      </c>
      <c r="I504" s="153">
        <f t="shared" si="31"/>
        <v>1</v>
      </c>
    </row>
    <row r="505" spans="1:9" ht="141.75">
      <c r="A505" s="3" t="s">
        <v>979</v>
      </c>
      <c r="B505" s="4" t="s">
        <v>426</v>
      </c>
      <c r="C505" s="4" t="s">
        <v>701</v>
      </c>
      <c r="D505" s="4" t="s">
        <v>703</v>
      </c>
      <c r="E505" s="4" t="s">
        <v>982</v>
      </c>
      <c r="F505" s="4"/>
      <c r="G505" s="27">
        <f>G506</f>
        <v>2487050</v>
      </c>
      <c r="H505" s="27">
        <f>H506</f>
        <v>2487050</v>
      </c>
      <c r="I505" s="153">
        <f t="shared" si="31"/>
        <v>1</v>
      </c>
    </row>
    <row r="506" spans="1:9" ht="63">
      <c r="A506" s="3" t="s">
        <v>770</v>
      </c>
      <c r="B506" s="4" t="s">
        <v>426</v>
      </c>
      <c r="C506" s="4" t="s">
        <v>701</v>
      </c>
      <c r="D506" s="4" t="s">
        <v>703</v>
      </c>
      <c r="E506" s="4" t="s">
        <v>982</v>
      </c>
      <c r="F506" s="4" t="s">
        <v>384</v>
      </c>
      <c r="G506" s="27">
        <v>2487050</v>
      </c>
      <c r="H506" s="27">
        <v>2487050</v>
      </c>
      <c r="I506" s="153">
        <f t="shared" si="31"/>
        <v>1</v>
      </c>
    </row>
    <row r="507" spans="1:9" ht="141.75">
      <c r="A507" s="3" t="s">
        <v>416</v>
      </c>
      <c r="B507" s="4" t="s">
        <v>426</v>
      </c>
      <c r="C507" s="4" t="s">
        <v>701</v>
      </c>
      <c r="D507" s="4" t="s">
        <v>703</v>
      </c>
      <c r="E507" s="4" t="s">
        <v>623</v>
      </c>
      <c r="F507" s="4"/>
      <c r="G507" s="27">
        <f>G508</f>
        <v>341044</v>
      </c>
      <c r="H507" s="27">
        <f>H508</f>
        <v>341044</v>
      </c>
      <c r="I507" s="153">
        <f t="shared" si="31"/>
        <v>1</v>
      </c>
    </row>
    <row r="508" spans="1:9" ht="63">
      <c r="A508" s="3" t="s">
        <v>770</v>
      </c>
      <c r="B508" s="4" t="s">
        <v>426</v>
      </c>
      <c r="C508" s="4" t="s">
        <v>701</v>
      </c>
      <c r="D508" s="4" t="s">
        <v>703</v>
      </c>
      <c r="E508" s="4" t="s">
        <v>623</v>
      </c>
      <c r="F508" s="4" t="s">
        <v>384</v>
      </c>
      <c r="G508" s="27">
        <v>341044</v>
      </c>
      <c r="H508" s="27">
        <v>341044</v>
      </c>
      <c r="I508" s="153">
        <f t="shared" si="31"/>
        <v>1</v>
      </c>
    </row>
    <row r="509" spans="1:9" ht="123" customHeight="1">
      <c r="A509" s="3" t="s">
        <v>389</v>
      </c>
      <c r="B509" s="4" t="s">
        <v>426</v>
      </c>
      <c r="C509" s="4" t="s">
        <v>701</v>
      </c>
      <c r="D509" s="4" t="s">
        <v>703</v>
      </c>
      <c r="E509" s="4" t="s">
        <v>793</v>
      </c>
      <c r="F509" s="4"/>
      <c r="G509" s="27">
        <f>G510</f>
        <v>294276500</v>
      </c>
      <c r="H509" s="27">
        <f>H510</f>
        <v>294276500</v>
      </c>
      <c r="I509" s="153">
        <f t="shared" si="31"/>
        <v>1</v>
      </c>
    </row>
    <row r="510" spans="1:9" ht="63">
      <c r="A510" s="3" t="s">
        <v>770</v>
      </c>
      <c r="B510" s="4" t="s">
        <v>426</v>
      </c>
      <c r="C510" s="4" t="s">
        <v>701</v>
      </c>
      <c r="D510" s="4" t="s">
        <v>703</v>
      </c>
      <c r="E510" s="4" t="s">
        <v>793</v>
      </c>
      <c r="F510" s="4" t="s">
        <v>384</v>
      </c>
      <c r="G510" s="27">
        <f>304091500-9994600+179600</f>
        <v>294276500</v>
      </c>
      <c r="H510" s="27">
        <f>304091500-9994600+179600</f>
        <v>294276500</v>
      </c>
      <c r="I510" s="153">
        <f t="shared" si="31"/>
        <v>1</v>
      </c>
    </row>
    <row r="511" spans="1:9" ht="110.25">
      <c r="A511" s="3" t="s">
        <v>742</v>
      </c>
      <c r="B511" s="4" t="s">
        <v>426</v>
      </c>
      <c r="C511" s="4" t="s">
        <v>701</v>
      </c>
      <c r="D511" s="4" t="s">
        <v>703</v>
      </c>
      <c r="E511" s="4" t="s">
        <v>629</v>
      </c>
      <c r="F511" s="4"/>
      <c r="G511" s="27">
        <f>G512</f>
        <v>9834100</v>
      </c>
      <c r="H511" s="27">
        <f>H512</f>
        <v>9470902.71</v>
      </c>
      <c r="I511" s="153">
        <f t="shared" si="31"/>
        <v>0.96306756185111</v>
      </c>
    </row>
    <row r="512" spans="1:9" ht="63">
      <c r="A512" s="3" t="s">
        <v>770</v>
      </c>
      <c r="B512" s="4" t="s">
        <v>426</v>
      </c>
      <c r="C512" s="4" t="s">
        <v>701</v>
      </c>
      <c r="D512" s="4" t="s">
        <v>703</v>
      </c>
      <c r="E512" s="4" t="s">
        <v>629</v>
      </c>
      <c r="F512" s="4" t="s">
        <v>384</v>
      </c>
      <c r="G512" s="27">
        <f>10346800-512700</f>
        <v>9834100</v>
      </c>
      <c r="H512" s="27">
        <v>9470902.71</v>
      </c>
      <c r="I512" s="153">
        <f t="shared" si="31"/>
        <v>0.96306756185111</v>
      </c>
    </row>
    <row r="513" spans="1:9" ht="63">
      <c r="A513" s="3" t="s">
        <v>414</v>
      </c>
      <c r="B513" s="4" t="s">
        <v>426</v>
      </c>
      <c r="C513" s="4" t="s">
        <v>701</v>
      </c>
      <c r="D513" s="4" t="s">
        <v>703</v>
      </c>
      <c r="E513" s="4" t="s">
        <v>415</v>
      </c>
      <c r="F513" s="4"/>
      <c r="G513" s="27">
        <f>G514+G518+G516</f>
        <v>29973442</v>
      </c>
      <c r="H513" s="27">
        <f>H514+H518+H516</f>
        <v>29933439</v>
      </c>
      <c r="I513" s="153">
        <f t="shared" si="31"/>
        <v>0.9986653851766507</v>
      </c>
    </row>
    <row r="514" spans="1:9" ht="47.25">
      <c r="A514" s="3" t="s">
        <v>669</v>
      </c>
      <c r="B514" s="4" t="s">
        <v>426</v>
      </c>
      <c r="C514" s="4" t="s">
        <v>701</v>
      </c>
      <c r="D514" s="4" t="s">
        <v>703</v>
      </c>
      <c r="E514" s="4" t="s">
        <v>618</v>
      </c>
      <c r="F514" s="4"/>
      <c r="G514" s="27">
        <f>G515</f>
        <v>21690799.33</v>
      </c>
      <c r="H514" s="27">
        <f>H515</f>
        <v>21690799.33</v>
      </c>
      <c r="I514" s="153">
        <f t="shared" si="31"/>
        <v>1</v>
      </c>
    </row>
    <row r="515" spans="1:9" ht="63">
      <c r="A515" s="3" t="s">
        <v>770</v>
      </c>
      <c r="B515" s="4" t="s">
        <v>426</v>
      </c>
      <c r="C515" s="4" t="s">
        <v>701</v>
      </c>
      <c r="D515" s="4" t="s">
        <v>703</v>
      </c>
      <c r="E515" s="4" t="s">
        <v>618</v>
      </c>
      <c r="F515" s="4" t="s">
        <v>384</v>
      </c>
      <c r="G515" s="27">
        <f>598506.25+4258370+413637+178740+214000+12174189.52+2294688+1364268+234424+999245-1039268.44</f>
        <v>21690799.33</v>
      </c>
      <c r="H515" s="27">
        <f>598506.25+4258370+413637+178740+214000+12174189.52+2294688+1364268+234424+999245-1039268.44</f>
        <v>21690799.33</v>
      </c>
      <c r="I515" s="153">
        <f t="shared" si="31"/>
        <v>1</v>
      </c>
    </row>
    <row r="516" spans="1:9" ht="61.5" customHeight="1">
      <c r="A516" s="3" t="s">
        <v>766</v>
      </c>
      <c r="B516" s="4" t="s">
        <v>426</v>
      </c>
      <c r="C516" s="4" t="s">
        <v>701</v>
      </c>
      <c r="D516" s="4" t="s">
        <v>703</v>
      </c>
      <c r="E516" s="4" t="s">
        <v>847</v>
      </c>
      <c r="F516" s="4"/>
      <c r="G516" s="27">
        <f>G517</f>
        <v>8282642.67</v>
      </c>
      <c r="H516" s="27">
        <f>H517</f>
        <v>8242639.67</v>
      </c>
      <c r="I516" s="153">
        <f t="shared" si="31"/>
        <v>0.995170261280872</v>
      </c>
    </row>
    <row r="517" spans="1:9" ht="81" customHeight="1">
      <c r="A517" s="3" t="s">
        <v>770</v>
      </c>
      <c r="B517" s="4" t="s">
        <v>426</v>
      </c>
      <c r="C517" s="4" t="s">
        <v>701</v>
      </c>
      <c r="D517" s="4" t="s">
        <v>703</v>
      </c>
      <c r="E517" s="4" t="s">
        <v>847</v>
      </c>
      <c r="F517" s="4" t="s">
        <v>384</v>
      </c>
      <c r="G517" s="27">
        <f>2540480+2300000+393630+1834679+419000-614.14+795467.81</f>
        <v>8282642.67</v>
      </c>
      <c r="H517" s="27">
        <v>8242639.67</v>
      </c>
      <c r="I517" s="153">
        <f t="shared" si="31"/>
        <v>0.995170261280872</v>
      </c>
    </row>
    <row r="518" spans="1:9" ht="63" customHeight="1" hidden="1">
      <c r="A518" s="3" t="s">
        <v>663</v>
      </c>
      <c r="B518" s="4" t="s">
        <v>426</v>
      </c>
      <c r="C518" s="4" t="s">
        <v>701</v>
      </c>
      <c r="D518" s="4" t="s">
        <v>703</v>
      </c>
      <c r="E518" s="4" t="s">
        <v>664</v>
      </c>
      <c r="F518" s="4"/>
      <c r="G518" s="27">
        <f>G519</f>
        <v>0</v>
      </c>
      <c r="H518" s="27">
        <f>H519</f>
        <v>0</v>
      </c>
      <c r="I518" s="153" t="e">
        <f t="shared" si="31"/>
        <v>#DIV/0!</v>
      </c>
    </row>
    <row r="519" spans="1:9" ht="63" customHeight="1" hidden="1">
      <c r="A519" s="3" t="s">
        <v>770</v>
      </c>
      <c r="B519" s="4" t="s">
        <v>426</v>
      </c>
      <c r="C519" s="4" t="s">
        <v>701</v>
      </c>
      <c r="D519" s="4" t="s">
        <v>703</v>
      </c>
      <c r="E519" s="4" t="s">
        <v>664</v>
      </c>
      <c r="F519" s="4" t="s">
        <v>384</v>
      </c>
      <c r="G519" s="27">
        <f>13701198-13701198</f>
        <v>0</v>
      </c>
      <c r="H519" s="27">
        <f>13701198-13701198</f>
        <v>0</v>
      </c>
      <c r="I519" s="153" t="e">
        <f t="shared" si="31"/>
        <v>#DIV/0!</v>
      </c>
    </row>
    <row r="520" spans="1:9" ht="78.75">
      <c r="A520" s="3" t="s">
        <v>764</v>
      </c>
      <c r="B520" s="4" t="s">
        <v>426</v>
      </c>
      <c r="C520" s="4" t="s">
        <v>701</v>
      </c>
      <c r="D520" s="4" t="s">
        <v>703</v>
      </c>
      <c r="E520" s="4" t="s">
        <v>765</v>
      </c>
      <c r="F520" s="4"/>
      <c r="G520" s="27">
        <f>G521+G523</f>
        <v>4300000</v>
      </c>
      <c r="H520" s="27">
        <f>H521+H523</f>
        <v>4300000</v>
      </c>
      <c r="I520" s="153">
        <f t="shared" si="31"/>
        <v>1</v>
      </c>
    </row>
    <row r="521" spans="1:9" ht="47.25">
      <c r="A521" s="3" t="s">
        <v>669</v>
      </c>
      <c r="B521" s="4" t="s">
        <v>426</v>
      </c>
      <c r="C521" s="4" t="s">
        <v>701</v>
      </c>
      <c r="D521" s="4" t="s">
        <v>703</v>
      </c>
      <c r="E521" s="4" t="s">
        <v>467</v>
      </c>
      <c r="F521" s="4"/>
      <c r="G521" s="27">
        <f>G522</f>
        <v>2000000</v>
      </c>
      <c r="H521" s="27">
        <f>H522</f>
        <v>2000000</v>
      </c>
      <c r="I521" s="153">
        <f t="shared" si="31"/>
        <v>1</v>
      </c>
    </row>
    <row r="522" spans="1:9" ht="63">
      <c r="A522" s="3" t="s">
        <v>770</v>
      </c>
      <c r="B522" s="4" t="s">
        <v>426</v>
      </c>
      <c r="C522" s="4" t="s">
        <v>701</v>
      </c>
      <c r="D522" s="4" t="s">
        <v>703</v>
      </c>
      <c r="E522" s="4" t="s">
        <v>467</v>
      </c>
      <c r="F522" s="4" t="s">
        <v>384</v>
      </c>
      <c r="G522" s="27">
        <f>2600000-920000-480000+800000</f>
        <v>2000000</v>
      </c>
      <c r="H522" s="27">
        <f>2600000-920000-480000+800000</f>
        <v>2000000</v>
      </c>
      <c r="I522" s="153">
        <f t="shared" si="31"/>
        <v>1</v>
      </c>
    </row>
    <row r="523" spans="1:9" ht="63">
      <c r="A523" s="3" t="s">
        <v>892</v>
      </c>
      <c r="B523" s="4" t="s">
        <v>426</v>
      </c>
      <c r="C523" s="4" t="s">
        <v>701</v>
      </c>
      <c r="D523" s="4" t="s">
        <v>703</v>
      </c>
      <c r="E523" s="4" t="s">
        <v>893</v>
      </c>
      <c r="F523" s="4"/>
      <c r="G523" s="27">
        <f>G524</f>
        <v>2300000</v>
      </c>
      <c r="H523" s="27">
        <f>H524</f>
        <v>2300000</v>
      </c>
      <c r="I523" s="153">
        <f t="shared" si="31"/>
        <v>1</v>
      </c>
    </row>
    <row r="524" spans="1:9" ht="63">
      <c r="A524" s="3" t="s">
        <v>770</v>
      </c>
      <c r="B524" s="4" t="s">
        <v>426</v>
      </c>
      <c r="C524" s="4" t="s">
        <v>701</v>
      </c>
      <c r="D524" s="4" t="s">
        <v>703</v>
      </c>
      <c r="E524" s="4" t="s">
        <v>893</v>
      </c>
      <c r="F524" s="4" t="s">
        <v>384</v>
      </c>
      <c r="G524" s="27">
        <f>300000+2000000</f>
        <v>2300000</v>
      </c>
      <c r="H524" s="27">
        <f>300000+2000000</f>
        <v>2300000</v>
      </c>
      <c r="I524" s="153">
        <f t="shared" si="31"/>
        <v>1</v>
      </c>
    </row>
    <row r="525" spans="1:9" ht="31.5">
      <c r="A525" s="11" t="s">
        <v>418</v>
      </c>
      <c r="B525" s="5" t="s">
        <v>426</v>
      </c>
      <c r="C525" s="5" t="s">
        <v>701</v>
      </c>
      <c r="D525" s="5" t="s">
        <v>701</v>
      </c>
      <c r="E525" s="21"/>
      <c r="F525" s="21"/>
      <c r="G525" s="26">
        <f>G526</f>
        <v>13223339</v>
      </c>
      <c r="H525" s="26">
        <f>H526</f>
        <v>13127243</v>
      </c>
      <c r="I525" s="154">
        <f aca="true" t="shared" si="32" ref="I525:I533">H525/G525</f>
        <v>0.992732849093561</v>
      </c>
    </row>
    <row r="526" spans="1:9" ht="47.25">
      <c r="A526" s="3" t="s">
        <v>771</v>
      </c>
      <c r="B526" s="4" t="s">
        <v>426</v>
      </c>
      <c r="C526" s="4" t="s">
        <v>701</v>
      </c>
      <c r="D526" s="4" t="s">
        <v>701</v>
      </c>
      <c r="E526" s="4" t="s">
        <v>772</v>
      </c>
      <c r="F526" s="4"/>
      <c r="G526" s="27">
        <f>G527</f>
        <v>13223339</v>
      </c>
      <c r="H526" s="27">
        <f>H527</f>
        <v>13127243</v>
      </c>
      <c r="I526" s="153">
        <f t="shared" si="32"/>
        <v>0.992732849093561</v>
      </c>
    </row>
    <row r="527" spans="1:9" ht="61.5" customHeight="1">
      <c r="A527" s="3" t="s">
        <v>660</v>
      </c>
      <c r="B527" s="4" t="s">
        <v>426</v>
      </c>
      <c r="C527" s="4" t="s">
        <v>701</v>
      </c>
      <c r="D527" s="4" t="s">
        <v>701</v>
      </c>
      <c r="E527" s="4" t="s">
        <v>661</v>
      </c>
      <c r="F527" s="4"/>
      <c r="G527" s="27">
        <f>G528+G530</f>
        <v>13223339</v>
      </c>
      <c r="H527" s="27">
        <f>H528+H530</f>
        <v>13127243</v>
      </c>
      <c r="I527" s="153">
        <f t="shared" si="32"/>
        <v>0.992732849093561</v>
      </c>
    </row>
    <row r="528" spans="1:9" ht="94.5">
      <c r="A528" s="3" t="s">
        <v>679</v>
      </c>
      <c r="B528" s="4" t="s">
        <v>426</v>
      </c>
      <c r="C528" s="4" t="s">
        <v>701</v>
      </c>
      <c r="D528" s="4" t="s">
        <v>701</v>
      </c>
      <c r="E528" s="4" t="s">
        <v>785</v>
      </c>
      <c r="F528" s="4"/>
      <c r="G528" s="27">
        <f>G529</f>
        <v>3072400</v>
      </c>
      <c r="H528" s="27">
        <f>H529</f>
        <v>2976304</v>
      </c>
      <c r="I528" s="153">
        <f t="shared" si="32"/>
        <v>0.9687228225491472</v>
      </c>
    </row>
    <row r="529" spans="1:9" ht="63">
      <c r="A529" s="3" t="s">
        <v>770</v>
      </c>
      <c r="B529" s="4" t="s">
        <v>426</v>
      </c>
      <c r="C529" s="4" t="s">
        <v>701</v>
      </c>
      <c r="D529" s="4" t="s">
        <v>701</v>
      </c>
      <c r="E529" s="4" t="s">
        <v>785</v>
      </c>
      <c r="F529" s="4" t="s">
        <v>384</v>
      </c>
      <c r="G529" s="27">
        <v>3072400</v>
      </c>
      <c r="H529" s="27">
        <v>2976304</v>
      </c>
      <c r="I529" s="153">
        <f t="shared" si="32"/>
        <v>0.9687228225491472</v>
      </c>
    </row>
    <row r="530" spans="1:9" ht="31.5">
      <c r="A530" s="3" t="s">
        <v>766</v>
      </c>
      <c r="B530" s="4" t="s">
        <v>426</v>
      </c>
      <c r="C530" s="4" t="s">
        <v>701</v>
      </c>
      <c r="D530" s="4" t="s">
        <v>701</v>
      </c>
      <c r="E530" s="4" t="s">
        <v>662</v>
      </c>
      <c r="F530" s="4"/>
      <c r="G530" s="27">
        <f>G531</f>
        <v>10150939</v>
      </c>
      <c r="H530" s="27">
        <f>H531</f>
        <v>10150939</v>
      </c>
      <c r="I530" s="153">
        <f t="shared" si="32"/>
        <v>1</v>
      </c>
    </row>
    <row r="531" spans="1:9" ht="63">
      <c r="A531" s="3" t="s">
        <v>770</v>
      </c>
      <c r="B531" s="4" t="s">
        <v>426</v>
      </c>
      <c r="C531" s="4" t="s">
        <v>701</v>
      </c>
      <c r="D531" s="4" t="s">
        <v>701</v>
      </c>
      <c r="E531" s="4" t="s">
        <v>662</v>
      </c>
      <c r="F531" s="4" t="s">
        <v>384</v>
      </c>
      <c r="G531" s="27">
        <f>7560259+2150680+440000</f>
        <v>10150939</v>
      </c>
      <c r="H531" s="27">
        <f>7560259+2150680+440000</f>
        <v>10150939</v>
      </c>
      <c r="I531" s="153">
        <f t="shared" si="32"/>
        <v>1</v>
      </c>
    </row>
    <row r="532" spans="1:9" ht="31.5">
      <c r="A532" s="11" t="s">
        <v>722</v>
      </c>
      <c r="B532" s="5" t="s">
        <v>426</v>
      </c>
      <c r="C532" s="5" t="s">
        <v>701</v>
      </c>
      <c r="D532" s="5" t="s">
        <v>704</v>
      </c>
      <c r="E532" s="21"/>
      <c r="F532" s="21"/>
      <c r="G532" s="26">
        <f>G533+G554+G550+G558</f>
        <v>89208225.77</v>
      </c>
      <c r="H532" s="26">
        <f>H533+H554+H550+H558</f>
        <v>89201219.77</v>
      </c>
      <c r="I532" s="154">
        <f t="shared" si="32"/>
        <v>0.9999214646414103</v>
      </c>
    </row>
    <row r="533" spans="1:9" ht="69" customHeight="1">
      <c r="A533" s="3" t="s">
        <v>771</v>
      </c>
      <c r="B533" s="4" t="s">
        <v>426</v>
      </c>
      <c r="C533" s="4" t="s">
        <v>701</v>
      </c>
      <c r="D533" s="4" t="s">
        <v>704</v>
      </c>
      <c r="E533" s="4" t="s">
        <v>772</v>
      </c>
      <c r="F533" s="4"/>
      <c r="G533" s="27">
        <f>G543+G534+G537+G540</f>
        <v>82379086</v>
      </c>
      <c r="H533" s="27">
        <f>H543+H534+H537+H540</f>
        <v>82379086</v>
      </c>
      <c r="I533" s="153">
        <f t="shared" si="32"/>
        <v>1</v>
      </c>
    </row>
    <row r="534" spans="1:9" ht="78.75" customHeight="1">
      <c r="A534" s="3" t="s">
        <v>791</v>
      </c>
      <c r="B534" s="4" t="s">
        <v>426</v>
      </c>
      <c r="C534" s="4" t="s">
        <v>701</v>
      </c>
      <c r="D534" s="4" t="s">
        <v>704</v>
      </c>
      <c r="E534" s="4" t="s">
        <v>792</v>
      </c>
      <c r="F534" s="4"/>
      <c r="G534" s="27">
        <f>G535</f>
        <v>8027246</v>
      </c>
      <c r="H534" s="27">
        <f>H535</f>
        <v>8027246</v>
      </c>
      <c r="I534" s="153">
        <f aca="true" t="shared" si="33" ref="I534:I562">H534/G534</f>
        <v>1</v>
      </c>
    </row>
    <row r="535" spans="1:9" ht="112.5" customHeight="1">
      <c r="A535" s="3" t="s">
        <v>650</v>
      </c>
      <c r="B535" s="4" t="s">
        <v>426</v>
      </c>
      <c r="C535" s="4" t="s">
        <v>701</v>
      </c>
      <c r="D535" s="4" t="s">
        <v>704</v>
      </c>
      <c r="E535" s="4" t="s">
        <v>652</v>
      </c>
      <c r="F535" s="4"/>
      <c r="G535" s="27">
        <f>G536</f>
        <v>8027246</v>
      </c>
      <c r="H535" s="27">
        <f>H536</f>
        <v>8027246</v>
      </c>
      <c r="I535" s="153">
        <f t="shared" si="33"/>
        <v>1</v>
      </c>
    </row>
    <row r="536" spans="1:9" ht="74.25" customHeight="1">
      <c r="A536" s="3" t="s">
        <v>770</v>
      </c>
      <c r="B536" s="4" t="s">
        <v>426</v>
      </c>
      <c r="C536" s="4" t="s">
        <v>701</v>
      </c>
      <c r="D536" s="4" t="s">
        <v>704</v>
      </c>
      <c r="E536" s="4" t="s">
        <v>652</v>
      </c>
      <c r="F536" s="4" t="s">
        <v>384</v>
      </c>
      <c r="G536" s="27">
        <v>8027246</v>
      </c>
      <c r="H536" s="27">
        <v>8027246</v>
      </c>
      <c r="I536" s="153">
        <f t="shared" si="33"/>
        <v>1</v>
      </c>
    </row>
    <row r="537" spans="1:9" ht="93" customHeight="1">
      <c r="A537" s="3" t="s">
        <v>653</v>
      </c>
      <c r="B537" s="4" t="s">
        <v>426</v>
      </c>
      <c r="C537" s="4" t="s">
        <v>701</v>
      </c>
      <c r="D537" s="4" t="s">
        <v>704</v>
      </c>
      <c r="E537" s="4" t="s">
        <v>654</v>
      </c>
      <c r="F537" s="4"/>
      <c r="G537" s="27">
        <f>G538</f>
        <v>23399977</v>
      </c>
      <c r="H537" s="27">
        <f>H538</f>
        <v>23399977</v>
      </c>
      <c r="I537" s="153">
        <f t="shared" si="33"/>
        <v>1</v>
      </c>
    </row>
    <row r="538" spans="1:9" ht="131.25" customHeight="1">
      <c r="A538" s="3" t="s">
        <v>650</v>
      </c>
      <c r="B538" s="4" t="s">
        <v>426</v>
      </c>
      <c r="C538" s="4" t="s">
        <v>701</v>
      </c>
      <c r="D538" s="4" t="s">
        <v>704</v>
      </c>
      <c r="E538" s="4" t="s">
        <v>655</v>
      </c>
      <c r="F538" s="4"/>
      <c r="G538" s="27">
        <f>G539</f>
        <v>23399977</v>
      </c>
      <c r="H538" s="27">
        <f>H539</f>
        <v>23399977</v>
      </c>
      <c r="I538" s="153">
        <f t="shared" si="33"/>
        <v>1</v>
      </c>
    </row>
    <row r="539" spans="1:9" ht="93.75" customHeight="1">
      <c r="A539" s="3" t="s">
        <v>770</v>
      </c>
      <c r="B539" s="4" t="s">
        <v>426</v>
      </c>
      <c r="C539" s="4" t="s">
        <v>701</v>
      </c>
      <c r="D539" s="4" t="s">
        <v>704</v>
      </c>
      <c r="E539" s="4" t="s">
        <v>655</v>
      </c>
      <c r="F539" s="4" t="s">
        <v>384</v>
      </c>
      <c r="G539" s="27">
        <f>23839977-440000</f>
        <v>23399977</v>
      </c>
      <c r="H539" s="27">
        <f>23839977-440000</f>
        <v>23399977</v>
      </c>
      <c r="I539" s="153">
        <f t="shared" si="33"/>
        <v>1</v>
      </c>
    </row>
    <row r="540" spans="1:9" ht="101.25" customHeight="1">
      <c r="A540" s="3" t="s">
        <v>656</v>
      </c>
      <c r="B540" s="4" t="s">
        <v>426</v>
      </c>
      <c r="C540" s="4" t="s">
        <v>701</v>
      </c>
      <c r="D540" s="4" t="s">
        <v>704</v>
      </c>
      <c r="E540" s="4" t="s">
        <v>657</v>
      </c>
      <c r="F540" s="4"/>
      <c r="G540" s="27">
        <f>G541</f>
        <v>28400869</v>
      </c>
      <c r="H540" s="27">
        <f>H541</f>
        <v>28400869</v>
      </c>
      <c r="I540" s="153">
        <f t="shared" si="33"/>
        <v>1</v>
      </c>
    </row>
    <row r="541" spans="1:9" ht="93.75" customHeight="1">
      <c r="A541" s="3" t="s">
        <v>650</v>
      </c>
      <c r="B541" s="4" t="s">
        <v>426</v>
      </c>
      <c r="C541" s="4" t="s">
        <v>701</v>
      </c>
      <c r="D541" s="4" t="s">
        <v>704</v>
      </c>
      <c r="E541" s="4" t="s">
        <v>658</v>
      </c>
      <c r="F541" s="4"/>
      <c r="G541" s="27">
        <f>G542</f>
        <v>28400869</v>
      </c>
      <c r="H541" s="27">
        <f>H542</f>
        <v>28400869</v>
      </c>
      <c r="I541" s="153">
        <f t="shared" si="33"/>
        <v>1</v>
      </c>
    </row>
    <row r="542" spans="1:9" ht="93.75" customHeight="1">
      <c r="A542" s="3" t="s">
        <v>770</v>
      </c>
      <c r="B542" s="4" t="s">
        <v>426</v>
      </c>
      <c r="C542" s="4" t="s">
        <v>701</v>
      </c>
      <c r="D542" s="4" t="s">
        <v>704</v>
      </c>
      <c r="E542" s="4" t="s">
        <v>658</v>
      </c>
      <c r="F542" s="4" t="s">
        <v>384</v>
      </c>
      <c r="G542" s="27">
        <v>28400869</v>
      </c>
      <c r="H542" s="27">
        <v>28400869</v>
      </c>
      <c r="I542" s="153">
        <f t="shared" si="33"/>
        <v>1</v>
      </c>
    </row>
    <row r="543" spans="1:9" ht="39" customHeight="1">
      <c r="A543" s="3" t="s">
        <v>773</v>
      </c>
      <c r="B543" s="4" t="s">
        <v>426</v>
      </c>
      <c r="C543" s="4" t="s">
        <v>701</v>
      </c>
      <c r="D543" s="4" t="s">
        <v>704</v>
      </c>
      <c r="E543" s="4" t="s">
        <v>775</v>
      </c>
      <c r="F543" s="4"/>
      <c r="G543" s="27">
        <f>G546+G548+G544</f>
        <v>22550994</v>
      </c>
      <c r="H543" s="27">
        <f>H546+H548+H544</f>
        <v>22550994</v>
      </c>
      <c r="I543" s="153">
        <f t="shared" si="33"/>
        <v>1</v>
      </c>
    </row>
    <row r="544" spans="1:9" ht="139.5" customHeight="1">
      <c r="A544" s="3" t="s">
        <v>650</v>
      </c>
      <c r="B544" s="4" t="s">
        <v>426</v>
      </c>
      <c r="C544" s="4" t="s">
        <v>701</v>
      </c>
      <c r="D544" s="4" t="s">
        <v>704</v>
      </c>
      <c r="E544" s="4" t="s">
        <v>659</v>
      </c>
      <c r="F544" s="4"/>
      <c r="G544" s="27">
        <f>G545</f>
        <v>6370094</v>
      </c>
      <c r="H544" s="27">
        <f>H545</f>
        <v>6370094</v>
      </c>
      <c r="I544" s="153">
        <f t="shared" si="33"/>
        <v>1</v>
      </c>
    </row>
    <row r="545" spans="1:9" ht="96.75" customHeight="1">
      <c r="A545" s="3" t="s">
        <v>770</v>
      </c>
      <c r="B545" s="4" t="s">
        <v>426</v>
      </c>
      <c r="C545" s="4" t="s">
        <v>701</v>
      </c>
      <c r="D545" s="4" t="s">
        <v>704</v>
      </c>
      <c r="E545" s="4" t="s">
        <v>659</v>
      </c>
      <c r="F545" s="4" t="s">
        <v>384</v>
      </c>
      <c r="G545" s="27">
        <f>8070774-2150680+450000</f>
        <v>6370094</v>
      </c>
      <c r="H545" s="27">
        <f>8070774-2150680+450000</f>
        <v>6370094</v>
      </c>
      <c r="I545" s="153">
        <f t="shared" si="33"/>
        <v>1</v>
      </c>
    </row>
    <row r="546" spans="1:9" ht="165" customHeight="1">
      <c r="A546" s="3" t="s">
        <v>617</v>
      </c>
      <c r="B546" s="4" t="s">
        <v>426</v>
      </c>
      <c r="C546" s="4" t="s">
        <v>701</v>
      </c>
      <c r="D546" s="4" t="s">
        <v>704</v>
      </c>
      <c r="E546" s="4" t="s">
        <v>774</v>
      </c>
      <c r="F546" s="4"/>
      <c r="G546" s="27">
        <f>G547</f>
        <v>905200</v>
      </c>
      <c r="H546" s="27">
        <f>H547</f>
        <v>905200</v>
      </c>
      <c r="I546" s="153">
        <f t="shared" si="33"/>
        <v>1</v>
      </c>
    </row>
    <row r="547" spans="1:9" ht="63">
      <c r="A547" s="3" t="s">
        <v>770</v>
      </c>
      <c r="B547" s="4" t="s">
        <v>426</v>
      </c>
      <c r="C547" s="4" t="s">
        <v>701</v>
      </c>
      <c r="D547" s="4" t="s">
        <v>704</v>
      </c>
      <c r="E547" s="4" t="s">
        <v>774</v>
      </c>
      <c r="F547" s="4" t="s">
        <v>384</v>
      </c>
      <c r="G547" s="27">
        <v>905200</v>
      </c>
      <c r="H547" s="27">
        <v>905200</v>
      </c>
      <c r="I547" s="153">
        <f t="shared" si="33"/>
        <v>1</v>
      </c>
    </row>
    <row r="548" spans="1:9" ht="47.25">
      <c r="A548" s="3" t="s">
        <v>736</v>
      </c>
      <c r="B548" s="4" t="s">
        <v>426</v>
      </c>
      <c r="C548" s="4" t="s">
        <v>701</v>
      </c>
      <c r="D548" s="4" t="s">
        <v>704</v>
      </c>
      <c r="E548" s="4" t="s">
        <v>801</v>
      </c>
      <c r="F548" s="4"/>
      <c r="G548" s="27">
        <f>G549</f>
        <v>15275700</v>
      </c>
      <c r="H548" s="27">
        <f>H549</f>
        <v>15275700</v>
      </c>
      <c r="I548" s="153">
        <f t="shared" si="33"/>
        <v>1</v>
      </c>
    </row>
    <row r="549" spans="1:9" ht="63">
      <c r="A549" s="3" t="s">
        <v>770</v>
      </c>
      <c r="B549" s="4" t="s">
        <v>426</v>
      </c>
      <c r="C549" s="4" t="s">
        <v>701</v>
      </c>
      <c r="D549" s="4" t="s">
        <v>704</v>
      </c>
      <c r="E549" s="4" t="s">
        <v>801</v>
      </c>
      <c r="F549" s="4" t="s">
        <v>384</v>
      </c>
      <c r="G549" s="27">
        <v>15275700</v>
      </c>
      <c r="H549" s="27">
        <v>15275700</v>
      </c>
      <c r="I549" s="153">
        <f t="shared" si="33"/>
        <v>1</v>
      </c>
    </row>
    <row r="550" spans="1:9" ht="78.75">
      <c r="A550" s="3" t="s">
        <v>783</v>
      </c>
      <c r="B550" s="4" t="s">
        <v>426</v>
      </c>
      <c r="C550" s="4" t="s">
        <v>701</v>
      </c>
      <c r="D550" s="4" t="s">
        <v>704</v>
      </c>
      <c r="E550" s="4" t="s">
        <v>784</v>
      </c>
      <c r="F550" s="4"/>
      <c r="G550" s="27">
        <f aca="true" t="shared" si="34" ref="G550:H552">G551</f>
        <v>61750</v>
      </c>
      <c r="H550" s="27">
        <f t="shared" si="34"/>
        <v>61750</v>
      </c>
      <c r="I550" s="153">
        <f t="shared" si="33"/>
        <v>1</v>
      </c>
    </row>
    <row r="551" spans="1:9" ht="15.75">
      <c r="A551" s="55" t="s">
        <v>518</v>
      </c>
      <c r="B551" s="4" t="s">
        <v>426</v>
      </c>
      <c r="C551" s="4" t="s">
        <v>701</v>
      </c>
      <c r="D551" s="4" t="s">
        <v>704</v>
      </c>
      <c r="E551" s="4" t="s">
        <v>519</v>
      </c>
      <c r="F551" s="4"/>
      <c r="G551" s="27">
        <f t="shared" si="34"/>
        <v>61750</v>
      </c>
      <c r="H551" s="27">
        <f t="shared" si="34"/>
        <v>61750</v>
      </c>
      <c r="I551" s="153">
        <f t="shared" si="33"/>
        <v>1</v>
      </c>
    </row>
    <row r="552" spans="1:9" ht="31.5">
      <c r="A552" s="3" t="s">
        <v>766</v>
      </c>
      <c r="B552" s="4" t="s">
        <v>426</v>
      </c>
      <c r="C552" s="4" t="s">
        <v>701</v>
      </c>
      <c r="D552" s="4" t="s">
        <v>704</v>
      </c>
      <c r="E552" s="4" t="s">
        <v>520</v>
      </c>
      <c r="F552" s="4"/>
      <c r="G552" s="27">
        <f t="shared" si="34"/>
        <v>61750</v>
      </c>
      <c r="H552" s="27">
        <f t="shared" si="34"/>
        <v>61750</v>
      </c>
      <c r="I552" s="153">
        <f t="shared" si="33"/>
        <v>1</v>
      </c>
    </row>
    <row r="553" spans="1:9" ht="63">
      <c r="A553" s="3" t="s">
        <v>770</v>
      </c>
      <c r="B553" s="4" t="s">
        <v>426</v>
      </c>
      <c r="C553" s="4" t="s">
        <v>701</v>
      </c>
      <c r="D553" s="4" t="s">
        <v>704</v>
      </c>
      <c r="E553" s="4" t="s">
        <v>520</v>
      </c>
      <c r="F553" s="4" t="s">
        <v>384</v>
      </c>
      <c r="G553" s="27">
        <v>61750</v>
      </c>
      <c r="H553" s="27">
        <v>61750</v>
      </c>
      <c r="I553" s="153">
        <f t="shared" si="33"/>
        <v>1</v>
      </c>
    </row>
    <row r="554" spans="1:9" ht="78.75">
      <c r="A554" s="3" t="s">
        <v>474</v>
      </c>
      <c r="B554" s="4" t="s">
        <v>426</v>
      </c>
      <c r="C554" s="4" t="s">
        <v>701</v>
      </c>
      <c r="D554" s="4" t="s">
        <v>704</v>
      </c>
      <c r="E554" s="4" t="s">
        <v>475</v>
      </c>
      <c r="F554" s="4"/>
      <c r="G554" s="27">
        <f aca="true" t="shared" si="35" ref="G554:H556">G555</f>
        <v>153800</v>
      </c>
      <c r="H554" s="27">
        <f t="shared" si="35"/>
        <v>153800</v>
      </c>
      <c r="I554" s="153">
        <f t="shared" si="33"/>
        <v>1</v>
      </c>
    </row>
    <row r="555" spans="1:9" ht="78.75">
      <c r="A555" s="3" t="s">
        <v>480</v>
      </c>
      <c r="B555" s="4" t="s">
        <v>426</v>
      </c>
      <c r="C555" s="4" t="s">
        <v>701</v>
      </c>
      <c r="D555" s="4" t="s">
        <v>704</v>
      </c>
      <c r="E555" s="4" t="s">
        <v>481</v>
      </c>
      <c r="F555" s="4"/>
      <c r="G555" s="27">
        <f t="shared" si="35"/>
        <v>153800</v>
      </c>
      <c r="H555" s="27">
        <f t="shared" si="35"/>
        <v>153800</v>
      </c>
      <c r="I555" s="153">
        <f t="shared" si="33"/>
        <v>1</v>
      </c>
    </row>
    <row r="556" spans="1:9" ht="31.5">
      <c r="A556" s="3" t="s">
        <v>766</v>
      </c>
      <c r="B556" s="4" t="s">
        <v>426</v>
      </c>
      <c r="C556" s="4" t="s">
        <v>701</v>
      </c>
      <c r="D556" s="4" t="s">
        <v>704</v>
      </c>
      <c r="E556" s="4" t="s">
        <v>482</v>
      </c>
      <c r="F556" s="4"/>
      <c r="G556" s="27">
        <f t="shared" si="35"/>
        <v>153800</v>
      </c>
      <c r="H556" s="27">
        <f t="shared" si="35"/>
        <v>153800</v>
      </c>
      <c r="I556" s="153">
        <f t="shared" si="33"/>
        <v>1</v>
      </c>
    </row>
    <row r="557" spans="1:9" ht="63">
      <c r="A557" s="3" t="s">
        <v>770</v>
      </c>
      <c r="B557" s="4" t="s">
        <v>426</v>
      </c>
      <c r="C557" s="4" t="s">
        <v>701</v>
      </c>
      <c r="D557" s="4" t="s">
        <v>704</v>
      </c>
      <c r="E557" s="4" t="s">
        <v>482</v>
      </c>
      <c r="F557" s="4" t="s">
        <v>384</v>
      </c>
      <c r="G557" s="27">
        <f>1953800-1800000</f>
        <v>153800</v>
      </c>
      <c r="H557" s="27">
        <f>1953800-1800000</f>
        <v>153800</v>
      </c>
      <c r="I557" s="153">
        <f t="shared" si="33"/>
        <v>1</v>
      </c>
    </row>
    <row r="558" spans="1:9" ht="63">
      <c r="A558" s="3" t="s">
        <v>428</v>
      </c>
      <c r="B558" s="4" t="s">
        <v>426</v>
      </c>
      <c r="C558" s="4" t="s">
        <v>701</v>
      </c>
      <c r="D558" s="4" t="s">
        <v>704</v>
      </c>
      <c r="E558" s="4" t="s">
        <v>429</v>
      </c>
      <c r="F558" s="4"/>
      <c r="G558" s="27">
        <f>G559+G561</f>
        <v>6613589.77</v>
      </c>
      <c r="H558" s="27">
        <f>H559+H561</f>
        <v>6606583.77</v>
      </c>
      <c r="I558" s="153">
        <f t="shared" si="33"/>
        <v>0.9989406660764204</v>
      </c>
    </row>
    <row r="559" spans="1:9" ht="47.25">
      <c r="A559" s="3" t="s">
        <v>669</v>
      </c>
      <c r="B559" s="4" t="s">
        <v>426</v>
      </c>
      <c r="C559" s="4" t="s">
        <v>701</v>
      </c>
      <c r="D559" s="4" t="s">
        <v>704</v>
      </c>
      <c r="E559" s="4" t="s">
        <v>430</v>
      </c>
      <c r="F559" s="4"/>
      <c r="G559" s="27">
        <f>G560</f>
        <v>3505086.39</v>
      </c>
      <c r="H559" s="27">
        <f>H560</f>
        <v>3498086.39</v>
      </c>
      <c r="I559" s="153">
        <f t="shared" si="33"/>
        <v>0.9980029022908049</v>
      </c>
    </row>
    <row r="560" spans="1:9" ht="63">
      <c r="A560" s="3" t="s">
        <v>770</v>
      </c>
      <c r="B560" s="4" t="s">
        <v>426</v>
      </c>
      <c r="C560" s="4" t="s">
        <v>701</v>
      </c>
      <c r="D560" s="4" t="s">
        <v>704</v>
      </c>
      <c r="E560" s="4" t="s">
        <v>430</v>
      </c>
      <c r="F560" s="4" t="s">
        <v>384</v>
      </c>
      <c r="G560" s="27">
        <f>2780000+1446355-628268.61-93000</f>
        <v>3505086.39</v>
      </c>
      <c r="H560" s="27">
        <v>3498086.39</v>
      </c>
      <c r="I560" s="153">
        <f t="shared" si="33"/>
        <v>0.9980029022908049</v>
      </c>
    </row>
    <row r="561" spans="1:9" ht="31.5">
      <c r="A561" s="3" t="s">
        <v>766</v>
      </c>
      <c r="B561" s="4" t="s">
        <v>426</v>
      </c>
      <c r="C561" s="4" t="s">
        <v>701</v>
      </c>
      <c r="D561" s="4" t="s">
        <v>704</v>
      </c>
      <c r="E561" s="4" t="s">
        <v>431</v>
      </c>
      <c r="F561" s="4"/>
      <c r="G561" s="27">
        <f>G562</f>
        <v>3108503.38</v>
      </c>
      <c r="H561" s="27">
        <f>H562</f>
        <v>3108497.38</v>
      </c>
      <c r="I561" s="153">
        <f t="shared" si="33"/>
        <v>0.9999980698106882</v>
      </c>
    </row>
    <row r="562" spans="1:9" ht="63">
      <c r="A562" s="3" t="s">
        <v>770</v>
      </c>
      <c r="B562" s="4" t="s">
        <v>426</v>
      </c>
      <c r="C562" s="4" t="s">
        <v>701</v>
      </c>
      <c r="D562" s="4" t="s">
        <v>704</v>
      </c>
      <c r="E562" s="4" t="s">
        <v>431</v>
      </c>
      <c r="F562" s="4" t="s">
        <v>384</v>
      </c>
      <c r="G562" s="27">
        <f>4075575-1446355+272468.61+78800+128014.77</f>
        <v>3108503.38</v>
      </c>
      <c r="H562" s="27">
        <v>3108497.38</v>
      </c>
      <c r="I562" s="153">
        <f t="shared" si="33"/>
        <v>0.9999980698106882</v>
      </c>
    </row>
    <row r="563" spans="1:9" ht="15.75">
      <c r="A563" s="11" t="s">
        <v>712</v>
      </c>
      <c r="B563" s="5" t="s">
        <v>426</v>
      </c>
      <c r="C563" s="5" t="s">
        <v>706</v>
      </c>
      <c r="D563" s="5"/>
      <c r="E563" s="5"/>
      <c r="F563" s="5"/>
      <c r="G563" s="26">
        <f>G564+G586</f>
        <v>44670096</v>
      </c>
      <c r="H563" s="26">
        <f>H564+H586</f>
        <v>43311384.74</v>
      </c>
      <c r="I563" s="154">
        <f>H563/G563</f>
        <v>0.9695834264605118</v>
      </c>
    </row>
    <row r="564" spans="1:9" ht="31.5">
      <c r="A564" s="1" t="s">
        <v>724</v>
      </c>
      <c r="B564" s="2" t="s">
        <v>426</v>
      </c>
      <c r="C564" s="2" t="s">
        <v>706</v>
      </c>
      <c r="D564" s="2" t="s">
        <v>705</v>
      </c>
      <c r="E564" s="2"/>
      <c r="F564" s="2"/>
      <c r="G564" s="30">
        <f>G565</f>
        <v>4363396</v>
      </c>
      <c r="H564" s="30">
        <f>H565</f>
        <v>3527535.7800000003</v>
      </c>
      <c r="I564" s="152">
        <f>H564/G564</f>
        <v>0.8084381477179702</v>
      </c>
    </row>
    <row r="565" spans="1:9" ht="69" customHeight="1">
      <c r="A565" s="3" t="s">
        <v>771</v>
      </c>
      <c r="B565" s="4" t="s">
        <v>426</v>
      </c>
      <c r="C565" s="4" t="s">
        <v>706</v>
      </c>
      <c r="D565" s="4" t="s">
        <v>705</v>
      </c>
      <c r="E565" s="4" t="s">
        <v>772</v>
      </c>
      <c r="F565" s="4"/>
      <c r="G565" s="27">
        <f>G576+G566+G571</f>
        <v>4363396</v>
      </c>
      <c r="H565" s="27">
        <f>H576+H566+H571</f>
        <v>3527535.7800000003</v>
      </c>
      <c r="I565" s="153">
        <f>H565/G565</f>
        <v>0.8084381477179702</v>
      </c>
    </row>
    <row r="566" spans="1:9" ht="57" customHeight="1">
      <c r="A566" s="3" t="s">
        <v>794</v>
      </c>
      <c r="B566" s="4" t="s">
        <v>426</v>
      </c>
      <c r="C566" s="4" t="s">
        <v>706</v>
      </c>
      <c r="D566" s="4" t="s">
        <v>705</v>
      </c>
      <c r="E566" s="4" t="s">
        <v>795</v>
      </c>
      <c r="F566" s="4"/>
      <c r="G566" s="27">
        <f>G569+G567</f>
        <v>805706</v>
      </c>
      <c r="H566" s="27">
        <f>H569+H567</f>
        <v>709772</v>
      </c>
      <c r="I566" s="153">
        <f aca="true" t="shared" si="36" ref="I566:I585">H566/G566</f>
        <v>0.8809317542627212</v>
      </c>
    </row>
    <row r="567" spans="1:9" ht="123.75" customHeight="1">
      <c r="A567" s="3" t="s">
        <v>643</v>
      </c>
      <c r="B567" s="4" t="s">
        <v>426</v>
      </c>
      <c r="C567" s="4" t="s">
        <v>706</v>
      </c>
      <c r="D567" s="4" t="s">
        <v>705</v>
      </c>
      <c r="E567" s="4" t="s">
        <v>646</v>
      </c>
      <c r="F567" s="4"/>
      <c r="G567" s="27">
        <f>G568</f>
        <v>3030</v>
      </c>
      <c r="H567" s="27">
        <f>H568</f>
        <v>3030</v>
      </c>
      <c r="I567" s="153">
        <f t="shared" si="36"/>
        <v>1</v>
      </c>
    </row>
    <row r="568" spans="1:9" ht="78" customHeight="1">
      <c r="A568" s="3" t="s">
        <v>770</v>
      </c>
      <c r="B568" s="4" t="s">
        <v>426</v>
      </c>
      <c r="C568" s="4" t="s">
        <v>706</v>
      </c>
      <c r="D568" s="4" t="s">
        <v>705</v>
      </c>
      <c r="E568" s="4" t="s">
        <v>646</v>
      </c>
      <c r="F568" s="4" t="s">
        <v>384</v>
      </c>
      <c r="G568" s="27">
        <v>3030</v>
      </c>
      <c r="H568" s="27">
        <v>3030</v>
      </c>
      <c r="I568" s="153">
        <f t="shared" si="36"/>
        <v>1</v>
      </c>
    </row>
    <row r="569" spans="1:9" ht="134.25" customHeight="1">
      <c r="A569" s="3" t="s">
        <v>631</v>
      </c>
      <c r="B569" s="4" t="s">
        <v>426</v>
      </c>
      <c r="C569" s="4" t="s">
        <v>706</v>
      </c>
      <c r="D569" s="4" t="s">
        <v>705</v>
      </c>
      <c r="E569" s="4" t="s">
        <v>632</v>
      </c>
      <c r="F569" s="4"/>
      <c r="G569" s="27">
        <f>G570</f>
        <v>802676</v>
      </c>
      <c r="H569" s="27">
        <f>H570</f>
        <v>706742</v>
      </c>
      <c r="I569" s="153">
        <f t="shared" si="36"/>
        <v>0.8804822867508185</v>
      </c>
    </row>
    <row r="570" spans="1:9" ht="86.25" customHeight="1">
      <c r="A570" s="3" t="s">
        <v>770</v>
      </c>
      <c r="B570" s="4" t="s">
        <v>426</v>
      </c>
      <c r="C570" s="4" t="s">
        <v>706</v>
      </c>
      <c r="D570" s="4" t="s">
        <v>705</v>
      </c>
      <c r="E570" s="4" t="s">
        <v>632</v>
      </c>
      <c r="F570" s="4" t="s">
        <v>384</v>
      </c>
      <c r="G570" s="27">
        <f>1172066-8800-360590</f>
        <v>802676</v>
      </c>
      <c r="H570" s="27">
        <v>706742</v>
      </c>
      <c r="I570" s="153">
        <f t="shared" si="36"/>
        <v>0.8804822867508185</v>
      </c>
    </row>
    <row r="571" spans="1:9" ht="81" customHeight="1">
      <c r="A571" s="3" t="s">
        <v>791</v>
      </c>
      <c r="B571" s="4" t="s">
        <v>426</v>
      </c>
      <c r="C571" s="4" t="s">
        <v>706</v>
      </c>
      <c r="D571" s="4" t="s">
        <v>705</v>
      </c>
      <c r="E571" s="4" t="s">
        <v>792</v>
      </c>
      <c r="F571" s="4"/>
      <c r="G571" s="27">
        <f>G574+G572</f>
        <v>1131090</v>
      </c>
      <c r="H571" s="27">
        <f>H574+H572</f>
        <v>1030140</v>
      </c>
      <c r="I571" s="153">
        <f t="shared" si="36"/>
        <v>0.9107498077076095</v>
      </c>
    </row>
    <row r="572" spans="1:9" ht="165.75" customHeight="1">
      <c r="A572" s="3" t="s">
        <v>643</v>
      </c>
      <c r="B572" s="4" t="s">
        <v>426</v>
      </c>
      <c r="C572" s="4" t="s">
        <v>706</v>
      </c>
      <c r="D572" s="4" t="s">
        <v>705</v>
      </c>
      <c r="E572" s="4" t="s">
        <v>647</v>
      </c>
      <c r="F572" s="4"/>
      <c r="G572" s="27">
        <f>G573</f>
        <v>4140</v>
      </c>
      <c r="H572" s="27">
        <f>H573</f>
        <v>4140</v>
      </c>
      <c r="I572" s="153">
        <f t="shared" si="36"/>
        <v>1</v>
      </c>
    </row>
    <row r="573" spans="1:9" ht="84" customHeight="1">
      <c r="A573" s="3" t="s">
        <v>770</v>
      </c>
      <c r="B573" s="4" t="s">
        <v>426</v>
      </c>
      <c r="C573" s="4" t="s">
        <v>706</v>
      </c>
      <c r="D573" s="4" t="s">
        <v>705</v>
      </c>
      <c r="E573" s="4" t="s">
        <v>647</v>
      </c>
      <c r="F573" s="4" t="s">
        <v>384</v>
      </c>
      <c r="G573" s="27">
        <v>4140</v>
      </c>
      <c r="H573" s="27">
        <v>4140</v>
      </c>
      <c r="I573" s="153">
        <f t="shared" si="36"/>
        <v>1</v>
      </c>
    </row>
    <row r="574" spans="1:9" ht="137.25" customHeight="1">
      <c r="A574" s="3" t="s">
        <v>631</v>
      </c>
      <c r="B574" s="4" t="s">
        <v>426</v>
      </c>
      <c r="C574" s="4" t="s">
        <v>706</v>
      </c>
      <c r="D574" s="4" t="s">
        <v>705</v>
      </c>
      <c r="E574" s="4" t="s">
        <v>633</v>
      </c>
      <c r="F574" s="4"/>
      <c r="G574" s="27">
        <f>G575</f>
        <v>1126950</v>
      </c>
      <c r="H574" s="27">
        <f>H575</f>
        <v>1026000</v>
      </c>
      <c r="I574" s="153">
        <f t="shared" si="36"/>
        <v>0.9104219353121257</v>
      </c>
    </row>
    <row r="575" spans="1:9" ht="86.25" customHeight="1">
      <c r="A575" s="3" t="s">
        <v>770</v>
      </c>
      <c r="B575" s="4" t="s">
        <v>426</v>
      </c>
      <c r="C575" s="4" t="s">
        <v>706</v>
      </c>
      <c r="D575" s="4" t="s">
        <v>705</v>
      </c>
      <c r="E575" s="4" t="s">
        <v>633</v>
      </c>
      <c r="F575" s="4" t="s">
        <v>384</v>
      </c>
      <c r="G575" s="27">
        <f>1672060-169800-375310</f>
        <v>1126950</v>
      </c>
      <c r="H575" s="27">
        <v>1026000</v>
      </c>
      <c r="I575" s="153">
        <f t="shared" si="36"/>
        <v>0.9104219353121257</v>
      </c>
    </row>
    <row r="576" spans="1:9" ht="63">
      <c r="A576" s="19" t="s">
        <v>802</v>
      </c>
      <c r="B576" s="4" t="s">
        <v>426</v>
      </c>
      <c r="C576" s="4" t="s">
        <v>706</v>
      </c>
      <c r="D576" s="4" t="s">
        <v>705</v>
      </c>
      <c r="E576" s="4" t="s">
        <v>803</v>
      </c>
      <c r="F576" s="4"/>
      <c r="G576" s="27">
        <f>G577+G579+G582+G584</f>
        <v>2426600</v>
      </c>
      <c r="H576" s="27">
        <f>H577+H579+H582+H584</f>
        <v>1787623.78</v>
      </c>
      <c r="I576" s="153">
        <f t="shared" si="36"/>
        <v>0.7366783895161955</v>
      </c>
    </row>
    <row r="577" spans="1:9" ht="126">
      <c r="A577" s="19" t="s">
        <v>804</v>
      </c>
      <c r="B577" s="4" t="s">
        <v>426</v>
      </c>
      <c r="C577" s="4" t="s">
        <v>706</v>
      </c>
      <c r="D577" s="4" t="s">
        <v>705</v>
      </c>
      <c r="E577" s="4" t="s">
        <v>805</v>
      </c>
      <c r="F577" s="4"/>
      <c r="G577" s="34">
        <f>G578</f>
        <v>1853600</v>
      </c>
      <c r="H577" s="34">
        <f>H578</f>
        <v>1409043.29</v>
      </c>
      <c r="I577" s="153">
        <f t="shared" si="36"/>
        <v>0.7601657801035823</v>
      </c>
    </row>
    <row r="578" spans="1:9" ht="31.5">
      <c r="A578" s="3" t="s">
        <v>680</v>
      </c>
      <c r="B578" s="4" t="s">
        <v>426</v>
      </c>
      <c r="C578" s="4" t="s">
        <v>706</v>
      </c>
      <c r="D578" s="4" t="s">
        <v>705</v>
      </c>
      <c r="E578" s="4" t="s">
        <v>805</v>
      </c>
      <c r="F578" s="4" t="s">
        <v>681</v>
      </c>
      <c r="G578" s="34">
        <f>1951000-97400</f>
        <v>1853600</v>
      </c>
      <c r="H578" s="34">
        <v>1409043.29</v>
      </c>
      <c r="I578" s="153">
        <f t="shared" si="36"/>
        <v>0.7601657801035823</v>
      </c>
    </row>
    <row r="579" spans="1:9" ht="141.75">
      <c r="A579" s="3" t="s">
        <v>806</v>
      </c>
      <c r="B579" s="4" t="s">
        <v>426</v>
      </c>
      <c r="C579" s="4" t="s">
        <v>706</v>
      </c>
      <c r="D579" s="4" t="s">
        <v>705</v>
      </c>
      <c r="E579" s="4" t="s">
        <v>807</v>
      </c>
      <c r="F579" s="4"/>
      <c r="G579" s="34">
        <f>G580+G581</f>
        <v>22700</v>
      </c>
      <c r="H579" s="34">
        <f>H580+H581</f>
        <v>15218.9</v>
      </c>
      <c r="I579" s="153">
        <f t="shared" si="36"/>
        <v>0.6704361233480176</v>
      </c>
    </row>
    <row r="580" spans="1:9" ht="126">
      <c r="A580" s="3" t="s">
        <v>745</v>
      </c>
      <c r="B580" s="4" t="s">
        <v>426</v>
      </c>
      <c r="C580" s="4" t="s">
        <v>706</v>
      </c>
      <c r="D580" s="4" t="s">
        <v>705</v>
      </c>
      <c r="E580" s="4" t="s">
        <v>807</v>
      </c>
      <c r="F580" s="4" t="s">
        <v>379</v>
      </c>
      <c r="G580" s="34">
        <f>22700-7481.1</f>
        <v>15218.9</v>
      </c>
      <c r="H580" s="34">
        <f>22700-7481.1</f>
        <v>15218.9</v>
      </c>
      <c r="I580" s="153">
        <f t="shared" si="36"/>
        <v>1</v>
      </c>
    </row>
    <row r="581" spans="1:9" ht="46.5" customHeight="1">
      <c r="A581" s="3" t="s">
        <v>746</v>
      </c>
      <c r="B581" s="4" t="s">
        <v>426</v>
      </c>
      <c r="C581" s="4" t="s">
        <v>706</v>
      </c>
      <c r="D581" s="4" t="s">
        <v>705</v>
      </c>
      <c r="E581" s="4" t="s">
        <v>807</v>
      </c>
      <c r="F581" s="4" t="s">
        <v>380</v>
      </c>
      <c r="G581" s="34">
        <v>7481.1</v>
      </c>
      <c r="H581" s="34">
        <v>0</v>
      </c>
      <c r="I581" s="153">
        <f t="shared" si="36"/>
        <v>0</v>
      </c>
    </row>
    <row r="582" spans="1:9" ht="236.25">
      <c r="A582" s="3" t="s">
        <v>397</v>
      </c>
      <c r="B582" s="4" t="s">
        <v>426</v>
      </c>
      <c r="C582" s="4" t="s">
        <v>706</v>
      </c>
      <c r="D582" s="4" t="s">
        <v>705</v>
      </c>
      <c r="E582" s="4" t="s">
        <v>398</v>
      </c>
      <c r="F582" s="4"/>
      <c r="G582" s="34">
        <f>G583</f>
        <v>131600</v>
      </c>
      <c r="H582" s="34">
        <f>H583</f>
        <v>0</v>
      </c>
      <c r="I582" s="153">
        <f t="shared" si="36"/>
        <v>0</v>
      </c>
    </row>
    <row r="583" spans="1:9" ht="31.5">
      <c r="A583" s="3" t="s">
        <v>680</v>
      </c>
      <c r="B583" s="4" t="s">
        <v>426</v>
      </c>
      <c r="C583" s="4" t="s">
        <v>706</v>
      </c>
      <c r="D583" s="4" t="s">
        <v>705</v>
      </c>
      <c r="E583" s="4" t="s">
        <v>398</v>
      </c>
      <c r="F583" s="4" t="s">
        <v>681</v>
      </c>
      <c r="G583" s="34">
        <v>131600</v>
      </c>
      <c r="H583" s="34">
        <v>0</v>
      </c>
      <c r="I583" s="153">
        <f t="shared" si="36"/>
        <v>0</v>
      </c>
    </row>
    <row r="584" spans="1:9" ht="200.25" customHeight="1">
      <c r="A584" s="3" t="s">
        <v>399</v>
      </c>
      <c r="B584" s="4" t="s">
        <v>426</v>
      </c>
      <c r="C584" s="4" t="s">
        <v>706</v>
      </c>
      <c r="D584" s="4" t="s">
        <v>705</v>
      </c>
      <c r="E584" s="4" t="s">
        <v>400</v>
      </c>
      <c r="F584" s="4"/>
      <c r="G584" s="34">
        <f>G585</f>
        <v>418700</v>
      </c>
      <c r="H584" s="34">
        <f>H585</f>
        <v>363361.59</v>
      </c>
      <c r="I584" s="153">
        <f t="shared" si="36"/>
        <v>0.8678327919751613</v>
      </c>
    </row>
    <row r="585" spans="1:9" ht="31.5">
      <c r="A585" s="3" t="s">
        <v>680</v>
      </c>
      <c r="B585" s="4" t="s">
        <v>426</v>
      </c>
      <c r="C585" s="4" t="s">
        <v>706</v>
      </c>
      <c r="D585" s="4" t="s">
        <v>705</v>
      </c>
      <c r="E585" s="4" t="s">
        <v>400</v>
      </c>
      <c r="F585" s="4" t="s">
        <v>681</v>
      </c>
      <c r="G585" s="34">
        <v>418700</v>
      </c>
      <c r="H585" s="34">
        <v>363361.59</v>
      </c>
      <c r="I585" s="153">
        <f t="shared" si="36"/>
        <v>0.8678327919751613</v>
      </c>
    </row>
    <row r="586" spans="1:9" ht="15.75">
      <c r="A586" s="11" t="s">
        <v>737</v>
      </c>
      <c r="B586" s="5" t="s">
        <v>426</v>
      </c>
      <c r="C586" s="5" t="s">
        <v>706</v>
      </c>
      <c r="D586" s="5" t="s">
        <v>708</v>
      </c>
      <c r="E586" s="21"/>
      <c r="F586" s="21"/>
      <c r="G586" s="40">
        <f>G587</f>
        <v>40306700</v>
      </c>
      <c r="H586" s="40">
        <f>H587</f>
        <v>39783848.96</v>
      </c>
      <c r="I586" s="156">
        <f>H586/G586</f>
        <v>0.9870281853885334</v>
      </c>
    </row>
    <row r="587" spans="1:9" ht="47.25">
      <c r="A587" s="3" t="s">
        <v>771</v>
      </c>
      <c r="B587" s="4" t="s">
        <v>426</v>
      </c>
      <c r="C587" s="4" t="s">
        <v>706</v>
      </c>
      <c r="D587" s="4" t="s">
        <v>708</v>
      </c>
      <c r="E587" s="4" t="s">
        <v>772</v>
      </c>
      <c r="F587" s="4"/>
      <c r="G587" s="34">
        <f>G595+G588</f>
        <v>40306700</v>
      </c>
      <c r="H587" s="34">
        <f>H595+H588</f>
        <v>39783848.96</v>
      </c>
      <c r="I587" s="155">
        <f>H587/G587</f>
        <v>0.9870281853885334</v>
      </c>
    </row>
    <row r="588" spans="1:9" ht="47.25">
      <c r="A588" s="3" t="s">
        <v>794</v>
      </c>
      <c r="B588" s="4" t="s">
        <v>426</v>
      </c>
      <c r="C588" s="4" t="s">
        <v>706</v>
      </c>
      <c r="D588" s="4" t="s">
        <v>708</v>
      </c>
      <c r="E588" s="4" t="s">
        <v>795</v>
      </c>
      <c r="F588" s="4"/>
      <c r="G588" s="34">
        <f>G589+G593</f>
        <v>11965100</v>
      </c>
      <c r="H588" s="34">
        <f>H589+H593</f>
        <v>11638775.639999999</v>
      </c>
      <c r="I588" s="155">
        <f>H588/G588</f>
        <v>0.9727269843127093</v>
      </c>
    </row>
    <row r="589" spans="1:9" ht="133.5" customHeight="1">
      <c r="A589" s="19" t="s">
        <v>811</v>
      </c>
      <c r="B589" s="301" t="s">
        <v>426</v>
      </c>
      <c r="C589" s="301" t="s">
        <v>706</v>
      </c>
      <c r="D589" s="301" t="s">
        <v>708</v>
      </c>
      <c r="E589" s="301" t="s">
        <v>814</v>
      </c>
      <c r="F589" s="301"/>
      <c r="G589" s="304">
        <f>G591+G592</f>
        <v>291800</v>
      </c>
      <c r="H589" s="304">
        <f>H591+H592</f>
        <v>244926.02000000002</v>
      </c>
      <c r="I589" s="302">
        <f>H589/G589</f>
        <v>0.839362645647704</v>
      </c>
    </row>
    <row r="590" spans="1:9" ht="78.75">
      <c r="A590" s="3" t="s">
        <v>813</v>
      </c>
      <c r="B590" s="301"/>
      <c r="C590" s="301"/>
      <c r="D590" s="301"/>
      <c r="E590" s="301"/>
      <c r="F590" s="301"/>
      <c r="G590" s="304"/>
      <c r="H590" s="304"/>
      <c r="I590" s="302"/>
    </row>
    <row r="591" spans="1:9" ht="31.5">
      <c r="A591" s="3" t="s">
        <v>680</v>
      </c>
      <c r="B591" s="4" t="s">
        <v>426</v>
      </c>
      <c r="C591" s="4" t="s">
        <v>706</v>
      </c>
      <c r="D591" s="4" t="s">
        <v>708</v>
      </c>
      <c r="E591" s="4" t="s">
        <v>814</v>
      </c>
      <c r="F591" s="4" t="s">
        <v>681</v>
      </c>
      <c r="G591" s="34">
        <f>188948-72215</f>
        <v>116733</v>
      </c>
      <c r="H591" s="34">
        <v>76381.32</v>
      </c>
      <c r="I591" s="155">
        <f>H591/G591</f>
        <v>0.6543249980725245</v>
      </c>
    </row>
    <row r="592" spans="1:9" ht="63">
      <c r="A592" s="3" t="s">
        <v>770</v>
      </c>
      <c r="B592" s="4" t="s">
        <v>426</v>
      </c>
      <c r="C592" s="4" t="s">
        <v>706</v>
      </c>
      <c r="D592" s="4" t="s">
        <v>708</v>
      </c>
      <c r="E592" s="4" t="s">
        <v>814</v>
      </c>
      <c r="F592" s="4" t="s">
        <v>384</v>
      </c>
      <c r="G592" s="34">
        <f>283452-108385</f>
        <v>175067</v>
      </c>
      <c r="H592" s="34">
        <f>144054.7+24490</f>
        <v>168544.7</v>
      </c>
      <c r="I592" s="155">
        <f aca="true" t="shared" si="37" ref="I592:I603">H592/G592</f>
        <v>0.9627439780198439</v>
      </c>
    </row>
    <row r="593" spans="1:9" ht="137.25" customHeight="1">
      <c r="A593" s="3" t="s">
        <v>815</v>
      </c>
      <c r="B593" s="4" t="s">
        <v>426</v>
      </c>
      <c r="C593" s="4" t="s">
        <v>706</v>
      </c>
      <c r="D593" s="4" t="s">
        <v>708</v>
      </c>
      <c r="E593" s="4" t="s">
        <v>816</v>
      </c>
      <c r="F593" s="4"/>
      <c r="G593" s="34">
        <f>G594</f>
        <v>11673300</v>
      </c>
      <c r="H593" s="34">
        <f>H594</f>
        <v>11393849.62</v>
      </c>
      <c r="I593" s="155">
        <f t="shared" si="37"/>
        <v>0.9760607214755038</v>
      </c>
    </row>
    <row r="594" spans="1:9" ht="31.5">
      <c r="A594" s="3" t="s">
        <v>680</v>
      </c>
      <c r="B594" s="4" t="s">
        <v>426</v>
      </c>
      <c r="C594" s="4" t="s">
        <v>706</v>
      </c>
      <c r="D594" s="4" t="s">
        <v>708</v>
      </c>
      <c r="E594" s="4" t="s">
        <v>816</v>
      </c>
      <c r="F594" s="4" t="s">
        <v>681</v>
      </c>
      <c r="G594" s="34">
        <f>18894800-7221500</f>
        <v>11673300</v>
      </c>
      <c r="H594" s="34">
        <v>11393849.62</v>
      </c>
      <c r="I594" s="155">
        <f t="shared" si="37"/>
        <v>0.9760607214755038</v>
      </c>
    </row>
    <row r="595" spans="1:9" ht="63">
      <c r="A595" s="19" t="s">
        <v>802</v>
      </c>
      <c r="B595" s="4" t="s">
        <v>426</v>
      </c>
      <c r="C595" s="4" t="s">
        <v>706</v>
      </c>
      <c r="D595" s="4" t="s">
        <v>708</v>
      </c>
      <c r="E595" s="4" t="s">
        <v>803</v>
      </c>
      <c r="F595" s="4"/>
      <c r="G595" s="34">
        <f>G596+G599+G601</f>
        <v>28341600</v>
      </c>
      <c r="H595" s="34">
        <f>H596+H599+H601</f>
        <v>28145073.32</v>
      </c>
      <c r="I595" s="155">
        <f t="shared" si="37"/>
        <v>0.9930657873937957</v>
      </c>
    </row>
    <row r="596" spans="1:9" ht="129.75" customHeight="1">
      <c r="A596" s="53" t="s">
        <v>808</v>
      </c>
      <c r="B596" s="4" t="s">
        <v>426</v>
      </c>
      <c r="C596" s="4" t="s">
        <v>706</v>
      </c>
      <c r="D596" s="4" t="s">
        <v>708</v>
      </c>
      <c r="E596" s="4" t="s">
        <v>809</v>
      </c>
      <c r="F596" s="4"/>
      <c r="G596" s="34">
        <f>G597+G598</f>
        <v>23667600</v>
      </c>
      <c r="H596" s="34">
        <f>H597+H598</f>
        <v>23547729.23</v>
      </c>
      <c r="I596" s="155">
        <f t="shared" si="37"/>
        <v>0.9949352376244317</v>
      </c>
    </row>
    <row r="597" spans="1:9" ht="47.25">
      <c r="A597" s="3" t="s">
        <v>746</v>
      </c>
      <c r="B597" s="4" t="s">
        <v>426</v>
      </c>
      <c r="C597" s="4" t="s">
        <v>706</v>
      </c>
      <c r="D597" s="4" t="s">
        <v>708</v>
      </c>
      <c r="E597" s="4" t="s">
        <v>809</v>
      </c>
      <c r="F597" s="4" t="s">
        <v>380</v>
      </c>
      <c r="G597" s="34">
        <v>8834057.41</v>
      </c>
      <c r="H597" s="34">
        <v>8714186.64</v>
      </c>
      <c r="I597" s="155">
        <f t="shared" si="37"/>
        <v>0.9864308364280825</v>
      </c>
    </row>
    <row r="598" spans="1:9" ht="31.5">
      <c r="A598" s="3" t="s">
        <v>680</v>
      </c>
      <c r="B598" s="4" t="s">
        <v>426</v>
      </c>
      <c r="C598" s="4" t="s">
        <v>706</v>
      </c>
      <c r="D598" s="4" t="s">
        <v>708</v>
      </c>
      <c r="E598" s="4" t="s">
        <v>809</v>
      </c>
      <c r="F598" s="4" t="s">
        <v>681</v>
      </c>
      <c r="G598" s="34">
        <v>14833542.59</v>
      </c>
      <c r="H598" s="34">
        <v>14833542.59</v>
      </c>
      <c r="I598" s="155">
        <f t="shared" si="37"/>
        <v>1</v>
      </c>
    </row>
    <row r="599" spans="1:9" ht="175.5" customHeight="1">
      <c r="A599" s="44" t="s">
        <v>526</v>
      </c>
      <c r="B599" s="4" t="s">
        <v>426</v>
      </c>
      <c r="C599" s="4" t="s">
        <v>706</v>
      </c>
      <c r="D599" s="4" t="s">
        <v>708</v>
      </c>
      <c r="E599" s="4" t="s">
        <v>810</v>
      </c>
      <c r="F599" s="4"/>
      <c r="G599" s="34">
        <f>G600</f>
        <v>409000</v>
      </c>
      <c r="H599" s="34">
        <f>H600</f>
        <v>406717.02</v>
      </c>
      <c r="I599" s="155">
        <f t="shared" si="37"/>
        <v>0.994418141809291</v>
      </c>
    </row>
    <row r="600" spans="1:9" ht="47.25">
      <c r="A600" s="3" t="s">
        <v>746</v>
      </c>
      <c r="B600" s="4" t="s">
        <v>426</v>
      </c>
      <c r="C600" s="4" t="s">
        <v>706</v>
      </c>
      <c r="D600" s="4" t="s">
        <v>708</v>
      </c>
      <c r="E600" s="4" t="s">
        <v>810</v>
      </c>
      <c r="F600" s="4" t="s">
        <v>380</v>
      </c>
      <c r="G600" s="34">
        <f>591300-182300</f>
        <v>409000</v>
      </c>
      <c r="H600" s="34">
        <v>406717.02</v>
      </c>
      <c r="I600" s="155">
        <f t="shared" si="37"/>
        <v>0.994418141809291</v>
      </c>
    </row>
    <row r="601" spans="1:9" ht="142.5" customHeight="1">
      <c r="A601" s="62" t="s">
        <v>674</v>
      </c>
      <c r="B601" s="4" t="s">
        <v>426</v>
      </c>
      <c r="C601" s="4" t="s">
        <v>706</v>
      </c>
      <c r="D601" s="4" t="s">
        <v>708</v>
      </c>
      <c r="E601" s="4" t="s">
        <v>630</v>
      </c>
      <c r="F601" s="4"/>
      <c r="G601" s="34">
        <f>G602+G603</f>
        <v>4265000</v>
      </c>
      <c r="H601" s="34">
        <f>H602+H603</f>
        <v>4190627.07</v>
      </c>
      <c r="I601" s="155">
        <f t="shared" si="37"/>
        <v>0.9825620328253224</v>
      </c>
    </row>
    <row r="602" spans="1:9" ht="126">
      <c r="A602" s="3" t="s">
        <v>745</v>
      </c>
      <c r="B602" s="4" t="s">
        <v>426</v>
      </c>
      <c r="C602" s="4" t="s">
        <v>706</v>
      </c>
      <c r="D602" s="4" t="s">
        <v>708</v>
      </c>
      <c r="E602" s="4" t="s">
        <v>630</v>
      </c>
      <c r="F602" s="4" t="s">
        <v>379</v>
      </c>
      <c r="G602" s="34">
        <f>3562421-11547.5-13791.66</f>
        <v>3537081.84</v>
      </c>
      <c r="H602" s="34">
        <f>3431421+99060.84</f>
        <v>3530481.84</v>
      </c>
      <c r="I602" s="155">
        <f t="shared" si="37"/>
        <v>0.9981340550491757</v>
      </c>
    </row>
    <row r="603" spans="1:9" ht="47.25">
      <c r="A603" s="3" t="s">
        <v>746</v>
      </c>
      <c r="B603" s="4" t="s">
        <v>426</v>
      </c>
      <c r="C603" s="4" t="s">
        <v>706</v>
      </c>
      <c r="D603" s="4" t="s">
        <v>708</v>
      </c>
      <c r="E603" s="4" t="s">
        <v>630</v>
      </c>
      <c r="F603" s="4" t="s">
        <v>380</v>
      </c>
      <c r="G603" s="34">
        <f>702579+11547.5+13791.66</f>
        <v>727918.16</v>
      </c>
      <c r="H603" s="34">
        <f>307719.25+352425.98</f>
        <v>660145.23</v>
      </c>
      <c r="I603" s="155">
        <f t="shared" si="37"/>
        <v>0.906894849278111</v>
      </c>
    </row>
    <row r="604" spans="1:12" s="12" customFormat="1" ht="78">
      <c r="A604" s="31" t="s">
        <v>734</v>
      </c>
      <c r="B604" s="22" t="s">
        <v>423</v>
      </c>
      <c r="C604" s="9"/>
      <c r="D604" s="9"/>
      <c r="E604" s="9"/>
      <c r="F604" s="9"/>
      <c r="G604" s="32">
        <f>G739+G674+G726+G629+G605+G622</f>
        <v>272131478.00000006</v>
      </c>
      <c r="H604" s="32">
        <f>H739+H674+H726+H629+H605+H622</f>
        <v>271695838.35</v>
      </c>
      <c r="I604" s="150">
        <f>H604/G604</f>
        <v>0.9983991574469748</v>
      </c>
      <c r="J604" s="46"/>
      <c r="K604" s="46"/>
      <c r="L604" s="46"/>
    </row>
    <row r="605" spans="1:11" s="12" customFormat="1" ht="18.75">
      <c r="A605" s="1" t="s">
        <v>717</v>
      </c>
      <c r="B605" s="2" t="s">
        <v>423</v>
      </c>
      <c r="C605" s="2" t="s">
        <v>698</v>
      </c>
      <c r="D605" s="7"/>
      <c r="E605" s="2"/>
      <c r="F605" s="2"/>
      <c r="G605" s="30">
        <f>G606+G616</f>
        <v>7286828.999999999</v>
      </c>
      <c r="H605" s="30">
        <f>H606+H616</f>
        <v>7278457.58</v>
      </c>
      <c r="I605" s="152">
        <f>H605/G605</f>
        <v>0.9988511573415544</v>
      </c>
      <c r="J605" s="46"/>
      <c r="K605" s="46"/>
    </row>
    <row r="606" spans="1:11" s="12" customFormat="1" ht="126">
      <c r="A606" s="1" t="s">
        <v>374</v>
      </c>
      <c r="B606" s="2" t="s">
        <v>423</v>
      </c>
      <c r="C606" s="2" t="s">
        <v>698</v>
      </c>
      <c r="D606" s="2" t="s">
        <v>708</v>
      </c>
      <c r="E606" s="2"/>
      <c r="F606" s="2"/>
      <c r="G606" s="30">
        <f>G607</f>
        <v>7211128.999999999</v>
      </c>
      <c r="H606" s="30">
        <f>H607</f>
        <v>7208481.58</v>
      </c>
      <c r="I606" s="152">
        <f>H606/G606</f>
        <v>0.9996328702481957</v>
      </c>
      <c r="J606" s="46"/>
      <c r="K606" s="46"/>
    </row>
    <row r="607" spans="1:11" s="12" customFormat="1" ht="63">
      <c r="A607" s="3" t="s">
        <v>753</v>
      </c>
      <c r="B607" s="4" t="s">
        <v>423</v>
      </c>
      <c r="C607" s="4" t="s">
        <v>698</v>
      </c>
      <c r="D607" s="4" t="s">
        <v>708</v>
      </c>
      <c r="E607" s="4" t="s">
        <v>754</v>
      </c>
      <c r="F607" s="2"/>
      <c r="G607" s="27">
        <f>G608</f>
        <v>7211128.999999999</v>
      </c>
      <c r="H607" s="27">
        <f>H608</f>
        <v>7208481.58</v>
      </c>
      <c r="I607" s="153">
        <f>H607/G607</f>
        <v>0.9996328702481957</v>
      </c>
      <c r="J607" s="46"/>
      <c r="K607" s="46"/>
    </row>
    <row r="608" spans="1:11" s="12" customFormat="1" ht="78.75">
      <c r="A608" s="19" t="s">
        <v>521</v>
      </c>
      <c r="B608" s="4" t="s">
        <v>423</v>
      </c>
      <c r="C608" s="4" t="s">
        <v>698</v>
      </c>
      <c r="D608" s="4" t="s">
        <v>708</v>
      </c>
      <c r="E608" s="4" t="s">
        <v>522</v>
      </c>
      <c r="F608" s="4"/>
      <c r="G608" s="27">
        <f>G609+G611+G614</f>
        <v>7211128.999999999</v>
      </c>
      <c r="H608" s="27">
        <f>H609+H611+H614</f>
        <v>7208481.58</v>
      </c>
      <c r="I608" s="153">
        <f aca="true" t="shared" si="38" ref="I608:I621">H608/G608</f>
        <v>0.9996328702481957</v>
      </c>
      <c r="J608" s="46"/>
      <c r="K608" s="46"/>
    </row>
    <row r="609" spans="1:11" s="12" customFormat="1" ht="47.25">
      <c r="A609" s="19" t="s">
        <v>854</v>
      </c>
      <c r="B609" s="4" t="s">
        <v>423</v>
      </c>
      <c r="C609" s="4" t="s">
        <v>698</v>
      </c>
      <c r="D609" s="4" t="s">
        <v>708</v>
      </c>
      <c r="E609" s="4" t="s">
        <v>883</v>
      </c>
      <c r="F609" s="4"/>
      <c r="G609" s="27">
        <f>G610</f>
        <v>7000367.279999999</v>
      </c>
      <c r="H609" s="27">
        <f>H610</f>
        <v>7000260.15</v>
      </c>
      <c r="I609" s="153">
        <f t="shared" si="38"/>
        <v>0.9999846965172378</v>
      </c>
      <c r="J609" s="46"/>
      <c r="K609" s="46"/>
    </row>
    <row r="610" spans="1:11" s="12" customFormat="1" ht="126">
      <c r="A610" s="19" t="s">
        <v>858</v>
      </c>
      <c r="B610" s="4" t="s">
        <v>423</v>
      </c>
      <c r="C610" s="4" t="s">
        <v>698</v>
      </c>
      <c r="D610" s="4" t="s">
        <v>708</v>
      </c>
      <c r="E610" s="4" t="s">
        <v>883</v>
      </c>
      <c r="F610" s="4" t="s">
        <v>379</v>
      </c>
      <c r="G610" s="27">
        <f>7077375+57754-197431.99+62670.27</f>
        <v>7000367.279999999</v>
      </c>
      <c r="H610" s="27">
        <v>7000260.15</v>
      </c>
      <c r="I610" s="153">
        <f t="shared" si="38"/>
        <v>0.9999846965172378</v>
      </c>
      <c r="J610" s="46"/>
      <c r="K610" s="46"/>
    </row>
    <row r="611" spans="1:11" s="12" customFormat="1" ht="47.25">
      <c r="A611" s="19" t="s">
        <v>856</v>
      </c>
      <c r="B611" s="4" t="s">
        <v>423</v>
      </c>
      <c r="C611" s="4" t="s">
        <v>698</v>
      </c>
      <c r="D611" s="4" t="s">
        <v>708</v>
      </c>
      <c r="E611" s="4" t="s">
        <v>884</v>
      </c>
      <c r="F611" s="4"/>
      <c r="G611" s="27">
        <f>G612+G613</f>
        <v>161436.2</v>
      </c>
      <c r="H611" s="27">
        <f>H612+H613</f>
        <v>158895.91</v>
      </c>
      <c r="I611" s="153">
        <f t="shared" si="38"/>
        <v>0.9842644338754256</v>
      </c>
      <c r="J611" s="46"/>
      <c r="K611" s="46"/>
    </row>
    <row r="612" spans="1:11" s="12" customFormat="1" ht="126">
      <c r="A612" s="19" t="s">
        <v>858</v>
      </c>
      <c r="B612" s="4" t="s">
        <v>423</v>
      </c>
      <c r="C612" s="4" t="s">
        <v>698</v>
      </c>
      <c r="D612" s="4" t="s">
        <v>708</v>
      </c>
      <c r="E612" s="4" t="s">
        <v>884</v>
      </c>
      <c r="F612" s="4" t="s">
        <v>379</v>
      </c>
      <c r="G612" s="27">
        <v>32389.2</v>
      </c>
      <c r="H612" s="27">
        <v>32388.68</v>
      </c>
      <c r="I612" s="153">
        <f t="shared" si="38"/>
        <v>0.9999839452657059</v>
      </c>
      <c r="J612" s="46"/>
      <c r="K612" s="46"/>
    </row>
    <row r="613" spans="1:11" s="12" customFormat="1" ht="47.25">
      <c r="A613" s="19" t="s">
        <v>746</v>
      </c>
      <c r="B613" s="4" t="s">
        <v>423</v>
      </c>
      <c r="C613" s="4" t="s">
        <v>698</v>
      </c>
      <c r="D613" s="4" t="s">
        <v>708</v>
      </c>
      <c r="E613" s="4" t="s">
        <v>884</v>
      </c>
      <c r="F613" s="4" t="s">
        <v>380</v>
      </c>
      <c r="G613" s="27">
        <v>129047</v>
      </c>
      <c r="H613" s="27">
        <f>72960.23+53547</f>
        <v>126507.23</v>
      </c>
      <c r="I613" s="153">
        <f t="shared" si="38"/>
        <v>0.9803190310507024</v>
      </c>
      <c r="J613" s="46"/>
      <c r="K613" s="46"/>
    </row>
    <row r="614" spans="1:11" s="12" customFormat="1" ht="110.25">
      <c r="A614" s="19" t="s">
        <v>850</v>
      </c>
      <c r="B614" s="4" t="s">
        <v>423</v>
      </c>
      <c r="C614" s="4" t="s">
        <v>698</v>
      </c>
      <c r="D614" s="4" t="s">
        <v>708</v>
      </c>
      <c r="E614" s="4" t="s">
        <v>885</v>
      </c>
      <c r="F614" s="4"/>
      <c r="G614" s="27">
        <f>G615</f>
        <v>49325.52000000001</v>
      </c>
      <c r="H614" s="27">
        <f>H615</f>
        <v>49325.52000000001</v>
      </c>
      <c r="I614" s="153">
        <f t="shared" si="38"/>
        <v>1</v>
      </c>
      <c r="J614" s="46"/>
      <c r="K614" s="46"/>
    </row>
    <row r="615" spans="1:11" s="12" customFormat="1" ht="126">
      <c r="A615" s="19" t="s">
        <v>858</v>
      </c>
      <c r="B615" s="4" t="s">
        <v>423</v>
      </c>
      <c r="C615" s="4" t="s">
        <v>698</v>
      </c>
      <c r="D615" s="4" t="s">
        <v>708</v>
      </c>
      <c r="E615" s="4" t="s">
        <v>885</v>
      </c>
      <c r="F615" s="4" t="s">
        <v>379</v>
      </c>
      <c r="G615" s="27">
        <f>115088.99-7848.2-57915.27</f>
        <v>49325.52000000001</v>
      </c>
      <c r="H615" s="27">
        <f>115088.99-7848.2-57915.27</f>
        <v>49325.52000000001</v>
      </c>
      <c r="I615" s="153">
        <f t="shared" si="38"/>
        <v>1</v>
      </c>
      <c r="J615" s="46"/>
      <c r="K615" s="46"/>
    </row>
    <row r="616" spans="1:11" s="12" customFormat="1" ht="31.5">
      <c r="A616" s="1" t="s">
        <v>727</v>
      </c>
      <c r="B616" s="2" t="s">
        <v>423</v>
      </c>
      <c r="C616" s="2" t="s">
        <v>698</v>
      </c>
      <c r="D616" s="2" t="s">
        <v>377</v>
      </c>
      <c r="E616" s="2"/>
      <c r="F616" s="2"/>
      <c r="G616" s="30">
        <f aca="true" t="shared" si="39" ref="G616:H618">G617</f>
        <v>75700</v>
      </c>
      <c r="H616" s="30">
        <f t="shared" si="39"/>
        <v>69976</v>
      </c>
      <c r="I616" s="152">
        <f t="shared" si="38"/>
        <v>0.9243857331571995</v>
      </c>
      <c r="J616" s="46"/>
      <c r="K616" s="46"/>
    </row>
    <row r="617" spans="1:11" s="12" customFormat="1" ht="63">
      <c r="A617" s="25" t="s">
        <v>753</v>
      </c>
      <c r="B617" s="4" t="s">
        <v>423</v>
      </c>
      <c r="C617" s="4" t="s">
        <v>698</v>
      </c>
      <c r="D617" s="4" t="s">
        <v>377</v>
      </c>
      <c r="E617" s="4" t="s">
        <v>754</v>
      </c>
      <c r="F617" s="4"/>
      <c r="G617" s="27">
        <f t="shared" si="39"/>
        <v>75700</v>
      </c>
      <c r="H617" s="27">
        <f t="shared" si="39"/>
        <v>69976</v>
      </c>
      <c r="I617" s="153">
        <f t="shared" si="38"/>
        <v>0.9243857331571995</v>
      </c>
      <c r="J617" s="46"/>
      <c r="K617" s="46"/>
    </row>
    <row r="618" spans="1:11" s="12" customFormat="1" ht="47.25">
      <c r="A618" s="3" t="s">
        <v>489</v>
      </c>
      <c r="B618" s="4" t="s">
        <v>423</v>
      </c>
      <c r="C618" s="4" t="s">
        <v>698</v>
      </c>
      <c r="D618" s="4" t="s">
        <v>377</v>
      </c>
      <c r="E618" s="4" t="s">
        <v>490</v>
      </c>
      <c r="F618" s="4"/>
      <c r="G618" s="27">
        <f t="shared" si="39"/>
        <v>75700</v>
      </c>
      <c r="H618" s="27">
        <f t="shared" si="39"/>
        <v>69976</v>
      </c>
      <c r="I618" s="153">
        <f t="shared" si="38"/>
        <v>0.9243857331571995</v>
      </c>
      <c r="J618" s="46"/>
      <c r="K618" s="46"/>
    </row>
    <row r="619" spans="1:11" s="12" customFormat="1" ht="31.5">
      <c r="A619" s="3" t="s">
        <v>766</v>
      </c>
      <c r="B619" s="4" t="s">
        <v>423</v>
      </c>
      <c r="C619" s="4" t="s">
        <v>698</v>
      </c>
      <c r="D619" s="4" t="s">
        <v>377</v>
      </c>
      <c r="E619" s="4" t="s">
        <v>491</v>
      </c>
      <c r="F619" s="56"/>
      <c r="G619" s="27">
        <f>G621+G620</f>
        <v>75700</v>
      </c>
      <c r="H619" s="27">
        <f>H621+H620</f>
        <v>69976</v>
      </c>
      <c r="I619" s="153">
        <f t="shared" si="38"/>
        <v>0.9243857331571995</v>
      </c>
      <c r="J619" s="46"/>
      <c r="K619" s="46"/>
    </row>
    <row r="620" spans="1:11" s="12" customFormat="1" ht="126">
      <c r="A620" s="19" t="s">
        <v>858</v>
      </c>
      <c r="B620" s="4" t="s">
        <v>423</v>
      </c>
      <c r="C620" s="4" t="s">
        <v>698</v>
      </c>
      <c r="D620" s="4" t="s">
        <v>377</v>
      </c>
      <c r="E620" s="4" t="s">
        <v>491</v>
      </c>
      <c r="F620" s="56">
        <v>100</v>
      </c>
      <c r="G620" s="27">
        <v>4500</v>
      </c>
      <c r="H620" s="27">
        <v>4316</v>
      </c>
      <c r="I620" s="153">
        <f t="shared" si="38"/>
        <v>0.9591111111111111</v>
      </c>
      <c r="J620" s="46"/>
      <c r="K620" s="46"/>
    </row>
    <row r="621" spans="1:12" s="12" customFormat="1" ht="47.25">
      <c r="A621" s="3" t="s">
        <v>746</v>
      </c>
      <c r="B621" s="4" t="s">
        <v>423</v>
      </c>
      <c r="C621" s="4" t="s">
        <v>698</v>
      </c>
      <c r="D621" s="4" t="s">
        <v>377</v>
      </c>
      <c r="E621" s="4" t="s">
        <v>491</v>
      </c>
      <c r="F621" s="4" t="s">
        <v>380</v>
      </c>
      <c r="G621" s="27">
        <f>75700-4500</f>
        <v>71200</v>
      </c>
      <c r="H621" s="27">
        <v>65660</v>
      </c>
      <c r="I621" s="153">
        <f t="shared" si="38"/>
        <v>0.922191011235955</v>
      </c>
      <c r="J621" s="46"/>
      <c r="K621" s="46"/>
      <c r="L621" s="46"/>
    </row>
    <row r="622" spans="1:11" s="12" customFormat="1" ht="18.75">
      <c r="A622" s="11" t="s">
        <v>719</v>
      </c>
      <c r="B622" s="5" t="s">
        <v>423</v>
      </c>
      <c r="C622" s="5" t="s">
        <v>708</v>
      </c>
      <c r="D622" s="5"/>
      <c r="E622" s="5"/>
      <c r="F622" s="5"/>
      <c r="G622" s="26">
        <f aca="true" t="shared" si="40" ref="G622:H625">G623</f>
        <v>2105196.04</v>
      </c>
      <c r="H622" s="26">
        <f t="shared" si="40"/>
        <v>2039436.04</v>
      </c>
      <c r="I622" s="154">
        <f aca="true" t="shared" si="41" ref="I622:I631">H622/G622</f>
        <v>0.9687630041333348</v>
      </c>
      <c r="J622" s="46"/>
      <c r="K622" s="46"/>
    </row>
    <row r="623" spans="1:11" s="12" customFormat="1" ht="18.75">
      <c r="A623" s="3" t="s">
        <v>372</v>
      </c>
      <c r="B623" s="4" t="s">
        <v>423</v>
      </c>
      <c r="C623" s="4" t="s">
        <v>708</v>
      </c>
      <c r="D623" s="4" t="s">
        <v>706</v>
      </c>
      <c r="E623" s="4"/>
      <c r="F623" s="4"/>
      <c r="G623" s="27">
        <f t="shared" si="40"/>
        <v>2105196.04</v>
      </c>
      <c r="H623" s="27">
        <f t="shared" si="40"/>
        <v>2039436.04</v>
      </c>
      <c r="I623" s="153">
        <f t="shared" si="41"/>
        <v>0.9687630041333348</v>
      </c>
      <c r="J623" s="46"/>
      <c r="K623" s="46"/>
    </row>
    <row r="624" spans="1:11" s="12" customFormat="1" ht="47.25">
      <c r="A624" s="3" t="s">
        <v>747</v>
      </c>
      <c r="B624" s="4" t="s">
        <v>423</v>
      </c>
      <c r="C624" s="4" t="s">
        <v>708</v>
      </c>
      <c r="D624" s="4" t="s">
        <v>706</v>
      </c>
      <c r="E624" s="4" t="s">
        <v>748</v>
      </c>
      <c r="F624" s="4"/>
      <c r="G624" s="27">
        <f t="shared" si="40"/>
        <v>2105196.04</v>
      </c>
      <c r="H624" s="27">
        <f t="shared" si="40"/>
        <v>2039436.04</v>
      </c>
      <c r="I624" s="153">
        <f t="shared" si="41"/>
        <v>0.9687630041333348</v>
      </c>
      <c r="J624" s="46"/>
      <c r="K624" s="46"/>
    </row>
    <row r="625" spans="1:11" s="12" customFormat="1" ht="63">
      <c r="A625" s="3" t="s">
        <v>749</v>
      </c>
      <c r="B625" s="4" t="s">
        <v>423</v>
      </c>
      <c r="C625" s="4" t="s">
        <v>708</v>
      </c>
      <c r="D625" s="4" t="s">
        <v>706</v>
      </c>
      <c r="E625" s="4" t="s">
        <v>750</v>
      </c>
      <c r="F625" s="4"/>
      <c r="G625" s="27">
        <f t="shared" si="40"/>
        <v>2105196.04</v>
      </c>
      <c r="H625" s="27">
        <f t="shared" si="40"/>
        <v>2039436.04</v>
      </c>
      <c r="I625" s="153">
        <f t="shared" si="41"/>
        <v>0.9687630041333348</v>
      </c>
      <c r="J625" s="46"/>
      <c r="K625" s="46"/>
    </row>
    <row r="626" spans="1:11" s="12" customFormat="1" ht="31.5">
      <c r="A626" s="3" t="s">
        <v>751</v>
      </c>
      <c r="B626" s="4" t="s">
        <v>423</v>
      </c>
      <c r="C626" s="4" t="s">
        <v>708</v>
      </c>
      <c r="D626" s="4" t="s">
        <v>706</v>
      </c>
      <c r="E626" s="4" t="s">
        <v>752</v>
      </c>
      <c r="F626" s="4"/>
      <c r="G626" s="27">
        <f>G627+G628</f>
        <v>2105196.04</v>
      </c>
      <c r="H626" s="27">
        <f>H627+H628</f>
        <v>2039436.04</v>
      </c>
      <c r="I626" s="153">
        <f t="shared" si="41"/>
        <v>0.9687630041333348</v>
      </c>
      <c r="J626" s="46"/>
      <c r="K626" s="46"/>
    </row>
    <row r="627" spans="1:11" s="12" customFormat="1" ht="47.25">
      <c r="A627" s="3" t="s">
        <v>746</v>
      </c>
      <c r="B627" s="4" t="s">
        <v>423</v>
      </c>
      <c r="C627" s="4" t="s">
        <v>708</v>
      </c>
      <c r="D627" s="4" t="s">
        <v>706</v>
      </c>
      <c r="E627" s="4" t="s">
        <v>752</v>
      </c>
      <c r="F627" s="4" t="s">
        <v>380</v>
      </c>
      <c r="G627" s="27">
        <v>237500</v>
      </c>
      <c r="H627" s="27">
        <v>171740</v>
      </c>
      <c r="I627" s="153">
        <f t="shared" si="41"/>
        <v>0.7231157894736842</v>
      </c>
      <c r="J627" s="46"/>
      <c r="K627" s="46"/>
    </row>
    <row r="628" spans="1:12" s="12" customFormat="1" ht="63">
      <c r="A628" s="3" t="s">
        <v>770</v>
      </c>
      <c r="B628" s="4" t="s">
        <v>423</v>
      </c>
      <c r="C628" s="4" t="s">
        <v>708</v>
      </c>
      <c r="D628" s="4" t="s">
        <v>706</v>
      </c>
      <c r="E628" s="4" t="s">
        <v>752</v>
      </c>
      <c r="F628" s="4" t="s">
        <v>384</v>
      </c>
      <c r="G628" s="27">
        <f>1752759+22656+82503.04+9778</f>
        <v>1867696.04</v>
      </c>
      <c r="H628" s="27">
        <f>1752759+22656+82503.04+9778</f>
        <v>1867696.04</v>
      </c>
      <c r="I628" s="153">
        <f t="shared" si="41"/>
        <v>1</v>
      </c>
      <c r="J628" s="46"/>
      <c r="K628" s="46"/>
      <c r="L628" s="46"/>
    </row>
    <row r="629" spans="1:11" s="12" customFormat="1" ht="18.75">
      <c r="A629" s="11" t="s">
        <v>709</v>
      </c>
      <c r="B629" s="5" t="s">
        <v>423</v>
      </c>
      <c r="C629" s="5" t="s">
        <v>701</v>
      </c>
      <c r="D629" s="5"/>
      <c r="E629" s="5"/>
      <c r="F629" s="5"/>
      <c r="G629" s="26">
        <f>G630+G652</f>
        <v>83085907</v>
      </c>
      <c r="H629" s="26">
        <f>H630+H652</f>
        <v>83085445.77</v>
      </c>
      <c r="I629" s="154">
        <f t="shared" si="41"/>
        <v>0.9999944487577177</v>
      </c>
      <c r="J629" s="46"/>
      <c r="K629" s="46"/>
    </row>
    <row r="630" spans="1:11" s="12" customFormat="1" ht="18.75">
      <c r="A630" s="1" t="s">
        <v>711</v>
      </c>
      <c r="B630" s="2" t="s">
        <v>423</v>
      </c>
      <c r="C630" s="2" t="s">
        <v>701</v>
      </c>
      <c r="D630" s="2" t="s">
        <v>703</v>
      </c>
      <c r="E630" s="2"/>
      <c r="F630" s="2"/>
      <c r="G630" s="30">
        <f>G631+G636+G647</f>
        <v>65702650</v>
      </c>
      <c r="H630" s="30">
        <f>H631+H636+H647</f>
        <v>65702650</v>
      </c>
      <c r="I630" s="152">
        <f t="shared" si="41"/>
        <v>1</v>
      </c>
      <c r="J630" s="46"/>
      <c r="K630" s="46"/>
    </row>
    <row r="631" spans="1:11" s="12" customFormat="1" ht="78.75">
      <c r="A631" s="3" t="s">
        <v>764</v>
      </c>
      <c r="B631" s="4" t="s">
        <v>423</v>
      </c>
      <c r="C631" s="4" t="s">
        <v>701</v>
      </c>
      <c r="D631" s="4" t="s">
        <v>703</v>
      </c>
      <c r="E631" s="4" t="s">
        <v>765</v>
      </c>
      <c r="F631" s="4"/>
      <c r="G631" s="27">
        <f>G632+G634</f>
        <v>180000</v>
      </c>
      <c r="H631" s="27">
        <f>H632+H634</f>
        <v>180000</v>
      </c>
      <c r="I631" s="153">
        <f t="shared" si="41"/>
        <v>1</v>
      </c>
      <c r="J631" s="46"/>
      <c r="K631" s="46"/>
    </row>
    <row r="632" spans="1:11" s="12" customFormat="1" ht="47.25">
      <c r="A632" s="3" t="s">
        <v>669</v>
      </c>
      <c r="B632" s="4" t="s">
        <v>423</v>
      </c>
      <c r="C632" s="4" t="s">
        <v>701</v>
      </c>
      <c r="D632" s="4" t="s">
        <v>703</v>
      </c>
      <c r="E632" s="4" t="s">
        <v>467</v>
      </c>
      <c r="F632" s="4"/>
      <c r="G632" s="27">
        <f>G633</f>
        <v>120000</v>
      </c>
      <c r="H632" s="27">
        <f>H633</f>
        <v>120000</v>
      </c>
      <c r="I632" s="153">
        <f aca="true" t="shared" si="42" ref="I632:I695">H632/G632</f>
        <v>1</v>
      </c>
      <c r="J632" s="46"/>
      <c r="K632" s="46"/>
    </row>
    <row r="633" spans="1:11" s="14" customFormat="1" ht="63">
      <c r="A633" s="3" t="s">
        <v>770</v>
      </c>
      <c r="B633" s="4" t="s">
        <v>423</v>
      </c>
      <c r="C633" s="4" t="s">
        <v>701</v>
      </c>
      <c r="D633" s="4" t="s">
        <v>703</v>
      </c>
      <c r="E633" s="4" t="s">
        <v>467</v>
      </c>
      <c r="F633" s="4" t="s">
        <v>384</v>
      </c>
      <c r="G633" s="27">
        <v>120000</v>
      </c>
      <c r="H633" s="27">
        <v>120000</v>
      </c>
      <c r="I633" s="153">
        <f t="shared" si="42"/>
        <v>1</v>
      </c>
      <c r="J633" s="43"/>
      <c r="K633" s="43"/>
    </row>
    <row r="634" spans="1:11" s="14" customFormat="1" ht="63">
      <c r="A634" s="3" t="s">
        <v>892</v>
      </c>
      <c r="B634" s="4" t="s">
        <v>423</v>
      </c>
      <c r="C634" s="4" t="s">
        <v>701</v>
      </c>
      <c r="D634" s="4" t="s">
        <v>703</v>
      </c>
      <c r="E634" s="4" t="s">
        <v>893</v>
      </c>
      <c r="F634" s="4"/>
      <c r="G634" s="27">
        <f>G635</f>
        <v>60000</v>
      </c>
      <c r="H634" s="27">
        <f>H635</f>
        <v>60000</v>
      </c>
      <c r="I634" s="153">
        <f t="shared" si="42"/>
        <v>1</v>
      </c>
      <c r="J634" s="43"/>
      <c r="K634" s="43"/>
    </row>
    <row r="635" spans="1:11" s="14" customFormat="1" ht="63">
      <c r="A635" s="3" t="s">
        <v>770</v>
      </c>
      <c r="B635" s="4" t="s">
        <v>423</v>
      </c>
      <c r="C635" s="4" t="s">
        <v>701</v>
      </c>
      <c r="D635" s="4" t="s">
        <v>703</v>
      </c>
      <c r="E635" s="4" t="s">
        <v>893</v>
      </c>
      <c r="F635" s="4" t="s">
        <v>384</v>
      </c>
      <c r="G635" s="27">
        <v>60000</v>
      </c>
      <c r="H635" s="27">
        <v>60000</v>
      </c>
      <c r="I635" s="153">
        <f t="shared" si="42"/>
        <v>1</v>
      </c>
      <c r="J635" s="43"/>
      <c r="K635" s="43"/>
    </row>
    <row r="636" spans="1:11" s="14" customFormat="1" ht="63">
      <c r="A636" s="3" t="s">
        <v>407</v>
      </c>
      <c r="B636" s="4" t="s">
        <v>423</v>
      </c>
      <c r="C636" s="4" t="s">
        <v>701</v>
      </c>
      <c r="D636" s="4" t="s">
        <v>703</v>
      </c>
      <c r="E636" s="4" t="s">
        <v>408</v>
      </c>
      <c r="F636" s="4"/>
      <c r="G636" s="27">
        <f>G637+G644</f>
        <v>64996516.21</v>
      </c>
      <c r="H636" s="27">
        <f>H637+H644</f>
        <v>64996516.21</v>
      </c>
      <c r="I636" s="153">
        <f t="shared" si="42"/>
        <v>1</v>
      </c>
      <c r="J636" s="43"/>
      <c r="K636" s="43"/>
    </row>
    <row r="637" spans="1:11" s="14" customFormat="1" ht="63">
      <c r="A637" s="3" t="s">
        <v>624</v>
      </c>
      <c r="B637" s="4" t="s">
        <v>423</v>
      </c>
      <c r="C637" s="4" t="s">
        <v>701</v>
      </c>
      <c r="D637" s="4" t="s">
        <v>703</v>
      </c>
      <c r="E637" s="4" t="s">
        <v>625</v>
      </c>
      <c r="F637" s="4"/>
      <c r="G637" s="27">
        <f>G638+G640+G642</f>
        <v>64398514.34</v>
      </c>
      <c r="H637" s="27">
        <f>H638+H640+H642</f>
        <v>64398514.34</v>
      </c>
      <c r="I637" s="153">
        <f t="shared" si="42"/>
        <v>1</v>
      </c>
      <c r="J637" s="43"/>
      <c r="K637" s="43"/>
    </row>
    <row r="638" spans="1:11" s="14" customFormat="1" ht="110.25">
      <c r="A638" s="3" t="s">
        <v>650</v>
      </c>
      <c r="B638" s="4" t="s">
        <v>423</v>
      </c>
      <c r="C638" s="4" t="s">
        <v>701</v>
      </c>
      <c r="D638" s="4" t="s">
        <v>703</v>
      </c>
      <c r="E638" s="4" t="s">
        <v>496</v>
      </c>
      <c r="F638" s="4"/>
      <c r="G638" s="27">
        <f>G639</f>
        <v>63986492.34</v>
      </c>
      <c r="H638" s="27">
        <f>H639</f>
        <v>63986492.34</v>
      </c>
      <c r="I638" s="153">
        <f t="shared" si="42"/>
        <v>1</v>
      </c>
      <c r="J638" s="43"/>
      <c r="K638" s="43"/>
    </row>
    <row r="639" spans="1:12" s="14" customFormat="1" ht="63">
      <c r="A639" s="3" t="s">
        <v>770</v>
      </c>
      <c r="B639" s="4" t="s">
        <v>423</v>
      </c>
      <c r="C639" s="4" t="s">
        <v>701</v>
      </c>
      <c r="D639" s="4" t="s">
        <v>703</v>
      </c>
      <c r="E639" s="4" t="s">
        <v>496</v>
      </c>
      <c r="F639" s="4" t="s">
        <v>384</v>
      </c>
      <c r="G639" s="27">
        <f>63737150+249342.34</f>
        <v>63986492.34</v>
      </c>
      <c r="H639" s="27">
        <f>63737150+249342.34</f>
        <v>63986492.34</v>
      </c>
      <c r="I639" s="153">
        <f t="shared" si="42"/>
        <v>1</v>
      </c>
      <c r="J639" s="43"/>
      <c r="K639" s="43"/>
      <c r="L639" s="46"/>
    </row>
    <row r="640" spans="1:11" s="14" customFormat="1" ht="39.75" customHeight="1">
      <c r="A640" s="3" t="s">
        <v>766</v>
      </c>
      <c r="B640" s="4" t="s">
        <v>423</v>
      </c>
      <c r="C640" s="4" t="s">
        <v>701</v>
      </c>
      <c r="D640" s="4" t="s">
        <v>703</v>
      </c>
      <c r="E640" s="4" t="s">
        <v>495</v>
      </c>
      <c r="F640" s="4"/>
      <c r="G640" s="27">
        <f>G641</f>
        <v>189202</v>
      </c>
      <c r="H640" s="27">
        <f>H641</f>
        <v>189202</v>
      </c>
      <c r="I640" s="153">
        <f t="shared" si="42"/>
        <v>1</v>
      </c>
      <c r="J640" s="43"/>
      <c r="K640" s="43"/>
    </row>
    <row r="641" spans="1:11" s="14" customFormat="1" ht="67.5" customHeight="1">
      <c r="A641" s="3" t="s">
        <v>770</v>
      </c>
      <c r="B641" s="4" t="s">
        <v>423</v>
      </c>
      <c r="C641" s="4" t="s">
        <v>701</v>
      </c>
      <c r="D641" s="4" t="s">
        <v>703</v>
      </c>
      <c r="E641" s="4" t="s">
        <v>495</v>
      </c>
      <c r="F641" s="4" t="s">
        <v>384</v>
      </c>
      <c r="G641" s="27">
        <f>151668+37534</f>
        <v>189202</v>
      </c>
      <c r="H641" s="27">
        <f>151668+37534</f>
        <v>189202</v>
      </c>
      <c r="I641" s="153">
        <f t="shared" si="42"/>
        <v>1</v>
      </c>
      <c r="J641" s="43"/>
      <c r="K641" s="43"/>
    </row>
    <row r="642" spans="1:11" s="14" customFormat="1" ht="116.25" customHeight="1">
      <c r="A642" s="3" t="s">
        <v>981</v>
      </c>
      <c r="B642" s="4" t="s">
        <v>423</v>
      </c>
      <c r="C642" s="4" t="s">
        <v>701</v>
      </c>
      <c r="D642" s="4" t="s">
        <v>703</v>
      </c>
      <c r="E642" s="4" t="s">
        <v>983</v>
      </c>
      <c r="F642" s="4"/>
      <c r="G642" s="27">
        <f>G643</f>
        <v>222820</v>
      </c>
      <c r="H642" s="27">
        <f>H643</f>
        <v>222820</v>
      </c>
      <c r="I642" s="153">
        <f t="shared" si="42"/>
        <v>1</v>
      </c>
      <c r="J642" s="43"/>
      <c r="K642" s="43"/>
    </row>
    <row r="643" spans="1:11" s="14" customFormat="1" ht="63">
      <c r="A643" s="3" t="s">
        <v>770</v>
      </c>
      <c r="B643" s="4" t="s">
        <v>423</v>
      </c>
      <c r="C643" s="4" t="s">
        <v>701</v>
      </c>
      <c r="D643" s="4" t="s">
        <v>703</v>
      </c>
      <c r="E643" s="4" t="s">
        <v>983</v>
      </c>
      <c r="F643" s="4" t="s">
        <v>384</v>
      </c>
      <c r="G643" s="27">
        <v>222820</v>
      </c>
      <c r="H643" s="27">
        <v>222820</v>
      </c>
      <c r="I643" s="153">
        <f t="shared" si="42"/>
        <v>1</v>
      </c>
      <c r="J643" s="43"/>
      <c r="K643" s="43"/>
    </row>
    <row r="644" spans="1:11" s="14" customFormat="1" ht="78.75">
      <c r="A644" s="3" t="s">
        <v>505</v>
      </c>
      <c r="B644" s="4" t="s">
        <v>423</v>
      </c>
      <c r="C644" s="4" t="s">
        <v>701</v>
      </c>
      <c r="D644" s="4" t="s">
        <v>703</v>
      </c>
      <c r="E644" s="4" t="s">
        <v>506</v>
      </c>
      <c r="F644" s="4"/>
      <c r="G644" s="27">
        <f>G645</f>
        <v>598001.8700000001</v>
      </c>
      <c r="H644" s="27">
        <f>H645</f>
        <v>598001.8700000001</v>
      </c>
      <c r="I644" s="153">
        <f t="shared" si="42"/>
        <v>1</v>
      </c>
      <c r="J644" s="43"/>
      <c r="K644" s="43"/>
    </row>
    <row r="645" spans="1:11" s="14" customFormat="1" ht="31.5">
      <c r="A645" s="3" t="s">
        <v>766</v>
      </c>
      <c r="B645" s="4" t="s">
        <v>423</v>
      </c>
      <c r="C645" s="4" t="s">
        <v>701</v>
      </c>
      <c r="D645" s="4" t="s">
        <v>703</v>
      </c>
      <c r="E645" s="4" t="s">
        <v>508</v>
      </c>
      <c r="F645" s="4"/>
      <c r="G645" s="27">
        <f>G646</f>
        <v>598001.8700000001</v>
      </c>
      <c r="H645" s="27">
        <f>H646</f>
        <v>598001.8700000001</v>
      </c>
      <c r="I645" s="153">
        <f t="shared" si="42"/>
        <v>1</v>
      </c>
      <c r="J645" s="43"/>
      <c r="K645" s="43"/>
    </row>
    <row r="646" spans="1:12" s="14" customFormat="1" ht="63">
      <c r="A646" s="3" t="s">
        <v>770</v>
      </c>
      <c r="B646" s="4" t="s">
        <v>423</v>
      </c>
      <c r="C646" s="4" t="s">
        <v>701</v>
      </c>
      <c r="D646" s="4" t="s">
        <v>703</v>
      </c>
      <c r="E646" s="4" t="s">
        <v>508</v>
      </c>
      <c r="F646" s="4" t="s">
        <v>384</v>
      </c>
      <c r="G646" s="27">
        <f>167000+432233.56-1231.69</f>
        <v>598001.8700000001</v>
      </c>
      <c r="H646" s="27">
        <f>167000+432233.56-1231.69</f>
        <v>598001.8700000001</v>
      </c>
      <c r="I646" s="153">
        <f t="shared" si="42"/>
        <v>1</v>
      </c>
      <c r="J646" s="43"/>
      <c r="K646" s="43"/>
      <c r="L646" s="46"/>
    </row>
    <row r="647" spans="1:11" s="14" customFormat="1" ht="63">
      <c r="A647" s="3" t="s">
        <v>428</v>
      </c>
      <c r="B647" s="4" t="s">
        <v>423</v>
      </c>
      <c r="C647" s="4" t="s">
        <v>701</v>
      </c>
      <c r="D647" s="4" t="s">
        <v>703</v>
      </c>
      <c r="E647" s="4" t="s">
        <v>429</v>
      </c>
      <c r="F647" s="4"/>
      <c r="G647" s="27">
        <f>G648+G650</f>
        <v>526133.79</v>
      </c>
      <c r="H647" s="27">
        <f>H648+H650</f>
        <v>526133.79</v>
      </c>
      <c r="I647" s="153">
        <f t="shared" si="42"/>
        <v>1</v>
      </c>
      <c r="J647" s="43"/>
      <c r="K647" s="43"/>
    </row>
    <row r="648" spans="1:11" s="14" customFormat="1" ht="47.25">
      <c r="A648" s="3" t="s">
        <v>669</v>
      </c>
      <c r="B648" s="4" t="s">
        <v>423</v>
      </c>
      <c r="C648" s="4" t="s">
        <v>701</v>
      </c>
      <c r="D648" s="4" t="s">
        <v>703</v>
      </c>
      <c r="E648" s="4" t="s">
        <v>430</v>
      </c>
      <c r="F648" s="4"/>
      <c r="G648" s="27">
        <f>G649</f>
        <v>177163.82</v>
      </c>
      <c r="H648" s="27">
        <f>H649</f>
        <v>177163.82</v>
      </c>
      <c r="I648" s="153">
        <f t="shared" si="42"/>
        <v>1</v>
      </c>
      <c r="J648" s="43"/>
      <c r="K648" s="43"/>
    </row>
    <row r="649" spans="1:11" s="14" customFormat="1" ht="63">
      <c r="A649" s="3" t="s">
        <v>770</v>
      </c>
      <c r="B649" s="4" t="s">
        <v>423</v>
      </c>
      <c r="C649" s="4" t="s">
        <v>701</v>
      </c>
      <c r="D649" s="4" t="s">
        <v>703</v>
      </c>
      <c r="E649" s="4" t="s">
        <v>430</v>
      </c>
      <c r="F649" s="4" t="s">
        <v>384</v>
      </c>
      <c r="G649" s="27">
        <f>372357-195193.18</f>
        <v>177163.82</v>
      </c>
      <c r="H649" s="27">
        <f>372357-195193.18</f>
        <v>177163.82</v>
      </c>
      <c r="I649" s="153">
        <f t="shared" si="42"/>
        <v>1</v>
      </c>
      <c r="J649" s="43"/>
      <c r="K649" s="43"/>
    </row>
    <row r="650" spans="1:11" s="14" customFormat="1" ht="31.5">
      <c r="A650" s="3" t="s">
        <v>766</v>
      </c>
      <c r="B650" s="4" t="s">
        <v>423</v>
      </c>
      <c r="C650" s="4" t="s">
        <v>701</v>
      </c>
      <c r="D650" s="4" t="s">
        <v>703</v>
      </c>
      <c r="E650" s="4" t="s">
        <v>431</v>
      </c>
      <c r="F650" s="4"/>
      <c r="G650" s="27">
        <f>G651</f>
        <v>348969.97</v>
      </c>
      <c r="H650" s="27">
        <f>H651</f>
        <v>348969.97</v>
      </c>
      <c r="I650" s="153">
        <f t="shared" si="42"/>
        <v>1</v>
      </c>
      <c r="J650" s="43"/>
      <c r="K650" s="43"/>
    </row>
    <row r="651" spans="1:12" s="14" customFormat="1" ht="63">
      <c r="A651" s="3" t="s">
        <v>770</v>
      </c>
      <c r="B651" s="4" t="s">
        <v>423</v>
      </c>
      <c r="C651" s="4" t="s">
        <v>701</v>
      </c>
      <c r="D651" s="4" t="s">
        <v>703</v>
      </c>
      <c r="E651" s="4" t="s">
        <v>431</v>
      </c>
      <c r="F651" s="4" t="s">
        <v>384</v>
      </c>
      <c r="G651" s="27">
        <f>869070-237040.38-40864-242195.65</f>
        <v>348969.97</v>
      </c>
      <c r="H651" s="27">
        <f>869070-237040.38-40864-242195.65</f>
        <v>348969.97</v>
      </c>
      <c r="I651" s="153">
        <f t="shared" si="42"/>
        <v>1</v>
      </c>
      <c r="J651" s="43"/>
      <c r="K651" s="43"/>
      <c r="L651" s="46"/>
    </row>
    <row r="652" spans="1:11" s="14" customFormat="1" ht="31.5">
      <c r="A652" s="1" t="s">
        <v>418</v>
      </c>
      <c r="B652" s="2" t="s">
        <v>423</v>
      </c>
      <c r="C652" s="2" t="s">
        <v>701</v>
      </c>
      <c r="D652" s="2" t="s">
        <v>701</v>
      </c>
      <c r="E652" s="2"/>
      <c r="F652" s="2"/>
      <c r="G652" s="30">
        <f>G665+G653+G669</f>
        <v>17383257</v>
      </c>
      <c r="H652" s="30">
        <f>H665+H653+H669</f>
        <v>17382795.77</v>
      </c>
      <c r="I652" s="152">
        <f t="shared" si="42"/>
        <v>0.9999734669975827</v>
      </c>
      <c r="J652" s="43"/>
      <c r="K652" s="43"/>
    </row>
    <row r="653" spans="1:11" s="14" customFormat="1" ht="78.75">
      <c r="A653" s="3" t="s">
        <v>783</v>
      </c>
      <c r="B653" s="4" t="s">
        <v>423</v>
      </c>
      <c r="C653" s="4" t="s">
        <v>701</v>
      </c>
      <c r="D653" s="4" t="s">
        <v>701</v>
      </c>
      <c r="E653" s="4" t="s">
        <v>784</v>
      </c>
      <c r="F653" s="2"/>
      <c r="G653" s="27">
        <f>G654+G659+G662</f>
        <v>17136944</v>
      </c>
      <c r="H653" s="27">
        <f>H654+H659+H662</f>
        <v>17136482.77</v>
      </c>
      <c r="I653" s="153">
        <f t="shared" si="42"/>
        <v>0.9999730856330044</v>
      </c>
      <c r="J653" s="43"/>
      <c r="K653" s="43"/>
    </row>
    <row r="654" spans="1:11" s="14" customFormat="1" ht="40.5" customHeight="1">
      <c r="A654" s="3" t="s">
        <v>510</v>
      </c>
      <c r="B654" s="4" t="s">
        <v>423</v>
      </c>
      <c r="C654" s="4" t="s">
        <v>701</v>
      </c>
      <c r="D654" s="4" t="s">
        <v>701</v>
      </c>
      <c r="E654" s="4" t="s">
        <v>511</v>
      </c>
      <c r="F654" s="4"/>
      <c r="G654" s="27">
        <f>G655+G657</f>
        <v>882000</v>
      </c>
      <c r="H654" s="27">
        <f>H655+H657</f>
        <v>881538.77</v>
      </c>
      <c r="I654" s="153">
        <f t="shared" si="42"/>
        <v>0.9994770634920636</v>
      </c>
      <c r="J654" s="43"/>
      <c r="K654" s="43"/>
    </row>
    <row r="655" spans="1:11" s="14" customFormat="1" ht="47.25">
      <c r="A655" s="3" t="s">
        <v>512</v>
      </c>
      <c r="B655" s="4" t="s">
        <v>423</v>
      </c>
      <c r="C655" s="4" t="s">
        <v>701</v>
      </c>
      <c r="D655" s="4" t="s">
        <v>701</v>
      </c>
      <c r="E655" s="4" t="s">
        <v>513</v>
      </c>
      <c r="F655" s="4"/>
      <c r="G655" s="27">
        <f>G656</f>
        <v>300000</v>
      </c>
      <c r="H655" s="27">
        <f>H656</f>
        <v>299624</v>
      </c>
      <c r="I655" s="153">
        <f t="shared" si="42"/>
        <v>0.9987466666666667</v>
      </c>
      <c r="J655" s="43"/>
      <c r="K655" s="43"/>
    </row>
    <row r="656" spans="1:11" s="14" customFormat="1" ht="47.25">
      <c r="A656" s="3" t="s">
        <v>746</v>
      </c>
      <c r="B656" s="4" t="s">
        <v>423</v>
      </c>
      <c r="C656" s="4" t="s">
        <v>701</v>
      </c>
      <c r="D656" s="4" t="s">
        <v>701</v>
      </c>
      <c r="E656" s="4" t="s">
        <v>513</v>
      </c>
      <c r="F656" s="4" t="s">
        <v>380</v>
      </c>
      <c r="G656" s="27">
        <v>300000</v>
      </c>
      <c r="H656" s="27">
        <v>299624</v>
      </c>
      <c r="I656" s="153">
        <f t="shared" si="42"/>
        <v>0.9987466666666667</v>
      </c>
      <c r="J656" s="43"/>
      <c r="K656" s="43"/>
    </row>
    <row r="657" spans="1:11" s="14" customFormat="1" ht="31.5">
      <c r="A657" s="3" t="s">
        <v>766</v>
      </c>
      <c r="B657" s="4" t="s">
        <v>423</v>
      </c>
      <c r="C657" s="4" t="s">
        <v>701</v>
      </c>
      <c r="D657" s="4" t="s">
        <v>701</v>
      </c>
      <c r="E657" s="4" t="s">
        <v>514</v>
      </c>
      <c r="F657" s="4"/>
      <c r="G657" s="27">
        <f>G658</f>
        <v>582000</v>
      </c>
      <c r="H657" s="27">
        <f>H658</f>
        <v>581914.77</v>
      </c>
      <c r="I657" s="153">
        <f t="shared" si="42"/>
        <v>0.9998535567010309</v>
      </c>
      <c r="J657" s="43"/>
      <c r="K657" s="43"/>
    </row>
    <row r="658" spans="1:12" s="14" customFormat="1" ht="47.25">
      <c r="A658" s="3" t="s">
        <v>746</v>
      </c>
      <c r="B658" s="4" t="s">
        <v>423</v>
      </c>
      <c r="C658" s="4" t="s">
        <v>701</v>
      </c>
      <c r="D658" s="4" t="s">
        <v>701</v>
      </c>
      <c r="E658" s="4" t="s">
        <v>514</v>
      </c>
      <c r="F658" s="4" t="s">
        <v>380</v>
      </c>
      <c r="G658" s="27">
        <f>622000-40000</f>
        <v>582000</v>
      </c>
      <c r="H658" s="27">
        <f>4560+577354.77</f>
        <v>581914.77</v>
      </c>
      <c r="I658" s="153">
        <f t="shared" si="42"/>
        <v>0.9998535567010309</v>
      </c>
      <c r="J658" s="43"/>
      <c r="K658" s="43"/>
      <c r="L658" s="46"/>
    </row>
    <row r="659" spans="1:11" s="14" customFormat="1" ht="31.5">
      <c r="A659" s="3" t="s">
        <v>515</v>
      </c>
      <c r="B659" s="4" t="s">
        <v>423</v>
      </c>
      <c r="C659" s="4" t="s">
        <v>701</v>
      </c>
      <c r="D659" s="4" t="s">
        <v>701</v>
      </c>
      <c r="E659" s="4" t="s">
        <v>516</v>
      </c>
      <c r="F659" s="4"/>
      <c r="G659" s="27">
        <f>G660</f>
        <v>16104944</v>
      </c>
      <c r="H659" s="27">
        <f>H660</f>
        <v>16104944</v>
      </c>
      <c r="I659" s="153">
        <f t="shared" si="42"/>
        <v>1</v>
      </c>
      <c r="J659" s="43"/>
      <c r="K659" s="43"/>
    </row>
    <row r="660" spans="1:11" s="14" customFormat="1" ht="110.25">
      <c r="A660" s="3" t="s">
        <v>650</v>
      </c>
      <c r="B660" s="4" t="s">
        <v>423</v>
      </c>
      <c r="C660" s="4" t="s">
        <v>701</v>
      </c>
      <c r="D660" s="4" t="s">
        <v>701</v>
      </c>
      <c r="E660" s="4" t="s">
        <v>517</v>
      </c>
      <c r="F660" s="4"/>
      <c r="G660" s="27">
        <f>G661</f>
        <v>16104944</v>
      </c>
      <c r="H660" s="27">
        <f>H661</f>
        <v>16104944</v>
      </c>
      <c r="I660" s="153">
        <f t="shared" si="42"/>
        <v>1</v>
      </c>
      <c r="J660" s="43"/>
      <c r="K660" s="43"/>
    </row>
    <row r="661" spans="1:12" s="14" customFormat="1" ht="63">
      <c r="A661" s="3" t="s">
        <v>770</v>
      </c>
      <c r="B661" s="4" t="s">
        <v>423</v>
      </c>
      <c r="C661" s="4" t="s">
        <v>701</v>
      </c>
      <c r="D661" s="4" t="s">
        <v>701</v>
      </c>
      <c r="E661" s="4" t="s">
        <v>517</v>
      </c>
      <c r="F661" s="4" t="s">
        <v>384</v>
      </c>
      <c r="G661" s="27">
        <f>15176589+878355+50000</f>
        <v>16104944</v>
      </c>
      <c r="H661" s="27">
        <f>15176589+878355+50000</f>
        <v>16104944</v>
      </c>
      <c r="I661" s="153">
        <f t="shared" si="42"/>
        <v>1</v>
      </c>
      <c r="J661" s="43"/>
      <c r="K661" s="43"/>
      <c r="L661" s="46"/>
    </row>
    <row r="662" spans="1:11" s="14" customFormat="1" ht="15.75">
      <c r="A662" s="55" t="s">
        <v>518</v>
      </c>
      <c r="B662" s="4" t="s">
        <v>423</v>
      </c>
      <c r="C662" s="4" t="s">
        <v>701</v>
      </c>
      <c r="D662" s="4" t="s">
        <v>701</v>
      </c>
      <c r="E662" s="4" t="s">
        <v>519</v>
      </c>
      <c r="F662" s="4"/>
      <c r="G662" s="27">
        <f>G663</f>
        <v>150000</v>
      </c>
      <c r="H662" s="27">
        <f>H663</f>
        <v>150000</v>
      </c>
      <c r="I662" s="153">
        <f t="shared" si="42"/>
        <v>1</v>
      </c>
      <c r="J662" s="43"/>
      <c r="K662" s="43"/>
    </row>
    <row r="663" spans="1:11" s="14" customFormat="1" ht="31.5">
      <c r="A663" s="3" t="s">
        <v>766</v>
      </c>
      <c r="B663" s="4" t="s">
        <v>423</v>
      </c>
      <c r="C663" s="4" t="s">
        <v>701</v>
      </c>
      <c r="D663" s="4" t="s">
        <v>701</v>
      </c>
      <c r="E663" s="4" t="s">
        <v>520</v>
      </c>
      <c r="F663" s="4"/>
      <c r="G663" s="27">
        <f>G664</f>
        <v>150000</v>
      </c>
      <c r="H663" s="27">
        <f>H664</f>
        <v>150000</v>
      </c>
      <c r="I663" s="153">
        <f t="shared" si="42"/>
        <v>1</v>
      </c>
      <c r="J663" s="43"/>
      <c r="K663" s="43"/>
    </row>
    <row r="664" spans="1:12" s="14" customFormat="1" ht="63">
      <c r="A664" s="3" t="s">
        <v>770</v>
      </c>
      <c r="B664" s="4" t="s">
        <v>423</v>
      </c>
      <c r="C664" s="4" t="s">
        <v>701</v>
      </c>
      <c r="D664" s="4" t="s">
        <v>701</v>
      </c>
      <c r="E664" s="4" t="s">
        <v>520</v>
      </c>
      <c r="F664" s="4" t="s">
        <v>384</v>
      </c>
      <c r="G664" s="27">
        <f>40000+110000</f>
        <v>150000</v>
      </c>
      <c r="H664" s="27">
        <f>40000+110000</f>
        <v>150000</v>
      </c>
      <c r="I664" s="153">
        <f t="shared" si="42"/>
        <v>1</v>
      </c>
      <c r="J664" s="43"/>
      <c r="K664" s="43"/>
      <c r="L664" s="46"/>
    </row>
    <row r="665" spans="1:11" s="14" customFormat="1" ht="78.75">
      <c r="A665" s="3" t="s">
        <v>474</v>
      </c>
      <c r="B665" s="4" t="s">
        <v>423</v>
      </c>
      <c r="C665" s="4" t="s">
        <v>701</v>
      </c>
      <c r="D665" s="4" t="s">
        <v>701</v>
      </c>
      <c r="E665" s="4" t="s">
        <v>475</v>
      </c>
      <c r="F665" s="4"/>
      <c r="G665" s="27">
        <f aca="true" t="shared" si="43" ref="G665:H667">G666</f>
        <v>57602</v>
      </c>
      <c r="H665" s="27">
        <f t="shared" si="43"/>
        <v>57602</v>
      </c>
      <c r="I665" s="153">
        <f t="shared" si="42"/>
        <v>1</v>
      </c>
      <c r="J665" s="43"/>
      <c r="K665" s="43"/>
    </row>
    <row r="666" spans="1:11" s="14" customFormat="1" ht="78.75">
      <c r="A666" s="3" t="s">
        <v>480</v>
      </c>
      <c r="B666" s="4" t="s">
        <v>423</v>
      </c>
      <c r="C666" s="4" t="s">
        <v>701</v>
      </c>
      <c r="D666" s="4" t="s">
        <v>701</v>
      </c>
      <c r="E666" s="4" t="s">
        <v>481</v>
      </c>
      <c r="F666" s="4"/>
      <c r="G666" s="27">
        <f t="shared" si="43"/>
        <v>57602</v>
      </c>
      <c r="H666" s="27">
        <f t="shared" si="43"/>
        <v>57602</v>
      </c>
      <c r="I666" s="153">
        <f t="shared" si="42"/>
        <v>1</v>
      </c>
      <c r="J666" s="43"/>
      <c r="K666" s="43"/>
    </row>
    <row r="667" spans="1:11" s="14" customFormat="1" ht="31.5">
      <c r="A667" s="3" t="s">
        <v>766</v>
      </c>
      <c r="B667" s="4" t="s">
        <v>423</v>
      </c>
      <c r="C667" s="4" t="s">
        <v>701</v>
      </c>
      <c r="D667" s="4" t="s">
        <v>701</v>
      </c>
      <c r="E667" s="4" t="s">
        <v>482</v>
      </c>
      <c r="F667" s="4"/>
      <c r="G667" s="27">
        <f t="shared" si="43"/>
        <v>57602</v>
      </c>
      <c r="H667" s="27">
        <f t="shared" si="43"/>
        <v>57602</v>
      </c>
      <c r="I667" s="153">
        <f t="shared" si="42"/>
        <v>1</v>
      </c>
      <c r="J667" s="43"/>
      <c r="K667" s="43"/>
    </row>
    <row r="668" spans="1:12" s="14" customFormat="1" ht="63">
      <c r="A668" s="3" t="s">
        <v>770</v>
      </c>
      <c r="B668" s="4" t="s">
        <v>423</v>
      </c>
      <c r="C668" s="4" t="s">
        <v>701</v>
      </c>
      <c r="D668" s="4" t="s">
        <v>701</v>
      </c>
      <c r="E668" s="4" t="s">
        <v>482</v>
      </c>
      <c r="F668" s="4" t="s">
        <v>384</v>
      </c>
      <c r="G668" s="27">
        <f>59170-1568</f>
        <v>57602</v>
      </c>
      <c r="H668" s="27">
        <f>59170-1568</f>
        <v>57602</v>
      </c>
      <c r="I668" s="153">
        <f t="shared" si="42"/>
        <v>1</v>
      </c>
      <c r="J668" s="43"/>
      <c r="K668" s="43"/>
      <c r="L668" s="46"/>
    </row>
    <row r="669" spans="1:11" s="14" customFormat="1" ht="63">
      <c r="A669" s="3" t="s">
        <v>428</v>
      </c>
      <c r="B669" s="4" t="s">
        <v>423</v>
      </c>
      <c r="C669" s="4" t="s">
        <v>701</v>
      </c>
      <c r="D669" s="4" t="s">
        <v>701</v>
      </c>
      <c r="E669" s="4" t="s">
        <v>429</v>
      </c>
      <c r="F669" s="4"/>
      <c r="G669" s="27">
        <f>G670+G672</f>
        <v>188711</v>
      </c>
      <c r="H669" s="27">
        <f>H670+H672</f>
        <v>188711</v>
      </c>
      <c r="I669" s="153">
        <f t="shared" si="42"/>
        <v>1</v>
      </c>
      <c r="J669" s="43"/>
      <c r="K669" s="43"/>
    </row>
    <row r="670" spans="1:11" s="14" customFormat="1" ht="47.25">
      <c r="A670" s="3" t="s">
        <v>669</v>
      </c>
      <c r="B670" s="4" t="s">
        <v>423</v>
      </c>
      <c r="C670" s="4" t="s">
        <v>701</v>
      </c>
      <c r="D670" s="4" t="s">
        <v>701</v>
      </c>
      <c r="E670" s="4" t="s">
        <v>430</v>
      </c>
      <c r="F670" s="4"/>
      <c r="G670" s="27">
        <f>G671</f>
        <v>62143</v>
      </c>
      <c r="H670" s="27">
        <f>H671</f>
        <v>62143</v>
      </c>
      <c r="I670" s="153">
        <f t="shared" si="42"/>
        <v>1</v>
      </c>
      <c r="J670" s="43"/>
      <c r="K670" s="43"/>
    </row>
    <row r="671" spans="1:11" s="14" customFormat="1" ht="63">
      <c r="A671" s="3" t="s">
        <v>770</v>
      </c>
      <c r="B671" s="4" t="s">
        <v>423</v>
      </c>
      <c r="C671" s="4" t="s">
        <v>701</v>
      </c>
      <c r="D671" s="4" t="s">
        <v>701</v>
      </c>
      <c r="E671" s="4" t="s">
        <v>430</v>
      </c>
      <c r="F671" s="4" t="s">
        <v>384</v>
      </c>
      <c r="G671" s="27">
        <f>62143</f>
        <v>62143</v>
      </c>
      <c r="H671" s="27">
        <f>62143</f>
        <v>62143</v>
      </c>
      <c r="I671" s="153">
        <f t="shared" si="42"/>
        <v>1</v>
      </c>
      <c r="J671" s="24"/>
      <c r="K671" s="43"/>
    </row>
    <row r="672" spans="1:11" s="14" customFormat="1" ht="31.5">
      <c r="A672" s="3" t="s">
        <v>766</v>
      </c>
      <c r="B672" s="4" t="s">
        <v>423</v>
      </c>
      <c r="C672" s="4" t="s">
        <v>701</v>
      </c>
      <c r="D672" s="4" t="s">
        <v>701</v>
      </c>
      <c r="E672" s="4" t="s">
        <v>431</v>
      </c>
      <c r="F672" s="4"/>
      <c r="G672" s="27">
        <f>G673</f>
        <v>126568</v>
      </c>
      <c r="H672" s="27">
        <f>H673</f>
        <v>126568</v>
      </c>
      <c r="I672" s="153">
        <f t="shared" si="42"/>
        <v>1</v>
      </c>
      <c r="J672" s="43"/>
      <c r="K672" s="43"/>
    </row>
    <row r="673" spans="1:12" s="14" customFormat="1" ht="63">
      <c r="A673" s="3" t="s">
        <v>770</v>
      </c>
      <c r="B673" s="4" t="s">
        <v>423</v>
      </c>
      <c r="C673" s="4" t="s">
        <v>701</v>
      </c>
      <c r="D673" s="4" t="s">
        <v>701</v>
      </c>
      <c r="E673" s="4" t="s">
        <v>431</v>
      </c>
      <c r="F673" s="4" t="s">
        <v>384</v>
      </c>
      <c r="G673" s="27">
        <f>145000-18432</f>
        <v>126568</v>
      </c>
      <c r="H673" s="27">
        <f>145000-18432</f>
        <v>126568</v>
      </c>
      <c r="I673" s="153">
        <f t="shared" si="42"/>
        <v>1</v>
      </c>
      <c r="J673" s="24"/>
      <c r="K673" s="43"/>
      <c r="L673" s="46"/>
    </row>
    <row r="674" spans="1:9" ht="15.75">
      <c r="A674" s="11" t="s">
        <v>381</v>
      </c>
      <c r="B674" s="5" t="s">
        <v>423</v>
      </c>
      <c r="C674" s="5" t="s">
        <v>702</v>
      </c>
      <c r="D674" s="5" t="s">
        <v>728</v>
      </c>
      <c r="E674" s="21"/>
      <c r="F674" s="21"/>
      <c r="G674" s="26">
        <f>G675</f>
        <v>177564441.96000004</v>
      </c>
      <c r="H674" s="26">
        <f>H675</f>
        <v>177261341.62</v>
      </c>
      <c r="I674" s="154">
        <f t="shared" si="42"/>
        <v>0.9982930121782586</v>
      </c>
    </row>
    <row r="675" spans="1:9" ht="15.75">
      <c r="A675" s="1" t="s">
        <v>723</v>
      </c>
      <c r="B675" s="2" t="s">
        <v>423</v>
      </c>
      <c r="C675" s="2" t="s">
        <v>702</v>
      </c>
      <c r="D675" s="2" t="s">
        <v>698</v>
      </c>
      <c r="E675" s="4"/>
      <c r="F675" s="4"/>
      <c r="G675" s="30">
        <f>G687+G676+G717+G683+G721</f>
        <v>177564441.96000004</v>
      </c>
      <c r="H675" s="30">
        <f>H687+H676+H717+H683+H721</f>
        <v>177261341.62</v>
      </c>
      <c r="I675" s="152">
        <f t="shared" si="42"/>
        <v>0.9982930121782586</v>
      </c>
    </row>
    <row r="676" spans="1:9" ht="78.75">
      <c r="A676" s="3" t="s">
        <v>764</v>
      </c>
      <c r="B676" s="4" t="s">
        <v>423</v>
      </c>
      <c r="C676" s="4" t="s">
        <v>702</v>
      </c>
      <c r="D676" s="4" t="s">
        <v>698</v>
      </c>
      <c r="E676" s="4" t="s">
        <v>765</v>
      </c>
      <c r="F676" s="4"/>
      <c r="G676" s="27">
        <f>G677+G679+G681</f>
        <v>1649933</v>
      </c>
      <c r="H676" s="27">
        <f>H677+H679+H681</f>
        <v>1649933</v>
      </c>
      <c r="I676" s="153">
        <f t="shared" si="42"/>
        <v>1</v>
      </c>
    </row>
    <row r="677" spans="1:9" ht="47.25">
      <c r="A677" s="3" t="s">
        <v>669</v>
      </c>
      <c r="B677" s="4" t="s">
        <v>423</v>
      </c>
      <c r="C677" s="4" t="s">
        <v>702</v>
      </c>
      <c r="D677" s="4" t="s">
        <v>698</v>
      </c>
      <c r="E677" s="4" t="s">
        <v>467</v>
      </c>
      <c r="F677" s="4"/>
      <c r="G677" s="27">
        <f>G678</f>
        <v>489760</v>
      </c>
      <c r="H677" s="27">
        <f>H678</f>
        <v>489760</v>
      </c>
      <c r="I677" s="153">
        <f t="shared" si="42"/>
        <v>1</v>
      </c>
    </row>
    <row r="678" spans="1:9" ht="63">
      <c r="A678" s="3" t="s">
        <v>770</v>
      </c>
      <c r="B678" s="4" t="s">
        <v>423</v>
      </c>
      <c r="C678" s="4" t="s">
        <v>702</v>
      </c>
      <c r="D678" s="4" t="s">
        <v>698</v>
      </c>
      <c r="E678" s="4" t="s">
        <v>467</v>
      </c>
      <c r="F678" s="4" t="s">
        <v>384</v>
      </c>
      <c r="G678" s="27">
        <f>1968000-260000-60000-434000-371000-190000-163240</f>
        <v>489760</v>
      </c>
      <c r="H678" s="27">
        <f>1968000-260000-60000-434000-371000-190000-163240</f>
        <v>489760</v>
      </c>
      <c r="I678" s="153">
        <f t="shared" si="42"/>
        <v>1</v>
      </c>
    </row>
    <row r="679" spans="1:9" ht="31.5">
      <c r="A679" s="3" t="s">
        <v>766</v>
      </c>
      <c r="B679" s="4" t="s">
        <v>423</v>
      </c>
      <c r="C679" s="4" t="s">
        <v>702</v>
      </c>
      <c r="D679" s="4" t="s">
        <v>698</v>
      </c>
      <c r="E679" s="4" t="s">
        <v>767</v>
      </c>
      <c r="F679" s="4"/>
      <c r="G679" s="27">
        <f>G680</f>
        <v>630173</v>
      </c>
      <c r="H679" s="27">
        <f>H680</f>
        <v>630173</v>
      </c>
      <c r="I679" s="153">
        <f t="shared" si="42"/>
        <v>1</v>
      </c>
    </row>
    <row r="680" spans="1:9" ht="63">
      <c r="A680" s="3" t="s">
        <v>770</v>
      </c>
      <c r="B680" s="4" t="s">
        <v>423</v>
      </c>
      <c r="C680" s="4" t="s">
        <v>702</v>
      </c>
      <c r="D680" s="4" t="s">
        <v>698</v>
      </c>
      <c r="E680" s="4" t="s">
        <v>767</v>
      </c>
      <c r="F680" s="4" t="s">
        <v>384</v>
      </c>
      <c r="G680" s="27">
        <f>380000+260000+60000-59827-150000-50000+190000</f>
        <v>630173</v>
      </c>
      <c r="H680" s="27">
        <f>380000+260000+60000-59827-150000-50000+190000</f>
        <v>630173</v>
      </c>
      <c r="I680" s="153">
        <f t="shared" si="42"/>
        <v>1</v>
      </c>
    </row>
    <row r="681" spans="1:9" ht="63">
      <c r="A681" s="3" t="s">
        <v>892</v>
      </c>
      <c r="B681" s="4" t="s">
        <v>423</v>
      </c>
      <c r="C681" s="4" t="s">
        <v>702</v>
      </c>
      <c r="D681" s="4" t="s">
        <v>698</v>
      </c>
      <c r="E681" s="4" t="s">
        <v>893</v>
      </c>
      <c r="F681" s="4"/>
      <c r="G681" s="27">
        <f>G682</f>
        <v>530000</v>
      </c>
      <c r="H681" s="27">
        <f>H682</f>
        <v>530000</v>
      </c>
      <c r="I681" s="153">
        <f t="shared" si="42"/>
        <v>1</v>
      </c>
    </row>
    <row r="682" spans="1:9" ht="63">
      <c r="A682" s="3" t="s">
        <v>770</v>
      </c>
      <c r="B682" s="4" t="s">
        <v>423</v>
      </c>
      <c r="C682" s="4" t="s">
        <v>702</v>
      </c>
      <c r="D682" s="4" t="s">
        <v>698</v>
      </c>
      <c r="E682" s="4" t="s">
        <v>893</v>
      </c>
      <c r="F682" s="4" t="s">
        <v>384</v>
      </c>
      <c r="G682" s="27">
        <v>530000</v>
      </c>
      <c r="H682" s="27">
        <v>530000</v>
      </c>
      <c r="I682" s="153">
        <f t="shared" si="42"/>
        <v>1</v>
      </c>
    </row>
    <row r="683" spans="1:9" ht="78.75">
      <c r="A683" s="3" t="s">
        <v>783</v>
      </c>
      <c r="B683" s="4" t="s">
        <v>423</v>
      </c>
      <c r="C683" s="4" t="s">
        <v>702</v>
      </c>
      <c r="D683" s="4" t="s">
        <v>698</v>
      </c>
      <c r="E683" s="4" t="s">
        <v>784</v>
      </c>
      <c r="F683" s="4"/>
      <c r="G683" s="27">
        <f aca="true" t="shared" si="44" ref="G683:H685">G684</f>
        <v>30000</v>
      </c>
      <c r="H683" s="27">
        <f t="shared" si="44"/>
        <v>30000</v>
      </c>
      <c r="I683" s="153">
        <f t="shared" si="42"/>
        <v>1</v>
      </c>
    </row>
    <row r="684" spans="1:9" ht="15.75">
      <c r="A684" s="55" t="s">
        <v>518</v>
      </c>
      <c r="B684" s="4" t="s">
        <v>423</v>
      </c>
      <c r="C684" s="4" t="s">
        <v>702</v>
      </c>
      <c r="D684" s="4" t="s">
        <v>698</v>
      </c>
      <c r="E684" s="4" t="s">
        <v>519</v>
      </c>
      <c r="F684" s="4"/>
      <c r="G684" s="27">
        <f t="shared" si="44"/>
        <v>30000</v>
      </c>
      <c r="H684" s="27">
        <f t="shared" si="44"/>
        <v>30000</v>
      </c>
      <c r="I684" s="153">
        <f t="shared" si="42"/>
        <v>1</v>
      </c>
    </row>
    <row r="685" spans="1:9" ht="31.5">
      <c r="A685" s="3" t="s">
        <v>766</v>
      </c>
      <c r="B685" s="4" t="s">
        <v>423</v>
      </c>
      <c r="C685" s="4" t="s">
        <v>702</v>
      </c>
      <c r="D685" s="4" t="s">
        <v>698</v>
      </c>
      <c r="E685" s="4" t="s">
        <v>520</v>
      </c>
      <c r="F685" s="4"/>
      <c r="G685" s="27">
        <f t="shared" si="44"/>
        <v>30000</v>
      </c>
      <c r="H685" s="27">
        <f t="shared" si="44"/>
        <v>30000</v>
      </c>
      <c r="I685" s="153">
        <f t="shared" si="42"/>
        <v>1</v>
      </c>
    </row>
    <row r="686" spans="1:9" ht="63">
      <c r="A686" s="3" t="s">
        <v>770</v>
      </c>
      <c r="B686" s="4" t="s">
        <v>423</v>
      </c>
      <c r="C686" s="4" t="s">
        <v>702</v>
      </c>
      <c r="D686" s="4" t="s">
        <v>698</v>
      </c>
      <c r="E686" s="4" t="s">
        <v>520</v>
      </c>
      <c r="F686" s="4" t="s">
        <v>384</v>
      </c>
      <c r="G686" s="27">
        <v>30000</v>
      </c>
      <c r="H686" s="27">
        <v>30000</v>
      </c>
      <c r="I686" s="153">
        <f t="shared" si="42"/>
        <v>1</v>
      </c>
    </row>
    <row r="687" spans="1:9" ht="63">
      <c r="A687" s="3" t="s">
        <v>407</v>
      </c>
      <c r="B687" s="4" t="s">
        <v>423</v>
      </c>
      <c r="C687" s="4" t="s">
        <v>702</v>
      </c>
      <c r="D687" s="4" t="s">
        <v>698</v>
      </c>
      <c r="E687" s="4" t="s">
        <v>408</v>
      </c>
      <c r="F687" s="4"/>
      <c r="G687" s="27">
        <f>G698+G688+G707+G712</f>
        <v>171255657.60000002</v>
      </c>
      <c r="H687" s="27">
        <f>H698+H688+H707+H712</f>
        <v>170952557.26000002</v>
      </c>
      <c r="I687" s="153">
        <f t="shared" si="42"/>
        <v>0.9982301294786537</v>
      </c>
    </row>
    <row r="688" spans="1:9" ht="63">
      <c r="A688" s="3" t="s">
        <v>624</v>
      </c>
      <c r="B688" s="4" t="s">
        <v>423</v>
      </c>
      <c r="C688" s="4" t="s">
        <v>702</v>
      </c>
      <c r="D688" s="4" t="s">
        <v>698</v>
      </c>
      <c r="E688" s="4" t="s">
        <v>625</v>
      </c>
      <c r="F688" s="4"/>
      <c r="G688" s="27">
        <f>G696+G691+G689+G694</f>
        <v>99592505.21000001</v>
      </c>
      <c r="H688" s="27">
        <f>H696+H691+H689+H694</f>
        <v>99592504.87</v>
      </c>
      <c r="I688" s="153">
        <f t="shared" si="42"/>
        <v>0.9999999965860884</v>
      </c>
    </row>
    <row r="689" spans="1:9" ht="110.25">
      <c r="A689" s="3" t="s">
        <v>650</v>
      </c>
      <c r="B689" s="4" t="s">
        <v>423</v>
      </c>
      <c r="C689" s="4" t="s">
        <v>702</v>
      </c>
      <c r="D689" s="4" t="s">
        <v>698</v>
      </c>
      <c r="E689" s="4" t="s">
        <v>496</v>
      </c>
      <c r="F689" s="4"/>
      <c r="G689" s="27">
        <f>G690</f>
        <v>94401487.9</v>
      </c>
      <c r="H689" s="27">
        <f>H690</f>
        <v>94401487.9</v>
      </c>
      <c r="I689" s="153">
        <f t="shared" si="42"/>
        <v>1</v>
      </c>
    </row>
    <row r="690" spans="1:9" ht="63">
      <c r="A690" s="3" t="s">
        <v>770</v>
      </c>
      <c r="B690" s="4" t="s">
        <v>423</v>
      </c>
      <c r="C690" s="4" t="s">
        <v>702</v>
      </c>
      <c r="D690" s="4" t="s">
        <v>698</v>
      </c>
      <c r="E690" s="4" t="s">
        <v>496</v>
      </c>
      <c r="F690" s="4" t="s">
        <v>384</v>
      </c>
      <c r="G690" s="27">
        <f>77978234+13000000+2459285+963968.9</f>
        <v>94401487.9</v>
      </c>
      <c r="H690" s="27">
        <f>77978234+13000000+2459285+963968.9</f>
        <v>94401487.9</v>
      </c>
      <c r="I690" s="153">
        <f t="shared" si="42"/>
        <v>1</v>
      </c>
    </row>
    <row r="691" spans="1:9" ht="31.5">
      <c r="A691" s="3" t="s">
        <v>766</v>
      </c>
      <c r="B691" s="4" t="s">
        <v>423</v>
      </c>
      <c r="C691" s="4" t="s">
        <v>702</v>
      </c>
      <c r="D691" s="4" t="s">
        <v>698</v>
      </c>
      <c r="E691" s="4" t="s">
        <v>495</v>
      </c>
      <c r="F691" s="4"/>
      <c r="G691" s="27">
        <f>G692+G693</f>
        <v>1540778</v>
      </c>
      <c r="H691" s="27">
        <f>H692+H693</f>
        <v>1540777.6600000001</v>
      </c>
      <c r="I691" s="153">
        <f t="shared" si="42"/>
        <v>0.9999997793322595</v>
      </c>
    </row>
    <row r="692" spans="1:9" ht="47.25">
      <c r="A692" s="3" t="s">
        <v>746</v>
      </c>
      <c r="B692" s="4" t="s">
        <v>423</v>
      </c>
      <c r="C692" s="4" t="s">
        <v>702</v>
      </c>
      <c r="D692" s="4" t="s">
        <v>698</v>
      </c>
      <c r="E692" s="4" t="s">
        <v>495</v>
      </c>
      <c r="F692" s="4" t="s">
        <v>380</v>
      </c>
      <c r="G692" s="27">
        <f>1743000-450000-100000-34020-150000</f>
        <v>1008980</v>
      </c>
      <c r="H692" s="27">
        <v>1008979.66</v>
      </c>
      <c r="I692" s="153">
        <f t="shared" si="42"/>
        <v>0.9999996630260263</v>
      </c>
    </row>
    <row r="693" spans="1:9" ht="79.5" customHeight="1">
      <c r="A693" s="3" t="s">
        <v>770</v>
      </c>
      <c r="B693" s="4" t="s">
        <v>423</v>
      </c>
      <c r="C693" s="4" t="s">
        <v>702</v>
      </c>
      <c r="D693" s="4" t="s">
        <v>698</v>
      </c>
      <c r="E693" s="4" t="s">
        <v>495</v>
      </c>
      <c r="F693" s="4" t="s">
        <v>384</v>
      </c>
      <c r="G693" s="27">
        <f>419196+112602+100000-100000</f>
        <v>531798</v>
      </c>
      <c r="H693" s="27">
        <f>419196+112602+100000-100000</f>
        <v>531798</v>
      </c>
      <c r="I693" s="153">
        <f t="shared" si="42"/>
        <v>1</v>
      </c>
    </row>
    <row r="694" spans="1:9" ht="126">
      <c r="A694" s="3" t="s">
        <v>981</v>
      </c>
      <c r="B694" s="4" t="s">
        <v>423</v>
      </c>
      <c r="C694" s="4" t="s">
        <v>702</v>
      </c>
      <c r="D694" s="4" t="s">
        <v>698</v>
      </c>
      <c r="E694" s="4" t="s">
        <v>983</v>
      </c>
      <c r="F694" s="4"/>
      <c r="G694" s="27">
        <f>G695</f>
        <v>2968682</v>
      </c>
      <c r="H694" s="27">
        <f>H695</f>
        <v>2968682</v>
      </c>
      <c r="I694" s="153">
        <f t="shared" si="42"/>
        <v>1</v>
      </c>
    </row>
    <row r="695" spans="1:9" ht="63">
      <c r="A695" s="3" t="s">
        <v>770</v>
      </c>
      <c r="B695" s="4" t="s">
        <v>423</v>
      </c>
      <c r="C695" s="4" t="s">
        <v>702</v>
      </c>
      <c r="D695" s="4" t="s">
        <v>698</v>
      </c>
      <c r="E695" s="4" t="s">
        <v>983</v>
      </c>
      <c r="F695" s="4" t="s">
        <v>384</v>
      </c>
      <c r="G695" s="27">
        <v>2968682</v>
      </c>
      <c r="H695" s="27">
        <v>2968682</v>
      </c>
      <c r="I695" s="153">
        <f t="shared" si="42"/>
        <v>1</v>
      </c>
    </row>
    <row r="696" spans="1:9" ht="141.75">
      <c r="A696" s="3" t="s">
        <v>416</v>
      </c>
      <c r="B696" s="4" t="s">
        <v>423</v>
      </c>
      <c r="C696" s="4" t="s">
        <v>702</v>
      </c>
      <c r="D696" s="4" t="s">
        <v>698</v>
      </c>
      <c r="E696" s="4" t="s">
        <v>626</v>
      </c>
      <c r="F696" s="4"/>
      <c r="G696" s="27">
        <f>G697</f>
        <v>681557.31</v>
      </c>
      <c r="H696" s="27">
        <f>H697</f>
        <v>681557.31</v>
      </c>
      <c r="I696" s="153">
        <f aca="true" t="shared" si="45" ref="I696:I750">H696/G696</f>
        <v>1</v>
      </c>
    </row>
    <row r="697" spans="1:9" ht="63">
      <c r="A697" s="3" t="s">
        <v>770</v>
      </c>
      <c r="B697" s="4" t="s">
        <v>423</v>
      </c>
      <c r="C697" s="4" t="s">
        <v>702</v>
      </c>
      <c r="D697" s="4" t="s">
        <v>698</v>
      </c>
      <c r="E697" s="4" t="s">
        <v>626</v>
      </c>
      <c r="F697" s="4" t="s">
        <v>384</v>
      </c>
      <c r="G697" s="27">
        <v>681557.31</v>
      </c>
      <c r="H697" s="27">
        <v>681557.31</v>
      </c>
      <c r="I697" s="153">
        <f t="shared" si="45"/>
        <v>1</v>
      </c>
    </row>
    <row r="698" spans="1:9" ht="31.5">
      <c r="A698" s="3" t="s">
        <v>410</v>
      </c>
      <c r="B698" s="4" t="s">
        <v>423</v>
      </c>
      <c r="C698" s="4" t="s">
        <v>702</v>
      </c>
      <c r="D698" s="4" t="s">
        <v>698</v>
      </c>
      <c r="E698" s="4" t="s">
        <v>411</v>
      </c>
      <c r="F698" s="4"/>
      <c r="G698" s="27">
        <f>G701+G705+G699+G703</f>
        <v>53393546.69</v>
      </c>
      <c r="H698" s="27">
        <f>H701+H705+H699+H703</f>
        <v>53393546.69</v>
      </c>
      <c r="I698" s="153">
        <f t="shared" si="45"/>
        <v>1</v>
      </c>
    </row>
    <row r="699" spans="1:9" ht="110.25">
      <c r="A699" s="3" t="s">
        <v>650</v>
      </c>
      <c r="B699" s="4" t="s">
        <v>423</v>
      </c>
      <c r="C699" s="4" t="s">
        <v>702</v>
      </c>
      <c r="D699" s="4" t="s">
        <v>698</v>
      </c>
      <c r="E699" s="4" t="s">
        <v>497</v>
      </c>
      <c r="F699" s="4"/>
      <c r="G699" s="27">
        <f>G700</f>
        <v>50166870</v>
      </c>
      <c r="H699" s="27">
        <f>H700</f>
        <v>50166870</v>
      </c>
      <c r="I699" s="153">
        <f t="shared" si="45"/>
        <v>1</v>
      </c>
    </row>
    <row r="700" spans="1:9" ht="63">
      <c r="A700" s="3" t="s">
        <v>770</v>
      </c>
      <c r="B700" s="4" t="s">
        <v>423</v>
      </c>
      <c r="C700" s="4" t="s">
        <v>702</v>
      </c>
      <c r="D700" s="4" t="s">
        <v>698</v>
      </c>
      <c r="E700" s="4" t="s">
        <v>497</v>
      </c>
      <c r="F700" s="4" t="s">
        <v>384</v>
      </c>
      <c r="G700" s="27">
        <f>49512776+450000+40854+163240</f>
        <v>50166870</v>
      </c>
      <c r="H700" s="27">
        <f>49512776+450000+40854+163240</f>
        <v>50166870</v>
      </c>
      <c r="I700" s="153">
        <f t="shared" si="45"/>
        <v>1</v>
      </c>
    </row>
    <row r="701" spans="1:11" s="14" customFormat="1" ht="141.75" customHeight="1" hidden="1">
      <c r="A701" s="3" t="s">
        <v>412</v>
      </c>
      <c r="B701" s="4" t="s">
        <v>423</v>
      </c>
      <c r="C701" s="4" t="s">
        <v>702</v>
      </c>
      <c r="D701" s="4" t="s">
        <v>698</v>
      </c>
      <c r="E701" s="4" t="s">
        <v>413</v>
      </c>
      <c r="F701" s="4"/>
      <c r="G701" s="27">
        <f>G702</f>
        <v>0</v>
      </c>
      <c r="H701" s="27">
        <f>H702</f>
        <v>0</v>
      </c>
      <c r="I701" s="153" t="e">
        <f t="shared" si="45"/>
        <v>#DIV/0!</v>
      </c>
      <c r="J701" s="43"/>
      <c r="K701" s="43"/>
    </row>
    <row r="702" spans="1:9" ht="63" customHeight="1" hidden="1">
      <c r="A702" s="3" t="s">
        <v>770</v>
      </c>
      <c r="B702" s="4" t="s">
        <v>423</v>
      </c>
      <c r="C702" s="4" t="s">
        <v>702</v>
      </c>
      <c r="D702" s="4" t="s">
        <v>698</v>
      </c>
      <c r="E702" s="4" t="s">
        <v>413</v>
      </c>
      <c r="F702" s="4" t="s">
        <v>384</v>
      </c>
      <c r="G702" s="27">
        <f>104800-104800</f>
        <v>0</v>
      </c>
      <c r="H702" s="27">
        <f>104800-104800</f>
        <v>0</v>
      </c>
      <c r="I702" s="153" t="e">
        <f t="shared" si="45"/>
        <v>#DIV/0!</v>
      </c>
    </row>
    <row r="703" spans="1:9" ht="126">
      <c r="A703" s="3" t="s">
        <v>981</v>
      </c>
      <c r="B703" s="4" t="s">
        <v>423</v>
      </c>
      <c r="C703" s="4" t="s">
        <v>702</v>
      </c>
      <c r="D703" s="4" t="s">
        <v>698</v>
      </c>
      <c r="E703" s="4" t="s">
        <v>984</v>
      </c>
      <c r="F703" s="4"/>
      <c r="G703" s="27">
        <f>G704</f>
        <v>3031738</v>
      </c>
      <c r="H703" s="27">
        <f>H704</f>
        <v>3031738</v>
      </c>
      <c r="I703" s="153">
        <f t="shared" si="45"/>
        <v>1</v>
      </c>
    </row>
    <row r="704" spans="1:9" ht="63">
      <c r="A704" s="3" t="s">
        <v>770</v>
      </c>
      <c r="B704" s="4" t="s">
        <v>423</v>
      </c>
      <c r="C704" s="4" t="s">
        <v>702</v>
      </c>
      <c r="D704" s="4" t="s">
        <v>698</v>
      </c>
      <c r="E704" s="4" t="s">
        <v>984</v>
      </c>
      <c r="F704" s="4" t="s">
        <v>384</v>
      </c>
      <c r="G704" s="27">
        <v>3031738</v>
      </c>
      <c r="H704" s="27">
        <v>3031738</v>
      </c>
      <c r="I704" s="153">
        <f t="shared" si="45"/>
        <v>1</v>
      </c>
    </row>
    <row r="705" spans="1:9" ht="141.75">
      <c r="A705" s="3" t="s">
        <v>416</v>
      </c>
      <c r="B705" s="4" t="s">
        <v>423</v>
      </c>
      <c r="C705" s="4" t="s">
        <v>702</v>
      </c>
      <c r="D705" s="4" t="s">
        <v>698</v>
      </c>
      <c r="E705" s="4" t="s">
        <v>627</v>
      </c>
      <c r="F705" s="4"/>
      <c r="G705" s="27">
        <f>G706</f>
        <v>194938.69</v>
      </c>
      <c r="H705" s="27">
        <f>H706</f>
        <v>194938.69</v>
      </c>
      <c r="I705" s="153">
        <f t="shared" si="45"/>
        <v>1</v>
      </c>
    </row>
    <row r="706" spans="1:9" ht="63">
      <c r="A706" s="3" t="s">
        <v>770</v>
      </c>
      <c r="B706" s="4" t="s">
        <v>423</v>
      </c>
      <c r="C706" s="4" t="s">
        <v>702</v>
      </c>
      <c r="D706" s="4" t="s">
        <v>698</v>
      </c>
      <c r="E706" s="4" t="s">
        <v>627</v>
      </c>
      <c r="F706" s="4" t="s">
        <v>384</v>
      </c>
      <c r="G706" s="27">
        <f>198048-3109.31</f>
        <v>194938.69</v>
      </c>
      <c r="H706" s="27">
        <f>198048-3109.31</f>
        <v>194938.69</v>
      </c>
      <c r="I706" s="153">
        <f t="shared" si="45"/>
        <v>1</v>
      </c>
    </row>
    <row r="707" spans="1:9" ht="31.5">
      <c r="A707" s="3" t="s">
        <v>498</v>
      </c>
      <c r="B707" s="4" t="s">
        <v>423</v>
      </c>
      <c r="C707" s="4" t="s">
        <v>702</v>
      </c>
      <c r="D707" s="4" t="s">
        <v>698</v>
      </c>
      <c r="E707" s="4" t="s">
        <v>499</v>
      </c>
      <c r="F707" s="4"/>
      <c r="G707" s="27">
        <f>G708+G710</f>
        <v>12441660.3</v>
      </c>
      <c r="H707" s="27">
        <f>H708+H710</f>
        <v>12441660.3</v>
      </c>
      <c r="I707" s="153">
        <f t="shared" si="45"/>
        <v>1</v>
      </c>
    </row>
    <row r="708" spans="1:9" ht="110.25">
      <c r="A708" s="3" t="s">
        <v>650</v>
      </c>
      <c r="B708" s="4" t="s">
        <v>423</v>
      </c>
      <c r="C708" s="4" t="s">
        <v>702</v>
      </c>
      <c r="D708" s="4" t="s">
        <v>698</v>
      </c>
      <c r="E708" s="4" t="s">
        <v>500</v>
      </c>
      <c r="F708" s="4"/>
      <c r="G708" s="27">
        <f>G709</f>
        <v>12407640.3</v>
      </c>
      <c r="H708" s="27">
        <f>H709</f>
        <v>12407640.3</v>
      </c>
      <c r="I708" s="153">
        <f t="shared" si="45"/>
        <v>1</v>
      </c>
    </row>
    <row r="709" spans="1:9" ht="63">
      <c r="A709" s="3" t="s">
        <v>770</v>
      </c>
      <c r="B709" s="4" t="s">
        <v>423</v>
      </c>
      <c r="C709" s="4" t="s">
        <v>702</v>
      </c>
      <c r="D709" s="4" t="s">
        <v>698</v>
      </c>
      <c r="E709" s="4" t="s">
        <v>500</v>
      </c>
      <c r="F709" s="4" t="s">
        <v>384</v>
      </c>
      <c r="G709" s="27">
        <f>11881058+526582.3</f>
        <v>12407640.3</v>
      </c>
      <c r="H709" s="27">
        <f>11881058+526582.3</f>
        <v>12407640.3</v>
      </c>
      <c r="I709" s="153">
        <f t="shared" si="45"/>
        <v>1</v>
      </c>
    </row>
    <row r="710" spans="1:9" ht="39" customHeight="1">
      <c r="A710" s="3" t="s">
        <v>766</v>
      </c>
      <c r="B710" s="4" t="s">
        <v>423</v>
      </c>
      <c r="C710" s="4" t="s">
        <v>702</v>
      </c>
      <c r="D710" s="4" t="s">
        <v>698</v>
      </c>
      <c r="E710" s="4" t="s">
        <v>786</v>
      </c>
      <c r="F710" s="4"/>
      <c r="G710" s="27">
        <f>G711</f>
        <v>34020</v>
      </c>
      <c r="H710" s="27">
        <f>H711</f>
        <v>34020</v>
      </c>
      <c r="I710" s="153">
        <f t="shared" si="45"/>
        <v>1</v>
      </c>
    </row>
    <row r="711" spans="1:9" ht="66" customHeight="1">
      <c r="A711" s="3" t="s">
        <v>770</v>
      </c>
      <c r="B711" s="4" t="s">
        <v>423</v>
      </c>
      <c r="C711" s="4" t="s">
        <v>702</v>
      </c>
      <c r="D711" s="4" t="s">
        <v>698</v>
      </c>
      <c r="E711" s="4" t="s">
        <v>786</v>
      </c>
      <c r="F711" s="4" t="s">
        <v>384</v>
      </c>
      <c r="G711" s="27">
        <v>34020</v>
      </c>
      <c r="H711" s="27">
        <v>34020</v>
      </c>
      <c r="I711" s="153">
        <f t="shared" si="45"/>
        <v>1</v>
      </c>
    </row>
    <row r="712" spans="1:9" ht="78.75">
      <c r="A712" s="3" t="s">
        <v>505</v>
      </c>
      <c r="B712" s="4" t="s">
        <v>423</v>
      </c>
      <c r="C712" s="4" t="s">
        <v>702</v>
      </c>
      <c r="D712" s="4" t="s">
        <v>698</v>
      </c>
      <c r="E712" s="4" t="s">
        <v>506</v>
      </c>
      <c r="F712" s="4"/>
      <c r="G712" s="27">
        <f>G713+G715</f>
        <v>5827945.399999999</v>
      </c>
      <c r="H712" s="27">
        <f>H713+H715</f>
        <v>5524845.399999999</v>
      </c>
      <c r="I712" s="153">
        <f t="shared" si="45"/>
        <v>0.947991962999516</v>
      </c>
    </row>
    <row r="713" spans="1:9" ht="47.25">
      <c r="A713" s="3" t="s">
        <v>669</v>
      </c>
      <c r="B713" s="4" t="s">
        <v>423</v>
      </c>
      <c r="C713" s="4" t="s">
        <v>702</v>
      </c>
      <c r="D713" s="4" t="s">
        <v>698</v>
      </c>
      <c r="E713" s="4" t="s">
        <v>507</v>
      </c>
      <c r="F713" s="4"/>
      <c r="G713" s="27">
        <f>G714</f>
        <v>867000</v>
      </c>
      <c r="H713" s="27">
        <f>H714</f>
        <v>563900</v>
      </c>
      <c r="I713" s="153">
        <f t="shared" si="45"/>
        <v>0.65040369088812</v>
      </c>
    </row>
    <row r="714" spans="1:9" ht="63">
      <c r="A714" s="3" t="s">
        <v>770</v>
      </c>
      <c r="B714" s="4" t="s">
        <v>423</v>
      </c>
      <c r="C714" s="4" t="s">
        <v>702</v>
      </c>
      <c r="D714" s="4" t="s">
        <v>698</v>
      </c>
      <c r="E714" s="4" t="s">
        <v>507</v>
      </c>
      <c r="F714" s="4" t="s">
        <v>384</v>
      </c>
      <c r="G714" s="27">
        <f>1290000-716000+293000</f>
        <v>867000</v>
      </c>
      <c r="H714" s="27">
        <v>563900</v>
      </c>
      <c r="I714" s="153">
        <f t="shared" si="45"/>
        <v>0.65040369088812</v>
      </c>
    </row>
    <row r="715" spans="1:9" ht="31.5">
      <c r="A715" s="3" t="s">
        <v>766</v>
      </c>
      <c r="B715" s="4" t="s">
        <v>423</v>
      </c>
      <c r="C715" s="4" t="s">
        <v>702</v>
      </c>
      <c r="D715" s="4" t="s">
        <v>698</v>
      </c>
      <c r="E715" s="4" t="s">
        <v>508</v>
      </c>
      <c r="F715" s="4"/>
      <c r="G715" s="27">
        <f>G716</f>
        <v>4960945.399999999</v>
      </c>
      <c r="H715" s="27">
        <f>H716</f>
        <v>4960945.399999999</v>
      </c>
      <c r="I715" s="153">
        <f t="shared" si="45"/>
        <v>1</v>
      </c>
    </row>
    <row r="716" spans="1:12" ht="63">
      <c r="A716" s="3" t="s">
        <v>770</v>
      </c>
      <c r="B716" s="4" t="s">
        <v>423</v>
      </c>
      <c r="C716" s="4" t="s">
        <v>702</v>
      </c>
      <c r="D716" s="4" t="s">
        <v>698</v>
      </c>
      <c r="E716" s="4" t="s">
        <v>508</v>
      </c>
      <c r="F716" s="4" t="s">
        <v>384</v>
      </c>
      <c r="G716" s="27">
        <f>820900+540000+2520273+165000+70000+50000+344438+941801.8-40000+274946-35919-394028.78-293000-3465.62</f>
        <v>4960945.399999999</v>
      </c>
      <c r="H716" s="27">
        <f>820900+540000+2520273+165000+70000+50000+344438+941801.8-40000+274946-35919-394028.78-293000-3465.62</f>
        <v>4960945.399999999</v>
      </c>
      <c r="I716" s="153">
        <f t="shared" si="45"/>
        <v>1</v>
      </c>
      <c r="L716" s="46"/>
    </row>
    <row r="717" spans="1:9" ht="78.75">
      <c r="A717" s="3" t="s">
        <v>474</v>
      </c>
      <c r="B717" s="4" t="s">
        <v>423</v>
      </c>
      <c r="C717" s="4" t="s">
        <v>702</v>
      </c>
      <c r="D717" s="4" t="s">
        <v>698</v>
      </c>
      <c r="E717" s="4" t="s">
        <v>475</v>
      </c>
      <c r="F717" s="4"/>
      <c r="G717" s="27">
        <f aca="true" t="shared" si="46" ref="G717:H719">G718</f>
        <v>184030</v>
      </c>
      <c r="H717" s="27">
        <f t="shared" si="46"/>
        <v>184030</v>
      </c>
      <c r="I717" s="153">
        <f t="shared" si="45"/>
        <v>1</v>
      </c>
    </row>
    <row r="718" spans="1:9" ht="78.75">
      <c r="A718" s="3" t="s">
        <v>480</v>
      </c>
      <c r="B718" s="4" t="s">
        <v>423</v>
      </c>
      <c r="C718" s="4" t="s">
        <v>702</v>
      </c>
      <c r="D718" s="4" t="s">
        <v>698</v>
      </c>
      <c r="E718" s="4" t="s">
        <v>481</v>
      </c>
      <c r="F718" s="4"/>
      <c r="G718" s="27">
        <f t="shared" si="46"/>
        <v>184030</v>
      </c>
      <c r="H718" s="27">
        <f t="shared" si="46"/>
        <v>184030</v>
      </c>
      <c r="I718" s="153">
        <f t="shared" si="45"/>
        <v>1</v>
      </c>
    </row>
    <row r="719" spans="1:9" ht="31.5">
      <c r="A719" s="3" t="s">
        <v>766</v>
      </c>
      <c r="B719" s="4" t="s">
        <v>423</v>
      </c>
      <c r="C719" s="4" t="s">
        <v>702</v>
      </c>
      <c r="D719" s="4" t="s">
        <v>698</v>
      </c>
      <c r="E719" s="4" t="s">
        <v>482</v>
      </c>
      <c r="F719" s="4"/>
      <c r="G719" s="27">
        <f t="shared" si="46"/>
        <v>184030</v>
      </c>
      <c r="H719" s="27">
        <f t="shared" si="46"/>
        <v>184030</v>
      </c>
      <c r="I719" s="153">
        <f t="shared" si="45"/>
        <v>1</v>
      </c>
    </row>
    <row r="720" spans="1:9" ht="63">
      <c r="A720" s="3" t="s">
        <v>770</v>
      </c>
      <c r="B720" s="4" t="s">
        <v>423</v>
      </c>
      <c r="C720" s="4" t="s">
        <v>702</v>
      </c>
      <c r="D720" s="4" t="s">
        <v>698</v>
      </c>
      <c r="E720" s="4" t="s">
        <v>482</v>
      </c>
      <c r="F720" s="4" t="s">
        <v>384</v>
      </c>
      <c r="G720" s="27">
        <f>204030-20000</f>
        <v>184030</v>
      </c>
      <c r="H720" s="27">
        <f>204030-20000</f>
        <v>184030</v>
      </c>
      <c r="I720" s="153">
        <f t="shared" si="45"/>
        <v>1</v>
      </c>
    </row>
    <row r="721" spans="1:9" ht="63">
      <c r="A721" s="3" t="s">
        <v>428</v>
      </c>
      <c r="B721" s="4" t="s">
        <v>423</v>
      </c>
      <c r="C721" s="4" t="s">
        <v>702</v>
      </c>
      <c r="D721" s="4" t="s">
        <v>698</v>
      </c>
      <c r="E721" s="4" t="s">
        <v>429</v>
      </c>
      <c r="F721" s="4"/>
      <c r="G721" s="27">
        <f>G722+G724</f>
        <v>4444821.359999999</v>
      </c>
      <c r="H721" s="27">
        <f>H722+H724</f>
        <v>4444821.359999999</v>
      </c>
      <c r="I721" s="153">
        <f t="shared" si="45"/>
        <v>1</v>
      </c>
    </row>
    <row r="722" spans="1:9" ht="47.25">
      <c r="A722" s="3" t="s">
        <v>669</v>
      </c>
      <c r="B722" s="4" t="s">
        <v>423</v>
      </c>
      <c r="C722" s="4" t="s">
        <v>702</v>
      </c>
      <c r="D722" s="4" t="s">
        <v>698</v>
      </c>
      <c r="E722" s="4" t="s">
        <v>430</v>
      </c>
      <c r="F722" s="4"/>
      <c r="G722" s="27">
        <f>G723</f>
        <v>1105412.4500000002</v>
      </c>
      <c r="H722" s="27">
        <f>H723</f>
        <v>1105412.4500000002</v>
      </c>
      <c r="I722" s="153">
        <f t="shared" si="45"/>
        <v>1</v>
      </c>
    </row>
    <row r="723" spans="1:12" ht="63">
      <c r="A723" s="3" t="s">
        <v>770</v>
      </c>
      <c r="B723" s="4" t="s">
        <v>423</v>
      </c>
      <c r="C723" s="4" t="s">
        <v>702</v>
      </c>
      <c r="D723" s="4" t="s">
        <v>698</v>
      </c>
      <c r="E723" s="4" t="s">
        <v>430</v>
      </c>
      <c r="F723" s="4" t="s">
        <v>384</v>
      </c>
      <c r="G723" s="27">
        <f>1583150-175801.8-40000-11521.2+40000-690042.96+454107-57944.21+3465.62</f>
        <v>1105412.4500000002</v>
      </c>
      <c r="H723" s="27">
        <f>1583150-175801.8-40000-11521.2+40000-690042.96+454107-57944.21+3465.62</f>
        <v>1105412.4500000002</v>
      </c>
      <c r="I723" s="153">
        <f t="shared" si="45"/>
        <v>1</v>
      </c>
      <c r="L723" s="46"/>
    </row>
    <row r="724" spans="1:9" ht="31.5">
      <c r="A724" s="3" t="s">
        <v>766</v>
      </c>
      <c r="B724" s="4" t="s">
        <v>423</v>
      </c>
      <c r="C724" s="4" t="s">
        <v>702</v>
      </c>
      <c r="D724" s="4" t="s">
        <v>698</v>
      </c>
      <c r="E724" s="4" t="s">
        <v>431</v>
      </c>
      <c r="F724" s="4"/>
      <c r="G724" s="27">
        <f>G725</f>
        <v>3339408.9099999997</v>
      </c>
      <c r="H724" s="27">
        <f>H725</f>
        <v>3339408.9099999997</v>
      </c>
      <c r="I724" s="153">
        <f t="shared" si="45"/>
        <v>1</v>
      </c>
    </row>
    <row r="725" spans="1:12" ht="63">
      <c r="A725" s="3" t="s">
        <v>770</v>
      </c>
      <c r="B725" s="4" t="s">
        <v>423</v>
      </c>
      <c r="C725" s="4" t="s">
        <v>702</v>
      </c>
      <c r="D725" s="4" t="s">
        <v>698</v>
      </c>
      <c r="E725" s="4" t="s">
        <v>431</v>
      </c>
      <c r="F725" s="4" t="s">
        <v>384</v>
      </c>
      <c r="G725" s="27">
        <f>3693780-50000-337034.1-40000+607543.92-138718.12-454107+57944.21</f>
        <v>3339408.9099999997</v>
      </c>
      <c r="H725" s="27">
        <f>3693780-50000-337034.1-40000+607543.92-138718.12-454107+57944.21</f>
        <v>3339408.9099999997</v>
      </c>
      <c r="I725" s="153">
        <f t="shared" si="45"/>
        <v>1</v>
      </c>
      <c r="L725" s="46"/>
    </row>
    <row r="726" spans="1:9" ht="15.75">
      <c r="A726" s="11" t="s">
        <v>712</v>
      </c>
      <c r="B726" s="5" t="s">
        <v>423</v>
      </c>
      <c r="C726" s="5" t="s">
        <v>706</v>
      </c>
      <c r="D726" s="5"/>
      <c r="E726" s="5"/>
      <c r="F726" s="21"/>
      <c r="G726" s="26">
        <f>G727</f>
        <v>588104</v>
      </c>
      <c r="H726" s="26">
        <f>H727</f>
        <v>588104</v>
      </c>
      <c r="I726" s="154">
        <f t="shared" si="45"/>
        <v>1</v>
      </c>
    </row>
    <row r="727" spans="1:9" ht="31.5">
      <c r="A727" s="1" t="s">
        <v>724</v>
      </c>
      <c r="B727" s="2" t="s">
        <v>423</v>
      </c>
      <c r="C727" s="2" t="s">
        <v>706</v>
      </c>
      <c r="D727" s="2" t="s">
        <v>705</v>
      </c>
      <c r="E727" s="2"/>
      <c r="F727" s="4"/>
      <c r="G727" s="30">
        <f>G728</f>
        <v>588104</v>
      </c>
      <c r="H727" s="30">
        <f>H728</f>
        <v>588104</v>
      </c>
      <c r="I727" s="152">
        <f t="shared" si="45"/>
        <v>1</v>
      </c>
    </row>
    <row r="728" spans="1:9" ht="63">
      <c r="A728" s="3" t="s">
        <v>407</v>
      </c>
      <c r="B728" s="4" t="s">
        <v>423</v>
      </c>
      <c r="C728" s="4" t="s">
        <v>706</v>
      </c>
      <c r="D728" s="4" t="s">
        <v>705</v>
      </c>
      <c r="E728" s="4" t="s">
        <v>408</v>
      </c>
      <c r="F728" s="4"/>
      <c r="G728" s="27">
        <f>G729+G734</f>
        <v>588104</v>
      </c>
      <c r="H728" s="27">
        <f>H729+H734</f>
        <v>588104</v>
      </c>
      <c r="I728" s="153">
        <f t="shared" si="45"/>
        <v>1</v>
      </c>
    </row>
    <row r="729" spans="1:9" ht="63">
      <c r="A729" s="3" t="s">
        <v>624</v>
      </c>
      <c r="B729" s="4" t="s">
        <v>423</v>
      </c>
      <c r="C729" s="4" t="s">
        <v>706</v>
      </c>
      <c r="D729" s="4" t="s">
        <v>705</v>
      </c>
      <c r="E729" s="4" t="s">
        <v>625</v>
      </c>
      <c r="F729" s="4"/>
      <c r="G729" s="27">
        <f>G732+G730</f>
        <v>471835</v>
      </c>
      <c r="H729" s="27">
        <f>H732+H730</f>
        <v>471835</v>
      </c>
      <c r="I729" s="153">
        <f t="shared" si="45"/>
        <v>1</v>
      </c>
    </row>
    <row r="730" spans="1:9" ht="126">
      <c r="A730" s="3" t="s">
        <v>643</v>
      </c>
      <c r="B730" s="4" t="s">
        <v>423</v>
      </c>
      <c r="C730" s="4" t="s">
        <v>706</v>
      </c>
      <c r="D730" s="4" t="s">
        <v>705</v>
      </c>
      <c r="E730" s="4" t="s">
        <v>644</v>
      </c>
      <c r="F730" s="4"/>
      <c r="G730" s="27">
        <f>G731</f>
        <v>2323</v>
      </c>
      <c r="H730" s="27">
        <f>H731</f>
        <v>2323</v>
      </c>
      <c r="I730" s="153">
        <f t="shared" si="45"/>
        <v>1</v>
      </c>
    </row>
    <row r="731" spans="1:9" ht="63">
      <c r="A731" s="3" t="s">
        <v>770</v>
      </c>
      <c r="B731" s="4" t="s">
        <v>423</v>
      </c>
      <c r="C731" s="4" t="s">
        <v>706</v>
      </c>
      <c r="D731" s="4" t="s">
        <v>705</v>
      </c>
      <c r="E731" s="4" t="s">
        <v>644</v>
      </c>
      <c r="F731" s="4" t="s">
        <v>384</v>
      </c>
      <c r="G731" s="27">
        <v>2323</v>
      </c>
      <c r="H731" s="27">
        <v>2323</v>
      </c>
      <c r="I731" s="153">
        <f t="shared" si="45"/>
        <v>1</v>
      </c>
    </row>
    <row r="732" spans="1:9" ht="126">
      <c r="A732" s="3" t="s">
        <v>631</v>
      </c>
      <c r="B732" s="4" t="s">
        <v>423</v>
      </c>
      <c r="C732" s="4" t="s">
        <v>706</v>
      </c>
      <c r="D732" s="4" t="s">
        <v>705</v>
      </c>
      <c r="E732" s="4" t="s">
        <v>634</v>
      </c>
      <c r="F732" s="4"/>
      <c r="G732" s="27">
        <f>G733</f>
        <v>469512</v>
      </c>
      <c r="H732" s="27">
        <f>H733</f>
        <v>469512</v>
      </c>
      <c r="I732" s="153">
        <f t="shared" si="45"/>
        <v>1</v>
      </c>
    </row>
    <row r="733" spans="1:9" ht="63">
      <c r="A733" s="3" t="s">
        <v>770</v>
      </c>
      <c r="B733" s="4" t="s">
        <v>423</v>
      </c>
      <c r="C733" s="4" t="s">
        <v>706</v>
      </c>
      <c r="D733" s="4" t="s">
        <v>705</v>
      </c>
      <c r="E733" s="4" t="s">
        <v>634</v>
      </c>
      <c r="F733" s="4" t="s">
        <v>384</v>
      </c>
      <c r="G733" s="27">
        <f>435971+33541</f>
        <v>469512</v>
      </c>
      <c r="H733" s="27">
        <f>435971+33541</f>
        <v>469512</v>
      </c>
      <c r="I733" s="153">
        <f t="shared" si="45"/>
        <v>1</v>
      </c>
    </row>
    <row r="734" spans="1:9" ht="31.5">
      <c r="A734" s="3" t="s">
        <v>410</v>
      </c>
      <c r="B734" s="4" t="s">
        <v>423</v>
      </c>
      <c r="C734" s="4" t="s">
        <v>706</v>
      </c>
      <c r="D734" s="4" t="s">
        <v>705</v>
      </c>
      <c r="E734" s="4" t="s">
        <v>411</v>
      </c>
      <c r="F734" s="4"/>
      <c r="G734" s="27">
        <f>G737+G735</f>
        <v>116269</v>
      </c>
      <c r="H734" s="27">
        <f>H737+H735</f>
        <v>116269</v>
      </c>
      <c r="I734" s="153">
        <f t="shared" si="45"/>
        <v>1</v>
      </c>
    </row>
    <row r="735" spans="1:9" ht="126">
      <c r="A735" s="3" t="s">
        <v>643</v>
      </c>
      <c r="B735" s="4" t="s">
        <v>423</v>
      </c>
      <c r="C735" s="4" t="s">
        <v>706</v>
      </c>
      <c r="D735" s="4" t="s">
        <v>705</v>
      </c>
      <c r="E735" s="4" t="s">
        <v>645</v>
      </c>
      <c r="F735" s="4"/>
      <c r="G735" s="27">
        <f>G736</f>
        <v>707</v>
      </c>
      <c r="H735" s="27">
        <f>H736</f>
        <v>707</v>
      </c>
      <c r="I735" s="153">
        <f t="shared" si="45"/>
        <v>1</v>
      </c>
    </row>
    <row r="736" spans="1:9" ht="63">
      <c r="A736" s="3" t="s">
        <v>770</v>
      </c>
      <c r="B736" s="4" t="s">
        <v>423</v>
      </c>
      <c r="C736" s="4" t="s">
        <v>706</v>
      </c>
      <c r="D736" s="4" t="s">
        <v>705</v>
      </c>
      <c r="E736" s="4" t="s">
        <v>645</v>
      </c>
      <c r="F736" s="4" t="s">
        <v>384</v>
      </c>
      <c r="G736" s="27">
        <v>707</v>
      </c>
      <c r="H736" s="27">
        <v>707</v>
      </c>
      <c r="I736" s="153">
        <f t="shared" si="45"/>
        <v>1</v>
      </c>
    </row>
    <row r="737" spans="1:9" ht="126">
      <c r="A737" s="3" t="s">
        <v>631</v>
      </c>
      <c r="B737" s="4" t="s">
        <v>423</v>
      </c>
      <c r="C737" s="4" t="s">
        <v>706</v>
      </c>
      <c r="D737" s="4" t="s">
        <v>705</v>
      </c>
      <c r="E737" s="4" t="s">
        <v>635</v>
      </c>
      <c r="F737" s="4"/>
      <c r="G737" s="27">
        <f>G738</f>
        <v>115562</v>
      </c>
      <c r="H737" s="27">
        <f>H738</f>
        <v>115562</v>
      </c>
      <c r="I737" s="153">
        <f t="shared" si="45"/>
        <v>1</v>
      </c>
    </row>
    <row r="738" spans="1:9" ht="63">
      <c r="A738" s="3" t="s">
        <v>770</v>
      </c>
      <c r="B738" s="4" t="s">
        <v>423</v>
      </c>
      <c r="C738" s="4" t="s">
        <v>706</v>
      </c>
      <c r="D738" s="4" t="s">
        <v>705</v>
      </c>
      <c r="E738" s="4" t="s">
        <v>635</v>
      </c>
      <c r="F738" s="4" t="s">
        <v>384</v>
      </c>
      <c r="G738" s="27">
        <f>140303-24741</f>
        <v>115562</v>
      </c>
      <c r="H738" s="27">
        <f>140303-24741</f>
        <v>115562</v>
      </c>
      <c r="I738" s="153">
        <f t="shared" si="45"/>
        <v>1</v>
      </c>
    </row>
    <row r="739" spans="1:9" ht="18.75">
      <c r="A739" s="36" t="s">
        <v>525</v>
      </c>
      <c r="B739" s="5" t="s">
        <v>423</v>
      </c>
      <c r="C739" s="5" t="s">
        <v>528</v>
      </c>
      <c r="D739" s="5" t="s">
        <v>728</v>
      </c>
      <c r="E739" s="9"/>
      <c r="F739" s="9"/>
      <c r="G739" s="29">
        <f>G745+G740</f>
        <v>1501000</v>
      </c>
      <c r="H739" s="29">
        <f>H745+H740</f>
        <v>1443053.34</v>
      </c>
      <c r="I739" s="154">
        <f t="shared" si="45"/>
        <v>0.9613946302465024</v>
      </c>
    </row>
    <row r="740" spans="1:9" ht="18.75">
      <c r="A740" s="45" t="s">
        <v>370</v>
      </c>
      <c r="B740" s="2" t="s">
        <v>423</v>
      </c>
      <c r="C740" s="2" t="s">
        <v>528</v>
      </c>
      <c r="D740" s="2" t="s">
        <v>698</v>
      </c>
      <c r="E740" s="7"/>
      <c r="F740" s="7"/>
      <c r="G740" s="30">
        <f aca="true" t="shared" si="47" ref="G740:H743">G741</f>
        <v>1429000</v>
      </c>
      <c r="H740" s="30">
        <f t="shared" si="47"/>
        <v>1428677.26</v>
      </c>
      <c r="I740" s="152">
        <f t="shared" si="45"/>
        <v>0.9997741497550735</v>
      </c>
    </row>
    <row r="741" spans="1:9" ht="78.75">
      <c r="A741" s="25" t="s">
        <v>783</v>
      </c>
      <c r="B741" s="4" t="s">
        <v>423</v>
      </c>
      <c r="C741" s="4" t="s">
        <v>528</v>
      </c>
      <c r="D741" s="4" t="s">
        <v>698</v>
      </c>
      <c r="E741" s="4" t="s">
        <v>784</v>
      </c>
      <c r="F741" s="35"/>
      <c r="G741" s="27">
        <f t="shared" si="47"/>
        <v>1429000</v>
      </c>
      <c r="H741" s="27">
        <f t="shared" si="47"/>
        <v>1428677.26</v>
      </c>
      <c r="I741" s="153">
        <f t="shared" si="45"/>
        <v>0.9997741497550735</v>
      </c>
    </row>
    <row r="742" spans="1:9" ht="31.5">
      <c r="A742" s="25" t="s">
        <v>787</v>
      </c>
      <c r="B742" s="4" t="s">
        <v>423</v>
      </c>
      <c r="C742" s="4" t="s">
        <v>528</v>
      </c>
      <c r="D742" s="4" t="s">
        <v>698</v>
      </c>
      <c r="E742" s="4" t="s">
        <v>788</v>
      </c>
      <c r="F742" s="35"/>
      <c r="G742" s="27">
        <f t="shared" si="47"/>
        <v>1429000</v>
      </c>
      <c r="H742" s="27">
        <f t="shared" si="47"/>
        <v>1428677.26</v>
      </c>
      <c r="I742" s="153">
        <f t="shared" si="45"/>
        <v>0.9997741497550735</v>
      </c>
    </row>
    <row r="743" spans="1:9" ht="31.5">
      <c r="A743" s="25" t="s">
        <v>766</v>
      </c>
      <c r="B743" s="4" t="s">
        <v>423</v>
      </c>
      <c r="C743" s="4" t="s">
        <v>528</v>
      </c>
      <c r="D743" s="4" t="s">
        <v>698</v>
      </c>
      <c r="E743" s="4" t="s">
        <v>509</v>
      </c>
      <c r="F743" s="35"/>
      <c r="G743" s="27">
        <f t="shared" si="47"/>
        <v>1429000</v>
      </c>
      <c r="H743" s="27">
        <f t="shared" si="47"/>
        <v>1428677.26</v>
      </c>
      <c r="I743" s="153">
        <f t="shared" si="45"/>
        <v>0.9997741497550735</v>
      </c>
    </row>
    <row r="744" spans="1:9" ht="47.25">
      <c r="A744" s="3" t="s">
        <v>746</v>
      </c>
      <c r="B744" s="4" t="s">
        <v>423</v>
      </c>
      <c r="C744" s="4" t="s">
        <v>528</v>
      </c>
      <c r="D744" s="4" t="s">
        <v>698</v>
      </c>
      <c r="E744" s="4" t="s">
        <v>509</v>
      </c>
      <c r="F744" s="4" t="s">
        <v>380</v>
      </c>
      <c r="G744" s="27">
        <f>1579000-150000</f>
        <v>1429000</v>
      </c>
      <c r="H744" s="27">
        <v>1428677.26</v>
      </c>
      <c r="I744" s="153">
        <f t="shared" si="45"/>
        <v>0.9997741497550735</v>
      </c>
    </row>
    <row r="745" spans="1:9" ht="48" customHeight="1">
      <c r="A745" s="1" t="s">
        <v>782</v>
      </c>
      <c r="B745" s="2" t="s">
        <v>423</v>
      </c>
      <c r="C745" s="2" t="s">
        <v>528</v>
      </c>
      <c r="D745" s="2" t="s">
        <v>700</v>
      </c>
      <c r="E745" s="7"/>
      <c r="F745" s="7"/>
      <c r="G745" s="30">
        <f aca="true" t="shared" si="48" ref="G745:H747">G746</f>
        <v>72000</v>
      </c>
      <c r="H745" s="30">
        <f t="shared" si="48"/>
        <v>14376.08</v>
      </c>
      <c r="I745" s="152">
        <f t="shared" si="45"/>
        <v>0.19966777777777778</v>
      </c>
    </row>
    <row r="746" spans="1:9" ht="78.75">
      <c r="A746" s="3" t="s">
        <v>783</v>
      </c>
      <c r="B746" s="4" t="s">
        <v>423</v>
      </c>
      <c r="C746" s="4" t="s">
        <v>528</v>
      </c>
      <c r="D746" s="4" t="s">
        <v>700</v>
      </c>
      <c r="E746" s="4" t="s">
        <v>784</v>
      </c>
      <c r="F746" s="4"/>
      <c r="G746" s="27">
        <f t="shared" si="48"/>
        <v>72000</v>
      </c>
      <c r="H746" s="27">
        <f t="shared" si="48"/>
        <v>14376.08</v>
      </c>
      <c r="I746" s="153">
        <f t="shared" si="45"/>
        <v>0.19966777777777778</v>
      </c>
    </row>
    <row r="747" spans="1:9" ht="31.5">
      <c r="A747" s="25" t="s">
        <v>787</v>
      </c>
      <c r="B747" s="4" t="s">
        <v>423</v>
      </c>
      <c r="C747" s="4" t="s">
        <v>528</v>
      </c>
      <c r="D747" s="4" t="s">
        <v>700</v>
      </c>
      <c r="E747" s="4" t="s">
        <v>788</v>
      </c>
      <c r="F747" s="4"/>
      <c r="G747" s="27">
        <f t="shared" si="48"/>
        <v>72000</v>
      </c>
      <c r="H747" s="27">
        <f t="shared" si="48"/>
        <v>14376.08</v>
      </c>
      <c r="I747" s="153">
        <f t="shared" si="45"/>
        <v>0.19966777777777778</v>
      </c>
    </row>
    <row r="748" spans="1:9" ht="141.75">
      <c r="A748" s="25" t="s">
        <v>789</v>
      </c>
      <c r="B748" s="4" t="s">
        <v>423</v>
      </c>
      <c r="C748" s="4" t="s">
        <v>528</v>
      </c>
      <c r="D748" s="4" t="s">
        <v>700</v>
      </c>
      <c r="E748" s="4" t="s">
        <v>790</v>
      </c>
      <c r="F748" s="4"/>
      <c r="G748" s="27">
        <f>G749+G750</f>
        <v>72000</v>
      </c>
      <c r="H748" s="27">
        <f>H749+H750</f>
        <v>14376.08</v>
      </c>
      <c r="I748" s="153">
        <f t="shared" si="45"/>
        <v>0.19966777777777778</v>
      </c>
    </row>
    <row r="749" spans="1:9" ht="126">
      <c r="A749" s="3" t="s">
        <v>745</v>
      </c>
      <c r="B749" s="4" t="s">
        <v>423</v>
      </c>
      <c r="C749" s="4" t="s">
        <v>528</v>
      </c>
      <c r="D749" s="4" t="s">
        <v>700</v>
      </c>
      <c r="E749" s="4" t="s">
        <v>790</v>
      </c>
      <c r="F749" s="4" t="s">
        <v>379</v>
      </c>
      <c r="G749" s="27">
        <f>72000-65400</f>
        <v>6600</v>
      </c>
      <c r="H749" s="27">
        <v>6376.08</v>
      </c>
      <c r="I749" s="153">
        <f t="shared" si="45"/>
        <v>0.9660727272727273</v>
      </c>
    </row>
    <row r="750" spans="1:9" ht="47.25">
      <c r="A750" s="3" t="s">
        <v>746</v>
      </c>
      <c r="B750" s="4" t="s">
        <v>423</v>
      </c>
      <c r="C750" s="4" t="s">
        <v>528</v>
      </c>
      <c r="D750" s="4" t="s">
        <v>700</v>
      </c>
      <c r="E750" s="4" t="s">
        <v>790</v>
      </c>
      <c r="F750" s="4" t="s">
        <v>380</v>
      </c>
      <c r="G750" s="27">
        <f>65400</f>
        <v>65400</v>
      </c>
      <c r="H750" s="27">
        <v>8000</v>
      </c>
      <c r="I750" s="153">
        <f t="shared" si="45"/>
        <v>0.12232415902140673</v>
      </c>
    </row>
    <row r="751" spans="1:9" ht="58.5">
      <c r="A751" s="31" t="s">
        <v>621</v>
      </c>
      <c r="B751" s="22" t="s">
        <v>740</v>
      </c>
      <c r="C751" s="22"/>
      <c r="D751" s="22"/>
      <c r="E751" s="22"/>
      <c r="F751" s="22"/>
      <c r="G751" s="26">
        <f>G752+G768</f>
        <v>3640204</v>
      </c>
      <c r="H751" s="26">
        <f>H752+H768</f>
        <v>3619684.25</v>
      </c>
      <c r="I751" s="154">
        <f>H751/G751</f>
        <v>0.9943630219625054</v>
      </c>
    </row>
    <row r="752" spans="1:9" ht="15.75">
      <c r="A752" s="1" t="s">
        <v>717</v>
      </c>
      <c r="B752" s="2" t="s">
        <v>740</v>
      </c>
      <c r="C752" s="2" t="s">
        <v>698</v>
      </c>
      <c r="D752" s="2"/>
      <c r="E752" s="2"/>
      <c r="F752" s="2"/>
      <c r="G752" s="30">
        <f>G753+G762</f>
        <v>3454266</v>
      </c>
      <c r="H752" s="30">
        <f>H753+H762</f>
        <v>3433746.25</v>
      </c>
      <c r="I752" s="152">
        <f>H752/G752</f>
        <v>0.9940595918206646</v>
      </c>
    </row>
    <row r="753" spans="1:9" ht="78.75">
      <c r="A753" s="1" t="s">
        <v>741</v>
      </c>
      <c r="B753" s="2" t="s">
        <v>740</v>
      </c>
      <c r="C753" s="2" t="s">
        <v>698</v>
      </c>
      <c r="D753" s="2" t="s">
        <v>699</v>
      </c>
      <c r="E753" s="2"/>
      <c r="F753" s="2"/>
      <c r="G753" s="30">
        <f>G754</f>
        <v>3411886</v>
      </c>
      <c r="H753" s="30">
        <f>H754</f>
        <v>3391366.25</v>
      </c>
      <c r="I753" s="152">
        <f>H753/G753</f>
        <v>0.9939858043322667</v>
      </c>
    </row>
    <row r="754" spans="1:9" ht="15.75">
      <c r="A754" s="25" t="s">
        <v>743</v>
      </c>
      <c r="B754" s="4" t="s">
        <v>740</v>
      </c>
      <c r="C754" s="4" t="s">
        <v>698</v>
      </c>
      <c r="D754" s="4" t="s">
        <v>699</v>
      </c>
      <c r="E754" s="4" t="s">
        <v>744</v>
      </c>
      <c r="F754" s="4"/>
      <c r="G754" s="27">
        <f>G755+G757+G759</f>
        <v>3411886</v>
      </c>
      <c r="H754" s="27">
        <f>H755+H757+H759</f>
        <v>3391366.25</v>
      </c>
      <c r="I754" s="153">
        <f>H754/G754</f>
        <v>0.9939858043322667</v>
      </c>
    </row>
    <row r="755" spans="1:9" ht="63">
      <c r="A755" s="25" t="s">
        <v>886</v>
      </c>
      <c r="B755" s="4" t="s">
        <v>740</v>
      </c>
      <c r="C755" s="4" t="s">
        <v>698</v>
      </c>
      <c r="D755" s="4" t="s">
        <v>699</v>
      </c>
      <c r="E755" s="4" t="s">
        <v>887</v>
      </c>
      <c r="F755" s="4"/>
      <c r="G755" s="27">
        <f>G756</f>
        <v>1317480.25</v>
      </c>
      <c r="H755" s="27">
        <f>H756</f>
        <v>1317480.25</v>
      </c>
      <c r="I755" s="153">
        <f aca="true" t="shared" si="49" ref="I755:I767">H755/G755</f>
        <v>1</v>
      </c>
    </row>
    <row r="756" spans="1:9" ht="126">
      <c r="A756" s="25" t="s">
        <v>858</v>
      </c>
      <c r="B756" s="4" t="s">
        <v>740</v>
      </c>
      <c r="C756" s="4" t="s">
        <v>698</v>
      </c>
      <c r="D756" s="4" t="s">
        <v>699</v>
      </c>
      <c r="E756" s="4" t="s">
        <v>887</v>
      </c>
      <c r="F756" s="4" t="s">
        <v>379</v>
      </c>
      <c r="G756" s="27">
        <f>1882768+1490518-2063286+7480.25</f>
        <v>1317480.25</v>
      </c>
      <c r="H756" s="27">
        <f>1882768+1490518-2063286+7480.25</f>
        <v>1317480.25</v>
      </c>
      <c r="I756" s="153">
        <f t="shared" si="49"/>
        <v>1</v>
      </c>
    </row>
    <row r="757" spans="1:9" ht="47.25">
      <c r="A757" s="25" t="s">
        <v>854</v>
      </c>
      <c r="B757" s="4" t="s">
        <v>740</v>
      </c>
      <c r="C757" s="4" t="s">
        <v>698</v>
      </c>
      <c r="D757" s="4" t="s">
        <v>699</v>
      </c>
      <c r="E757" s="4" t="s">
        <v>855</v>
      </c>
      <c r="F757" s="4"/>
      <c r="G757" s="27">
        <f>G758</f>
        <v>1845010</v>
      </c>
      <c r="H757" s="27">
        <f>H758</f>
        <v>1841010</v>
      </c>
      <c r="I757" s="153">
        <f t="shared" si="49"/>
        <v>0.9978319900705145</v>
      </c>
    </row>
    <row r="758" spans="1:9" ht="126">
      <c r="A758" s="25" t="s">
        <v>858</v>
      </c>
      <c r="B758" s="4" t="s">
        <v>740</v>
      </c>
      <c r="C758" s="4" t="s">
        <v>698</v>
      </c>
      <c r="D758" s="4" t="s">
        <v>699</v>
      </c>
      <c r="E758" s="4" t="s">
        <v>855</v>
      </c>
      <c r="F758" s="4" t="s">
        <v>379</v>
      </c>
      <c r="G758" s="27">
        <v>1845010</v>
      </c>
      <c r="H758" s="27">
        <f>1845010-4000</f>
        <v>1841010</v>
      </c>
      <c r="I758" s="153">
        <f t="shared" si="49"/>
        <v>0.9978319900705145</v>
      </c>
    </row>
    <row r="759" spans="1:9" ht="47.25">
      <c r="A759" s="25" t="s">
        <v>856</v>
      </c>
      <c r="B759" s="4" t="s">
        <v>740</v>
      </c>
      <c r="C759" s="4" t="s">
        <v>698</v>
      </c>
      <c r="D759" s="4" t="s">
        <v>699</v>
      </c>
      <c r="E759" s="4" t="s">
        <v>857</v>
      </c>
      <c r="F759" s="4"/>
      <c r="G759" s="27">
        <f>G760+G761</f>
        <v>249395.75</v>
      </c>
      <c r="H759" s="27">
        <f>H760+H761</f>
        <v>232876</v>
      </c>
      <c r="I759" s="153">
        <f t="shared" si="49"/>
        <v>0.9337609000955309</v>
      </c>
    </row>
    <row r="760" spans="1:9" ht="126">
      <c r="A760" s="25" t="s">
        <v>858</v>
      </c>
      <c r="B760" s="4" t="s">
        <v>740</v>
      </c>
      <c r="C760" s="4" t="s">
        <v>698</v>
      </c>
      <c r="D760" s="4" t="s">
        <v>699</v>
      </c>
      <c r="E760" s="4" t="s">
        <v>857</v>
      </c>
      <c r="F760" s="4" t="s">
        <v>379</v>
      </c>
      <c r="G760" s="27">
        <v>12519.75</v>
      </c>
      <c r="H760" s="27">
        <v>0</v>
      </c>
      <c r="I760" s="153">
        <f t="shared" si="49"/>
        <v>0</v>
      </c>
    </row>
    <row r="761" spans="1:9" ht="47.25">
      <c r="A761" s="25" t="s">
        <v>746</v>
      </c>
      <c r="B761" s="4" t="s">
        <v>740</v>
      </c>
      <c r="C761" s="4" t="s">
        <v>698</v>
      </c>
      <c r="D761" s="4" t="s">
        <v>699</v>
      </c>
      <c r="E761" s="4" t="s">
        <v>857</v>
      </c>
      <c r="F761" s="4" t="s">
        <v>380</v>
      </c>
      <c r="G761" s="27">
        <v>236876</v>
      </c>
      <c r="H761" s="27">
        <f>34600+198276</f>
        <v>232876</v>
      </c>
      <c r="I761" s="153">
        <f t="shared" si="49"/>
        <v>0.9831135277529172</v>
      </c>
    </row>
    <row r="762" spans="1:9" ht="31.5">
      <c r="A762" s="1" t="s">
        <v>727</v>
      </c>
      <c r="B762" s="2" t="s">
        <v>740</v>
      </c>
      <c r="C762" s="2" t="s">
        <v>698</v>
      </c>
      <c r="D762" s="2" t="s">
        <v>377</v>
      </c>
      <c r="E762" s="2"/>
      <c r="F762" s="2"/>
      <c r="G762" s="30">
        <f aca="true" t="shared" si="50" ref="G762:H764">G763</f>
        <v>42380</v>
      </c>
      <c r="H762" s="30">
        <f t="shared" si="50"/>
        <v>42380</v>
      </c>
      <c r="I762" s="152">
        <f t="shared" si="49"/>
        <v>1</v>
      </c>
    </row>
    <row r="763" spans="1:9" ht="63">
      <c r="A763" s="25" t="s">
        <v>753</v>
      </c>
      <c r="B763" s="4" t="s">
        <v>740</v>
      </c>
      <c r="C763" s="4" t="s">
        <v>698</v>
      </c>
      <c r="D763" s="4" t="s">
        <v>377</v>
      </c>
      <c r="E763" s="4" t="s">
        <v>754</v>
      </c>
      <c r="F763" s="4"/>
      <c r="G763" s="27">
        <f t="shared" si="50"/>
        <v>42380</v>
      </c>
      <c r="H763" s="27">
        <f t="shared" si="50"/>
        <v>42380</v>
      </c>
      <c r="I763" s="153">
        <f t="shared" si="49"/>
        <v>1</v>
      </c>
    </row>
    <row r="764" spans="1:9" ht="47.25">
      <c r="A764" s="3" t="s">
        <v>489</v>
      </c>
      <c r="B764" s="4" t="s">
        <v>740</v>
      </c>
      <c r="C764" s="4" t="s">
        <v>698</v>
      </c>
      <c r="D764" s="4" t="s">
        <v>377</v>
      </c>
      <c r="E764" s="4" t="s">
        <v>490</v>
      </c>
      <c r="F764" s="4"/>
      <c r="G764" s="27">
        <f t="shared" si="50"/>
        <v>42380</v>
      </c>
      <c r="H764" s="27">
        <f t="shared" si="50"/>
        <v>42380</v>
      </c>
      <c r="I764" s="153">
        <f t="shared" si="49"/>
        <v>1</v>
      </c>
    </row>
    <row r="765" spans="1:9" ht="31.5">
      <c r="A765" s="3" t="s">
        <v>766</v>
      </c>
      <c r="B765" s="4" t="s">
        <v>740</v>
      </c>
      <c r="C765" s="4" t="s">
        <v>698</v>
      </c>
      <c r="D765" s="4" t="s">
        <v>377</v>
      </c>
      <c r="E765" s="4" t="s">
        <v>491</v>
      </c>
      <c r="F765" s="56"/>
      <c r="G765" s="27">
        <f>G766+G767</f>
        <v>42380</v>
      </c>
      <c r="H765" s="27">
        <f>H766+H767</f>
        <v>42380</v>
      </c>
      <c r="I765" s="153">
        <f t="shared" si="49"/>
        <v>1</v>
      </c>
    </row>
    <row r="766" spans="1:12" ht="126">
      <c r="A766" s="3" t="s">
        <v>858</v>
      </c>
      <c r="B766" s="4" t="s">
        <v>740</v>
      </c>
      <c r="C766" s="4" t="s">
        <v>698</v>
      </c>
      <c r="D766" s="4" t="s">
        <v>377</v>
      </c>
      <c r="E766" s="4" t="s">
        <v>491</v>
      </c>
      <c r="F766" s="56">
        <v>100</v>
      </c>
      <c r="G766" s="27">
        <v>3380</v>
      </c>
      <c r="H766" s="27">
        <v>3380</v>
      </c>
      <c r="I766" s="153">
        <f t="shared" si="49"/>
        <v>1</v>
      </c>
      <c r="L766" s="24"/>
    </row>
    <row r="767" spans="1:12" ht="47.25">
      <c r="A767" s="3" t="s">
        <v>746</v>
      </c>
      <c r="B767" s="4" t="s">
        <v>740</v>
      </c>
      <c r="C767" s="4" t="s">
        <v>698</v>
      </c>
      <c r="D767" s="4" t="s">
        <v>377</v>
      </c>
      <c r="E767" s="4" t="s">
        <v>491</v>
      </c>
      <c r="F767" s="56">
        <v>200</v>
      </c>
      <c r="G767" s="27">
        <v>39000</v>
      </c>
      <c r="H767" s="27">
        <v>39000</v>
      </c>
      <c r="I767" s="153">
        <f t="shared" si="49"/>
        <v>1</v>
      </c>
      <c r="L767" s="24"/>
    </row>
    <row r="768" spans="1:9" ht="15.75">
      <c r="A768" s="11" t="s">
        <v>719</v>
      </c>
      <c r="B768" s="5" t="s">
        <v>740</v>
      </c>
      <c r="C768" s="5" t="s">
        <v>708</v>
      </c>
      <c r="D768" s="5"/>
      <c r="E768" s="5"/>
      <c r="F768" s="5"/>
      <c r="G768" s="26">
        <f aca="true" t="shared" si="51" ref="G768:H772">G769</f>
        <v>185938</v>
      </c>
      <c r="H768" s="26">
        <f t="shared" si="51"/>
        <v>185938</v>
      </c>
      <c r="I768" s="154">
        <f aca="true" t="shared" si="52" ref="I768:I774">H768/G768</f>
        <v>1</v>
      </c>
    </row>
    <row r="769" spans="1:9" ht="15.75">
      <c r="A769" s="3" t="s">
        <v>372</v>
      </c>
      <c r="B769" s="4" t="s">
        <v>740</v>
      </c>
      <c r="C769" s="4" t="s">
        <v>708</v>
      </c>
      <c r="D769" s="4" t="s">
        <v>706</v>
      </c>
      <c r="E769" s="4"/>
      <c r="F769" s="4"/>
      <c r="G769" s="27">
        <f t="shared" si="51"/>
        <v>185938</v>
      </c>
      <c r="H769" s="27">
        <f t="shared" si="51"/>
        <v>185938</v>
      </c>
      <c r="I769" s="153">
        <f t="shared" si="52"/>
        <v>1</v>
      </c>
    </row>
    <row r="770" spans="1:9" ht="47.25">
      <c r="A770" s="3" t="s">
        <v>747</v>
      </c>
      <c r="B770" s="4" t="s">
        <v>740</v>
      </c>
      <c r="C770" s="4" t="s">
        <v>708</v>
      </c>
      <c r="D770" s="4" t="s">
        <v>706</v>
      </c>
      <c r="E770" s="4" t="s">
        <v>748</v>
      </c>
      <c r="F770" s="4"/>
      <c r="G770" s="27">
        <f t="shared" si="51"/>
        <v>185938</v>
      </c>
      <c r="H770" s="27">
        <f t="shared" si="51"/>
        <v>185938</v>
      </c>
      <c r="I770" s="153">
        <f t="shared" si="52"/>
        <v>1</v>
      </c>
    </row>
    <row r="771" spans="1:9" ht="63">
      <c r="A771" s="3" t="s">
        <v>749</v>
      </c>
      <c r="B771" s="4" t="s">
        <v>740</v>
      </c>
      <c r="C771" s="4" t="s">
        <v>708</v>
      </c>
      <c r="D771" s="4" t="s">
        <v>706</v>
      </c>
      <c r="E771" s="4" t="s">
        <v>750</v>
      </c>
      <c r="F771" s="4"/>
      <c r="G771" s="27">
        <f t="shared" si="51"/>
        <v>185938</v>
      </c>
      <c r="H771" s="27">
        <f t="shared" si="51"/>
        <v>185938</v>
      </c>
      <c r="I771" s="153">
        <f t="shared" si="52"/>
        <v>1</v>
      </c>
    </row>
    <row r="772" spans="1:9" ht="31.5">
      <c r="A772" s="3" t="s">
        <v>751</v>
      </c>
      <c r="B772" s="4" t="s">
        <v>740</v>
      </c>
      <c r="C772" s="4" t="s">
        <v>708</v>
      </c>
      <c r="D772" s="4" t="s">
        <v>706</v>
      </c>
      <c r="E772" s="4" t="s">
        <v>752</v>
      </c>
      <c r="F772" s="4"/>
      <c r="G772" s="27">
        <f t="shared" si="51"/>
        <v>185938</v>
      </c>
      <c r="H772" s="27">
        <f t="shared" si="51"/>
        <v>185938</v>
      </c>
      <c r="I772" s="153">
        <f t="shared" si="52"/>
        <v>1</v>
      </c>
    </row>
    <row r="773" spans="1:9" ht="47.25">
      <c r="A773" s="3" t="s">
        <v>746</v>
      </c>
      <c r="B773" s="4" t="s">
        <v>740</v>
      </c>
      <c r="C773" s="4" t="s">
        <v>708</v>
      </c>
      <c r="D773" s="4" t="s">
        <v>706</v>
      </c>
      <c r="E773" s="4" t="s">
        <v>752</v>
      </c>
      <c r="F773" s="4" t="s">
        <v>380</v>
      </c>
      <c r="G773" s="27">
        <v>185938</v>
      </c>
      <c r="H773" s="27">
        <v>185938</v>
      </c>
      <c r="I773" s="153">
        <f t="shared" si="52"/>
        <v>1</v>
      </c>
    </row>
    <row r="774" spans="1:11" s="12" customFormat="1" ht="18.75">
      <c r="A774" s="48" t="s">
        <v>798</v>
      </c>
      <c r="B774" s="50"/>
      <c r="C774" s="50"/>
      <c r="D774" s="50"/>
      <c r="E774" s="50"/>
      <c r="F774" s="50"/>
      <c r="G774" s="52">
        <f>G9+G43+G443+G604+G199+G408+G751</f>
        <v>2484851630.73</v>
      </c>
      <c r="H774" s="52">
        <f>H9+H43+H443+H604+H199+H408+H751</f>
        <v>2352141130.1800003</v>
      </c>
      <c r="I774" s="157">
        <f t="shared" si="52"/>
        <v>0.9465921832479745</v>
      </c>
      <c r="J774" s="46"/>
      <c r="K774" s="46"/>
    </row>
    <row r="775" spans="1:9" ht="32.25" customHeight="1">
      <c r="A775" s="15"/>
      <c r="B775" s="15"/>
      <c r="C775" s="16"/>
      <c r="D775" s="16"/>
      <c r="E775" s="16"/>
      <c r="F775" s="16"/>
      <c r="G775" s="15"/>
      <c r="H775" s="15"/>
      <c r="I775" s="158"/>
    </row>
    <row r="776" spans="1:9" ht="15.75" customHeight="1" hidden="1">
      <c r="A776" s="15"/>
      <c r="B776" s="15"/>
      <c r="C776" s="16"/>
      <c r="D776" s="16"/>
      <c r="E776" s="16"/>
      <c r="F776" s="16" t="s">
        <v>689</v>
      </c>
      <c r="G776" s="39">
        <f>G774-2471239410.18</f>
        <v>13612220.55000019</v>
      </c>
      <c r="H776" s="39">
        <f>H774-2471239410.18</f>
        <v>-119098279.99999952</v>
      </c>
      <c r="I776" s="158">
        <f>I774-919596979.34</f>
        <v>-919596978.3934078</v>
      </c>
    </row>
    <row r="777" spans="1:9" ht="23.25" customHeight="1" hidden="1">
      <c r="A777" s="15"/>
      <c r="B777" s="15"/>
      <c r="C777" s="16"/>
      <c r="D777" s="16"/>
      <c r="E777" s="16"/>
      <c r="F777" s="16" t="s">
        <v>691</v>
      </c>
      <c r="G777" s="39">
        <f>G774-H774-G778</f>
        <v>-1418931930.29</v>
      </c>
      <c r="H777" s="39">
        <f>H774-I774-H778</f>
        <v>800498698.3934083</v>
      </c>
      <c r="I777" s="158"/>
    </row>
    <row r="778" spans="1:9" ht="24" customHeight="1" hidden="1">
      <c r="A778" s="15"/>
      <c r="B778" s="15"/>
      <c r="C778" s="16"/>
      <c r="D778" s="16"/>
      <c r="E778" s="16"/>
      <c r="F778" s="16" t="s">
        <v>690</v>
      </c>
      <c r="G778" s="39">
        <f>2471239410.18-919596979.34</f>
        <v>1551642430.8399997</v>
      </c>
      <c r="H778" s="39">
        <f>2471239410.18-919596979.34</f>
        <v>1551642430.8399997</v>
      </c>
      <c r="I778" s="158"/>
    </row>
    <row r="779" spans="1:9" ht="15.75">
      <c r="A779" s="15"/>
      <c r="B779" s="15"/>
      <c r="C779" s="16"/>
      <c r="D779" s="16"/>
      <c r="E779" s="16"/>
      <c r="F779" s="16"/>
      <c r="G779" s="39"/>
      <c r="H779" s="39"/>
      <c r="I779" s="158"/>
    </row>
    <row r="780" spans="1:9" ht="15.75">
      <c r="A780" s="15"/>
      <c r="B780" s="15"/>
      <c r="C780" s="16"/>
      <c r="D780" s="16"/>
      <c r="E780" s="16"/>
      <c r="F780" s="16"/>
      <c r="G780" s="39"/>
      <c r="H780" s="39"/>
      <c r="I780" s="158"/>
    </row>
    <row r="781" spans="1:9" ht="15.75">
      <c r="A781" s="15"/>
      <c r="B781" s="15"/>
      <c r="C781" s="16"/>
      <c r="D781" s="16"/>
      <c r="E781" s="16"/>
      <c r="F781" s="16"/>
      <c r="G781" s="39"/>
      <c r="H781" s="39"/>
      <c r="I781" s="158"/>
    </row>
    <row r="782" spans="1:9" ht="15.75">
      <c r="A782" s="15"/>
      <c r="B782" s="15"/>
      <c r="C782" s="16"/>
      <c r="D782" s="16"/>
      <c r="E782" s="16"/>
      <c r="F782" s="16"/>
      <c r="G782" s="39"/>
      <c r="H782" s="39"/>
      <c r="I782" s="158"/>
    </row>
    <row r="783" spans="1:9" ht="15.75">
      <c r="A783" s="15"/>
      <c r="B783" s="15"/>
      <c r="C783" s="16"/>
      <c r="D783" s="16"/>
      <c r="E783" s="16"/>
      <c r="F783" s="16"/>
      <c r="G783" s="39"/>
      <c r="H783" s="39"/>
      <c r="I783" s="158"/>
    </row>
    <row r="784" spans="1:9" ht="15.75">
      <c r="A784" s="15"/>
      <c r="B784" s="15"/>
      <c r="C784" s="16"/>
      <c r="D784" s="16"/>
      <c r="E784" s="16"/>
      <c r="F784" s="16"/>
      <c r="G784" s="39"/>
      <c r="H784" s="39"/>
      <c r="I784" s="158"/>
    </row>
    <row r="785" spans="1:9" ht="15.75">
      <c r="A785" s="15"/>
      <c r="B785" s="15"/>
      <c r="C785" s="16"/>
      <c r="D785" s="16"/>
      <c r="E785" s="16"/>
      <c r="F785" s="16"/>
      <c r="G785" s="39"/>
      <c r="H785" s="39"/>
      <c r="I785" s="158"/>
    </row>
    <row r="786" spans="1:9" ht="15.75">
      <c r="A786" s="15"/>
      <c r="B786" s="15"/>
      <c r="C786" s="16"/>
      <c r="D786" s="16"/>
      <c r="E786" s="16"/>
      <c r="F786" s="16"/>
      <c r="G786" s="39"/>
      <c r="H786" s="39"/>
      <c r="I786" s="158"/>
    </row>
    <row r="787" spans="1:9" ht="15.75">
      <c r="A787" s="15"/>
      <c r="B787" s="15"/>
      <c r="C787" s="16"/>
      <c r="D787" s="16"/>
      <c r="E787" s="16"/>
      <c r="F787" s="16"/>
      <c r="G787" s="39"/>
      <c r="H787" s="39"/>
      <c r="I787" s="158"/>
    </row>
    <row r="788" spans="1:9" ht="15.75">
      <c r="A788" s="15"/>
      <c r="B788" s="15"/>
      <c r="C788" s="16"/>
      <c r="D788" s="16"/>
      <c r="E788" s="16"/>
      <c r="F788" s="16"/>
      <c r="G788" s="39"/>
      <c r="H788" s="39"/>
      <c r="I788" s="158"/>
    </row>
    <row r="789" spans="1:9" ht="15.75">
      <c r="A789" s="15"/>
      <c r="B789" s="15"/>
      <c r="C789" s="16"/>
      <c r="D789" s="16"/>
      <c r="E789" s="16"/>
      <c r="F789" s="16"/>
      <c r="G789" s="39"/>
      <c r="H789" s="39"/>
      <c r="I789" s="158"/>
    </row>
    <row r="790" spans="1:9" ht="15.75">
      <c r="A790" s="15"/>
      <c r="B790" s="15"/>
      <c r="C790" s="16"/>
      <c r="D790" s="16"/>
      <c r="E790" s="16"/>
      <c r="F790" s="16"/>
      <c r="G790" s="39"/>
      <c r="H790" s="39"/>
      <c r="I790" s="158"/>
    </row>
    <row r="791" spans="1:9" ht="15.75">
      <c r="A791" s="15"/>
      <c r="B791" s="15"/>
      <c r="C791" s="16"/>
      <c r="D791" s="16"/>
      <c r="E791" s="16"/>
      <c r="F791" s="16"/>
      <c r="G791" s="39"/>
      <c r="H791" s="39"/>
      <c r="I791" s="158"/>
    </row>
    <row r="792" spans="1:9" ht="15.75">
      <c r="A792" s="15"/>
      <c r="B792" s="15"/>
      <c r="C792" s="16"/>
      <c r="D792" s="16"/>
      <c r="E792" s="16"/>
      <c r="F792" s="16"/>
      <c r="G792" s="39"/>
      <c r="H792" s="39"/>
      <c r="I792" s="158"/>
    </row>
    <row r="793" spans="1:9" ht="15.75">
      <c r="A793" s="15"/>
      <c r="B793" s="15"/>
      <c r="C793" s="16"/>
      <c r="D793" s="16"/>
      <c r="E793" s="16"/>
      <c r="F793" s="16"/>
      <c r="G793" s="39"/>
      <c r="H793" s="39"/>
      <c r="I793" s="158"/>
    </row>
    <row r="794" spans="1:9" ht="15.75">
      <c r="A794" s="15"/>
      <c r="B794" s="15"/>
      <c r="C794" s="16"/>
      <c r="D794" s="16"/>
      <c r="E794" s="16"/>
      <c r="F794" s="16"/>
      <c r="G794" s="39"/>
      <c r="H794" s="39"/>
      <c r="I794" s="158"/>
    </row>
    <row r="795" spans="1:9" ht="15.75">
      <c r="A795" s="15"/>
      <c r="B795" s="15"/>
      <c r="C795" s="16"/>
      <c r="D795" s="16"/>
      <c r="E795" s="16"/>
      <c r="F795" s="16"/>
      <c r="G795" s="39"/>
      <c r="H795" s="39"/>
      <c r="I795" s="158"/>
    </row>
    <row r="796" spans="1:9" ht="15.75">
      <c r="A796" s="15"/>
      <c r="B796" s="15"/>
      <c r="C796" s="16"/>
      <c r="D796" s="16"/>
      <c r="E796" s="16"/>
      <c r="F796" s="16"/>
      <c r="G796" s="39"/>
      <c r="H796" s="39"/>
      <c r="I796" s="158"/>
    </row>
    <row r="797" spans="1:9" ht="15.75">
      <c r="A797" s="15"/>
      <c r="B797" s="15"/>
      <c r="C797" s="16"/>
      <c r="D797" s="16"/>
      <c r="E797" s="16"/>
      <c r="F797" s="16"/>
      <c r="G797" s="39"/>
      <c r="H797" s="39"/>
      <c r="I797" s="158"/>
    </row>
    <row r="798" spans="1:9" ht="15.75">
      <c r="A798" s="15"/>
      <c r="B798" s="15"/>
      <c r="C798" s="16"/>
      <c r="D798" s="16"/>
      <c r="E798" s="16"/>
      <c r="F798" s="16"/>
      <c r="G798" s="39"/>
      <c r="H798" s="39"/>
      <c r="I798" s="158"/>
    </row>
    <row r="799" spans="1:9" ht="15.75">
      <c r="A799" s="15"/>
      <c r="B799" s="15"/>
      <c r="C799" s="16"/>
      <c r="D799" s="16"/>
      <c r="E799" s="16"/>
      <c r="F799" s="16"/>
      <c r="G799" s="39"/>
      <c r="H799" s="39"/>
      <c r="I799" s="158"/>
    </row>
    <row r="800" spans="1:9" ht="15.75">
      <c r="A800" s="15"/>
      <c r="B800" s="15"/>
      <c r="C800" s="16"/>
      <c r="D800" s="16"/>
      <c r="E800" s="16"/>
      <c r="F800" s="16"/>
      <c r="G800" s="39"/>
      <c r="H800" s="39"/>
      <c r="I800" s="158"/>
    </row>
    <row r="801" spans="1:9" ht="15.75">
      <c r="A801" s="15"/>
      <c r="B801" s="15"/>
      <c r="C801" s="16"/>
      <c r="D801" s="16"/>
      <c r="E801" s="16"/>
      <c r="F801" s="16"/>
      <c r="G801" s="39"/>
      <c r="H801" s="39"/>
      <c r="I801" s="158"/>
    </row>
    <row r="802" spans="1:9" ht="15.75">
      <c r="A802" s="15"/>
      <c r="B802" s="15"/>
      <c r="C802" s="16"/>
      <c r="D802" s="16"/>
      <c r="E802" s="16"/>
      <c r="F802" s="16"/>
      <c r="G802" s="39"/>
      <c r="H802" s="39"/>
      <c r="I802" s="158"/>
    </row>
    <row r="803" spans="1:9" ht="15.75">
      <c r="A803" s="15"/>
      <c r="B803" s="15"/>
      <c r="C803" s="16"/>
      <c r="D803" s="16"/>
      <c r="E803" s="16"/>
      <c r="F803" s="16"/>
      <c r="G803" s="39"/>
      <c r="H803" s="39"/>
      <c r="I803" s="158"/>
    </row>
    <row r="804" spans="1:9" ht="15.75">
      <c r="A804" s="15"/>
      <c r="B804" s="15"/>
      <c r="C804" s="16"/>
      <c r="D804" s="16"/>
      <c r="E804" s="16"/>
      <c r="F804" s="16"/>
      <c r="G804" s="39"/>
      <c r="H804" s="39"/>
      <c r="I804" s="158"/>
    </row>
    <row r="805" spans="1:9" ht="15.75">
      <c r="A805" s="15"/>
      <c r="B805" s="15"/>
      <c r="C805" s="16"/>
      <c r="D805" s="16"/>
      <c r="E805" s="16"/>
      <c r="F805" s="16"/>
      <c r="G805" s="39"/>
      <c r="H805" s="39"/>
      <c r="I805" s="158"/>
    </row>
    <row r="806" spans="1:9" ht="15.75">
      <c r="A806" s="15"/>
      <c r="B806" s="15"/>
      <c r="C806" s="16"/>
      <c r="D806" s="16"/>
      <c r="E806" s="16"/>
      <c r="F806" s="16"/>
      <c r="G806" s="39"/>
      <c r="H806" s="39"/>
      <c r="I806" s="158"/>
    </row>
    <row r="807" spans="1:9" ht="15.75">
      <c r="A807" s="15"/>
      <c r="B807" s="15"/>
      <c r="C807" s="16"/>
      <c r="D807" s="16"/>
      <c r="E807" s="16"/>
      <c r="F807" s="16"/>
      <c r="G807" s="39"/>
      <c r="H807" s="39"/>
      <c r="I807" s="158"/>
    </row>
    <row r="808" spans="1:9" ht="15.75">
      <c r="A808" s="15"/>
      <c r="B808" s="15"/>
      <c r="C808" s="16"/>
      <c r="D808" s="16"/>
      <c r="E808" s="16"/>
      <c r="F808" s="16"/>
      <c r="G808" s="15"/>
      <c r="H808" s="15"/>
      <c r="I808" s="158"/>
    </row>
    <row r="809" spans="1:9" ht="15.75">
      <c r="A809" s="15"/>
      <c r="B809" s="15"/>
      <c r="C809" s="16"/>
      <c r="D809" s="16"/>
      <c r="E809" s="16"/>
      <c r="F809" s="16"/>
      <c r="G809" s="15"/>
      <c r="H809" s="15"/>
      <c r="I809" s="158"/>
    </row>
    <row r="810" spans="1:9" ht="15.75">
      <c r="A810" s="15"/>
      <c r="B810" s="15"/>
      <c r="C810" s="16"/>
      <c r="D810" s="16"/>
      <c r="E810" s="16"/>
      <c r="F810" s="16"/>
      <c r="G810" s="15"/>
      <c r="H810" s="15"/>
      <c r="I810" s="158"/>
    </row>
    <row r="811" spans="1:9" ht="15.75">
      <c r="A811" s="15"/>
      <c r="B811" s="15"/>
      <c r="C811" s="16"/>
      <c r="D811" s="16"/>
      <c r="E811" s="16"/>
      <c r="F811" s="16"/>
      <c r="G811" s="15"/>
      <c r="H811" s="15"/>
      <c r="I811" s="158"/>
    </row>
    <row r="812" spans="1:9" ht="15.75">
      <c r="A812" s="15"/>
      <c r="B812" s="15"/>
      <c r="C812" s="16"/>
      <c r="D812" s="16"/>
      <c r="E812" s="16"/>
      <c r="F812" s="16"/>
      <c r="G812" s="15"/>
      <c r="H812" s="15"/>
      <c r="I812" s="158"/>
    </row>
    <row r="813" spans="1:9" ht="15.75">
      <c r="A813" s="15"/>
      <c r="B813" s="15"/>
      <c r="C813" s="16"/>
      <c r="D813" s="16"/>
      <c r="E813" s="16"/>
      <c r="F813" s="16"/>
      <c r="G813" s="15"/>
      <c r="H813" s="15"/>
      <c r="I813" s="158"/>
    </row>
    <row r="814" spans="1:9" ht="15.75">
      <c r="A814" s="15"/>
      <c r="B814" s="15"/>
      <c r="C814" s="16"/>
      <c r="D814" s="16"/>
      <c r="E814" s="16"/>
      <c r="F814" s="16"/>
      <c r="G814" s="15"/>
      <c r="H814" s="15"/>
      <c r="I814" s="158"/>
    </row>
    <row r="815" spans="1:9" ht="15.75">
      <c r="A815" s="15"/>
      <c r="B815" s="15"/>
      <c r="C815" s="16"/>
      <c r="D815" s="16"/>
      <c r="E815" s="16"/>
      <c r="F815" s="16"/>
      <c r="G815" s="15"/>
      <c r="H815" s="15"/>
      <c r="I815" s="158"/>
    </row>
    <row r="816" spans="1:9" ht="15.75">
      <c r="A816" s="15"/>
      <c r="B816" s="15"/>
      <c r="C816" s="16"/>
      <c r="D816" s="16"/>
      <c r="E816" s="16"/>
      <c r="F816" s="16"/>
      <c r="G816" s="15"/>
      <c r="H816" s="15"/>
      <c r="I816" s="158"/>
    </row>
    <row r="817" spans="1:9" ht="15.75">
      <c r="A817" s="15"/>
      <c r="B817" s="15"/>
      <c r="C817" s="16"/>
      <c r="D817" s="16"/>
      <c r="E817" s="16"/>
      <c r="F817" s="16"/>
      <c r="G817" s="15"/>
      <c r="H817" s="15"/>
      <c r="I817" s="158"/>
    </row>
    <row r="818" spans="1:9" ht="15.75">
      <c r="A818" s="15"/>
      <c r="B818" s="15"/>
      <c r="C818" s="16"/>
      <c r="D818" s="16"/>
      <c r="E818" s="16"/>
      <c r="F818" s="16"/>
      <c r="G818" s="15"/>
      <c r="H818" s="15"/>
      <c r="I818" s="158"/>
    </row>
    <row r="819" spans="1:9" ht="15.75">
      <c r="A819" s="15"/>
      <c r="B819" s="15"/>
      <c r="C819" s="16"/>
      <c r="D819" s="16"/>
      <c r="E819" s="16"/>
      <c r="F819" s="16"/>
      <c r="G819" s="15"/>
      <c r="H819" s="15"/>
      <c r="I819" s="158"/>
    </row>
    <row r="820" spans="1:9" ht="15.75">
      <c r="A820" s="15"/>
      <c r="B820" s="15"/>
      <c r="C820" s="16"/>
      <c r="D820" s="16"/>
      <c r="E820" s="16"/>
      <c r="F820" s="16"/>
      <c r="G820" s="15"/>
      <c r="H820" s="15"/>
      <c r="I820" s="158"/>
    </row>
    <row r="821" spans="1:9" ht="15.75">
      <c r="A821" s="15"/>
      <c r="B821" s="15"/>
      <c r="C821" s="16"/>
      <c r="D821" s="16"/>
      <c r="E821" s="16"/>
      <c r="F821" s="16"/>
      <c r="G821" s="15"/>
      <c r="H821" s="15"/>
      <c r="I821" s="158"/>
    </row>
    <row r="822" spans="1:9" ht="15.75">
      <c r="A822" s="15"/>
      <c r="B822" s="15"/>
      <c r="C822" s="16"/>
      <c r="D822" s="16"/>
      <c r="E822" s="16"/>
      <c r="F822" s="16"/>
      <c r="G822" s="15"/>
      <c r="H822" s="15"/>
      <c r="I822" s="158"/>
    </row>
    <row r="823" spans="1:9" ht="15.75">
      <c r="A823" s="15"/>
      <c r="B823" s="15"/>
      <c r="C823" s="16"/>
      <c r="D823" s="16"/>
      <c r="E823" s="16"/>
      <c r="F823" s="16"/>
      <c r="G823" s="15"/>
      <c r="H823" s="15"/>
      <c r="I823" s="158"/>
    </row>
    <row r="824" spans="1:9" ht="15.75">
      <c r="A824" s="15"/>
      <c r="B824" s="15"/>
      <c r="C824" s="16"/>
      <c r="D824" s="16"/>
      <c r="E824" s="16"/>
      <c r="F824" s="16"/>
      <c r="G824" s="15"/>
      <c r="H824" s="15"/>
      <c r="I824" s="158"/>
    </row>
    <row r="825" spans="1:9" ht="15.75">
      <c r="A825" s="15"/>
      <c r="B825" s="15"/>
      <c r="C825" s="16"/>
      <c r="D825" s="16"/>
      <c r="E825" s="16"/>
      <c r="F825" s="16"/>
      <c r="G825" s="15"/>
      <c r="H825" s="15"/>
      <c r="I825" s="158"/>
    </row>
    <row r="826" spans="1:9" ht="15.75">
      <c r="A826" s="15"/>
      <c r="B826" s="15"/>
      <c r="C826" s="16"/>
      <c r="D826" s="16"/>
      <c r="E826" s="16"/>
      <c r="F826" s="16"/>
      <c r="G826" s="15"/>
      <c r="H826" s="15"/>
      <c r="I826" s="158"/>
    </row>
    <row r="827" spans="1:9" ht="15.75">
      <c r="A827" s="15"/>
      <c r="B827" s="15"/>
      <c r="C827" s="16"/>
      <c r="D827" s="16"/>
      <c r="E827" s="16"/>
      <c r="F827" s="16"/>
      <c r="G827" s="15"/>
      <c r="H827" s="15"/>
      <c r="I827" s="158"/>
    </row>
    <row r="828" spans="1:9" ht="15.75">
      <c r="A828" s="15"/>
      <c r="B828" s="15"/>
      <c r="C828" s="16"/>
      <c r="D828" s="16"/>
      <c r="E828" s="16"/>
      <c r="F828" s="16"/>
      <c r="G828" s="15"/>
      <c r="H828" s="15"/>
      <c r="I828" s="158"/>
    </row>
    <row r="829" spans="1:9" ht="15.75">
      <c r="A829" s="15"/>
      <c r="B829" s="15"/>
      <c r="C829" s="16"/>
      <c r="D829" s="16"/>
      <c r="E829" s="16"/>
      <c r="F829" s="16"/>
      <c r="G829" s="15"/>
      <c r="H829" s="15"/>
      <c r="I829" s="158"/>
    </row>
    <row r="830" spans="1:9" ht="15.75">
      <c r="A830" s="15"/>
      <c r="B830" s="15"/>
      <c r="C830" s="16"/>
      <c r="D830" s="16"/>
      <c r="E830" s="16"/>
      <c r="F830" s="16"/>
      <c r="G830" s="15"/>
      <c r="H830" s="15"/>
      <c r="I830" s="158"/>
    </row>
    <row r="831" spans="1:9" ht="15.75">
      <c r="A831" s="15"/>
      <c r="B831" s="15"/>
      <c r="C831" s="16"/>
      <c r="D831" s="16"/>
      <c r="E831" s="16"/>
      <c r="F831" s="16"/>
      <c r="G831" s="15"/>
      <c r="H831" s="15"/>
      <c r="I831" s="158"/>
    </row>
    <row r="832" spans="1:9" ht="15.75">
      <c r="A832" s="15"/>
      <c r="B832" s="15"/>
      <c r="C832" s="16"/>
      <c r="D832" s="16"/>
      <c r="E832" s="16"/>
      <c r="F832" s="16"/>
      <c r="G832" s="15"/>
      <c r="H832" s="15"/>
      <c r="I832" s="158"/>
    </row>
    <row r="833" spans="1:9" ht="15.75">
      <c r="A833" s="15"/>
      <c r="B833" s="15"/>
      <c r="C833" s="16"/>
      <c r="D833" s="16"/>
      <c r="E833" s="16"/>
      <c r="F833" s="16"/>
      <c r="G833" s="15"/>
      <c r="H833" s="15"/>
      <c r="I833" s="158"/>
    </row>
    <row r="834" spans="1:9" ht="15.75">
      <c r="A834" s="15"/>
      <c r="B834" s="15"/>
      <c r="C834" s="16"/>
      <c r="D834" s="16"/>
      <c r="E834" s="16"/>
      <c r="F834" s="16"/>
      <c r="G834" s="15"/>
      <c r="H834" s="15"/>
      <c r="I834" s="158"/>
    </row>
    <row r="835" spans="1:9" ht="15.75">
      <c r="A835" s="15"/>
      <c r="B835" s="15"/>
      <c r="C835" s="16"/>
      <c r="D835" s="16"/>
      <c r="E835" s="16"/>
      <c r="F835" s="16"/>
      <c r="G835" s="15"/>
      <c r="H835" s="15"/>
      <c r="I835" s="158"/>
    </row>
    <row r="836" spans="1:9" ht="15.75">
      <c r="A836" s="15"/>
      <c r="B836" s="15"/>
      <c r="C836" s="16"/>
      <c r="D836" s="16"/>
      <c r="E836" s="16"/>
      <c r="F836" s="16"/>
      <c r="G836" s="15"/>
      <c r="H836" s="15"/>
      <c r="I836" s="158"/>
    </row>
    <row r="837" spans="1:9" ht="15.75">
      <c r="A837" s="15"/>
      <c r="B837" s="15"/>
      <c r="C837" s="16"/>
      <c r="D837" s="16"/>
      <c r="E837" s="16"/>
      <c r="F837" s="16"/>
      <c r="G837" s="15"/>
      <c r="H837" s="15"/>
      <c r="I837" s="158"/>
    </row>
    <row r="838" spans="1:9" ht="15.75">
      <c r="A838" s="15"/>
      <c r="B838" s="15"/>
      <c r="C838" s="16"/>
      <c r="D838" s="16"/>
      <c r="E838" s="16"/>
      <c r="F838" s="16"/>
      <c r="G838" s="15"/>
      <c r="H838" s="15"/>
      <c r="I838" s="158"/>
    </row>
    <row r="839" spans="1:9" ht="15.75">
      <c r="A839" s="15"/>
      <c r="B839" s="15"/>
      <c r="C839" s="16"/>
      <c r="D839" s="16"/>
      <c r="E839" s="16"/>
      <c r="F839" s="16"/>
      <c r="G839" s="15"/>
      <c r="H839" s="15"/>
      <c r="I839" s="158"/>
    </row>
    <row r="840" spans="1:9" ht="15.75">
      <c r="A840" s="15"/>
      <c r="B840" s="15"/>
      <c r="C840" s="16"/>
      <c r="D840" s="16"/>
      <c r="E840" s="16"/>
      <c r="F840" s="16"/>
      <c r="G840" s="15"/>
      <c r="H840" s="15"/>
      <c r="I840" s="158"/>
    </row>
    <row r="841" spans="1:9" ht="15.75">
      <c r="A841" s="15"/>
      <c r="B841" s="15"/>
      <c r="C841" s="16"/>
      <c r="D841" s="16"/>
      <c r="E841" s="16"/>
      <c r="F841" s="16"/>
      <c r="G841" s="15"/>
      <c r="H841" s="15"/>
      <c r="I841" s="158"/>
    </row>
    <row r="842" spans="1:9" ht="15.75">
      <c r="A842" s="15"/>
      <c r="B842" s="15"/>
      <c r="C842" s="16"/>
      <c r="D842" s="16"/>
      <c r="E842" s="16"/>
      <c r="F842" s="16"/>
      <c r="G842" s="15"/>
      <c r="H842" s="15"/>
      <c r="I842" s="158"/>
    </row>
    <row r="843" spans="1:9" ht="15.75">
      <c r="A843" s="15"/>
      <c r="B843" s="15"/>
      <c r="C843" s="16"/>
      <c r="D843" s="16"/>
      <c r="E843" s="16"/>
      <c r="F843" s="16"/>
      <c r="G843" s="15"/>
      <c r="H843" s="15"/>
      <c r="I843" s="158"/>
    </row>
    <row r="844" spans="1:9" ht="15.75">
      <c r="A844" s="15"/>
      <c r="B844" s="15"/>
      <c r="C844" s="16"/>
      <c r="D844" s="16"/>
      <c r="E844" s="16"/>
      <c r="F844" s="16"/>
      <c r="G844" s="15"/>
      <c r="H844" s="15"/>
      <c r="I844" s="158"/>
    </row>
    <row r="845" spans="1:9" ht="15.75">
      <c r="A845" s="15"/>
      <c r="B845" s="15"/>
      <c r="C845" s="16"/>
      <c r="D845" s="16"/>
      <c r="E845" s="16"/>
      <c r="F845" s="16"/>
      <c r="G845" s="15"/>
      <c r="H845" s="15"/>
      <c r="I845" s="158"/>
    </row>
    <row r="846" spans="1:9" ht="15.75">
      <c r="A846" s="15"/>
      <c r="B846" s="15"/>
      <c r="C846" s="16"/>
      <c r="D846" s="16"/>
      <c r="E846" s="16"/>
      <c r="F846" s="16"/>
      <c r="G846" s="15"/>
      <c r="H846" s="15"/>
      <c r="I846" s="158"/>
    </row>
    <row r="847" spans="1:9" ht="15.75">
      <c r="A847" s="15"/>
      <c r="B847" s="15"/>
      <c r="C847" s="16"/>
      <c r="D847" s="16"/>
      <c r="E847" s="16"/>
      <c r="F847" s="16"/>
      <c r="G847" s="15"/>
      <c r="H847" s="15"/>
      <c r="I847" s="158"/>
    </row>
    <row r="848" spans="1:9" ht="15.75">
      <c r="A848" s="15"/>
      <c r="B848" s="15"/>
      <c r="C848" s="16"/>
      <c r="D848" s="16"/>
      <c r="E848" s="16"/>
      <c r="F848" s="16"/>
      <c r="G848" s="15"/>
      <c r="H848" s="15"/>
      <c r="I848" s="158"/>
    </row>
    <row r="849" spans="1:9" ht="15.75">
      <c r="A849" s="15"/>
      <c r="B849" s="15"/>
      <c r="C849" s="16"/>
      <c r="D849" s="16"/>
      <c r="E849" s="16"/>
      <c r="F849" s="16"/>
      <c r="G849" s="15"/>
      <c r="H849" s="15"/>
      <c r="I849" s="158"/>
    </row>
    <row r="850" spans="1:9" ht="15.75">
      <c r="A850" s="15"/>
      <c r="B850" s="15"/>
      <c r="C850" s="16"/>
      <c r="D850" s="16"/>
      <c r="E850" s="16"/>
      <c r="F850" s="16"/>
      <c r="G850" s="15"/>
      <c r="H850" s="15"/>
      <c r="I850" s="158"/>
    </row>
    <row r="851" spans="1:9" ht="15.75">
      <c r="A851" s="15"/>
      <c r="B851" s="15"/>
      <c r="C851" s="16"/>
      <c r="D851" s="16"/>
      <c r="E851" s="16"/>
      <c r="F851" s="16"/>
      <c r="G851" s="15"/>
      <c r="H851" s="15"/>
      <c r="I851" s="158"/>
    </row>
    <row r="852" spans="1:9" ht="15.75">
      <c r="A852" s="15"/>
      <c r="B852" s="15"/>
      <c r="C852" s="16"/>
      <c r="D852" s="16"/>
      <c r="E852" s="16"/>
      <c r="F852" s="16"/>
      <c r="G852" s="15"/>
      <c r="H852" s="15"/>
      <c r="I852" s="158"/>
    </row>
    <row r="853" spans="1:9" ht="15.75">
      <c r="A853" s="15"/>
      <c r="B853" s="15"/>
      <c r="C853" s="16"/>
      <c r="D853" s="16"/>
      <c r="E853" s="16"/>
      <c r="F853" s="16"/>
      <c r="G853" s="15"/>
      <c r="H853" s="15"/>
      <c r="I853" s="158"/>
    </row>
    <row r="854" spans="1:9" ht="15.75">
      <c r="A854" s="15"/>
      <c r="B854" s="15"/>
      <c r="C854" s="16"/>
      <c r="D854" s="16"/>
      <c r="E854" s="16"/>
      <c r="F854" s="16"/>
      <c r="G854" s="15"/>
      <c r="H854" s="15"/>
      <c r="I854" s="158"/>
    </row>
    <row r="855" spans="1:9" ht="15.75">
      <c r="A855" s="15"/>
      <c r="B855" s="15"/>
      <c r="C855" s="16"/>
      <c r="D855" s="16"/>
      <c r="E855" s="16"/>
      <c r="F855" s="16"/>
      <c r="G855" s="15"/>
      <c r="H855" s="15"/>
      <c r="I855" s="158"/>
    </row>
    <row r="856" spans="1:9" ht="15.75">
      <c r="A856" s="15"/>
      <c r="B856" s="15"/>
      <c r="C856" s="16"/>
      <c r="D856" s="16"/>
      <c r="E856" s="16"/>
      <c r="F856" s="16"/>
      <c r="G856" s="15"/>
      <c r="H856" s="15"/>
      <c r="I856" s="158"/>
    </row>
    <row r="857" spans="1:9" ht="15.75">
      <c r="A857" s="15"/>
      <c r="B857" s="15"/>
      <c r="C857" s="16"/>
      <c r="D857" s="16"/>
      <c r="E857" s="16"/>
      <c r="F857" s="16"/>
      <c r="G857" s="15"/>
      <c r="H857" s="15"/>
      <c r="I857" s="158"/>
    </row>
    <row r="858" spans="1:9" ht="15.75">
      <c r="A858" s="15"/>
      <c r="B858" s="15"/>
      <c r="C858" s="16"/>
      <c r="D858" s="16"/>
      <c r="E858" s="16"/>
      <c r="F858" s="16"/>
      <c r="G858" s="15"/>
      <c r="H858" s="15"/>
      <c r="I858" s="158"/>
    </row>
    <row r="859" spans="1:9" ht="15.75">
      <c r="A859" s="15"/>
      <c r="B859" s="15"/>
      <c r="C859" s="16"/>
      <c r="D859" s="16"/>
      <c r="E859" s="16"/>
      <c r="F859" s="16"/>
      <c r="G859" s="15"/>
      <c r="H859" s="15"/>
      <c r="I859" s="158"/>
    </row>
    <row r="860" spans="1:9" ht="15.75">
      <c r="A860" s="15"/>
      <c r="B860" s="15"/>
      <c r="C860" s="16"/>
      <c r="D860" s="16"/>
      <c r="E860" s="16"/>
      <c r="F860" s="16"/>
      <c r="G860" s="15"/>
      <c r="H860" s="15"/>
      <c r="I860" s="158"/>
    </row>
    <row r="861" spans="1:9" ht="15.75">
      <c r="A861" s="15"/>
      <c r="B861" s="15"/>
      <c r="C861" s="16"/>
      <c r="D861" s="16"/>
      <c r="E861" s="16"/>
      <c r="F861" s="16"/>
      <c r="G861" s="15"/>
      <c r="H861" s="15"/>
      <c r="I861" s="158"/>
    </row>
    <row r="862" spans="1:9" ht="15.75">
      <c r="A862" s="15"/>
      <c r="B862" s="15"/>
      <c r="C862" s="16"/>
      <c r="D862" s="16"/>
      <c r="E862" s="16"/>
      <c r="F862" s="16"/>
      <c r="G862" s="15"/>
      <c r="H862" s="15"/>
      <c r="I862" s="158"/>
    </row>
    <row r="863" spans="1:9" ht="15.75">
      <c r="A863" s="15"/>
      <c r="B863" s="15"/>
      <c r="C863" s="16"/>
      <c r="D863" s="16"/>
      <c r="E863" s="16"/>
      <c r="F863" s="16"/>
      <c r="G863" s="15"/>
      <c r="H863" s="15"/>
      <c r="I863" s="158"/>
    </row>
    <row r="864" spans="1:9" ht="15.75">
      <c r="A864" s="15"/>
      <c r="B864" s="15"/>
      <c r="C864" s="16"/>
      <c r="D864" s="16"/>
      <c r="E864" s="16"/>
      <c r="F864" s="16"/>
      <c r="G864" s="15"/>
      <c r="H864" s="15"/>
      <c r="I864" s="158"/>
    </row>
    <row r="865" spans="1:9" ht="15.75">
      <c r="A865" s="15"/>
      <c r="B865" s="15"/>
      <c r="C865" s="16"/>
      <c r="D865" s="16"/>
      <c r="E865" s="16"/>
      <c r="F865" s="16"/>
      <c r="G865" s="15"/>
      <c r="H865" s="15"/>
      <c r="I865" s="158"/>
    </row>
    <row r="866" spans="1:9" ht="15.75">
      <c r="A866" s="15"/>
      <c r="B866" s="15"/>
      <c r="C866" s="16"/>
      <c r="D866" s="16"/>
      <c r="E866" s="16"/>
      <c r="F866" s="16"/>
      <c r="G866" s="15"/>
      <c r="H866" s="15"/>
      <c r="I866" s="158"/>
    </row>
    <row r="867" spans="1:9" ht="15.75">
      <c r="A867" s="15"/>
      <c r="B867" s="15"/>
      <c r="C867" s="16"/>
      <c r="D867" s="16"/>
      <c r="E867" s="16"/>
      <c r="F867" s="16"/>
      <c r="G867" s="15"/>
      <c r="H867" s="15"/>
      <c r="I867" s="158"/>
    </row>
    <row r="868" spans="1:9" ht="15.75">
      <c r="A868" s="15"/>
      <c r="B868" s="15"/>
      <c r="C868" s="16"/>
      <c r="D868" s="16"/>
      <c r="E868" s="16"/>
      <c r="F868" s="16"/>
      <c r="G868" s="15"/>
      <c r="H868" s="15"/>
      <c r="I868" s="158"/>
    </row>
    <row r="869" spans="1:9" ht="15.75">
      <c r="A869" s="15"/>
      <c r="B869" s="15"/>
      <c r="C869" s="16"/>
      <c r="D869" s="16"/>
      <c r="E869" s="16"/>
      <c r="F869" s="16"/>
      <c r="G869" s="15"/>
      <c r="H869" s="15"/>
      <c r="I869" s="158"/>
    </row>
    <row r="870" spans="1:9" ht="15.75">
      <c r="A870" s="15"/>
      <c r="B870" s="15"/>
      <c r="C870" s="16"/>
      <c r="D870" s="16"/>
      <c r="E870" s="16"/>
      <c r="F870" s="16"/>
      <c r="G870" s="15"/>
      <c r="H870" s="15"/>
      <c r="I870" s="158"/>
    </row>
    <row r="871" spans="1:9" ht="15.75">
      <c r="A871" s="15"/>
      <c r="B871" s="15"/>
      <c r="C871" s="16"/>
      <c r="D871" s="16"/>
      <c r="E871" s="16"/>
      <c r="F871" s="16"/>
      <c r="G871" s="15"/>
      <c r="H871" s="15"/>
      <c r="I871" s="158"/>
    </row>
    <row r="872" spans="1:9" ht="15.75">
      <c r="A872" s="15"/>
      <c r="B872" s="15"/>
      <c r="C872" s="16"/>
      <c r="D872" s="16"/>
      <c r="E872" s="16"/>
      <c r="F872" s="16"/>
      <c r="G872" s="15"/>
      <c r="H872" s="15"/>
      <c r="I872" s="158"/>
    </row>
    <row r="873" spans="1:9" ht="15.75">
      <c r="A873" s="15"/>
      <c r="B873" s="15"/>
      <c r="C873" s="16"/>
      <c r="D873" s="16"/>
      <c r="E873" s="16"/>
      <c r="F873" s="16"/>
      <c r="G873" s="15"/>
      <c r="H873" s="15"/>
      <c r="I873" s="158"/>
    </row>
    <row r="874" spans="1:9" ht="15.75">
      <c r="A874" s="15"/>
      <c r="B874" s="15"/>
      <c r="C874" s="16"/>
      <c r="D874" s="16"/>
      <c r="E874" s="16"/>
      <c r="F874" s="16"/>
      <c r="G874" s="15"/>
      <c r="H874" s="15"/>
      <c r="I874" s="158"/>
    </row>
    <row r="875" spans="1:9" ht="15.75">
      <c r="A875" s="15"/>
      <c r="B875" s="15"/>
      <c r="C875" s="16"/>
      <c r="D875" s="16"/>
      <c r="E875" s="16"/>
      <c r="F875" s="16"/>
      <c r="G875" s="15"/>
      <c r="H875" s="15"/>
      <c r="I875" s="158"/>
    </row>
    <row r="876" spans="1:9" ht="15.75">
      <c r="A876" s="15"/>
      <c r="B876" s="15"/>
      <c r="C876" s="16"/>
      <c r="D876" s="16"/>
      <c r="E876" s="16"/>
      <c r="F876" s="16"/>
      <c r="G876" s="15"/>
      <c r="H876" s="15"/>
      <c r="I876" s="158"/>
    </row>
    <row r="877" spans="1:9" ht="15.75">
      <c r="A877" s="15"/>
      <c r="B877" s="15"/>
      <c r="C877" s="16"/>
      <c r="D877" s="16"/>
      <c r="E877" s="16"/>
      <c r="F877" s="16"/>
      <c r="G877" s="15"/>
      <c r="H877" s="15"/>
      <c r="I877" s="158"/>
    </row>
    <row r="878" spans="1:9" ht="15.75">
      <c r="A878" s="15"/>
      <c r="B878" s="15"/>
      <c r="C878" s="16"/>
      <c r="D878" s="16"/>
      <c r="E878" s="16"/>
      <c r="F878" s="16"/>
      <c r="G878" s="15"/>
      <c r="H878" s="15"/>
      <c r="I878" s="158"/>
    </row>
    <row r="879" spans="1:9" ht="15.75">
      <c r="A879" s="15"/>
      <c r="B879" s="15"/>
      <c r="C879" s="16"/>
      <c r="D879" s="16"/>
      <c r="E879" s="16"/>
      <c r="F879" s="16"/>
      <c r="G879" s="15"/>
      <c r="H879" s="15"/>
      <c r="I879" s="158"/>
    </row>
    <row r="880" spans="1:9" ht="15.75">
      <c r="A880" s="15"/>
      <c r="B880" s="15"/>
      <c r="C880" s="16"/>
      <c r="D880" s="16"/>
      <c r="E880" s="16"/>
      <c r="F880" s="16"/>
      <c r="G880" s="15"/>
      <c r="H880" s="15"/>
      <c r="I880" s="158"/>
    </row>
    <row r="881" spans="1:9" ht="15.75">
      <c r="A881" s="15"/>
      <c r="B881" s="15"/>
      <c r="C881" s="16"/>
      <c r="D881" s="16"/>
      <c r="E881" s="16"/>
      <c r="F881" s="16"/>
      <c r="G881" s="15"/>
      <c r="H881" s="15"/>
      <c r="I881" s="158"/>
    </row>
    <row r="882" spans="1:9" ht="15.75">
      <c r="A882" s="15"/>
      <c r="B882" s="15"/>
      <c r="C882" s="16"/>
      <c r="D882" s="16"/>
      <c r="E882" s="16"/>
      <c r="F882" s="16"/>
      <c r="G882" s="15"/>
      <c r="H882" s="15"/>
      <c r="I882" s="158"/>
    </row>
    <row r="883" spans="1:9" ht="15.75">
      <c r="A883" s="15"/>
      <c r="B883" s="15"/>
      <c r="C883" s="16"/>
      <c r="D883" s="16"/>
      <c r="E883" s="16"/>
      <c r="F883" s="16"/>
      <c r="G883" s="15"/>
      <c r="H883" s="15"/>
      <c r="I883" s="158"/>
    </row>
    <row r="884" spans="1:9" ht="15.75">
      <c r="A884" s="15"/>
      <c r="B884" s="15"/>
      <c r="C884" s="16"/>
      <c r="D884" s="16"/>
      <c r="E884" s="16"/>
      <c r="F884" s="16"/>
      <c r="G884" s="15"/>
      <c r="H884" s="15"/>
      <c r="I884" s="158"/>
    </row>
    <row r="885" spans="1:9" ht="15.75">
      <c r="A885" s="15"/>
      <c r="B885" s="15"/>
      <c r="C885" s="16"/>
      <c r="D885" s="16"/>
      <c r="E885" s="16"/>
      <c r="F885" s="16"/>
      <c r="G885" s="15"/>
      <c r="H885" s="15"/>
      <c r="I885" s="158"/>
    </row>
    <row r="886" spans="1:9" ht="15.75">
      <c r="A886" s="15"/>
      <c r="B886" s="15"/>
      <c r="C886" s="16"/>
      <c r="D886" s="16"/>
      <c r="E886" s="16"/>
      <c r="F886" s="16"/>
      <c r="G886" s="15"/>
      <c r="H886" s="15"/>
      <c r="I886" s="158"/>
    </row>
    <row r="887" spans="1:9" ht="15.75">
      <c r="A887" s="15"/>
      <c r="B887" s="15"/>
      <c r="C887" s="16"/>
      <c r="D887" s="16"/>
      <c r="E887" s="16"/>
      <c r="F887" s="16"/>
      <c r="G887" s="15"/>
      <c r="H887" s="15"/>
      <c r="I887" s="158"/>
    </row>
    <row r="888" spans="1:9" ht="15.75">
      <c r="A888" s="15"/>
      <c r="B888" s="15"/>
      <c r="C888" s="16"/>
      <c r="D888" s="16"/>
      <c r="E888" s="16"/>
      <c r="F888" s="16"/>
      <c r="G888" s="15"/>
      <c r="H888" s="15"/>
      <c r="I888" s="158"/>
    </row>
    <row r="889" spans="1:9" ht="15.75">
      <c r="A889" s="15"/>
      <c r="B889" s="15"/>
      <c r="C889" s="16"/>
      <c r="D889" s="16"/>
      <c r="E889" s="16"/>
      <c r="F889" s="16"/>
      <c r="G889" s="15"/>
      <c r="H889" s="15"/>
      <c r="I889" s="158"/>
    </row>
    <row r="890" spans="1:9" ht="15.75">
      <c r="A890" s="15"/>
      <c r="B890" s="15"/>
      <c r="C890" s="16"/>
      <c r="D890" s="16"/>
      <c r="E890" s="16"/>
      <c r="F890" s="16"/>
      <c r="G890" s="15"/>
      <c r="H890" s="15"/>
      <c r="I890" s="158"/>
    </row>
    <row r="891" spans="1:9" ht="15.75">
      <c r="A891" s="15"/>
      <c r="B891" s="15"/>
      <c r="C891" s="16"/>
      <c r="D891" s="16"/>
      <c r="E891" s="16"/>
      <c r="F891" s="16"/>
      <c r="G891" s="15"/>
      <c r="H891" s="15"/>
      <c r="I891" s="158"/>
    </row>
    <row r="892" spans="1:9" ht="15.75">
      <c r="A892" s="15"/>
      <c r="B892" s="15"/>
      <c r="C892" s="16"/>
      <c r="D892" s="16"/>
      <c r="E892" s="16"/>
      <c r="F892" s="16"/>
      <c r="G892" s="15"/>
      <c r="H892" s="15"/>
      <c r="I892" s="158"/>
    </row>
    <row r="893" spans="1:9" ht="15.75">
      <c r="A893" s="15"/>
      <c r="B893" s="15"/>
      <c r="C893" s="16"/>
      <c r="D893" s="16"/>
      <c r="E893" s="16"/>
      <c r="F893" s="16"/>
      <c r="G893" s="15"/>
      <c r="H893" s="15"/>
      <c r="I893" s="158"/>
    </row>
    <row r="894" spans="1:9" ht="15.75">
      <c r="A894" s="15"/>
      <c r="B894" s="15"/>
      <c r="C894" s="16"/>
      <c r="D894" s="16"/>
      <c r="E894" s="16"/>
      <c r="F894" s="16"/>
      <c r="G894" s="15"/>
      <c r="H894" s="15"/>
      <c r="I894" s="158"/>
    </row>
    <row r="895" spans="1:9" ht="15.75">
      <c r="A895" s="15"/>
      <c r="B895" s="15"/>
      <c r="C895" s="16"/>
      <c r="D895" s="16"/>
      <c r="E895" s="16"/>
      <c r="F895" s="16"/>
      <c r="G895" s="15"/>
      <c r="H895" s="15"/>
      <c r="I895" s="158"/>
    </row>
    <row r="896" spans="1:9" ht="15.75">
      <c r="A896" s="15"/>
      <c r="B896" s="15"/>
      <c r="C896" s="16"/>
      <c r="D896" s="16"/>
      <c r="E896" s="16"/>
      <c r="F896" s="16"/>
      <c r="G896" s="15"/>
      <c r="H896" s="15"/>
      <c r="I896" s="158"/>
    </row>
    <row r="897" spans="1:9" ht="15.75">
      <c r="A897" s="15"/>
      <c r="B897" s="15"/>
      <c r="C897" s="16"/>
      <c r="D897" s="16"/>
      <c r="E897" s="16"/>
      <c r="F897" s="16"/>
      <c r="G897" s="15"/>
      <c r="H897" s="15"/>
      <c r="I897" s="158"/>
    </row>
    <row r="898" spans="1:9" ht="15.75">
      <c r="A898" s="15"/>
      <c r="B898" s="15"/>
      <c r="C898" s="16"/>
      <c r="D898" s="16"/>
      <c r="E898" s="16"/>
      <c r="F898" s="16"/>
      <c r="G898" s="15"/>
      <c r="H898" s="15"/>
      <c r="I898" s="158"/>
    </row>
    <row r="899" spans="1:9" ht="15.75">
      <c r="A899" s="15"/>
      <c r="B899" s="15"/>
      <c r="C899" s="16"/>
      <c r="D899" s="16"/>
      <c r="E899" s="16"/>
      <c r="F899" s="16"/>
      <c r="G899" s="15"/>
      <c r="H899" s="15"/>
      <c r="I899" s="158"/>
    </row>
    <row r="900" spans="1:9" ht="15.75">
      <c r="A900" s="15"/>
      <c r="B900" s="15"/>
      <c r="C900" s="16"/>
      <c r="D900" s="16"/>
      <c r="E900" s="16"/>
      <c r="F900" s="16"/>
      <c r="G900" s="15"/>
      <c r="H900" s="15"/>
      <c r="I900" s="158"/>
    </row>
    <row r="901" spans="1:9" ht="15.75">
      <c r="A901" s="15"/>
      <c r="B901" s="15"/>
      <c r="C901" s="16"/>
      <c r="D901" s="16"/>
      <c r="E901" s="16"/>
      <c r="F901" s="16"/>
      <c r="G901" s="15"/>
      <c r="H901" s="15"/>
      <c r="I901" s="158"/>
    </row>
    <row r="902" spans="1:9" ht="15.75">
      <c r="A902" s="15"/>
      <c r="B902" s="15"/>
      <c r="C902" s="16"/>
      <c r="D902" s="16"/>
      <c r="E902" s="16"/>
      <c r="F902" s="16"/>
      <c r="G902" s="15"/>
      <c r="H902" s="15"/>
      <c r="I902" s="158"/>
    </row>
    <row r="903" spans="1:9" ht="15.75">
      <c r="A903" s="15"/>
      <c r="B903" s="15"/>
      <c r="C903" s="16"/>
      <c r="D903" s="16"/>
      <c r="E903" s="16"/>
      <c r="F903" s="16"/>
      <c r="G903" s="15"/>
      <c r="H903" s="15"/>
      <c r="I903" s="158"/>
    </row>
    <row r="904" spans="1:9" ht="15.75">
      <c r="A904" s="15"/>
      <c r="B904" s="15"/>
      <c r="C904" s="16"/>
      <c r="D904" s="16"/>
      <c r="E904" s="16"/>
      <c r="F904" s="16"/>
      <c r="G904" s="15"/>
      <c r="H904" s="15"/>
      <c r="I904" s="158"/>
    </row>
    <row r="905" spans="1:9" ht="15.75">
      <c r="A905" s="15"/>
      <c r="B905" s="15"/>
      <c r="C905" s="16"/>
      <c r="D905" s="16"/>
      <c r="E905" s="16"/>
      <c r="F905" s="16"/>
      <c r="G905" s="15"/>
      <c r="H905" s="15"/>
      <c r="I905" s="158"/>
    </row>
    <row r="906" spans="1:9" ht="15.75">
      <c r="A906" s="15"/>
      <c r="B906" s="15"/>
      <c r="C906" s="16"/>
      <c r="D906" s="16"/>
      <c r="E906" s="16"/>
      <c r="F906" s="16"/>
      <c r="G906" s="15"/>
      <c r="H906" s="15"/>
      <c r="I906" s="158"/>
    </row>
    <row r="907" spans="1:9" ht="15.75">
      <c r="A907" s="15"/>
      <c r="B907" s="15"/>
      <c r="C907" s="16"/>
      <c r="D907" s="16"/>
      <c r="E907" s="16"/>
      <c r="F907" s="16"/>
      <c r="G907" s="15"/>
      <c r="H907" s="15"/>
      <c r="I907" s="158"/>
    </row>
    <row r="908" spans="1:9" ht="15.75">
      <c r="A908" s="15"/>
      <c r="B908" s="15"/>
      <c r="C908" s="16"/>
      <c r="D908" s="16"/>
      <c r="E908" s="16"/>
      <c r="F908" s="16"/>
      <c r="G908" s="15"/>
      <c r="H908" s="15"/>
      <c r="I908" s="158"/>
    </row>
    <row r="909" spans="1:9" ht="15.75">
      <c r="A909" s="15"/>
      <c r="B909" s="15"/>
      <c r="C909" s="16"/>
      <c r="D909" s="16"/>
      <c r="E909" s="16"/>
      <c r="F909" s="16"/>
      <c r="G909" s="15"/>
      <c r="H909" s="15"/>
      <c r="I909" s="158"/>
    </row>
    <row r="910" spans="1:9" ht="15.75">
      <c r="A910" s="15"/>
      <c r="B910" s="15"/>
      <c r="C910" s="16"/>
      <c r="D910" s="16"/>
      <c r="E910" s="16"/>
      <c r="F910" s="16"/>
      <c r="G910" s="15"/>
      <c r="H910" s="15"/>
      <c r="I910" s="158"/>
    </row>
    <row r="911" spans="1:9" ht="15.75">
      <c r="A911" s="15"/>
      <c r="B911" s="15"/>
      <c r="C911" s="16"/>
      <c r="D911" s="16"/>
      <c r="E911" s="16"/>
      <c r="F911" s="16"/>
      <c r="G911" s="15"/>
      <c r="H911" s="15"/>
      <c r="I911" s="158"/>
    </row>
    <row r="912" spans="1:9" ht="15.75">
      <c r="A912" s="15"/>
      <c r="B912" s="15"/>
      <c r="C912" s="16"/>
      <c r="D912" s="16"/>
      <c r="E912" s="16"/>
      <c r="F912" s="16"/>
      <c r="G912" s="15"/>
      <c r="H912" s="15"/>
      <c r="I912" s="158"/>
    </row>
    <row r="913" spans="1:9" ht="15.75">
      <c r="A913" s="15"/>
      <c r="B913" s="15"/>
      <c r="C913" s="16"/>
      <c r="D913" s="16"/>
      <c r="E913" s="16"/>
      <c r="F913" s="16"/>
      <c r="G913" s="15"/>
      <c r="H913" s="15"/>
      <c r="I913" s="158"/>
    </row>
    <row r="914" spans="1:9" ht="15.75">
      <c r="A914" s="15"/>
      <c r="B914" s="15"/>
      <c r="C914" s="16"/>
      <c r="D914" s="16"/>
      <c r="E914" s="16"/>
      <c r="F914" s="16"/>
      <c r="G914" s="15"/>
      <c r="H914" s="15"/>
      <c r="I914" s="158"/>
    </row>
    <row r="915" spans="1:9" ht="15.75">
      <c r="A915" s="15"/>
      <c r="B915" s="15"/>
      <c r="C915" s="16"/>
      <c r="D915" s="16"/>
      <c r="E915" s="16"/>
      <c r="F915" s="16"/>
      <c r="G915" s="15"/>
      <c r="H915" s="15"/>
      <c r="I915" s="158"/>
    </row>
    <row r="916" spans="1:9" ht="15.75">
      <c r="A916" s="15"/>
      <c r="B916" s="15"/>
      <c r="C916" s="16"/>
      <c r="D916" s="16"/>
      <c r="E916" s="16"/>
      <c r="F916" s="16"/>
      <c r="G916" s="15"/>
      <c r="H916" s="15"/>
      <c r="I916" s="158"/>
    </row>
    <row r="917" spans="1:9" ht="15.75">
      <c r="A917" s="15"/>
      <c r="B917" s="15"/>
      <c r="C917" s="16"/>
      <c r="D917" s="16"/>
      <c r="E917" s="16"/>
      <c r="F917" s="16"/>
      <c r="G917" s="15"/>
      <c r="H917" s="15"/>
      <c r="I917" s="158"/>
    </row>
    <row r="918" spans="1:9" ht="15.75">
      <c r="A918" s="15"/>
      <c r="B918" s="15"/>
      <c r="C918" s="16"/>
      <c r="D918" s="16"/>
      <c r="E918" s="16"/>
      <c r="F918" s="16"/>
      <c r="G918" s="15"/>
      <c r="H918" s="15"/>
      <c r="I918" s="158"/>
    </row>
    <row r="919" spans="1:9" ht="15.75">
      <c r="A919" s="15"/>
      <c r="B919" s="15"/>
      <c r="C919" s="16"/>
      <c r="D919" s="16"/>
      <c r="E919" s="16"/>
      <c r="F919" s="16"/>
      <c r="G919" s="15"/>
      <c r="H919" s="15"/>
      <c r="I919" s="158"/>
    </row>
    <row r="920" spans="1:9" ht="15.75">
      <c r="A920" s="15"/>
      <c r="B920" s="15"/>
      <c r="C920" s="16"/>
      <c r="D920" s="16"/>
      <c r="E920" s="16"/>
      <c r="F920" s="16"/>
      <c r="G920" s="15"/>
      <c r="H920" s="15"/>
      <c r="I920" s="158"/>
    </row>
    <row r="921" spans="1:9" ht="15.75">
      <c r="A921" s="15"/>
      <c r="B921" s="15"/>
      <c r="C921" s="16"/>
      <c r="D921" s="16"/>
      <c r="E921" s="16"/>
      <c r="F921" s="16"/>
      <c r="G921" s="15"/>
      <c r="H921" s="15"/>
      <c r="I921" s="158"/>
    </row>
    <row r="922" spans="1:9" ht="15.75">
      <c r="A922" s="15"/>
      <c r="B922" s="15"/>
      <c r="C922" s="16"/>
      <c r="D922" s="16"/>
      <c r="E922" s="16"/>
      <c r="F922" s="16"/>
      <c r="G922" s="15"/>
      <c r="H922" s="15"/>
      <c r="I922" s="158"/>
    </row>
    <row r="923" spans="1:9" ht="15.75">
      <c r="A923" s="15"/>
      <c r="B923" s="15"/>
      <c r="C923" s="16"/>
      <c r="D923" s="16"/>
      <c r="E923" s="16"/>
      <c r="F923" s="16"/>
      <c r="G923" s="15"/>
      <c r="H923" s="15"/>
      <c r="I923" s="158"/>
    </row>
    <row r="924" spans="1:9" ht="15.75">
      <c r="A924" s="15"/>
      <c r="B924" s="15"/>
      <c r="C924" s="16"/>
      <c r="D924" s="16"/>
      <c r="E924" s="16"/>
      <c r="F924" s="16"/>
      <c r="G924" s="15"/>
      <c r="H924" s="15"/>
      <c r="I924" s="158"/>
    </row>
    <row r="925" spans="1:9" ht="15.75">
      <c r="A925" s="15"/>
      <c r="B925" s="15"/>
      <c r="C925" s="16"/>
      <c r="D925" s="16"/>
      <c r="E925" s="16"/>
      <c r="F925" s="16"/>
      <c r="G925" s="15"/>
      <c r="H925" s="15"/>
      <c r="I925" s="158"/>
    </row>
    <row r="926" spans="1:9" ht="15.75">
      <c r="A926" s="15"/>
      <c r="B926" s="15"/>
      <c r="C926" s="16"/>
      <c r="D926" s="16"/>
      <c r="E926" s="16"/>
      <c r="F926" s="16"/>
      <c r="G926" s="15"/>
      <c r="H926" s="15"/>
      <c r="I926" s="158"/>
    </row>
    <row r="927" spans="1:9" ht="15.75">
      <c r="A927" s="15"/>
      <c r="B927" s="15"/>
      <c r="C927" s="16"/>
      <c r="D927" s="16"/>
      <c r="E927" s="16"/>
      <c r="F927" s="16"/>
      <c r="G927" s="15"/>
      <c r="H927" s="15"/>
      <c r="I927" s="158"/>
    </row>
    <row r="928" spans="1:9" ht="15.75">
      <c r="A928" s="15"/>
      <c r="B928" s="15"/>
      <c r="C928" s="16"/>
      <c r="D928" s="16"/>
      <c r="E928" s="16"/>
      <c r="F928" s="16"/>
      <c r="G928" s="15"/>
      <c r="H928" s="15"/>
      <c r="I928" s="158"/>
    </row>
    <row r="929" spans="1:9" ht="15.75">
      <c r="A929" s="15"/>
      <c r="B929" s="15"/>
      <c r="C929" s="16"/>
      <c r="D929" s="16"/>
      <c r="E929" s="16"/>
      <c r="F929" s="16"/>
      <c r="G929" s="15"/>
      <c r="H929" s="15"/>
      <c r="I929" s="158"/>
    </row>
    <row r="930" spans="1:9" ht="15.75">
      <c r="A930" s="15"/>
      <c r="B930" s="15"/>
      <c r="C930" s="16"/>
      <c r="D930" s="16"/>
      <c r="E930" s="16"/>
      <c r="F930" s="16"/>
      <c r="G930" s="15"/>
      <c r="H930" s="15"/>
      <c r="I930" s="158"/>
    </row>
    <row r="931" spans="3:6" ht="15.75">
      <c r="C931" s="17"/>
      <c r="D931" s="17"/>
      <c r="E931" s="17"/>
      <c r="F931" s="17"/>
    </row>
    <row r="932" spans="3:6" ht="15.75">
      <c r="C932" s="17"/>
      <c r="D932" s="17"/>
      <c r="E932" s="17"/>
      <c r="F932" s="17"/>
    </row>
    <row r="933" spans="3:6" ht="15.75">
      <c r="C933" s="17"/>
      <c r="D933" s="17"/>
      <c r="E933" s="17"/>
      <c r="F933" s="17"/>
    </row>
    <row r="934" spans="3:6" ht="15.75">
      <c r="C934" s="17"/>
      <c r="D934" s="17"/>
      <c r="E934" s="17"/>
      <c r="F934" s="17"/>
    </row>
    <row r="935" spans="3:6" ht="15.75">
      <c r="C935" s="17"/>
      <c r="D935" s="17"/>
      <c r="E935" s="17"/>
      <c r="F935" s="17"/>
    </row>
    <row r="936" spans="3:6" ht="15.75">
      <c r="C936" s="17"/>
      <c r="D936" s="17"/>
      <c r="E936" s="17"/>
      <c r="F936" s="17"/>
    </row>
    <row r="937" spans="3:6" ht="15.75">
      <c r="C937" s="17"/>
      <c r="D937" s="17"/>
      <c r="E937" s="17"/>
      <c r="F937" s="17"/>
    </row>
    <row r="938" spans="3:6" ht="15.75">
      <c r="C938" s="17"/>
      <c r="D938" s="17"/>
      <c r="E938" s="17"/>
      <c r="F938" s="17"/>
    </row>
    <row r="939" spans="3:6" ht="15.75">
      <c r="C939" s="17"/>
      <c r="D939" s="17"/>
      <c r="E939" s="17"/>
      <c r="F939" s="17"/>
    </row>
    <row r="940" spans="3:6" ht="15.75">
      <c r="C940" s="17"/>
      <c r="D940" s="17"/>
      <c r="E940" s="17"/>
      <c r="F940" s="17"/>
    </row>
    <row r="941" spans="3:6" ht="15.75">
      <c r="C941" s="17"/>
      <c r="D941" s="17"/>
      <c r="E941" s="17"/>
      <c r="F941" s="17"/>
    </row>
    <row r="942" spans="3:6" ht="15.75">
      <c r="C942" s="17"/>
      <c r="D942" s="17"/>
      <c r="E942" s="17"/>
      <c r="F942" s="17"/>
    </row>
    <row r="943" spans="3:6" ht="15.75">
      <c r="C943" s="17"/>
      <c r="D943" s="17"/>
      <c r="E943" s="17"/>
      <c r="F943" s="17"/>
    </row>
    <row r="944" spans="3:6" ht="15.75">
      <c r="C944" s="17"/>
      <c r="D944" s="17"/>
      <c r="E944" s="17"/>
      <c r="F944" s="17"/>
    </row>
    <row r="945" spans="3:6" ht="15.75">
      <c r="C945" s="17"/>
      <c r="D945" s="17"/>
      <c r="E945" s="17"/>
      <c r="F945" s="17"/>
    </row>
    <row r="946" spans="3:6" ht="15.75">
      <c r="C946" s="17"/>
      <c r="D946" s="17"/>
      <c r="E946" s="17"/>
      <c r="F946" s="17"/>
    </row>
    <row r="947" spans="3:6" ht="15.75">
      <c r="C947" s="17"/>
      <c r="D947" s="17"/>
      <c r="E947" s="17"/>
      <c r="F947" s="17"/>
    </row>
    <row r="948" spans="3:6" ht="15.75">
      <c r="C948" s="17"/>
      <c r="D948" s="17"/>
      <c r="E948" s="17"/>
      <c r="F948" s="17"/>
    </row>
    <row r="949" spans="3:6" ht="15.75">
      <c r="C949" s="17"/>
      <c r="D949" s="17"/>
      <c r="E949" s="17"/>
      <c r="F949" s="17"/>
    </row>
    <row r="950" spans="3:6" ht="15.75">
      <c r="C950" s="17"/>
      <c r="D950" s="17"/>
      <c r="E950" s="17"/>
      <c r="F950" s="17"/>
    </row>
    <row r="951" spans="3:6" ht="15.75">
      <c r="C951" s="17"/>
      <c r="D951" s="17"/>
      <c r="E951" s="17"/>
      <c r="F951" s="17"/>
    </row>
    <row r="952" spans="3:6" ht="15.75">
      <c r="C952" s="17"/>
      <c r="D952" s="17"/>
      <c r="E952" s="17"/>
      <c r="F952" s="17"/>
    </row>
    <row r="953" spans="3:6" ht="15.75">
      <c r="C953" s="17"/>
      <c r="D953" s="17"/>
      <c r="E953" s="17"/>
      <c r="F953" s="17"/>
    </row>
    <row r="954" spans="3:6" ht="15.75">
      <c r="C954" s="17"/>
      <c r="D954" s="17"/>
      <c r="E954" s="17"/>
      <c r="F954" s="17"/>
    </row>
    <row r="955" spans="3:6" ht="15.75">
      <c r="C955" s="17"/>
      <c r="D955" s="17"/>
      <c r="E955" s="17"/>
      <c r="F955" s="17"/>
    </row>
    <row r="956" spans="3:6" ht="15.75">
      <c r="C956" s="17"/>
      <c r="D956" s="17"/>
      <c r="E956" s="17"/>
      <c r="F956" s="17"/>
    </row>
    <row r="957" spans="3:6" ht="15.75">
      <c r="C957" s="17"/>
      <c r="D957" s="17"/>
      <c r="E957" s="17"/>
      <c r="F957" s="17"/>
    </row>
    <row r="958" spans="3:6" ht="15.75">
      <c r="C958" s="17"/>
      <c r="D958" s="17"/>
      <c r="E958" s="17"/>
      <c r="F958" s="17"/>
    </row>
    <row r="959" spans="3:6" ht="15.75">
      <c r="C959" s="17"/>
      <c r="D959" s="17"/>
      <c r="E959" s="17"/>
      <c r="F959" s="17"/>
    </row>
    <row r="960" spans="3:6" ht="15.75">
      <c r="C960" s="17"/>
      <c r="D960" s="17"/>
      <c r="E960" s="17"/>
      <c r="F960" s="17"/>
    </row>
    <row r="961" spans="3:6" ht="15.75">
      <c r="C961" s="17"/>
      <c r="D961" s="17"/>
      <c r="E961" s="17"/>
      <c r="F961" s="17"/>
    </row>
    <row r="962" spans="3:6" ht="15.75">
      <c r="C962" s="17"/>
      <c r="D962" s="17"/>
      <c r="E962" s="17"/>
      <c r="F962" s="17"/>
    </row>
    <row r="963" spans="3:6" ht="15.75">
      <c r="C963" s="17"/>
      <c r="D963" s="17"/>
      <c r="E963" s="17"/>
      <c r="F963" s="17"/>
    </row>
    <row r="964" spans="3:6" ht="15.75">
      <c r="C964" s="17"/>
      <c r="D964" s="17"/>
      <c r="E964" s="17"/>
      <c r="F964" s="17"/>
    </row>
    <row r="965" spans="3:6" ht="15.75">
      <c r="C965" s="17"/>
      <c r="D965" s="17"/>
      <c r="E965" s="17"/>
      <c r="F965" s="17"/>
    </row>
    <row r="966" spans="3:6" ht="15.75">
      <c r="C966" s="17"/>
      <c r="D966" s="17"/>
      <c r="E966" s="17"/>
      <c r="F966" s="17"/>
    </row>
    <row r="967" spans="3:6" ht="15.75">
      <c r="C967" s="17"/>
      <c r="D967" s="17"/>
      <c r="E967" s="17"/>
      <c r="F967" s="17"/>
    </row>
    <row r="968" spans="3:6" ht="15.75">
      <c r="C968" s="17"/>
      <c r="D968" s="17"/>
      <c r="E968" s="17"/>
      <c r="F968" s="17"/>
    </row>
    <row r="969" spans="3:6" ht="15.75">
      <c r="C969" s="17"/>
      <c r="D969" s="17"/>
      <c r="E969" s="17"/>
      <c r="F969" s="17"/>
    </row>
    <row r="970" spans="3:6" ht="15.75">
      <c r="C970" s="17"/>
      <c r="D970" s="17"/>
      <c r="E970" s="17"/>
      <c r="F970" s="17"/>
    </row>
    <row r="971" spans="3:6" ht="15.75">
      <c r="C971" s="17"/>
      <c r="D971" s="17"/>
      <c r="E971" s="17"/>
      <c r="F971" s="17"/>
    </row>
    <row r="972" spans="3:6" ht="15.75">
      <c r="C972" s="17"/>
      <c r="D972" s="17"/>
      <c r="E972" s="17"/>
      <c r="F972" s="17"/>
    </row>
    <row r="973" spans="3:6" ht="15.75">
      <c r="C973" s="17"/>
      <c r="D973" s="17"/>
      <c r="E973" s="17"/>
      <c r="F973" s="17"/>
    </row>
    <row r="974" spans="3:6" ht="15.75">
      <c r="C974" s="17"/>
      <c r="D974" s="17"/>
      <c r="E974" s="17"/>
      <c r="F974" s="17"/>
    </row>
    <row r="975" spans="3:6" ht="15.75">
      <c r="C975" s="17"/>
      <c r="D975" s="17"/>
      <c r="E975" s="17"/>
      <c r="F975" s="17"/>
    </row>
    <row r="976" spans="3:6" ht="15.75">
      <c r="C976" s="17"/>
      <c r="D976" s="17"/>
      <c r="E976" s="17"/>
      <c r="F976" s="17"/>
    </row>
    <row r="977" spans="3:6" ht="15.75">
      <c r="C977" s="17"/>
      <c r="D977" s="17"/>
      <c r="E977" s="17"/>
      <c r="F977" s="17"/>
    </row>
    <row r="978" spans="3:6" ht="15.75">
      <c r="C978" s="17"/>
      <c r="D978" s="17"/>
      <c r="E978" s="17"/>
      <c r="F978" s="17"/>
    </row>
    <row r="979" spans="3:6" ht="15.75">
      <c r="C979" s="17"/>
      <c r="D979" s="17"/>
      <c r="E979" s="17"/>
      <c r="F979" s="17"/>
    </row>
    <row r="980" spans="3:6" ht="15.75">
      <c r="C980" s="17"/>
      <c r="D980" s="17"/>
      <c r="E980" s="17"/>
      <c r="F980" s="17"/>
    </row>
    <row r="981" spans="3:6" ht="15.75">
      <c r="C981" s="17"/>
      <c r="D981" s="17"/>
      <c r="E981" s="17"/>
      <c r="F981" s="17"/>
    </row>
    <row r="982" spans="3:6" ht="15.75">
      <c r="C982" s="17"/>
      <c r="D982" s="17"/>
      <c r="E982" s="17"/>
      <c r="F982" s="17"/>
    </row>
    <row r="983" spans="3:6" ht="15.75">
      <c r="C983" s="17"/>
      <c r="D983" s="17"/>
      <c r="E983" s="17"/>
      <c r="F983" s="17"/>
    </row>
    <row r="984" spans="3:6" ht="15.75">
      <c r="C984" s="17"/>
      <c r="D984" s="17"/>
      <c r="E984" s="17"/>
      <c r="F984" s="17"/>
    </row>
    <row r="985" spans="3:6" ht="15.75">
      <c r="C985" s="17"/>
      <c r="D985" s="17"/>
      <c r="E985" s="17"/>
      <c r="F985" s="17"/>
    </row>
    <row r="986" spans="3:6" ht="15.75">
      <c r="C986" s="17"/>
      <c r="D986" s="17"/>
      <c r="E986" s="17"/>
      <c r="F986" s="17"/>
    </row>
    <row r="987" spans="3:6" ht="15.75">
      <c r="C987" s="17"/>
      <c r="D987" s="17"/>
      <c r="E987" s="17"/>
      <c r="F987" s="17"/>
    </row>
    <row r="988" spans="3:6" ht="15.75">
      <c r="C988" s="17"/>
      <c r="D988" s="17"/>
      <c r="E988" s="17"/>
      <c r="F988" s="17"/>
    </row>
    <row r="989" spans="3:6" ht="15.75">
      <c r="C989" s="17"/>
      <c r="D989" s="17"/>
      <c r="E989" s="17"/>
      <c r="F989" s="17"/>
    </row>
    <row r="990" spans="3:6" ht="15.75">
      <c r="C990" s="17"/>
      <c r="D990" s="17"/>
      <c r="E990" s="17"/>
      <c r="F990" s="17"/>
    </row>
    <row r="991" spans="3:6" ht="15.75">
      <c r="C991" s="17"/>
      <c r="D991" s="17"/>
      <c r="E991" s="17"/>
      <c r="F991" s="17"/>
    </row>
    <row r="992" spans="3:6" ht="15.75">
      <c r="C992" s="17"/>
      <c r="D992" s="17"/>
      <c r="E992" s="17"/>
      <c r="F992" s="17"/>
    </row>
    <row r="993" spans="3:6" ht="15.75">
      <c r="C993" s="17"/>
      <c r="D993" s="17"/>
      <c r="E993" s="17"/>
      <c r="F993" s="17"/>
    </row>
    <row r="994" spans="3:6" ht="15.75">
      <c r="C994" s="17"/>
      <c r="D994" s="17"/>
      <c r="E994" s="17"/>
      <c r="F994" s="17"/>
    </row>
    <row r="995" spans="3:6" ht="15.75">
      <c r="C995" s="17"/>
      <c r="D995" s="17"/>
      <c r="E995" s="17"/>
      <c r="F995" s="17"/>
    </row>
    <row r="996" spans="3:6" ht="15.75">
      <c r="C996" s="17"/>
      <c r="D996" s="17"/>
      <c r="E996" s="17"/>
      <c r="F996" s="17"/>
    </row>
    <row r="997" spans="3:6" ht="15.75">
      <c r="C997" s="17"/>
      <c r="D997" s="17"/>
      <c r="E997" s="17"/>
      <c r="F997" s="17"/>
    </row>
  </sheetData>
  <sheetProtection/>
  <mergeCells count="13">
    <mergeCell ref="E1:F1"/>
    <mergeCell ref="G1:H1"/>
    <mergeCell ref="E2:H2"/>
    <mergeCell ref="F589:F590"/>
    <mergeCell ref="G589:G590"/>
    <mergeCell ref="H589:H590"/>
    <mergeCell ref="C589:C590"/>
    <mergeCell ref="D589:D590"/>
    <mergeCell ref="E589:E590"/>
    <mergeCell ref="I589:I590"/>
    <mergeCell ref="A5:I5"/>
    <mergeCell ref="E3:H3"/>
    <mergeCell ref="B589:B590"/>
  </mergeCells>
  <printOptions horizontalCentered="1"/>
  <pageMargins left="0.63" right="0.29" top="0.19" bottom="0.23" header="0.19" footer="0.23"/>
  <pageSetup fitToHeight="50" fitToWidth="1" horizontalDpi="600" verticalDpi="600" orientation="portrait" paperSize="9" scale="63" r:id="rId1"/>
  <headerFooter alignWithMargins="0">
    <oddFooter>&amp;CСтраница &amp;P&amp;R&amp;A</oddFooter>
  </headerFooter>
</worksheet>
</file>

<file path=xl/worksheets/sheet4.xml><?xml version="1.0" encoding="utf-8"?>
<worksheet xmlns="http://schemas.openxmlformats.org/spreadsheetml/2006/main" xmlns:r="http://schemas.openxmlformats.org/officeDocument/2006/relationships">
  <sheetPr>
    <tabColor indexed="13"/>
    <pageSetUpPr fitToPage="1"/>
  </sheetPr>
  <dimension ref="A1:H301"/>
  <sheetViews>
    <sheetView zoomScalePageLayoutView="0" workbookViewId="0" topLeftCell="A1">
      <selection activeCell="A5" sqref="A5:F5"/>
    </sheetView>
  </sheetViews>
  <sheetFormatPr defaultColWidth="9.00390625" defaultRowHeight="12.75"/>
  <cols>
    <col min="1" max="1" width="39.00390625" style="10" customWidth="1"/>
    <col min="2" max="3" width="12.75390625" style="10" customWidth="1"/>
    <col min="4" max="4" width="19.75390625" style="24" customWidth="1"/>
    <col min="5" max="5" width="21.00390625" style="24" customWidth="1"/>
    <col min="6" max="6" width="21.375" style="10" customWidth="1"/>
    <col min="7" max="7" width="23.625" style="10" bestFit="1" customWidth="1"/>
    <col min="8" max="8" width="21.125" style="10" bestFit="1" customWidth="1"/>
    <col min="9" max="16384" width="9.125" style="10" customWidth="1"/>
  </cols>
  <sheetData>
    <row r="1" spans="1:7" ht="15.75">
      <c r="A1" s="296" t="s">
        <v>988</v>
      </c>
      <c r="B1" s="296"/>
      <c r="C1" s="296"/>
      <c r="D1" s="296"/>
      <c r="E1" s="296"/>
      <c r="F1" s="296"/>
      <c r="G1" s="28"/>
    </row>
    <row r="2" spans="1:7" ht="15.75">
      <c r="A2" s="296" t="s">
        <v>686</v>
      </c>
      <c r="B2" s="296"/>
      <c r="C2" s="296"/>
      <c r="D2" s="296"/>
      <c r="E2" s="296"/>
      <c r="F2" s="296"/>
      <c r="G2" s="28"/>
    </row>
    <row r="3" spans="1:7" ht="15.75">
      <c r="A3" s="296" t="s">
        <v>999</v>
      </c>
      <c r="B3" s="296"/>
      <c r="C3" s="296"/>
      <c r="D3" s="296"/>
      <c r="E3" s="296"/>
      <c r="F3" s="296"/>
      <c r="G3" s="28"/>
    </row>
    <row r="4" spans="1:5" ht="15.75">
      <c r="A4" s="28"/>
      <c r="B4" s="28"/>
      <c r="C4" s="28"/>
      <c r="D4" s="28"/>
      <c r="E4" s="28"/>
    </row>
    <row r="5" spans="1:6" ht="15.75">
      <c r="A5" s="307" t="s">
        <v>924</v>
      </c>
      <c r="B5" s="307"/>
      <c r="C5" s="307"/>
      <c r="D5" s="307"/>
      <c r="E5" s="307"/>
      <c r="F5" s="307"/>
    </row>
    <row r="6" spans="1:6" ht="15.75">
      <c r="A6" s="307" t="s">
        <v>921</v>
      </c>
      <c r="B6" s="307"/>
      <c r="C6" s="307"/>
      <c r="D6" s="307"/>
      <c r="E6" s="307"/>
      <c r="F6" s="307"/>
    </row>
    <row r="7" spans="4:6" ht="15.75">
      <c r="D7" s="37"/>
      <c r="E7" s="37"/>
      <c r="F7" s="37"/>
    </row>
    <row r="8" spans="1:6" ht="31.5">
      <c r="A8" s="13" t="s">
        <v>697</v>
      </c>
      <c r="B8" s="13" t="s">
        <v>619</v>
      </c>
      <c r="C8" s="13" t="s">
        <v>620</v>
      </c>
      <c r="D8" s="13" t="s">
        <v>359</v>
      </c>
      <c r="E8" s="13" t="s">
        <v>922</v>
      </c>
      <c r="F8" s="149" t="s">
        <v>360</v>
      </c>
    </row>
    <row r="9" spans="1:6" ht="15.75">
      <c r="A9" s="13">
        <v>1</v>
      </c>
      <c r="B9" s="13">
        <v>2</v>
      </c>
      <c r="C9" s="13">
        <v>3</v>
      </c>
      <c r="D9" s="13">
        <v>4</v>
      </c>
      <c r="E9" s="13">
        <v>5</v>
      </c>
      <c r="F9" s="159">
        <v>6</v>
      </c>
    </row>
    <row r="10" spans="1:8" s="38" customFormat="1" ht="20.25">
      <c r="A10" s="48" t="s">
        <v>717</v>
      </c>
      <c r="B10" s="50" t="s">
        <v>698</v>
      </c>
      <c r="C10" s="50" t="s">
        <v>728</v>
      </c>
      <c r="D10" s="52">
        <f>SUM(D11:D16)</f>
        <v>178981993.16000003</v>
      </c>
      <c r="E10" s="52">
        <f>SUM(E11:E16)</f>
        <v>174500921.99</v>
      </c>
      <c r="F10" s="52">
        <f>ROUND(E10/D10*100,2)</f>
        <v>97.5</v>
      </c>
      <c r="G10" s="64"/>
      <c r="H10" s="64"/>
    </row>
    <row r="11" spans="1:6" s="38" customFormat="1" ht="63">
      <c r="A11" s="164" t="s">
        <v>427</v>
      </c>
      <c r="B11" s="61" t="s">
        <v>698</v>
      </c>
      <c r="C11" s="61" t="s">
        <v>703</v>
      </c>
      <c r="D11" s="165">
        <f>прил3!G11</f>
        <v>1976885</v>
      </c>
      <c r="E11" s="165">
        <f>прил3!H11</f>
        <v>1938934.43</v>
      </c>
      <c r="F11" s="165">
        <f aca="true" t="shared" si="0" ref="F11:F53">ROUND(E11/D11*100,2)</f>
        <v>98.08</v>
      </c>
    </row>
    <row r="12" spans="1:6" ht="78.75">
      <c r="A12" s="164" t="s">
        <v>385</v>
      </c>
      <c r="B12" s="61" t="s">
        <v>698</v>
      </c>
      <c r="C12" s="61" t="s">
        <v>705</v>
      </c>
      <c r="D12" s="165">
        <f>прил3!G17</f>
        <v>5320221.999999999</v>
      </c>
      <c r="E12" s="165">
        <f>прил3!H17</f>
        <v>5312722</v>
      </c>
      <c r="F12" s="165">
        <f t="shared" si="0"/>
        <v>99.86</v>
      </c>
    </row>
    <row r="13" spans="1:6" ht="94.5">
      <c r="A13" s="164" t="s">
        <v>374</v>
      </c>
      <c r="B13" s="61" t="s">
        <v>698</v>
      </c>
      <c r="C13" s="61" t="s">
        <v>708</v>
      </c>
      <c r="D13" s="165">
        <f>прил3!G45+прил3!G201+прил3!G410+прил3!G445+прил3!G606</f>
        <v>70446841</v>
      </c>
      <c r="E13" s="165">
        <f>прил3!H45+прил3!H201+прил3!H410+прил3!H445+прил3!H606</f>
        <v>70327383.88000001</v>
      </c>
      <c r="F13" s="165">
        <f t="shared" si="0"/>
        <v>99.83</v>
      </c>
    </row>
    <row r="14" spans="1:6" ht="78.75">
      <c r="A14" s="164" t="s">
        <v>741</v>
      </c>
      <c r="B14" s="61" t="s">
        <v>698</v>
      </c>
      <c r="C14" s="61" t="s">
        <v>699</v>
      </c>
      <c r="D14" s="165">
        <f>прил3!G753</f>
        <v>3411886</v>
      </c>
      <c r="E14" s="165">
        <f>прил3!H753</f>
        <v>3391366.25</v>
      </c>
      <c r="F14" s="165">
        <f t="shared" si="0"/>
        <v>99.4</v>
      </c>
    </row>
    <row r="15" spans="1:6" ht="15.75">
      <c r="A15" s="164" t="s">
        <v>726</v>
      </c>
      <c r="B15" s="61" t="s">
        <v>698</v>
      </c>
      <c r="C15" s="61" t="s">
        <v>528</v>
      </c>
      <c r="D15" s="166">
        <f>прил3!G57</f>
        <v>100000</v>
      </c>
      <c r="E15" s="166">
        <f>прил3!H57</f>
        <v>0</v>
      </c>
      <c r="F15" s="166">
        <f t="shared" si="0"/>
        <v>0</v>
      </c>
    </row>
    <row r="16" spans="1:6" ht="31.5">
      <c r="A16" s="164" t="s">
        <v>727</v>
      </c>
      <c r="B16" s="61" t="s">
        <v>698</v>
      </c>
      <c r="C16" s="61" t="s">
        <v>377</v>
      </c>
      <c r="D16" s="165">
        <f>прил3!G28+прил3!G75+прил3!G211+прил3!G421+прил3!G457+прил3!G616+прил3!G762</f>
        <v>97726159.16000001</v>
      </c>
      <c r="E16" s="165">
        <f>прил3!H28+прил3!H75+прил3!H211+прил3!H421+прил3!H457+прил3!H616+прил3!H762</f>
        <v>93530515.43</v>
      </c>
      <c r="F16" s="165">
        <f t="shared" si="0"/>
        <v>95.71</v>
      </c>
    </row>
    <row r="17" spans="1:8" ht="56.25">
      <c r="A17" s="167" t="s">
        <v>718</v>
      </c>
      <c r="B17" s="50" t="s">
        <v>705</v>
      </c>
      <c r="C17" s="50" t="s">
        <v>728</v>
      </c>
      <c r="D17" s="52">
        <f>SUM(D18:D20)</f>
        <v>54058734</v>
      </c>
      <c r="E17" s="52">
        <f>SUM(E18:E20)</f>
        <v>51610729.24</v>
      </c>
      <c r="F17" s="52">
        <f t="shared" si="0"/>
        <v>95.47</v>
      </c>
      <c r="G17" s="24"/>
      <c r="H17" s="64"/>
    </row>
    <row r="18" spans="1:6" ht="15.75">
      <c r="A18" s="164" t="s">
        <v>378</v>
      </c>
      <c r="B18" s="61" t="s">
        <v>705</v>
      </c>
      <c r="C18" s="61" t="s">
        <v>708</v>
      </c>
      <c r="D18" s="165">
        <f>прил3!G132</f>
        <v>2235400.0000000005</v>
      </c>
      <c r="E18" s="165">
        <f>прил3!H132</f>
        <v>2234267.5000000005</v>
      </c>
      <c r="F18" s="165">
        <f t="shared" si="0"/>
        <v>99.95</v>
      </c>
    </row>
    <row r="19" spans="1:6" ht="63">
      <c r="A19" s="164" t="s">
        <v>417</v>
      </c>
      <c r="B19" s="61" t="s">
        <v>705</v>
      </c>
      <c r="C19" s="61" t="s">
        <v>704</v>
      </c>
      <c r="D19" s="165">
        <f>прил3!G138+прил3!G260</f>
        <v>50972686</v>
      </c>
      <c r="E19" s="165">
        <f>прил3!H138+прил3!H260</f>
        <v>48525813.74</v>
      </c>
      <c r="F19" s="165">
        <f t="shared" si="0"/>
        <v>95.2</v>
      </c>
    </row>
    <row r="20" spans="1:6" ht="47.25">
      <c r="A20" s="164" t="s">
        <v>731</v>
      </c>
      <c r="B20" s="61" t="s">
        <v>705</v>
      </c>
      <c r="C20" s="61" t="s">
        <v>683</v>
      </c>
      <c r="D20" s="165">
        <f>прил3!G464</f>
        <v>850648</v>
      </c>
      <c r="E20" s="165">
        <f>прил3!H464</f>
        <v>850648</v>
      </c>
      <c r="F20" s="165">
        <f t="shared" si="0"/>
        <v>100</v>
      </c>
    </row>
    <row r="21" spans="1:8" ht="20.25">
      <c r="A21" s="167" t="s">
        <v>719</v>
      </c>
      <c r="B21" s="50" t="s">
        <v>708</v>
      </c>
      <c r="C21" s="50" t="s">
        <v>728</v>
      </c>
      <c r="D21" s="52">
        <f>SUM(D22:D25)</f>
        <v>178074830.76999998</v>
      </c>
      <c r="E21" s="52">
        <f>SUM(E22:E25)</f>
        <v>176487752.33999997</v>
      </c>
      <c r="F21" s="52">
        <f t="shared" si="0"/>
        <v>99.11</v>
      </c>
      <c r="G21" s="24"/>
      <c r="H21" s="64"/>
    </row>
    <row r="22" spans="1:6" ht="15.75">
      <c r="A22" s="168" t="s">
        <v>720</v>
      </c>
      <c r="B22" s="61" t="s">
        <v>708</v>
      </c>
      <c r="C22" s="61" t="s">
        <v>702</v>
      </c>
      <c r="D22" s="165">
        <f>прил3!G154</f>
        <v>33466000</v>
      </c>
      <c r="E22" s="165">
        <f>прил3!H154</f>
        <v>33457637.75</v>
      </c>
      <c r="F22" s="165">
        <f t="shared" si="0"/>
        <v>99.98</v>
      </c>
    </row>
    <row r="23" spans="1:6" ht="31.5">
      <c r="A23" s="164" t="s">
        <v>675</v>
      </c>
      <c r="B23" s="61" t="s">
        <v>708</v>
      </c>
      <c r="C23" s="61" t="s">
        <v>704</v>
      </c>
      <c r="D23" s="165">
        <f>прил3!G272</f>
        <v>110684834.13999999</v>
      </c>
      <c r="E23" s="165">
        <f>прил3!H272</f>
        <v>109816971.02999999</v>
      </c>
      <c r="F23" s="165">
        <f t="shared" si="0"/>
        <v>99.22</v>
      </c>
    </row>
    <row r="24" spans="1:6" ht="15.75">
      <c r="A24" s="164" t="s">
        <v>372</v>
      </c>
      <c r="B24" s="61" t="s">
        <v>708</v>
      </c>
      <c r="C24" s="61" t="s">
        <v>706</v>
      </c>
      <c r="D24" s="165">
        <f>прил3!G38+прил3!G161+прил3!G282+прил3!G432+прил3!G470+прил3!G623+прил3!G769</f>
        <v>24167359.27</v>
      </c>
      <c r="E24" s="165">
        <f>прил3!H38+прил3!H161+прил3!H282+прил3!H432+прил3!H470+прил3!H623+прил3!H769</f>
        <v>23571730.04</v>
      </c>
      <c r="F24" s="165">
        <f t="shared" si="0"/>
        <v>97.54</v>
      </c>
    </row>
    <row r="25" spans="1:6" s="14" customFormat="1" ht="31.5">
      <c r="A25" s="164" t="s">
        <v>721</v>
      </c>
      <c r="B25" s="61" t="s">
        <v>708</v>
      </c>
      <c r="C25" s="61" t="s">
        <v>375</v>
      </c>
      <c r="D25" s="165">
        <f>прил3!G174+прил3!G287</f>
        <v>9756637.36</v>
      </c>
      <c r="E25" s="165">
        <f>прил3!H174+прил3!H287</f>
        <v>9641413.519999998</v>
      </c>
      <c r="F25" s="165">
        <f t="shared" si="0"/>
        <v>98.82</v>
      </c>
    </row>
    <row r="26" spans="1:8" s="14" customFormat="1" ht="37.5">
      <c r="A26" s="167" t="s">
        <v>707</v>
      </c>
      <c r="B26" s="50" t="s">
        <v>700</v>
      </c>
      <c r="C26" s="50" t="s">
        <v>728</v>
      </c>
      <c r="D26" s="52">
        <f>SUM(D27:D30)</f>
        <v>201861462.12</v>
      </c>
      <c r="E26" s="52">
        <f>SUM(E27:E30)</f>
        <v>198393347.06</v>
      </c>
      <c r="F26" s="52">
        <f t="shared" si="0"/>
        <v>98.28</v>
      </c>
      <c r="G26" s="43"/>
      <c r="H26" s="64"/>
    </row>
    <row r="27" spans="1:6" s="14" customFormat="1" ht="15.75">
      <c r="A27" s="164" t="s">
        <v>713</v>
      </c>
      <c r="B27" s="61" t="s">
        <v>700</v>
      </c>
      <c r="C27" s="61" t="s">
        <v>698</v>
      </c>
      <c r="D27" s="165">
        <f>прил3!G303</f>
        <v>34102704.44</v>
      </c>
      <c r="E27" s="165">
        <f>прил3!H303</f>
        <v>31266871.47</v>
      </c>
      <c r="F27" s="165">
        <f t="shared" si="0"/>
        <v>91.68</v>
      </c>
    </row>
    <row r="28" spans="1:6" s="14" customFormat="1" ht="15.75">
      <c r="A28" s="164" t="s">
        <v>373</v>
      </c>
      <c r="B28" s="61" t="s">
        <v>700</v>
      </c>
      <c r="C28" s="61" t="s">
        <v>703</v>
      </c>
      <c r="D28" s="165">
        <f>прил3!G321</f>
        <v>36051441.45</v>
      </c>
      <c r="E28" s="165">
        <f>прил3!H321</f>
        <v>36050361.77</v>
      </c>
      <c r="F28" s="165">
        <f t="shared" si="0"/>
        <v>100</v>
      </c>
    </row>
    <row r="29" spans="1:6" s="14" customFormat="1" ht="15.75">
      <c r="A29" s="169" t="s">
        <v>684</v>
      </c>
      <c r="B29" s="61" t="s">
        <v>700</v>
      </c>
      <c r="C29" s="61" t="s">
        <v>705</v>
      </c>
      <c r="D29" s="165">
        <f>прил3!G333</f>
        <v>36075022.67</v>
      </c>
      <c r="E29" s="165">
        <f>прил3!H333</f>
        <v>35972245.980000004</v>
      </c>
      <c r="F29" s="165">
        <f t="shared" si="0"/>
        <v>99.72</v>
      </c>
    </row>
    <row r="30" spans="1:6" s="14" customFormat="1" ht="31.5">
      <c r="A30" s="164" t="s">
        <v>725</v>
      </c>
      <c r="B30" s="61" t="s">
        <v>700</v>
      </c>
      <c r="C30" s="61" t="s">
        <v>700</v>
      </c>
      <c r="D30" s="165">
        <f>прил3!G352</f>
        <v>95632293.56</v>
      </c>
      <c r="E30" s="165">
        <f>прил3!H352</f>
        <v>95103867.84</v>
      </c>
      <c r="F30" s="165">
        <f t="shared" si="0"/>
        <v>99.45</v>
      </c>
    </row>
    <row r="31" spans="1:8" s="14" customFormat="1" ht="26.25" customHeight="1">
      <c r="A31" s="48" t="s">
        <v>386</v>
      </c>
      <c r="B31" s="50" t="s">
        <v>699</v>
      </c>
      <c r="C31" s="50" t="s">
        <v>728</v>
      </c>
      <c r="D31" s="52">
        <f>SUM(D32:D33)</f>
        <v>859086.3700000001</v>
      </c>
      <c r="E31" s="52">
        <f>SUM(E32:E33)</f>
        <v>859086.3700000001</v>
      </c>
      <c r="F31" s="52">
        <f t="shared" si="0"/>
        <v>100</v>
      </c>
      <c r="G31" s="43"/>
      <c r="H31" s="64"/>
    </row>
    <row r="32" spans="1:6" s="14" customFormat="1" ht="31.5">
      <c r="A32" s="164" t="s">
        <v>638</v>
      </c>
      <c r="B32" s="61" t="s">
        <v>699</v>
      </c>
      <c r="C32" s="61" t="s">
        <v>705</v>
      </c>
      <c r="D32" s="165">
        <f>прил3!G369</f>
        <v>310168.31</v>
      </c>
      <c r="E32" s="165">
        <f>прил3!H369</f>
        <v>310168.31</v>
      </c>
      <c r="F32" s="165">
        <f t="shared" si="0"/>
        <v>100</v>
      </c>
    </row>
    <row r="33" spans="1:6" s="14" customFormat="1" ht="31.5">
      <c r="A33" s="164" t="s">
        <v>387</v>
      </c>
      <c r="B33" s="61" t="s">
        <v>699</v>
      </c>
      <c r="C33" s="61" t="s">
        <v>700</v>
      </c>
      <c r="D33" s="165">
        <f>прил3!G373</f>
        <v>548918.06</v>
      </c>
      <c r="E33" s="165">
        <f>прил3!H373</f>
        <v>548918.06</v>
      </c>
      <c r="F33" s="165">
        <f t="shared" si="0"/>
        <v>100</v>
      </c>
    </row>
    <row r="34" spans="1:8" s="14" customFormat="1" ht="20.25">
      <c r="A34" s="167" t="s">
        <v>709</v>
      </c>
      <c r="B34" s="50" t="s">
        <v>701</v>
      </c>
      <c r="C34" s="50" t="s">
        <v>728</v>
      </c>
      <c r="D34" s="52">
        <f>SUM(D35:D38)</f>
        <v>1628015285</v>
      </c>
      <c r="E34" s="52">
        <f>SUM(E35:E38)</f>
        <v>1509318640.96</v>
      </c>
      <c r="F34" s="52">
        <f t="shared" si="0"/>
        <v>92.71</v>
      </c>
      <c r="G34" s="43"/>
      <c r="H34" s="64"/>
    </row>
    <row r="35" spans="1:6" s="14" customFormat="1" ht="15.75">
      <c r="A35" s="164" t="s">
        <v>710</v>
      </c>
      <c r="B35" s="61" t="s">
        <v>701</v>
      </c>
      <c r="C35" s="61" t="s">
        <v>698</v>
      </c>
      <c r="D35" s="165">
        <f>прил3!G378+прил3!G477</f>
        <v>635864065.0799999</v>
      </c>
      <c r="E35" s="165">
        <f>прил3!H378+прил3!H477</f>
        <v>616396064.24</v>
      </c>
      <c r="F35" s="165">
        <f t="shared" si="0"/>
        <v>96.94</v>
      </c>
    </row>
    <row r="36" spans="1:6" s="14" customFormat="1" ht="15.75">
      <c r="A36" s="164" t="s">
        <v>711</v>
      </c>
      <c r="B36" s="61" t="s">
        <v>701</v>
      </c>
      <c r="C36" s="61" t="s">
        <v>703</v>
      </c>
      <c r="D36" s="165">
        <f>прил3!G385+прил3!G500+прил3!G630</f>
        <v>872336398.1500001</v>
      </c>
      <c r="E36" s="165">
        <f>прил3!H385+прил3!H500+прил3!H630</f>
        <v>773211318.1800001</v>
      </c>
      <c r="F36" s="165">
        <f t="shared" si="0"/>
        <v>88.64</v>
      </c>
    </row>
    <row r="37" spans="1:6" s="14" customFormat="1" ht="31.5">
      <c r="A37" s="164" t="s">
        <v>418</v>
      </c>
      <c r="B37" s="61" t="s">
        <v>701</v>
      </c>
      <c r="C37" s="61" t="s">
        <v>701</v>
      </c>
      <c r="D37" s="165">
        <f>прил3!G525+прил3!G652</f>
        <v>30606596</v>
      </c>
      <c r="E37" s="165">
        <f>прил3!H525+прил3!H652</f>
        <v>30510038.77</v>
      </c>
      <c r="F37" s="165">
        <f t="shared" si="0"/>
        <v>99.68</v>
      </c>
    </row>
    <row r="38" spans="1:6" ht="31.5">
      <c r="A38" s="164" t="s">
        <v>722</v>
      </c>
      <c r="B38" s="61" t="s">
        <v>701</v>
      </c>
      <c r="C38" s="61" t="s">
        <v>704</v>
      </c>
      <c r="D38" s="165">
        <f>прил3!G532</f>
        <v>89208225.77</v>
      </c>
      <c r="E38" s="165">
        <f>прил3!H532</f>
        <v>89201219.77</v>
      </c>
      <c r="F38" s="165">
        <f t="shared" si="0"/>
        <v>99.99</v>
      </c>
    </row>
    <row r="39" spans="1:8" ht="20.25">
      <c r="A39" s="48" t="s">
        <v>381</v>
      </c>
      <c r="B39" s="50" t="s">
        <v>702</v>
      </c>
      <c r="C39" s="50" t="s">
        <v>728</v>
      </c>
      <c r="D39" s="52">
        <f>D40</f>
        <v>177564441.96000004</v>
      </c>
      <c r="E39" s="52">
        <f>E40</f>
        <v>177261341.62</v>
      </c>
      <c r="F39" s="52">
        <f t="shared" si="0"/>
        <v>99.83</v>
      </c>
      <c r="G39" s="24"/>
      <c r="H39" s="64"/>
    </row>
    <row r="40" spans="1:6" ht="15.75">
      <c r="A40" s="164" t="s">
        <v>723</v>
      </c>
      <c r="B40" s="61" t="s">
        <v>702</v>
      </c>
      <c r="C40" s="61" t="s">
        <v>698</v>
      </c>
      <c r="D40" s="165">
        <f>прил3!G675</f>
        <v>177564441.96000004</v>
      </c>
      <c r="E40" s="165">
        <f>прил3!H675</f>
        <v>177261341.62</v>
      </c>
      <c r="F40" s="165">
        <f t="shared" si="0"/>
        <v>99.83</v>
      </c>
    </row>
    <row r="41" spans="1:8" ht="20.25">
      <c r="A41" s="167" t="s">
        <v>712</v>
      </c>
      <c r="B41" s="50" t="s">
        <v>706</v>
      </c>
      <c r="C41" s="50" t="s">
        <v>728</v>
      </c>
      <c r="D41" s="52">
        <f>SUM(D42:D45)</f>
        <v>55787394.28</v>
      </c>
      <c r="E41" s="52">
        <f>SUM(E42:E45)</f>
        <v>54230526.77</v>
      </c>
      <c r="F41" s="52">
        <f t="shared" si="0"/>
        <v>97.21</v>
      </c>
      <c r="G41" s="24"/>
      <c r="H41" s="64"/>
    </row>
    <row r="42" spans="1:6" ht="15.75">
      <c r="A42" s="164" t="s">
        <v>729</v>
      </c>
      <c r="B42" s="61" t="s">
        <v>706</v>
      </c>
      <c r="C42" s="61" t="s">
        <v>698</v>
      </c>
      <c r="D42" s="165">
        <f>прил3!G180</f>
        <v>1335000</v>
      </c>
      <c r="E42" s="165">
        <f>прил3!H180</f>
        <v>1154282.55</v>
      </c>
      <c r="F42" s="165">
        <f t="shared" si="0"/>
        <v>86.46</v>
      </c>
    </row>
    <row r="43" spans="1:6" ht="15.75">
      <c r="A43" s="164" t="s">
        <v>724</v>
      </c>
      <c r="B43" s="61" t="s">
        <v>706</v>
      </c>
      <c r="C43" s="61" t="s">
        <v>705</v>
      </c>
      <c r="D43" s="165">
        <f>прил3!G564+прил3!G727</f>
        <v>4951500</v>
      </c>
      <c r="E43" s="165">
        <f>прил3!H564+прил3!H727</f>
        <v>4115639.7800000003</v>
      </c>
      <c r="F43" s="165">
        <f t="shared" si="0"/>
        <v>83.12</v>
      </c>
    </row>
    <row r="44" spans="1:6" ht="15.75">
      <c r="A44" s="164" t="s">
        <v>737</v>
      </c>
      <c r="B44" s="61" t="s">
        <v>706</v>
      </c>
      <c r="C44" s="61" t="s">
        <v>708</v>
      </c>
      <c r="D44" s="165">
        <f>прил3!G184+прил3!G586</f>
        <v>41618900</v>
      </c>
      <c r="E44" s="165">
        <f>прил3!H184+прил3!H586</f>
        <v>41078610.160000004</v>
      </c>
      <c r="F44" s="165">
        <f t="shared" si="0"/>
        <v>98.7</v>
      </c>
    </row>
    <row r="45" spans="1:6" ht="31.5">
      <c r="A45" s="164" t="s">
        <v>732</v>
      </c>
      <c r="B45" s="61" t="s">
        <v>706</v>
      </c>
      <c r="C45" s="61" t="s">
        <v>699</v>
      </c>
      <c r="D45" s="165">
        <f>прил3!G393</f>
        <v>7881994.28</v>
      </c>
      <c r="E45" s="165">
        <f>прил3!H393</f>
        <v>7881994.28</v>
      </c>
      <c r="F45" s="165">
        <f t="shared" si="0"/>
        <v>100</v>
      </c>
    </row>
    <row r="46" spans="1:6" ht="15.75">
      <c r="A46" s="170" t="s">
        <v>525</v>
      </c>
      <c r="B46" s="50" t="s">
        <v>528</v>
      </c>
      <c r="C46" s="50" t="s">
        <v>728</v>
      </c>
      <c r="D46" s="52">
        <f>D47+D48</f>
        <v>4466800</v>
      </c>
      <c r="E46" s="52">
        <f>E47+E48</f>
        <v>4298128.92</v>
      </c>
      <c r="F46" s="52">
        <f t="shared" si="0"/>
        <v>96.22</v>
      </c>
    </row>
    <row r="47" spans="1:6" ht="15.75">
      <c r="A47" s="171" t="s">
        <v>370</v>
      </c>
      <c r="B47" s="61" t="s">
        <v>528</v>
      </c>
      <c r="C47" s="61" t="s">
        <v>698</v>
      </c>
      <c r="D47" s="165">
        <f>прил3!G399+прил3!G740</f>
        <v>4394800</v>
      </c>
      <c r="E47" s="165">
        <f>прил3!H399+прил3!H740</f>
        <v>4283752.84</v>
      </c>
      <c r="F47" s="165">
        <f t="shared" si="0"/>
        <v>97.47</v>
      </c>
    </row>
    <row r="48" spans="1:6" ht="31.5">
      <c r="A48" s="171" t="s">
        <v>782</v>
      </c>
      <c r="B48" s="61" t="s">
        <v>528</v>
      </c>
      <c r="C48" s="61" t="s">
        <v>700</v>
      </c>
      <c r="D48" s="165">
        <f>прил3!G745</f>
        <v>72000</v>
      </c>
      <c r="E48" s="165">
        <f>прил3!H745</f>
        <v>14376.08</v>
      </c>
      <c r="F48" s="165">
        <f t="shared" si="0"/>
        <v>19.97</v>
      </c>
    </row>
    <row r="49" spans="1:6" ht="15.75">
      <c r="A49" s="48" t="s">
        <v>371</v>
      </c>
      <c r="B49" s="50" t="s">
        <v>375</v>
      </c>
      <c r="C49" s="50" t="s">
        <v>728</v>
      </c>
      <c r="D49" s="52">
        <f>D50</f>
        <v>3000000</v>
      </c>
      <c r="E49" s="52">
        <f>E50</f>
        <v>3000000</v>
      </c>
      <c r="F49" s="52">
        <f t="shared" si="0"/>
        <v>100</v>
      </c>
    </row>
    <row r="50" spans="1:6" ht="15.75">
      <c r="A50" s="164" t="s">
        <v>524</v>
      </c>
      <c r="B50" s="61" t="s">
        <v>375</v>
      </c>
      <c r="C50" s="61" t="s">
        <v>703</v>
      </c>
      <c r="D50" s="165">
        <f>прил3!G194</f>
        <v>3000000</v>
      </c>
      <c r="E50" s="165">
        <f>прил3!H194</f>
        <v>3000000</v>
      </c>
      <c r="F50" s="165">
        <f t="shared" si="0"/>
        <v>100</v>
      </c>
    </row>
    <row r="51" spans="1:6" ht="31.5">
      <c r="A51" s="48" t="s">
        <v>527</v>
      </c>
      <c r="B51" s="50" t="s">
        <v>377</v>
      </c>
      <c r="C51" s="50" t="s">
        <v>728</v>
      </c>
      <c r="D51" s="52">
        <f>D52</f>
        <v>2181603.07</v>
      </c>
      <c r="E51" s="52">
        <f>E52</f>
        <v>2180654.91</v>
      </c>
      <c r="F51" s="52">
        <f t="shared" si="0"/>
        <v>99.96</v>
      </c>
    </row>
    <row r="52" spans="1:6" ht="31.5">
      <c r="A52" s="164" t="s">
        <v>462</v>
      </c>
      <c r="B52" s="61" t="s">
        <v>377</v>
      </c>
      <c r="C52" s="61" t="s">
        <v>698</v>
      </c>
      <c r="D52" s="165">
        <f>прил3!G442</f>
        <v>2181603.07</v>
      </c>
      <c r="E52" s="165">
        <f>прил3!H442</f>
        <v>2180654.91</v>
      </c>
      <c r="F52" s="165">
        <f t="shared" si="0"/>
        <v>99.96</v>
      </c>
    </row>
    <row r="53" spans="1:6" ht="31.5" customHeight="1">
      <c r="A53" s="305" t="s">
        <v>923</v>
      </c>
      <c r="B53" s="306"/>
      <c r="C53" s="306"/>
      <c r="D53" s="172">
        <f>D10+D17+D21+D26+D31+D34+D39+D41+D46+D49+D51</f>
        <v>2484851630.7300005</v>
      </c>
      <c r="E53" s="172">
        <f>E10+E17+E21+E26+E31+E34+E39+E41+E46+E49+E51</f>
        <v>2352141130.18</v>
      </c>
      <c r="F53" s="172">
        <f t="shared" si="0"/>
        <v>94.66</v>
      </c>
    </row>
    <row r="54" spans="1:5" ht="15.75">
      <c r="A54" s="15"/>
      <c r="B54" s="16"/>
      <c r="C54" s="16"/>
      <c r="D54" s="39"/>
      <c r="E54" s="39"/>
    </row>
    <row r="55" spans="1:5" ht="15.75">
      <c r="A55" s="15"/>
      <c r="B55" s="16"/>
      <c r="C55" s="16"/>
      <c r="D55" s="39"/>
      <c r="E55" s="39"/>
    </row>
    <row r="56" spans="1:5" ht="15.75">
      <c r="A56" s="15"/>
      <c r="B56" s="16"/>
      <c r="C56" s="16"/>
      <c r="D56" s="39"/>
      <c r="E56" s="39"/>
    </row>
    <row r="57" spans="1:5" ht="15.75">
      <c r="A57" s="15"/>
      <c r="B57" s="16"/>
      <c r="C57" s="16"/>
      <c r="D57" s="39"/>
      <c r="E57" s="39"/>
    </row>
    <row r="58" spans="1:5" ht="15.75">
      <c r="A58" s="15"/>
      <c r="B58" s="16"/>
      <c r="C58" s="16"/>
      <c r="D58" s="39"/>
      <c r="E58" s="173"/>
    </row>
    <row r="59" spans="1:5" ht="15.75">
      <c r="A59" s="15"/>
      <c r="B59" s="16"/>
      <c r="C59" s="16"/>
      <c r="D59" s="39"/>
      <c r="E59" s="39"/>
    </row>
    <row r="60" spans="1:5" ht="15.75">
      <c r="A60" s="15"/>
      <c r="B60" s="16"/>
      <c r="C60" s="16"/>
      <c r="D60" s="39"/>
      <c r="E60" s="39"/>
    </row>
    <row r="61" spans="1:5" ht="15.75">
      <c r="A61" s="15"/>
      <c r="B61" s="16"/>
      <c r="C61" s="16"/>
      <c r="D61" s="39"/>
      <c r="E61" s="39"/>
    </row>
    <row r="62" spans="1:5" ht="15.75">
      <c r="A62" s="15"/>
      <c r="B62" s="16"/>
      <c r="C62" s="16"/>
      <c r="D62" s="39"/>
      <c r="E62" s="39"/>
    </row>
    <row r="63" spans="1:5" ht="15.75">
      <c r="A63" s="15"/>
      <c r="B63" s="16"/>
      <c r="C63" s="16"/>
      <c r="D63" s="39"/>
      <c r="E63" s="39"/>
    </row>
    <row r="64" spans="1:5" ht="15.75">
      <c r="A64" s="15"/>
      <c r="B64" s="16"/>
      <c r="C64" s="16"/>
      <c r="D64" s="39"/>
      <c r="E64" s="39"/>
    </row>
    <row r="65" spans="1:5" ht="15.75">
      <c r="A65" s="15"/>
      <c r="B65" s="16"/>
      <c r="C65" s="16"/>
      <c r="D65" s="39"/>
      <c r="E65" s="39"/>
    </row>
    <row r="66" spans="1:5" ht="15.75">
      <c r="A66" s="15"/>
      <c r="B66" s="16"/>
      <c r="C66" s="16"/>
      <c r="D66" s="39"/>
      <c r="E66" s="39"/>
    </row>
    <row r="67" spans="1:5" ht="15.75">
      <c r="A67" s="15"/>
      <c r="B67" s="16"/>
      <c r="C67" s="16"/>
      <c r="D67" s="39"/>
      <c r="E67" s="39"/>
    </row>
    <row r="68" spans="1:5" ht="15.75">
      <c r="A68" s="15"/>
      <c r="B68" s="16"/>
      <c r="C68" s="16"/>
      <c r="D68" s="39"/>
      <c r="E68" s="39"/>
    </row>
    <row r="69" spans="1:5" ht="15.75">
      <c r="A69" s="15"/>
      <c r="B69" s="16"/>
      <c r="C69" s="16"/>
      <c r="D69" s="39"/>
      <c r="E69" s="39"/>
    </row>
    <row r="70" spans="1:5" ht="15.75">
      <c r="A70" s="15"/>
      <c r="B70" s="16"/>
      <c r="C70" s="16"/>
      <c r="D70" s="39"/>
      <c r="E70" s="39"/>
    </row>
    <row r="71" spans="1:5" ht="15.75">
      <c r="A71" s="15"/>
      <c r="B71" s="16"/>
      <c r="C71" s="16"/>
      <c r="D71" s="39"/>
      <c r="E71" s="39"/>
    </row>
    <row r="72" spans="1:5" ht="15.75">
      <c r="A72" s="15"/>
      <c r="B72" s="16"/>
      <c r="C72" s="16"/>
      <c r="D72" s="39"/>
      <c r="E72" s="39"/>
    </row>
    <row r="73" spans="1:5" ht="15.75">
      <c r="A73" s="15"/>
      <c r="B73" s="16"/>
      <c r="C73" s="16"/>
      <c r="D73" s="39"/>
      <c r="E73" s="39"/>
    </row>
    <row r="74" spans="1:5" ht="15.75">
      <c r="A74" s="15"/>
      <c r="B74" s="16"/>
      <c r="C74" s="16"/>
      <c r="D74" s="39"/>
      <c r="E74" s="39"/>
    </row>
    <row r="75" spans="1:5" ht="15.75">
      <c r="A75" s="15"/>
      <c r="B75" s="16"/>
      <c r="C75" s="16"/>
      <c r="D75" s="39"/>
      <c r="E75" s="39"/>
    </row>
    <row r="76" spans="1:5" ht="15.75">
      <c r="A76" s="15"/>
      <c r="B76" s="16"/>
      <c r="C76" s="16"/>
      <c r="D76" s="39"/>
      <c r="E76" s="39"/>
    </row>
    <row r="77" spans="1:5" ht="15.75">
      <c r="A77" s="15"/>
      <c r="B77" s="16"/>
      <c r="C77" s="16"/>
      <c r="D77" s="39"/>
      <c r="E77" s="39"/>
    </row>
    <row r="78" spans="1:5" ht="15.75">
      <c r="A78" s="15"/>
      <c r="B78" s="16"/>
      <c r="C78" s="16"/>
      <c r="D78" s="39"/>
      <c r="E78" s="39"/>
    </row>
    <row r="79" spans="1:5" ht="15.75">
      <c r="A79" s="15"/>
      <c r="B79" s="16"/>
      <c r="C79" s="16"/>
      <c r="D79" s="39"/>
      <c r="E79" s="39"/>
    </row>
    <row r="80" spans="1:5" ht="15.75">
      <c r="A80" s="15"/>
      <c r="B80" s="16"/>
      <c r="C80" s="16"/>
      <c r="D80" s="39"/>
      <c r="E80" s="39"/>
    </row>
    <row r="81" spans="1:5" ht="15.75">
      <c r="A81" s="15"/>
      <c r="B81" s="16"/>
      <c r="C81" s="16"/>
      <c r="D81" s="39"/>
      <c r="E81" s="39"/>
    </row>
    <row r="82" spans="1:5" ht="15.75">
      <c r="A82" s="15"/>
      <c r="B82" s="16"/>
      <c r="C82" s="16"/>
      <c r="D82" s="39"/>
      <c r="E82" s="39"/>
    </row>
    <row r="83" spans="1:5" ht="15.75">
      <c r="A83" s="15"/>
      <c r="B83" s="16"/>
      <c r="C83" s="16"/>
      <c r="D83" s="39"/>
      <c r="E83" s="39"/>
    </row>
    <row r="84" spans="1:5" ht="15.75">
      <c r="A84" s="15"/>
      <c r="B84" s="16"/>
      <c r="C84" s="16"/>
      <c r="D84" s="39"/>
      <c r="E84" s="39"/>
    </row>
    <row r="85" spans="1:5" ht="15.75">
      <c r="A85" s="15"/>
      <c r="B85" s="16"/>
      <c r="C85" s="16"/>
      <c r="D85" s="39"/>
      <c r="E85" s="39"/>
    </row>
    <row r="86" spans="1:5" ht="15.75">
      <c r="A86" s="15"/>
      <c r="B86" s="16"/>
      <c r="C86" s="16"/>
      <c r="D86" s="39"/>
      <c r="E86" s="39"/>
    </row>
    <row r="87" spans="1:5" ht="15.75">
      <c r="A87" s="15"/>
      <c r="B87" s="16"/>
      <c r="C87" s="16"/>
      <c r="D87" s="39"/>
      <c r="E87" s="39"/>
    </row>
    <row r="88" spans="1:5" ht="15.75">
      <c r="A88" s="15"/>
      <c r="B88" s="16"/>
      <c r="C88" s="16"/>
      <c r="D88" s="39"/>
      <c r="E88" s="39"/>
    </row>
    <row r="89" spans="1:5" ht="15.75">
      <c r="A89" s="15"/>
      <c r="B89" s="16"/>
      <c r="C89" s="16"/>
      <c r="D89" s="39"/>
      <c r="E89" s="39"/>
    </row>
    <row r="90" spans="1:5" ht="15.75">
      <c r="A90" s="15"/>
      <c r="B90" s="16"/>
      <c r="C90" s="16"/>
      <c r="D90" s="39"/>
      <c r="E90" s="39"/>
    </row>
    <row r="91" spans="1:5" ht="15.75">
      <c r="A91" s="15"/>
      <c r="B91" s="16"/>
      <c r="C91" s="16"/>
      <c r="D91" s="39"/>
      <c r="E91" s="39"/>
    </row>
    <row r="92" spans="1:5" ht="15.75">
      <c r="A92" s="15"/>
      <c r="B92" s="16"/>
      <c r="C92" s="16"/>
      <c r="D92" s="39"/>
      <c r="E92" s="39"/>
    </row>
    <row r="93" spans="1:5" ht="15.75">
      <c r="A93" s="15"/>
      <c r="B93" s="16"/>
      <c r="C93" s="16"/>
      <c r="D93" s="39"/>
      <c r="E93" s="39"/>
    </row>
    <row r="94" spans="1:5" ht="15.75">
      <c r="A94" s="15"/>
      <c r="B94" s="16"/>
      <c r="C94" s="16"/>
      <c r="D94" s="39"/>
      <c r="E94" s="39"/>
    </row>
    <row r="95" spans="1:5" ht="15.75">
      <c r="A95" s="15"/>
      <c r="B95" s="16"/>
      <c r="C95" s="16"/>
      <c r="D95" s="39"/>
      <c r="E95" s="39"/>
    </row>
    <row r="96" spans="1:5" ht="15.75">
      <c r="A96" s="15"/>
      <c r="B96" s="16"/>
      <c r="C96" s="16"/>
      <c r="D96" s="39"/>
      <c r="E96" s="39"/>
    </row>
    <row r="97" spans="1:5" ht="15.75">
      <c r="A97" s="15"/>
      <c r="B97" s="16"/>
      <c r="C97" s="16"/>
      <c r="D97" s="39"/>
      <c r="E97" s="39"/>
    </row>
    <row r="98" spans="1:5" ht="15.75">
      <c r="A98" s="15"/>
      <c r="B98" s="16"/>
      <c r="C98" s="16"/>
      <c r="D98" s="39"/>
      <c r="E98" s="39"/>
    </row>
    <row r="99" spans="1:5" ht="15.75">
      <c r="A99" s="15"/>
      <c r="B99" s="16"/>
      <c r="C99" s="16"/>
      <c r="D99" s="39"/>
      <c r="E99" s="39"/>
    </row>
    <row r="100" spans="1:5" ht="15.75">
      <c r="A100" s="15"/>
      <c r="B100" s="16"/>
      <c r="C100" s="16"/>
      <c r="D100" s="39"/>
      <c r="E100" s="39"/>
    </row>
    <row r="101" spans="1:5" ht="15.75">
      <c r="A101" s="15"/>
      <c r="B101" s="16"/>
      <c r="C101" s="16"/>
      <c r="D101" s="39"/>
      <c r="E101" s="39"/>
    </row>
    <row r="102" spans="1:5" ht="15.75">
      <c r="A102" s="15"/>
      <c r="B102" s="16"/>
      <c r="C102" s="16"/>
      <c r="D102" s="39"/>
      <c r="E102" s="39"/>
    </row>
    <row r="103" spans="1:5" ht="15.75">
      <c r="A103" s="15"/>
      <c r="B103" s="16"/>
      <c r="C103" s="16"/>
      <c r="D103" s="39"/>
      <c r="E103" s="39"/>
    </row>
    <row r="104" spans="1:5" ht="15.75">
      <c r="A104" s="15"/>
      <c r="B104" s="16"/>
      <c r="C104" s="16"/>
      <c r="D104" s="39"/>
      <c r="E104" s="39"/>
    </row>
    <row r="105" spans="1:5" ht="15.75">
      <c r="A105" s="15"/>
      <c r="B105" s="16"/>
      <c r="C105" s="16"/>
      <c r="D105" s="39"/>
      <c r="E105" s="39"/>
    </row>
    <row r="106" spans="1:5" ht="15.75">
      <c r="A106" s="15"/>
      <c r="B106" s="16"/>
      <c r="C106" s="16"/>
      <c r="D106" s="39"/>
      <c r="E106" s="39"/>
    </row>
    <row r="107" spans="1:5" ht="15.75">
      <c r="A107" s="15"/>
      <c r="B107" s="16"/>
      <c r="C107" s="16"/>
      <c r="D107" s="39"/>
      <c r="E107" s="39"/>
    </row>
    <row r="108" spans="1:5" ht="15.75">
      <c r="A108" s="15"/>
      <c r="B108" s="16"/>
      <c r="C108" s="16"/>
      <c r="D108" s="39"/>
      <c r="E108" s="39"/>
    </row>
    <row r="109" spans="1:5" ht="15.75">
      <c r="A109" s="15"/>
      <c r="B109" s="16"/>
      <c r="C109" s="16"/>
      <c r="D109" s="39"/>
      <c r="E109" s="39"/>
    </row>
    <row r="110" spans="1:5" ht="15.75">
      <c r="A110" s="15"/>
      <c r="B110" s="16"/>
      <c r="C110" s="16"/>
      <c r="D110" s="39"/>
      <c r="E110" s="39"/>
    </row>
    <row r="111" spans="1:5" ht="15.75">
      <c r="A111" s="15"/>
      <c r="B111" s="16"/>
      <c r="C111" s="16"/>
      <c r="D111" s="39"/>
      <c r="E111" s="39"/>
    </row>
    <row r="112" spans="1:5" ht="15.75">
      <c r="A112" s="15"/>
      <c r="B112" s="16"/>
      <c r="C112" s="16"/>
      <c r="D112" s="39"/>
      <c r="E112" s="39"/>
    </row>
    <row r="113" spans="1:5" ht="15.75">
      <c r="A113" s="15"/>
      <c r="B113" s="16"/>
      <c r="C113" s="16"/>
      <c r="D113" s="39"/>
      <c r="E113" s="39"/>
    </row>
    <row r="114" spans="1:5" ht="15.75">
      <c r="A114" s="15"/>
      <c r="B114" s="16"/>
      <c r="C114" s="16"/>
      <c r="D114" s="39"/>
      <c r="E114" s="39"/>
    </row>
    <row r="115" spans="1:5" ht="15.75">
      <c r="A115" s="15"/>
      <c r="B115" s="16"/>
      <c r="C115" s="16"/>
      <c r="D115" s="39"/>
      <c r="E115" s="39"/>
    </row>
    <row r="116" spans="1:5" ht="15.75">
      <c r="A116" s="15"/>
      <c r="B116" s="16"/>
      <c r="C116" s="16"/>
      <c r="D116" s="39"/>
      <c r="E116" s="39"/>
    </row>
    <row r="117" spans="1:5" ht="15.75">
      <c r="A117" s="15"/>
      <c r="B117" s="16"/>
      <c r="C117" s="16"/>
      <c r="D117" s="39"/>
      <c r="E117" s="39"/>
    </row>
    <row r="118" spans="1:5" ht="15.75">
      <c r="A118" s="15"/>
      <c r="B118" s="16"/>
      <c r="C118" s="16"/>
      <c r="D118" s="39"/>
      <c r="E118" s="39"/>
    </row>
    <row r="119" spans="1:5" ht="15.75">
      <c r="A119" s="15"/>
      <c r="B119" s="16"/>
      <c r="C119" s="16"/>
      <c r="D119" s="39"/>
      <c r="E119" s="39"/>
    </row>
    <row r="120" spans="1:5" ht="15.75">
      <c r="A120" s="15"/>
      <c r="B120" s="16"/>
      <c r="C120" s="16"/>
      <c r="D120" s="39"/>
      <c r="E120" s="39"/>
    </row>
    <row r="121" spans="1:5" ht="15.75">
      <c r="A121" s="15"/>
      <c r="B121" s="16"/>
      <c r="C121" s="16"/>
      <c r="D121" s="39"/>
      <c r="E121" s="39"/>
    </row>
    <row r="122" spans="1:5" ht="15.75">
      <c r="A122" s="15"/>
      <c r="B122" s="16"/>
      <c r="C122" s="16"/>
      <c r="D122" s="39"/>
      <c r="E122" s="39"/>
    </row>
    <row r="123" spans="1:5" ht="15.75">
      <c r="A123" s="15"/>
      <c r="B123" s="16"/>
      <c r="C123" s="16"/>
      <c r="D123" s="39"/>
      <c r="E123" s="39"/>
    </row>
    <row r="124" spans="1:5" ht="15.75">
      <c r="A124" s="15"/>
      <c r="B124" s="16"/>
      <c r="C124" s="16"/>
      <c r="D124" s="39"/>
      <c r="E124" s="39"/>
    </row>
    <row r="125" spans="1:5" ht="15.75">
      <c r="A125" s="15"/>
      <c r="B125" s="16"/>
      <c r="C125" s="16"/>
      <c r="D125" s="39"/>
      <c r="E125" s="39"/>
    </row>
    <row r="126" spans="1:5" ht="15.75">
      <c r="A126" s="15"/>
      <c r="B126" s="16"/>
      <c r="C126" s="16"/>
      <c r="D126" s="39"/>
      <c r="E126" s="39"/>
    </row>
    <row r="127" spans="1:5" ht="15.75">
      <c r="A127" s="15"/>
      <c r="B127" s="16"/>
      <c r="C127" s="16"/>
      <c r="D127" s="39"/>
      <c r="E127" s="39"/>
    </row>
    <row r="128" spans="1:5" ht="15.75">
      <c r="A128" s="15"/>
      <c r="B128" s="16"/>
      <c r="C128" s="16"/>
      <c r="D128" s="39"/>
      <c r="E128" s="39"/>
    </row>
    <row r="129" spans="1:5" ht="15.75">
      <c r="A129" s="15"/>
      <c r="B129" s="16"/>
      <c r="C129" s="16"/>
      <c r="D129" s="39"/>
      <c r="E129" s="39"/>
    </row>
    <row r="130" spans="1:5" ht="15.75">
      <c r="A130" s="15"/>
      <c r="B130" s="16"/>
      <c r="C130" s="16"/>
      <c r="D130" s="39"/>
      <c r="E130" s="39"/>
    </row>
    <row r="131" spans="1:5" ht="15.75">
      <c r="A131" s="15"/>
      <c r="B131" s="16"/>
      <c r="C131" s="16"/>
      <c r="D131" s="39"/>
      <c r="E131" s="39"/>
    </row>
    <row r="132" spans="1:5" ht="15.75">
      <c r="A132" s="15"/>
      <c r="B132" s="16"/>
      <c r="C132" s="16"/>
      <c r="D132" s="39"/>
      <c r="E132" s="39"/>
    </row>
    <row r="133" spans="1:5" ht="15.75">
      <c r="A133" s="15"/>
      <c r="B133" s="16"/>
      <c r="C133" s="16"/>
      <c r="D133" s="39"/>
      <c r="E133" s="39"/>
    </row>
    <row r="134" spans="1:5" ht="15.75">
      <c r="A134" s="15"/>
      <c r="B134" s="16"/>
      <c r="C134" s="16"/>
      <c r="D134" s="39"/>
      <c r="E134" s="39"/>
    </row>
    <row r="135" spans="1:5" ht="15.75">
      <c r="A135" s="15"/>
      <c r="B135" s="16"/>
      <c r="C135" s="16"/>
      <c r="D135" s="39"/>
      <c r="E135" s="39"/>
    </row>
    <row r="136" spans="1:5" ht="15.75">
      <c r="A136" s="15"/>
      <c r="B136" s="16"/>
      <c r="C136" s="16"/>
      <c r="D136" s="39"/>
      <c r="E136" s="39"/>
    </row>
    <row r="137" spans="1:5" ht="15.75">
      <c r="A137" s="15"/>
      <c r="B137" s="16"/>
      <c r="C137" s="16"/>
      <c r="D137" s="39"/>
      <c r="E137" s="39"/>
    </row>
    <row r="138" spans="1:5" ht="15.75">
      <c r="A138" s="15"/>
      <c r="B138" s="16"/>
      <c r="C138" s="16"/>
      <c r="D138" s="39"/>
      <c r="E138" s="39"/>
    </row>
    <row r="139" spans="1:5" ht="15.75">
      <c r="A139" s="15"/>
      <c r="B139" s="16"/>
      <c r="C139" s="16"/>
      <c r="D139" s="39"/>
      <c r="E139" s="39"/>
    </row>
    <row r="140" spans="1:5" ht="15.75">
      <c r="A140" s="15"/>
      <c r="B140" s="16"/>
      <c r="C140" s="16"/>
      <c r="D140" s="39"/>
      <c r="E140" s="39"/>
    </row>
    <row r="141" spans="1:5" ht="15.75">
      <c r="A141" s="15"/>
      <c r="B141" s="16"/>
      <c r="C141" s="16"/>
      <c r="D141" s="39"/>
      <c r="E141" s="39"/>
    </row>
    <row r="142" spans="1:5" ht="15.75">
      <c r="A142" s="15"/>
      <c r="B142" s="16"/>
      <c r="C142" s="16"/>
      <c r="D142" s="39"/>
      <c r="E142" s="39"/>
    </row>
    <row r="143" spans="1:5" ht="15.75">
      <c r="A143" s="15"/>
      <c r="B143" s="16"/>
      <c r="C143" s="16"/>
      <c r="D143" s="39"/>
      <c r="E143" s="39"/>
    </row>
    <row r="144" spans="1:5" ht="15.75">
      <c r="A144" s="15"/>
      <c r="B144" s="16"/>
      <c r="C144" s="16"/>
      <c r="D144" s="39"/>
      <c r="E144" s="39"/>
    </row>
    <row r="145" spans="1:5" ht="15.75">
      <c r="A145" s="15"/>
      <c r="B145" s="16"/>
      <c r="C145" s="16"/>
      <c r="D145" s="39"/>
      <c r="E145" s="39"/>
    </row>
    <row r="146" spans="1:5" ht="15.75">
      <c r="A146" s="15"/>
      <c r="B146" s="16"/>
      <c r="C146" s="16"/>
      <c r="D146" s="39"/>
      <c r="E146" s="39"/>
    </row>
    <row r="147" spans="1:5" ht="15.75">
      <c r="A147" s="15"/>
      <c r="B147" s="16"/>
      <c r="C147" s="16"/>
      <c r="D147" s="39"/>
      <c r="E147" s="39"/>
    </row>
    <row r="148" spans="1:5" ht="15.75">
      <c r="A148" s="15"/>
      <c r="B148" s="16"/>
      <c r="C148" s="16"/>
      <c r="D148" s="39"/>
      <c r="E148" s="39"/>
    </row>
    <row r="149" spans="1:5" ht="15.75">
      <c r="A149" s="15"/>
      <c r="B149" s="16"/>
      <c r="C149" s="16"/>
      <c r="D149" s="39"/>
      <c r="E149" s="39"/>
    </row>
    <row r="150" spans="1:5" ht="15.75">
      <c r="A150" s="15"/>
      <c r="B150" s="16"/>
      <c r="C150" s="16"/>
      <c r="D150" s="39"/>
      <c r="E150" s="39"/>
    </row>
    <row r="151" spans="1:5" ht="15.75">
      <c r="A151" s="15"/>
      <c r="B151" s="16"/>
      <c r="C151" s="16"/>
      <c r="D151" s="39"/>
      <c r="E151" s="39"/>
    </row>
    <row r="152" spans="1:5" ht="15.75">
      <c r="A152" s="15"/>
      <c r="B152" s="16"/>
      <c r="C152" s="16"/>
      <c r="D152" s="39"/>
      <c r="E152" s="39"/>
    </row>
    <row r="153" spans="1:5" ht="15.75">
      <c r="A153" s="15"/>
      <c r="B153" s="16"/>
      <c r="C153" s="16"/>
      <c r="D153" s="39"/>
      <c r="E153" s="39"/>
    </row>
    <row r="154" spans="1:5" ht="15.75">
      <c r="A154" s="15"/>
      <c r="B154" s="16"/>
      <c r="C154" s="16"/>
      <c r="D154" s="39"/>
      <c r="E154" s="39"/>
    </row>
    <row r="155" spans="1:5" ht="15.75">
      <c r="A155" s="15"/>
      <c r="B155" s="16"/>
      <c r="C155" s="16"/>
      <c r="D155" s="39"/>
      <c r="E155" s="39"/>
    </row>
    <row r="156" spans="1:5" ht="15.75">
      <c r="A156" s="15"/>
      <c r="B156" s="16"/>
      <c r="C156" s="16"/>
      <c r="D156" s="39"/>
      <c r="E156" s="39"/>
    </row>
    <row r="157" spans="1:5" ht="15.75">
      <c r="A157" s="15"/>
      <c r="B157" s="16"/>
      <c r="C157" s="16"/>
      <c r="D157" s="39"/>
      <c r="E157" s="39"/>
    </row>
    <row r="158" spans="1:5" ht="15.75">
      <c r="A158" s="15"/>
      <c r="B158" s="16"/>
      <c r="C158" s="16"/>
      <c r="D158" s="39"/>
      <c r="E158" s="39"/>
    </row>
    <row r="159" spans="1:5" ht="15.75">
      <c r="A159" s="15"/>
      <c r="B159" s="16"/>
      <c r="C159" s="16"/>
      <c r="D159" s="39"/>
      <c r="E159" s="39"/>
    </row>
    <row r="160" spans="1:5" ht="15.75">
      <c r="A160" s="15"/>
      <c r="B160" s="16"/>
      <c r="C160" s="16"/>
      <c r="D160" s="39"/>
      <c r="E160" s="39"/>
    </row>
    <row r="161" spans="1:5" ht="15.75">
      <c r="A161" s="15"/>
      <c r="B161" s="16"/>
      <c r="C161" s="16"/>
      <c r="D161" s="39"/>
      <c r="E161" s="39"/>
    </row>
    <row r="162" spans="1:5" ht="15.75">
      <c r="A162" s="15"/>
      <c r="B162" s="16"/>
      <c r="C162" s="16"/>
      <c r="D162" s="39"/>
      <c r="E162" s="39"/>
    </row>
    <row r="163" spans="1:5" ht="15.75">
      <c r="A163" s="15"/>
      <c r="B163" s="16"/>
      <c r="C163" s="16"/>
      <c r="D163" s="39"/>
      <c r="E163" s="39"/>
    </row>
    <row r="164" spans="1:5" ht="15.75">
      <c r="A164" s="15"/>
      <c r="B164" s="16"/>
      <c r="C164" s="16"/>
      <c r="D164" s="39"/>
      <c r="E164" s="39"/>
    </row>
    <row r="165" spans="1:5" ht="15.75">
      <c r="A165" s="15"/>
      <c r="B165" s="16"/>
      <c r="C165" s="16"/>
      <c r="D165" s="39"/>
      <c r="E165" s="39"/>
    </row>
    <row r="166" spans="1:5" ht="15.75">
      <c r="A166" s="15"/>
      <c r="B166" s="16"/>
      <c r="C166" s="16"/>
      <c r="D166" s="39"/>
      <c r="E166" s="39"/>
    </row>
    <row r="167" spans="1:5" ht="15.75">
      <c r="A167" s="15"/>
      <c r="B167" s="16"/>
      <c r="C167" s="16"/>
      <c r="D167" s="39"/>
      <c r="E167" s="39"/>
    </row>
    <row r="168" spans="1:5" ht="15.75">
      <c r="A168" s="15"/>
      <c r="B168" s="16"/>
      <c r="C168" s="16"/>
      <c r="D168" s="39"/>
      <c r="E168" s="39"/>
    </row>
    <row r="169" spans="1:5" ht="15.75">
      <c r="A169" s="15"/>
      <c r="B169" s="16"/>
      <c r="C169" s="16"/>
      <c r="D169" s="39"/>
      <c r="E169" s="39"/>
    </row>
    <row r="170" spans="1:5" ht="15.75">
      <c r="A170" s="15"/>
      <c r="B170" s="16"/>
      <c r="C170" s="16"/>
      <c r="D170" s="39"/>
      <c r="E170" s="39"/>
    </row>
    <row r="171" spans="1:5" ht="15.75">
      <c r="A171" s="15"/>
      <c r="B171" s="16"/>
      <c r="C171" s="16"/>
      <c r="D171" s="39"/>
      <c r="E171" s="39"/>
    </row>
    <row r="172" spans="1:5" ht="15.75">
      <c r="A172" s="15"/>
      <c r="B172" s="16"/>
      <c r="C172" s="16"/>
      <c r="D172" s="39"/>
      <c r="E172" s="39"/>
    </row>
    <row r="173" spans="1:5" ht="15.75">
      <c r="A173" s="15"/>
      <c r="B173" s="16"/>
      <c r="C173" s="16"/>
      <c r="D173" s="39"/>
      <c r="E173" s="39"/>
    </row>
    <row r="174" spans="1:5" ht="15.75">
      <c r="A174" s="15"/>
      <c r="B174" s="16"/>
      <c r="C174" s="16"/>
      <c r="D174" s="39"/>
      <c r="E174" s="39"/>
    </row>
    <row r="175" spans="1:5" ht="15.75">
      <c r="A175" s="15"/>
      <c r="B175" s="16"/>
      <c r="C175" s="16"/>
      <c r="D175" s="39"/>
      <c r="E175" s="39"/>
    </row>
    <row r="176" spans="1:5" ht="15.75">
      <c r="A176" s="15"/>
      <c r="B176" s="16"/>
      <c r="C176" s="16"/>
      <c r="D176" s="39"/>
      <c r="E176" s="39"/>
    </row>
    <row r="177" spans="1:5" ht="15.75">
      <c r="A177" s="15"/>
      <c r="B177" s="16"/>
      <c r="C177" s="16"/>
      <c r="D177" s="39"/>
      <c r="E177" s="39"/>
    </row>
    <row r="178" spans="1:5" ht="15.75">
      <c r="A178" s="15"/>
      <c r="B178" s="16"/>
      <c r="C178" s="16"/>
      <c r="D178" s="39"/>
      <c r="E178" s="39"/>
    </row>
    <row r="179" spans="1:5" ht="15.75">
      <c r="A179" s="15"/>
      <c r="B179" s="16"/>
      <c r="C179" s="16"/>
      <c r="D179" s="39"/>
      <c r="E179" s="39"/>
    </row>
    <row r="180" spans="1:5" ht="15.75">
      <c r="A180" s="15"/>
      <c r="B180" s="16"/>
      <c r="C180" s="16"/>
      <c r="D180" s="39"/>
      <c r="E180" s="39"/>
    </row>
    <row r="181" spans="1:5" ht="15.75">
      <c r="A181" s="15"/>
      <c r="B181" s="16"/>
      <c r="C181" s="16"/>
      <c r="D181" s="39"/>
      <c r="E181" s="39"/>
    </row>
    <row r="182" spans="1:5" ht="15.75">
      <c r="A182" s="15"/>
      <c r="B182" s="16"/>
      <c r="C182" s="16"/>
      <c r="D182" s="39"/>
      <c r="E182" s="39"/>
    </row>
    <row r="183" spans="1:5" ht="15.75">
      <c r="A183" s="15"/>
      <c r="B183" s="16"/>
      <c r="C183" s="16"/>
      <c r="D183" s="39"/>
      <c r="E183" s="39"/>
    </row>
    <row r="184" spans="1:5" ht="15.75">
      <c r="A184" s="15"/>
      <c r="B184" s="16"/>
      <c r="C184" s="16"/>
      <c r="D184" s="39"/>
      <c r="E184" s="39"/>
    </row>
    <row r="185" spans="1:5" ht="15.75">
      <c r="A185" s="15"/>
      <c r="B185" s="16"/>
      <c r="C185" s="16"/>
      <c r="D185" s="39"/>
      <c r="E185" s="39"/>
    </row>
    <row r="186" spans="1:5" ht="15.75">
      <c r="A186" s="15"/>
      <c r="B186" s="16"/>
      <c r="C186" s="16"/>
      <c r="D186" s="39"/>
      <c r="E186" s="39"/>
    </row>
    <row r="187" spans="1:5" ht="15.75">
      <c r="A187" s="15"/>
      <c r="B187" s="16"/>
      <c r="C187" s="16"/>
      <c r="D187" s="39"/>
      <c r="E187" s="39"/>
    </row>
    <row r="188" spans="1:5" ht="15.75">
      <c r="A188" s="15"/>
      <c r="B188" s="16"/>
      <c r="C188" s="16"/>
      <c r="D188" s="39"/>
      <c r="E188" s="39"/>
    </row>
    <row r="189" spans="1:5" ht="15.75">
      <c r="A189" s="15"/>
      <c r="B189" s="16"/>
      <c r="C189" s="16"/>
      <c r="D189" s="39"/>
      <c r="E189" s="39"/>
    </row>
    <row r="190" spans="1:5" ht="15.75">
      <c r="A190" s="15"/>
      <c r="B190" s="16"/>
      <c r="C190" s="16"/>
      <c r="D190" s="39"/>
      <c r="E190" s="39"/>
    </row>
    <row r="191" spans="1:5" ht="15.75">
      <c r="A191" s="15"/>
      <c r="B191" s="16"/>
      <c r="C191" s="16"/>
      <c r="D191" s="39"/>
      <c r="E191" s="39"/>
    </row>
    <row r="192" spans="1:5" ht="15.75">
      <c r="A192" s="15"/>
      <c r="B192" s="16"/>
      <c r="C192" s="16"/>
      <c r="D192" s="39"/>
      <c r="E192" s="39"/>
    </row>
    <row r="193" spans="1:5" ht="15.75">
      <c r="A193" s="15"/>
      <c r="B193" s="16"/>
      <c r="C193" s="16"/>
      <c r="D193" s="39"/>
      <c r="E193" s="39"/>
    </row>
    <row r="194" spans="1:5" ht="15.75">
      <c r="A194" s="15"/>
      <c r="B194" s="16"/>
      <c r="C194" s="16"/>
      <c r="D194" s="39"/>
      <c r="E194" s="39"/>
    </row>
    <row r="195" spans="1:5" ht="15.75">
      <c r="A195" s="15"/>
      <c r="B195" s="16"/>
      <c r="C195" s="16"/>
      <c r="D195" s="39"/>
      <c r="E195" s="39"/>
    </row>
    <row r="196" spans="1:5" ht="15.75">
      <c r="A196" s="15"/>
      <c r="B196" s="16"/>
      <c r="C196" s="16"/>
      <c r="D196" s="39"/>
      <c r="E196" s="39"/>
    </row>
    <row r="197" spans="1:5" ht="15.75">
      <c r="A197" s="15"/>
      <c r="B197" s="16"/>
      <c r="C197" s="16"/>
      <c r="D197" s="39"/>
      <c r="E197" s="39"/>
    </row>
    <row r="198" spans="1:5" ht="15.75">
      <c r="A198" s="15"/>
      <c r="B198" s="16"/>
      <c r="C198" s="16"/>
      <c r="D198" s="39"/>
      <c r="E198" s="39"/>
    </row>
    <row r="199" spans="1:5" ht="15.75">
      <c r="A199" s="15"/>
      <c r="B199" s="16"/>
      <c r="C199" s="16"/>
      <c r="D199" s="39"/>
      <c r="E199" s="39"/>
    </row>
    <row r="200" spans="1:5" ht="15.75">
      <c r="A200" s="15"/>
      <c r="B200" s="16"/>
      <c r="C200" s="16"/>
      <c r="D200" s="39"/>
      <c r="E200" s="39"/>
    </row>
    <row r="201" spans="1:5" ht="15.75">
      <c r="A201" s="15"/>
      <c r="B201" s="16"/>
      <c r="C201" s="16"/>
      <c r="D201" s="39"/>
      <c r="E201" s="39"/>
    </row>
    <row r="202" spans="1:5" ht="15.75">
      <c r="A202" s="15"/>
      <c r="B202" s="16"/>
      <c r="C202" s="16"/>
      <c r="D202" s="39"/>
      <c r="E202" s="39"/>
    </row>
    <row r="203" spans="1:5" ht="15.75">
      <c r="A203" s="15"/>
      <c r="B203" s="16"/>
      <c r="C203" s="16"/>
      <c r="D203" s="39"/>
      <c r="E203" s="39"/>
    </row>
    <row r="204" spans="1:5" ht="15.75">
      <c r="A204" s="15"/>
      <c r="B204" s="16"/>
      <c r="C204" s="16"/>
      <c r="D204" s="39"/>
      <c r="E204" s="39"/>
    </row>
    <row r="205" spans="1:5" ht="15.75">
      <c r="A205" s="15"/>
      <c r="B205" s="16"/>
      <c r="C205" s="16"/>
      <c r="D205" s="39"/>
      <c r="E205" s="39"/>
    </row>
    <row r="206" spans="1:5" ht="15.75">
      <c r="A206" s="15"/>
      <c r="B206" s="16"/>
      <c r="C206" s="16"/>
      <c r="D206" s="39"/>
      <c r="E206" s="39"/>
    </row>
    <row r="207" spans="1:5" ht="15.75">
      <c r="A207" s="15"/>
      <c r="B207" s="16"/>
      <c r="C207" s="16"/>
      <c r="D207" s="39"/>
      <c r="E207" s="39"/>
    </row>
    <row r="208" spans="1:5" ht="15.75">
      <c r="A208" s="15"/>
      <c r="B208" s="16"/>
      <c r="C208" s="16"/>
      <c r="D208" s="39"/>
      <c r="E208" s="39"/>
    </row>
    <row r="209" spans="1:5" ht="15.75">
      <c r="A209" s="15"/>
      <c r="B209" s="16"/>
      <c r="C209" s="16"/>
      <c r="D209" s="39"/>
      <c r="E209" s="39"/>
    </row>
    <row r="210" spans="1:5" ht="15.75">
      <c r="A210" s="15"/>
      <c r="B210" s="16"/>
      <c r="C210" s="16"/>
      <c r="D210" s="39"/>
      <c r="E210" s="39"/>
    </row>
    <row r="211" spans="1:5" ht="15.75">
      <c r="A211" s="15"/>
      <c r="B211" s="16"/>
      <c r="C211" s="16"/>
      <c r="D211" s="39"/>
      <c r="E211" s="39"/>
    </row>
    <row r="212" spans="1:5" ht="15.75">
      <c r="A212" s="15"/>
      <c r="B212" s="16"/>
      <c r="C212" s="16"/>
      <c r="D212" s="39"/>
      <c r="E212" s="39"/>
    </row>
    <row r="213" spans="1:5" ht="15.75">
      <c r="A213" s="15"/>
      <c r="B213" s="16"/>
      <c r="C213" s="16"/>
      <c r="D213" s="39"/>
      <c r="E213" s="39"/>
    </row>
    <row r="214" spans="1:5" ht="15.75">
      <c r="A214" s="15"/>
      <c r="B214" s="16"/>
      <c r="C214" s="16"/>
      <c r="D214" s="39"/>
      <c r="E214" s="39"/>
    </row>
    <row r="215" spans="1:5" ht="15.75">
      <c r="A215" s="15"/>
      <c r="B215" s="16"/>
      <c r="C215" s="16"/>
      <c r="D215" s="39"/>
      <c r="E215" s="39"/>
    </row>
    <row r="216" spans="1:5" ht="15.75">
      <c r="A216" s="15"/>
      <c r="B216" s="16"/>
      <c r="C216" s="16"/>
      <c r="D216" s="39"/>
      <c r="E216" s="39"/>
    </row>
    <row r="217" spans="1:5" ht="15.75">
      <c r="A217" s="15"/>
      <c r="B217" s="16"/>
      <c r="C217" s="16"/>
      <c r="D217" s="39"/>
      <c r="E217" s="39"/>
    </row>
    <row r="218" spans="1:5" ht="15.75">
      <c r="A218" s="15"/>
      <c r="B218" s="16"/>
      <c r="C218" s="16"/>
      <c r="D218" s="39"/>
      <c r="E218" s="39"/>
    </row>
    <row r="219" spans="1:5" ht="15.75">
      <c r="A219" s="15"/>
      <c r="B219" s="16"/>
      <c r="C219" s="16"/>
      <c r="D219" s="39"/>
      <c r="E219" s="39"/>
    </row>
    <row r="220" spans="1:5" ht="15.75">
      <c r="A220" s="15"/>
      <c r="B220" s="16"/>
      <c r="C220" s="16"/>
      <c r="D220" s="39"/>
      <c r="E220" s="39"/>
    </row>
    <row r="221" spans="1:5" ht="15.75">
      <c r="A221" s="15"/>
      <c r="B221" s="16"/>
      <c r="C221" s="16"/>
      <c r="D221" s="39"/>
      <c r="E221" s="39"/>
    </row>
    <row r="222" spans="1:5" ht="15.75">
      <c r="A222" s="15"/>
      <c r="B222" s="16"/>
      <c r="C222" s="16"/>
      <c r="D222" s="39"/>
      <c r="E222" s="39"/>
    </row>
    <row r="223" spans="1:5" ht="15.75">
      <c r="A223" s="15"/>
      <c r="B223" s="16"/>
      <c r="C223" s="16"/>
      <c r="D223" s="39"/>
      <c r="E223" s="39"/>
    </row>
    <row r="224" spans="1:5" ht="15.75">
      <c r="A224" s="15"/>
      <c r="B224" s="16"/>
      <c r="C224" s="16"/>
      <c r="D224" s="39"/>
      <c r="E224" s="39"/>
    </row>
    <row r="225" spans="1:5" ht="15.75">
      <c r="A225" s="15"/>
      <c r="B225" s="16"/>
      <c r="C225" s="16"/>
      <c r="D225" s="39"/>
      <c r="E225" s="39"/>
    </row>
    <row r="226" spans="1:5" ht="15.75">
      <c r="A226" s="15"/>
      <c r="B226" s="16"/>
      <c r="C226" s="16"/>
      <c r="D226" s="39"/>
      <c r="E226" s="39"/>
    </row>
    <row r="227" spans="1:5" ht="15.75">
      <c r="A227" s="15"/>
      <c r="B227" s="16"/>
      <c r="C227" s="16"/>
      <c r="D227" s="39"/>
      <c r="E227" s="39"/>
    </row>
    <row r="228" spans="1:5" ht="15.75">
      <c r="A228" s="15"/>
      <c r="B228" s="16"/>
      <c r="C228" s="16"/>
      <c r="D228" s="39"/>
      <c r="E228" s="39"/>
    </row>
    <row r="229" spans="1:5" ht="15.75">
      <c r="A229" s="15"/>
      <c r="B229" s="16"/>
      <c r="C229" s="16"/>
      <c r="D229" s="39"/>
      <c r="E229" s="39"/>
    </row>
    <row r="230" spans="1:5" ht="15.75">
      <c r="A230" s="15"/>
      <c r="B230" s="16"/>
      <c r="C230" s="16"/>
      <c r="D230" s="39"/>
      <c r="E230" s="39"/>
    </row>
    <row r="231" spans="1:5" ht="15.75">
      <c r="A231" s="15"/>
      <c r="B231" s="16"/>
      <c r="C231" s="16"/>
      <c r="D231" s="39"/>
      <c r="E231" s="39"/>
    </row>
    <row r="232" spans="1:5" ht="15.75">
      <c r="A232" s="15"/>
      <c r="B232" s="16"/>
      <c r="C232" s="16"/>
      <c r="D232" s="39"/>
      <c r="E232" s="39"/>
    </row>
    <row r="233" spans="1:5" ht="15.75">
      <c r="A233" s="15"/>
      <c r="B233" s="16"/>
      <c r="C233" s="16"/>
      <c r="D233" s="39"/>
      <c r="E233" s="39"/>
    </row>
    <row r="234" spans="1:5" ht="15.75">
      <c r="A234" s="15"/>
      <c r="B234" s="16"/>
      <c r="C234" s="16"/>
      <c r="D234" s="39"/>
      <c r="E234" s="39"/>
    </row>
    <row r="235" spans="2:3" ht="15.75">
      <c r="B235" s="17"/>
      <c r="C235" s="17"/>
    </row>
    <row r="236" spans="2:3" ht="15.75">
      <c r="B236" s="17"/>
      <c r="C236" s="17"/>
    </row>
    <row r="237" spans="2:3" ht="15.75">
      <c r="B237" s="17"/>
      <c r="C237" s="17"/>
    </row>
    <row r="238" spans="2:3" ht="15.75">
      <c r="B238" s="17"/>
      <c r="C238" s="17"/>
    </row>
    <row r="239" spans="2:3" ht="15.75">
      <c r="B239" s="17"/>
      <c r="C239" s="17"/>
    </row>
    <row r="240" spans="2:3" ht="15.75">
      <c r="B240" s="17"/>
      <c r="C240" s="17"/>
    </row>
    <row r="241" spans="2:3" ht="15.75">
      <c r="B241" s="17"/>
      <c r="C241" s="17"/>
    </row>
    <row r="242" spans="2:3" ht="15.75">
      <c r="B242" s="17"/>
      <c r="C242" s="17"/>
    </row>
    <row r="243" spans="2:3" ht="15.75">
      <c r="B243" s="17"/>
      <c r="C243" s="17"/>
    </row>
    <row r="244" spans="2:3" ht="15.75">
      <c r="B244" s="17"/>
      <c r="C244" s="17"/>
    </row>
    <row r="245" spans="2:3" ht="15.75">
      <c r="B245" s="17"/>
      <c r="C245" s="17"/>
    </row>
    <row r="246" spans="2:3" ht="15.75">
      <c r="B246" s="17"/>
      <c r="C246" s="17"/>
    </row>
    <row r="247" spans="2:3" ht="15.75">
      <c r="B247" s="17"/>
      <c r="C247" s="17"/>
    </row>
    <row r="248" spans="2:3" ht="15.75">
      <c r="B248" s="17"/>
      <c r="C248" s="17"/>
    </row>
    <row r="249" spans="2:3" ht="15.75">
      <c r="B249" s="17"/>
      <c r="C249" s="17"/>
    </row>
    <row r="250" spans="2:3" ht="15.75">
      <c r="B250" s="17"/>
      <c r="C250" s="17"/>
    </row>
    <row r="251" spans="2:3" ht="15.75">
      <c r="B251" s="17"/>
      <c r="C251" s="17"/>
    </row>
    <row r="252" spans="2:3" ht="15.75">
      <c r="B252" s="17"/>
      <c r="C252" s="17"/>
    </row>
    <row r="253" spans="2:3" ht="15.75">
      <c r="B253" s="17"/>
      <c r="C253" s="17"/>
    </row>
    <row r="254" spans="2:3" ht="15.75">
      <c r="B254" s="17"/>
      <c r="C254" s="17"/>
    </row>
    <row r="255" spans="2:3" ht="15.75">
      <c r="B255" s="17"/>
      <c r="C255" s="17"/>
    </row>
    <row r="256" spans="2:3" ht="15.75">
      <c r="B256" s="17"/>
      <c r="C256" s="17"/>
    </row>
    <row r="257" spans="2:3" ht="15.75">
      <c r="B257" s="17"/>
      <c r="C257" s="17"/>
    </row>
    <row r="258" spans="2:3" ht="15.75">
      <c r="B258" s="17"/>
      <c r="C258" s="17"/>
    </row>
    <row r="259" spans="2:3" ht="15.75">
      <c r="B259" s="17"/>
      <c r="C259" s="17"/>
    </row>
    <row r="260" spans="2:3" ht="15.75">
      <c r="B260" s="17"/>
      <c r="C260" s="17"/>
    </row>
    <row r="261" spans="2:3" ht="15.75">
      <c r="B261" s="17"/>
      <c r="C261" s="17"/>
    </row>
    <row r="262" spans="2:3" ht="15.75">
      <c r="B262" s="17"/>
      <c r="C262" s="17"/>
    </row>
    <row r="263" spans="2:3" ht="15.75">
      <c r="B263" s="17"/>
      <c r="C263" s="17"/>
    </row>
    <row r="264" spans="2:3" ht="15.75">
      <c r="B264" s="17"/>
      <c r="C264" s="17"/>
    </row>
    <row r="265" spans="2:3" ht="15.75">
      <c r="B265" s="17"/>
      <c r="C265" s="17"/>
    </row>
    <row r="266" spans="2:3" ht="15.75">
      <c r="B266" s="17"/>
      <c r="C266" s="17"/>
    </row>
    <row r="267" spans="2:3" ht="15.75">
      <c r="B267" s="17"/>
      <c r="C267" s="17"/>
    </row>
    <row r="268" spans="2:3" ht="15.75">
      <c r="B268" s="17"/>
      <c r="C268" s="17"/>
    </row>
    <row r="269" spans="2:3" ht="15.75">
      <c r="B269" s="17"/>
      <c r="C269" s="17"/>
    </row>
    <row r="270" spans="2:3" ht="15.75">
      <c r="B270" s="17"/>
      <c r="C270" s="17"/>
    </row>
    <row r="271" spans="2:3" ht="15.75">
      <c r="B271" s="17"/>
      <c r="C271" s="17"/>
    </row>
    <row r="272" spans="2:3" ht="15.75">
      <c r="B272" s="17"/>
      <c r="C272" s="17"/>
    </row>
    <row r="273" spans="2:3" ht="15.75">
      <c r="B273" s="17"/>
      <c r="C273" s="17"/>
    </row>
    <row r="274" spans="2:3" ht="15.75">
      <c r="B274" s="17"/>
      <c r="C274" s="17"/>
    </row>
    <row r="275" spans="2:3" ht="15.75">
      <c r="B275" s="17"/>
      <c r="C275" s="17"/>
    </row>
    <row r="276" spans="2:3" ht="15.75">
      <c r="B276" s="17"/>
      <c r="C276" s="17"/>
    </row>
    <row r="277" spans="2:3" ht="15.75">
      <c r="B277" s="17"/>
      <c r="C277" s="17"/>
    </row>
    <row r="278" spans="2:3" ht="15.75">
      <c r="B278" s="17"/>
      <c r="C278" s="17"/>
    </row>
    <row r="279" spans="2:3" ht="15.75">
      <c r="B279" s="17"/>
      <c r="C279" s="17"/>
    </row>
    <row r="280" spans="2:3" ht="15.75">
      <c r="B280" s="17"/>
      <c r="C280" s="17"/>
    </row>
    <row r="281" spans="2:3" ht="15.75">
      <c r="B281" s="17"/>
      <c r="C281" s="17"/>
    </row>
    <row r="282" spans="2:3" ht="15.75">
      <c r="B282" s="17"/>
      <c r="C282" s="17"/>
    </row>
    <row r="283" spans="2:3" ht="15.75">
      <c r="B283" s="17"/>
      <c r="C283" s="17"/>
    </row>
    <row r="284" spans="2:3" ht="15.75">
      <c r="B284" s="17"/>
      <c r="C284" s="17"/>
    </row>
    <row r="285" spans="2:3" ht="15.75">
      <c r="B285" s="17"/>
      <c r="C285" s="17"/>
    </row>
    <row r="286" spans="2:3" ht="15.75">
      <c r="B286" s="17"/>
      <c r="C286" s="17"/>
    </row>
    <row r="287" spans="2:3" ht="15.75">
      <c r="B287" s="17"/>
      <c r="C287" s="17"/>
    </row>
    <row r="288" spans="2:3" ht="15.75">
      <c r="B288" s="17"/>
      <c r="C288" s="17"/>
    </row>
    <row r="289" spans="2:3" ht="15.75">
      <c r="B289" s="17"/>
      <c r="C289" s="17"/>
    </row>
    <row r="290" spans="2:3" ht="15.75">
      <c r="B290" s="17"/>
      <c r="C290" s="17"/>
    </row>
    <row r="291" spans="2:3" ht="15.75">
      <c r="B291" s="17"/>
      <c r="C291" s="17"/>
    </row>
    <row r="292" spans="2:3" ht="15.75">
      <c r="B292" s="17"/>
      <c r="C292" s="17"/>
    </row>
    <row r="293" spans="2:3" ht="15.75">
      <c r="B293" s="17"/>
      <c r="C293" s="17"/>
    </row>
    <row r="294" spans="2:3" ht="15.75">
      <c r="B294" s="17"/>
      <c r="C294" s="17"/>
    </row>
    <row r="295" spans="2:3" ht="15.75">
      <c r="B295" s="17"/>
      <c r="C295" s="17"/>
    </row>
    <row r="296" spans="2:3" ht="15.75">
      <c r="B296" s="17"/>
      <c r="C296" s="17"/>
    </row>
    <row r="297" spans="2:3" ht="15.75">
      <c r="B297" s="17"/>
      <c r="C297" s="17"/>
    </row>
    <row r="298" spans="2:3" ht="15.75">
      <c r="B298" s="17"/>
      <c r="C298" s="17"/>
    </row>
    <row r="299" spans="2:3" ht="15.75">
      <c r="B299" s="17"/>
      <c r="C299" s="17"/>
    </row>
    <row r="300" spans="2:3" ht="15.75">
      <c r="B300" s="17"/>
      <c r="C300" s="17"/>
    </row>
    <row r="301" spans="2:3" ht="15.75">
      <c r="B301" s="17"/>
      <c r="C301" s="17"/>
    </row>
  </sheetData>
  <sheetProtection/>
  <mergeCells count="6">
    <mergeCell ref="A1:F1"/>
    <mergeCell ref="A2:F2"/>
    <mergeCell ref="A53:C53"/>
    <mergeCell ref="A3:F3"/>
    <mergeCell ref="A5:F5"/>
    <mergeCell ref="A6:F6"/>
  </mergeCells>
  <printOptions horizontalCentered="1"/>
  <pageMargins left="0.7874015748031497" right="0.5905511811023623" top="0.5511811023622047" bottom="0.5511811023622047" header="0.5118110236220472" footer="0.2362204724409449"/>
  <pageSetup fitToHeight="4" fitToWidth="1" horizontalDpi="600" verticalDpi="600" orientation="portrait" paperSize="9" scale="70" r:id="rId1"/>
  <headerFooter alignWithMargins="0">
    <oddFooter>&amp;CСтраница &amp;P&amp;R&amp;A</oddFooter>
  </headerFooter>
  <rowBreaks count="16" manualBreakCount="16">
    <brk id="22" max="255" man="1"/>
    <brk id="119" max="255" man="1"/>
    <brk id="136" max="255" man="1"/>
    <brk id="177" max="255" man="1"/>
    <brk id="259" max="255" man="1"/>
    <brk id="376" max="255" man="1"/>
    <brk id="401" max="255" man="1"/>
    <brk id="448" max="255" man="1"/>
    <brk id="477" max="255" man="1"/>
    <brk id="497" max="255" man="1"/>
    <brk id="518" max="255" man="1"/>
    <brk id="616" max="255" man="1"/>
    <brk id="630" max="255" man="1"/>
    <brk id="759" max="255" man="1"/>
    <brk id="775" max="255" man="1"/>
    <brk id="871" max="255" man="1"/>
  </rowBreaks>
</worksheet>
</file>

<file path=xl/worksheets/sheet5.xml><?xml version="1.0" encoding="utf-8"?>
<worksheet xmlns="http://schemas.openxmlformats.org/spreadsheetml/2006/main" xmlns:r="http://schemas.openxmlformats.org/officeDocument/2006/relationships">
  <sheetPr>
    <tabColor indexed="13"/>
    <pageSetUpPr fitToPage="1"/>
  </sheetPr>
  <dimension ref="A1:L444"/>
  <sheetViews>
    <sheetView zoomScalePageLayoutView="0" workbookViewId="0" topLeftCell="A1">
      <selection activeCell="A6" sqref="A6:L6"/>
    </sheetView>
  </sheetViews>
  <sheetFormatPr defaultColWidth="9.00390625" defaultRowHeight="12.75"/>
  <cols>
    <col min="1" max="1" width="38.75390625" style="70" customWidth="1"/>
    <col min="2" max="2" width="9.25390625" style="70" hidden="1" customWidth="1"/>
    <col min="3" max="3" width="7.625" style="70" customWidth="1"/>
    <col min="4" max="4" width="6.875" style="70" customWidth="1"/>
    <col min="5" max="5" width="6.00390625" style="70" customWidth="1"/>
    <col min="6" max="6" width="6.125" style="70" customWidth="1"/>
    <col min="7" max="7" width="5.125" style="70" customWidth="1"/>
    <col min="8" max="8" width="7.375" style="70" customWidth="1"/>
    <col min="9" max="9" width="9.875" style="70" customWidth="1"/>
    <col min="10" max="10" width="18.25390625" style="70" customWidth="1"/>
    <col min="11" max="11" width="18.375" style="67" customWidth="1"/>
    <col min="12" max="12" width="18.125" style="70" customWidth="1"/>
    <col min="13" max="16384" width="9.125" style="70" customWidth="1"/>
  </cols>
  <sheetData>
    <row r="1" spans="1:12" ht="15.75">
      <c r="A1" s="296" t="s">
        <v>928</v>
      </c>
      <c r="B1" s="296"/>
      <c r="C1" s="296"/>
      <c r="D1" s="296"/>
      <c r="E1" s="296"/>
      <c r="F1" s="296"/>
      <c r="G1" s="296"/>
      <c r="H1" s="296"/>
      <c r="I1" s="296"/>
      <c r="J1" s="296"/>
      <c r="K1" s="296"/>
      <c r="L1" s="296"/>
    </row>
    <row r="2" spans="1:12" ht="15.75">
      <c r="A2" s="296" t="s">
        <v>686</v>
      </c>
      <c r="B2" s="296"/>
      <c r="C2" s="296"/>
      <c r="D2" s="296"/>
      <c r="E2" s="296"/>
      <c r="F2" s="296"/>
      <c r="G2" s="296"/>
      <c r="H2" s="296"/>
      <c r="I2" s="296"/>
      <c r="J2" s="296"/>
      <c r="K2" s="296"/>
      <c r="L2" s="296"/>
    </row>
    <row r="3" spans="1:12" ht="15.75">
      <c r="A3" s="296" t="s">
        <v>999</v>
      </c>
      <c r="B3" s="296"/>
      <c r="C3" s="296"/>
      <c r="D3" s="296"/>
      <c r="E3" s="296"/>
      <c r="F3" s="296"/>
      <c r="G3" s="296"/>
      <c r="H3" s="296"/>
      <c r="I3" s="296"/>
      <c r="J3" s="296"/>
      <c r="K3" s="296"/>
      <c r="L3" s="296"/>
    </row>
    <row r="4" spans="3:10" ht="15.75">
      <c r="C4" s="103"/>
      <c r="D4" s="103"/>
      <c r="E4" s="103"/>
      <c r="F4" s="103"/>
      <c r="G4" s="103"/>
      <c r="H4" s="103"/>
      <c r="I4" s="103"/>
      <c r="J4" s="103"/>
    </row>
    <row r="5" spans="1:10" ht="15.75">
      <c r="A5" s="180"/>
      <c r="B5" s="180"/>
      <c r="C5" s="180"/>
      <c r="D5" s="180"/>
      <c r="E5" s="180"/>
      <c r="F5" s="180"/>
      <c r="G5" s="180"/>
      <c r="H5" s="180"/>
      <c r="I5" s="180"/>
      <c r="J5" s="180"/>
    </row>
    <row r="6" spans="1:12" ht="54" customHeight="1">
      <c r="A6" s="311" t="s">
        <v>536</v>
      </c>
      <c r="B6" s="311"/>
      <c r="C6" s="311"/>
      <c r="D6" s="311"/>
      <c r="E6" s="311"/>
      <c r="F6" s="311"/>
      <c r="G6" s="311"/>
      <c r="H6" s="311"/>
      <c r="I6" s="311"/>
      <c r="J6" s="311"/>
      <c r="K6" s="311"/>
      <c r="L6" s="311"/>
    </row>
    <row r="7" spans="1:10" ht="18.75">
      <c r="A7" s="104"/>
      <c r="B7" s="104"/>
      <c r="C7" s="104"/>
      <c r="D7" s="104"/>
      <c r="E7" s="104"/>
      <c r="F7" s="104"/>
      <c r="G7" s="104"/>
      <c r="H7" s="104"/>
      <c r="I7" s="104"/>
      <c r="J7" s="104"/>
    </row>
    <row r="8" spans="1:10" ht="15.75">
      <c r="A8" s="106"/>
      <c r="B8" s="106"/>
      <c r="C8" s="107"/>
      <c r="D8" s="107"/>
      <c r="E8" s="107"/>
      <c r="F8" s="107"/>
      <c r="G8" s="107"/>
      <c r="H8" s="107"/>
      <c r="I8" s="107"/>
      <c r="J8" s="108"/>
    </row>
    <row r="9" spans="1:12" ht="84" customHeight="1">
      <c r="A9" s="181" t="s">
        <v>534</v>
      </c>
      <c r="B9" s="308" t="s">
        <v>535</v>
      </c>
      <c r="C9" s="309"/>
      <c r="D9" s="309"/>
      <c r="E9" s="309"/>
      <c r="F9" s="309"/>
      <c r="G9" s="309"/>
      <c r="H9" s="309"/>
      <c r="I9" s="310"/>
      <c r="J9" s="13" t="s">
        <v>359</v>
      </c>
      <c r="K9" s="13" t="s">
        <v>922</v>
      </c>
      <c r="L9" s="149" t="s">
        <v>360</v>
      </c>
    </row>
    <row r="10" spans="1:12" ht="32.25" customHeight="1">
      <c r="A10" s="182" t="s">
        <v>940</v>
      </c>
      <c r="B10" s="183">
        <v>916</v>
      </c>
      <c r="C10" s="183" t="s">
        <v>698</v>
      </c>
      <c r="D10" s="183" t="s">
        <v>703</v>
      </c>
      <c r="E10" s="183" t="s">
        <v>728</v>
      </c>
      <c r="F10" s="183" t="s">
        <v>728</v>
      </c>
      <c r="G10" s="183" t="s">
        <v>728</v>
      </c>
      <c r="H10" s="183" t="s">
        <v>941</v>
      </c>
      <c r="I10" s="183" t="s">
        <v>925</v>
      </c>
      <c r="J10" s="184">
        <f>прил6!K10</f>
        <v>96800000</v>
      </c>
      <c r="K10" s="184">
        <f>прил6!L10</f>
        <v>96800000</v>
      </c>
      <c r="L10" s="199">
        <f>K10/J10</f>
        <v>1</v>
      </c>
    </row>
    <row r="11" spans="1:12" ht="50.25" customHeight="1">
      <c r="A11" s="182" t="s">
        <v>946</v>
      </c>
      <c r="B11" s="183">
        <v>916</v>
      </c>
      <c r="C11" s="183" t="s">
        <v>698</v>
      </c>
      <c r="D11" s="183" t="s">
        <v>705</v>
      </c>
      <c r="E11" s="183" t="s">
        <v>728</v>
      </c>
      <c r="F11" s="183" t="s">
        <v>728</v>
      </c>
      <c r="G11" s="183" t="s">
        <v>728</v>
      </c>
      <c r="H11" s="183" t="s">
        <v>941</v>
      </c>
      <c r="I11" s="183" t="s">
        <v>925</v>
      </c>
      <c r="J11" s="185">
        <f>прил6!K13</f>
        <v>-25727000</v>
      </c>
      <c r="K11" s="185">
        <f>прил6!L13</f>
        <v>-25727000</v>
      </c>
      <c r="L11" s="199">
        <f aca="true" t="shared" si="0" ref="L11:L17">K11/J11</f>
        <v>1</v>
      </c>
    </row>
    <row r="12" spans="1:12" s="127" customFormat="1" ht="35.25" customHeight="1">
      <c r="A12" s="182" t="s">
        <v>962</v>
      </c>
      <c r="B12" s="183">
        <v>916</v>
      </c>
      <c r="C12" s="186" t="s">
        <v>698</v>
      </c>
      <c r="D12" s="186" t="s">
        <v>700</v>
      </c>
      <c r="E12" s="186" t="s">
        <v>728</v>
      </c>
      <c r="F12" s="186" t="s">
        <v>728</v>
      </c>
      <c r="G12" s="186" t="s">
        <v>728</v>
      </c>
      <c r="H12" s="186" t="s">
        <v>941</v>
      </c>
      <c r="I12" s="186" t="s">
        <v>925</v>
      </c>
      <c r="J12" s="187">
        <f>прил6!K24</f>
        <v>105370078.00999975</v>
      </c>
      <c r="K12" s="187">
        <f>прил6!L24</f>
        <v>38666591.30000019</v>
      </c>
      <c r="L12" s="199">
        <f t="shared" si="0"/>
        <v>0.3669598811185343</v>
      </c>
    </row>
    <row r="13" spans="1:12" s="133" customFormat="1" ht="47.25" hidden="1">
      <c r="A13" s="188" t="s">
        <v>955</v>
      </c>
      <c r="B13" s="188"/>
      <c r="C13" s="189" t="s">
        <v>698</v>
      </c>
      <c r="D13" s="189" t="s">
        <v>699</v>
      </c>
      <c r="E13" s="189" t="s">
        <v>728</v>
      </c>
      <c r="F13" s="189" t="s">
        <v>728</v>
      </c>
      <c r="G13" s="189" t="s">
        <v>728</v>
      </c>
      <c r="H13" s="189" t="s">
        <v>941</v>
      </c>
      <c r="I13" s="189" t="s">
        <v>925</v>
      </c>
      <c r="J13" s="190"/>
      <c r="K13" s="190"/>
      <c r="L13" s="199" t="e">
        <f t="shared" si="0"/>
        <v>#DIV/0!</v>
      </c>
    </row>
    <row r="14" spans="1:12" s="133" customFormat="1" ht="47.25" hidden="1">
      <c r="A14" s="188" t="s">
        <v>975</v>
      </c>
      <c r="B14" s="188"/>
      <c r="C14" s="189" t="s">
        <v>698</v>
      </c>
      <c r="D14" s="189" t="s">
        <v>699</v>
      </c>
      <c r="E14" s="189" t="s">
        <v>708</v>
      </c>
      <c r="F14" s="189" t="s">
        <v>728</v>
      </c>
      <c r="G14" s="189" t="s">
        <v>728</v>
      </c>
      <c r="H14" s="189" t="s">
        <v>941</v>
      </c>
      <c r="I14" s="189" t="s">
        <v>925</v>
      </c>
      <c r="J14" s="191"/>
      <c r="K14" s="191"/>
      <c r="L14" s="199" t="e">
        <f t="shared" si="0"/>
        <v>#DIV/0!</v>
      </c>
    </row>
    <row r="15" spans="1:12" s="127" customFormat="1" ht="174" customHeight="1" hidden="1">
      <c r="A15" s="192" t="s">
        <v>977</v>
      </c>
      <c r="B15" s="192"/>
      <c r="C15" s="193" t="s">
        <v>698</v>
      </c>
      <c r="D15" s="193" t="s">
        <v>699</v>
      </c>
      <c r="E15" s="193" t="s">
        <v>708</v>
      </c>
      <c r="F15" s="193" t="s">
        <v>728</v>
      </c>
      <c r="G15" s="193" t="s">
        <v>728</v>
      </c>
      <c r="H15" s="193" t="s">
        <v>941</v>
      </c>
      <c r="I15" s="193" t="s">
        <v>383</v>
      </c>
      <c r="J15" s="194"/>
      <c r="K15" s="194"/>
      <c r="L15" s="199" t="e">
        <f t="shared" si="0"/>
        <v>#DIV/0!</v>
      </c>
    </row>
    <row r="16" spans="1:12" s="127" customFormat="1" ht="165.75" customHeight="1" hidden="1">
      <c r="A16" s="192" t="s">
        <v>978</v>
      </c>
      <c r="B16" s="192"/>
      <c r="C16" s="193" t="s">
        <v>698</v>
      </c>
      <c r="D16" s="193" t="s">
        <v>699</v>
      </c>
      <c r="E16" s="193" t="s">
        <v>708</v>
      </c>
      <c r="F16" s="193" t="s">
        <v>728</v>
      </c>
      <c r="G16" s="193" t="s">
        <v>708</v>
      </c>
      <c r="H16" s="193" t="s">
        <v>941</v>
      </c>
      <c r="I16" s="193" t="s">
        <v>954</v>
      </c>
      <c r="J16" s="195"/>
      <c r="K16" s="195"/>
      <c r="L16" s="199" t="e">
        <f t="shared" si="0"/>
        <v>#DIV/0!</v>
      </c>
    </row>
    <row r="17" spans="1:12" s="127" customFormat="1" ht="57.75" customHeight="1">
      <c r="A17" s="196" t="s">
        <v>976</v>
      </c>
      <c r="B17" s="197" t="s">
        <v>925</v>
      </c>
      <c r="C17" s="197" t="s">
        <v>698</v>
      </c>
      <c r="D17" s="197" t="s">
        <v>728</v>
      </c>
      <c r="E17" s="197" t="s">
        <v>728</v>
      </c>
      <c r="F17" s="197" t="s">
        <v>728</v>
      </c>
      <c r="G17" s="197" t="s">
        <v>728</v>
      </c>
      <c r="H17" s="197" t="s">
        <v>941</v>
      </c>
      <c r="I17" s="197" t="s">
        <v>925</v>
      </c>
      <c r="J17" s="198">
        <f>J10+J11+J12</f>
        <v>176443078.00999975</v>
      </c>
      <c r="K17" s="198">
        <f>K10+K11+K12</f>
        <v>109739591.30000019</v>
      </c>
      <c r="L17" s="200">
        <f t="shared" si="0"/>
        <v>0.621954641336402</v>
      </c>
    </row>
    <row r="18" spans="3:11" s="127" customFormat="1" ht="15.75">
      <c r="C18" s="139"/>
      <c r="D18" s="139"/>
      <c r="E18" s="139"/>
      <c r="F18" s="139"/>
      <c r="G18" s="139"/>
      <c r="H18" s="139"/>
      <c r="I18" s="139"/>
      <c r="J18" s="140"/>
      <c r="K18" s="126"/>
    </row>
    <row r="19" spans="3:10" ht="15.75">
      <c r="C19" s="141"/>
      <c r="D19" s="141"/>
      <c r="E19" s="141"/>
      <c r="F19" s="141"/>
      <c r="G19" s="141"/>
      <c r="H19" s="141"/>
      <c r="I19" s="141"/>
      <c r="J19" s="143"/>
    </row>
    <row r="20" spans="3:10" ht="15.75">
      <c r="C20" s="141"/>
      <c r="D20" s="141"/>
      <c r="E20" s="141"/>
      <c r="F20" s="141"/>
      <c r="G20" s="141"/>
      <c r="H20" s="141"/>
      <c r="I20" s="141"/>
      <c r="J20" s="143"/>
    </row>
    <row r="21" spans="3:10" ht="15.75">
      <c r="C21" s="141"/>
      <c r="D21" s="141"/>
      <c r="E21" s="141"/>
      <c r="F21" s="141"/>
      <c r="G21" s="141"/>
      <c r="H21" s="141"/>
      <c r="I21" s="141"/>
      <c r="J21" s="143"/>
    </row>
    <row r="22" spans="3:10" ht="15.75">
      <c r="C22" s="141"/>
      <c r="D22" s="141"/>
      <c r="E22" s="141"/>
      <c r="F22" s="141"/>
      <c r="G22" s="141"/>
      <c r="H22" s="141"/>
      <c r="I22" s="141"/>
      <c r="J22" s="143"/>
    </row>
    <row r="23" spans="3:10" ht="15.75">
      <c r="C23" s="141"/>
      <c r="D23" s="141"/>
      <c r="E23" s="141"/>
      <c r="F23" s="141"/>
      <c r="G23" s="141"/>
      <c r="H23" s="141"/>
      <c r="I23" s="141"/>
      <c r="J23" s="143"/>
    </row>
    <row r="24" spans="3:10" ht="15.75">
      <c r="C24" s="141"/>
      <c r="D24" s="141"/>
      <c r="E24" s="141"/>
      <c r="F24" s="141"/>
      <c r="G24" s="141"/>
      <c r="H24" s="141"/>
      <c r="I24" s="141"/>
      <c r="J24" s="142"/>
    </row>
    <row r="25" spans="3:10" ht="15.75">
      <c r="C25" s="142"/>
      <c r="D25" s="142"/>
      <c r="E25" s="142"/>
      <c r="F25" s="142"/>
      <c r="G25" s="142"/>
      <c r="H25" s="142"/>
      <c r="I25" s="141"/>
      <c r="J25" s="143"/>
    </row>
    <row r="26" spans="3:10" ht="15.75">
      <c r="C26" s="142"/>
      <c r="D26" s="142"/>
      <c r="E26" s="142"/>
      <c r="F26" s="142"/>
      <c r="G26" s="142"/>
      <c r="H26" s="142"/>
      <c r="I26" s="141"/>
      <c r="J26" s="142"/>
    </row>
    <row r="27" spans="3:10" ht="15.75">
      <c r="C27" s="142"/>
      <c r="D27" s="142"/>
      <c r="E27" s="142"/>
      <c r="F27" s="142"/>
      <c r="G27" s="142"/>
      <c r="H27" s="142"/>
      <c r="I27" s="141"/>
      <c r="J27" s="142"/>
    </row>
    <row r="28" spans="3:10" ht="15.75">
      <c r="C28" s="142"/>
      <c r="D28" s="142"/>
      <c r="E28" s="142"/>
      <c r="F28" s="142"/>
      <c r="G28" s="142"/>
      <c r="H28" s="142"/>
      <c r="I28" s="141"/>
      <c r="J28" s="142"/>
    </row>
    <row r="29" spans="3:10" ht="15.75">
      <c r="C29" s="142"/>
      <c r="D29" s="142"/>
      <c r="E29" s="142"/>
      <c r="F29" s="142"/>
      <c r="G29" s="142"/>
      <c r="H29" s="142"/>
      <c r="I29" s="141"/>
      <c r="J29" s="142"/>
    </row>
    <row r="30" spans="3:10" ht="15.75">
      <c r="C30" s="142"/>
      <c r="D30" s="142"/>
      <c r="E30" s="142"/>
      <c r="F30" s="142"/>
      <c r="G30" s="142"/>
      <c r="H30" s="142"/>
      <c r="I30" s="141"/>
      <c r="J30" s="142"/>
    </row>
    <row r="31" spans="3:10" ht="15.75">
      <c r="C31" s="142"/>
      <c r="D31" s="142"/>
      <c r="E31" s="142"/>
      <c r="F31" s="142"/>
      <c r="G31" s="142"/>
      <c r="H31" s="142"/>
      <c r="I31" s="141"/>
      <c r="J31" s="142"/>
    </row>
    <row r="32" spans="3:10" ht="15.75">
      <c r="C32" s="142"/>
      <c r="D32" s="142"/>
      <c r="E32" s="142"/>
      <c r="F32" s="142"/>
      <c r="G32" s="142"/>
      <c r="H32" s="142"/>
      <c r="I32" s="141"/>
      <c r="J32" s="142"/>
    </row>
    <row r="33" spans="3:10" ht="15.75">
      <c r="C33" s="142"/>
      <c r="D33" s="142"/>
      <c r="E33" s="142"/>
      <c r="F33" s="142"/>
      <c r="G33" s="142"/>
      <c r="H33" s="142"/>
      <c r="I33" s="141"/>
      <c r="J33" s="142"/>
    </row>
    <row r="34" spans="3:10" ht="15.75">
      <c r="C34" s="142"/>
      <c r="D34" s="142"/>
      <c r="E34" s="142"/>
      <c r="F34" s="142"/>
      <c r="G34" s="142"/>
      <c r="H34" s="142"/>
      <c r="I34" s="141"/>
      <c r="J34" s="142"/>
    </row>
    <row r="35" spans="3:10" ht="15.75">
      <c r="C35" s="142"/>
      <c r="D35" s="142"/>
      <c r="E35" s="142"/>
      <c r="F35" s="142"/>
      <c r="G35" s="142"/>
      <c r="H35" s="142"/>
      <c r="I35" s="141"/>
      <c r="J35" s="142"/>
    </row>
    <row r="36" spans="3:10" ht="15.75">
      <c r="C36" s="142"/>
      <c r="D36" s="142"/>
      <c r="E36" s="142"/>
      <c r="F36" s="142"/>
      <c r="G36" s="142"/>
      <c r="H36" s="142"/>
      <c r="I36" s="141"/>
      <c r="J36" s="142"/>
    </row>
    <row r="37" spans="3:10" ht="15.75">
      <c r="C37" s="142"/>
      <c r="D37" s="142"/>
      <c r="E37" s="142"/>
      <c r="F37" s="142"/>
      <c r="G37" s="142"/>
      <c r="H37" s="142"/>
      <c r="I37" s="141"/>
      <c r="J37" s="142"/>
    </row>
    <row r="38" spans="3:10" ht="15.75">
      <c r="C38" s="142"/>
      <c r="D38" s="142"/>
      <c r="E38" s="142"/>
      <c r="F38" s="142"/>
      <c r="G38" s="142"/>
      <c r="H38" s="142"/>
      <c r="I38" s="141"/>
      <c r="J38" s="142"/>
    </row>
    <row r="39" spans="3:10" ht="15.75">
      <c r="C39" s="142"/>
      <c r="D39" s="142"/>
      <c r="E39" s="142"/>
      <c r="F39" s="142"/>
      <c r="G39" s="142"/>
      <c r="H39" s="142"/>
      <c r="I39" s="141"/>
      <c r="J39" s="142"/>
    </row>
    <row r="40" spans="3:10" ht="15.75">
      <c r="C40" s="142"/>
      <c r="D40" s="142"/>
      <c r="E40" s="142"/>
      <c r="F40" s="142"/>
      <c r="G40" s="142"/>
      <c r="H40" s="142"/>
      <c r="I40" s="141"/>
      <c r="J40" s="142"/>
    </row>
    <row r="41" spans="3:10" ht="15.75">
      <c r="C41" s="142"/>
      <c r="D41" s="142"/>
      <c r="E41" s="142"/>
      <c r="F41" s="142"/>
      <c r="G41" s="142"/>
      <c r="H41" s="142"/>
      <c r="I41" s="141"/>
      <c r="J41" s="142"/>
    </row>
    <row r="42" spans="3:10" ht="15.75">
      <c r="C42" s="142"/>
      <c r="D42" s="142"/>
      <c r="E42" s="142"/>
      <c r="F42" s="142"/>
      <c r="G42" s="142"/>
      <c r="H42" s="142"/>
      <c r="I42" s="141"/>
      <c r="J42" s="142"/>
    </row>
    <row r="43" spans="3:10" ht="15.75">
      <c r="C43" s="142"/>
      <c r="D43" s="142"/>
      <c r="E43" s="142"/>
      <c r="F43" s="142"/>
      <c r="G43" s="142"/>
      <c r="H43" s="142"/>
      <c r="I43" s="141"/>
      <c r="J43" s="142"/>
    </row>
    <row r="44" spans="3:10" ht="15.75">
      <c r="C44" s="142"/>
      <c r="D44" s="142"/>
      <c r="E44" s="142"/>
      <c r="F44" s="142"/>
      <c r="G44" s="142"/>
      <c r="H44" s="142"/>
      <c r="I44" s="141"/>
      <c r="J44" s="142"/>
    </row>
    <row r="45" spans="3:10" ht="15.75">
      <c r="C45" s="142"/>
      <c r="D45" s="142"/>
      <c r="E45" s="142"/>
      <c r="F45" s="142"/>
      <c r="G45" s="142"/>
      <c r="H45" s="142"/>
      <c r="I45" s="141"/>
      <c r="J45" s="142"/>
    </row>
    <row r="46" spans="3:10" ht="15.75">
      <c r="C46" s="142"/>
      <c r="D46" s="142"/>
      <c r="E46" s="142"/>
      <c r="F46" s="142"/>
      <c r="G46" s="142"/>
      <c r="H46" s="142"/>
      <c r="I46" s="141"/>
      <c r="J46" s="142"/>
    </row>
    <row r="47" spans="3:10" ht="15.75">
      <c r="C47" s="142"/>
      <c r="D47" s="142"/>
      <c r="E47" s="142"/>
      <c r="F47" s="142"/>
      <c r="G47" s="142"/>
      <c r="H47" s="142"/>
      <c r="I47" s="141"/>
      <c r="J47" s="142"/>
    </row>
    <row r="48" spans="3:10" ht="15.75">
      <c r="C48" s="142"/>
      <c r="D48" s="142"/>
      <c r="E48" s="142"/>
      <c r="F48" s="142"/>
      <c r="G48" s="142"/>
      <c r="H48" s="142"/>
      <c r="I48" s="141"/>
      <c r="J48" s="142"/>
    </row>
    <row r="49" spans="3:10" ht="15.75">
      <c r="C49" s="142"/>
      <c r="D49" s="142"/>
      <c r="E49" s="142"/>
      <c r="F49" s="142"/>
      <c r="G49" s="142"/>
      <c r="H49" s="142"/>
      <c r="I49" s="141"/>
      <c r="J49" s="142"/>
    </row>
    <row r="50" spans="3:10" ht="15.75">
      <c r="C50" s="142"/>
      <c r="D50" s="142"/>
      <c r="E50" s="142"/>
      <c r="F50" s="142"/>
      <c r="G50" s="142"/>
      <c r="H50" s="142"/>
      <c r="I50" s="141"/>
      <c r="J50" s="142"/>
    </row>
    <row r="51" spans="3:10" ht="15.75">
      <c r="C51" s="142"/>
      <c r="D51" s="142"/>
      <c r="E51" s="142"/>
      <c r="F51" s="142"/>
      <c r="G51" s="142"/>
      <c r="H51" s="142"/>
      <c r="I51" s="141"/>
      <c r="J51" s="142"/>
    </row>
    <row r="52" spans="3:10" ht="15.75">
      <c r="C52" s="142"/>
      <c r="D52" s="142"/>
      <c r="E52" s="142"/>
      <c r="F52" s="142"/>
      <c r="G52" s="142"/>
      <c r="H52" s="142"/>
      <c r="I52" s="141"/>
      <c r="J52" s="142"/>
    </row>
    <row r="53" spans="3:10" ht="15.75">
      <c r="C53" s="142"/>
      <c r="D53" s="142"/>
      <c r="E53" s="142"/>
      <c r="F53" s="142"/>
      <c r="G53" s="142"/>
      <c r="H53" s="142"/>
      <c r="I53" s="141"/>
      <c r="J53" s="142"/>
    </row>
    <row r="54" spans="3:10" ht="15.75">
      <c r="C54" s="142"/>
      <c r="D54" s="142"/>
      <c r="E54" s="142"/>
      <c r="F54" s="142"/>
      <c r="G54" s="142"/>
      <c r="H54" s="142"/>
      <c r="I54" s="141"/>
      <c r="J54" s="142"/>
    </row>
    <row r="55" spans="3:10" ht="15.75">
      <c r="C55" s="142"/>
      <c r="D55" s="142"/>
      <c r="E55" s="142"/>
      <c r="F55" s="142"/>
      <c r="G55" s="142"/>
      <c r="H55" s="142"/>
      <c r="I55" s="141"/>
      <c r="J55" s="142"/>
    </row>
    <row r="56" spans="3:10" ht="15.75">
      <c r="C56" s="142"/>
      <c r="D56" s="142"/>
      <c r="E56" s="142"/>
      <c r="F56" s="142"/>
      <c r="G56" s="142"/>
      <c r="H56" s="142"/>
      <c r="I56" s="141"/>
      <c r="J56" s="142"/>
    </row>
    <row r="57" spans="3:10" ht="15.75">
      <c r="C57" s="142"/>
      <c r="D57" s="142"/>
      <c r="E57" s="142"/>
      <c r="F57" s="142"/>
      <c r="G57" s="142"/>
      <c r="H57" s="142"/>
      <c r="I57" s="141"/>
      <c r="J57" s="142"/>
    </row>
    <row r="58" spans="3:10" ht="15.75">
      <c r="C58" s="142"/>
      <c r="D58" s="142"/>
      <c r="E58" s="142"/>
      <c r="F58" s="142"/>
      <c r="G58" s="142"/>
      <c r="H58" s="142"/>
      <c r="I58" s="141"/>
      <c r="J58" s="142"/>
    </row>
    <row r="59" spans="3:10" ht="15.75">
      <c r="C59" s="142"/>
      <c r="D59" s="142"/>
      <c r="E59" s="142"/>
      <c r="F59" s="142"/>
      <c r="G59" s="142"/>
      <c r="H59" s="142"/>
      <c r="I59" s="141"/>
      <c r="J59" s="142"/>
    </row>
    <row r="60" spans="3:10" ht="15.75">
      <c r="C60" s="142"/>
      <c r="D60" s="142"/>
      <c r="E60" s="142"/>
      <c r="F60" s="142"/>
      <c r="G60" s="142"/>
      <c r="H60" s="142"/>
      <c r="I60" s="141"/>
      <c r="J60" s="142"/>
    </row>
    <row r="61" spans="3:10" ht="15.75">
      <c r="C61" s="142"/>
      <c r="D61" s="142"/>
      <c r="E61" s="142"/>
      <c r="F61" s="142"/>
      <c r="G61" s="142"/>
      <c r="H61" s="142"/>
      <c r="I61" s="141"/>
      <c r="J61" s="142"/>
    </row>
    <row r="62" spans="3:10" ht="15.75">
      <c r="C62" s="142"/>
      <c r="D62" s="142"/>
      <c r="E62" s="142"/>
      <c r="F62" s="142"/>
      <c r="G62" s="142"/>
      <c r="H62" s="142"/>
      <c r="I62" s="141"/>
      <c r="J62" s="142"/>
    </row>
    <row r="63" spans="3:10" ht="15.75">
      <c r="C63" s="142"/>
      <c r="D63" s="142"/>
      <c r="E63" s="142"/>
      <c r="F63" s="142"/>
      <c r="G63" s="142"/>
      <c r="H63" s="142"/>
      <c r="I63" s="141"/>
      <c r="J63" s="142"/>
    </row>
    <row r="64" spans="3:10" ht="15.75">
      <c r="C64" s="142"/>
      <c r="D64" s="142"/>
      <c r="E64" s="142"/>
      <c r="F64" s="142"/>
      <c r="G64" s="142"/>
      <c r="H64" s="142"/>
      <c r="I64" s="141"/>
      <c r="J64" s="142"/>
    </row>
    <row r="65" spans="3:10" ht="15.75">
      <c r="C65" s="142"/>
      <c r="D65" s="142"/>
      <c r="E65" s="142"/>
      <c r="F65" s="142"/>
      <c r="G65" s="142"/>
      <c r="H65" s="142"/>
      <c r="I65" s="141"/>
      <c r="J65" s="142"/>
    </row>
    <row r="66" spans="3:10" ht="15.75">
      <c r="C66" s="142"/>
      <c r="D66" s="142"/>
      <c r="E66" s="142"/>
      <c r="F66" s="142"/>
      <c r="G66" s="142"/>
      <c r="H66" s="142"/>
      <c r="I66" s="141"/>
      <c r="J66" s="142"/>
    </row>
    <row r="67" spans="3:10" ht="15.75">
      <c r="C67" s="142"/>
      <c r="D67" s="142"/>
      <c r="E67" s="142"/>
      <c r="F67" s="142"/>
      <c r="G67" s="142"/>
      <c r="H67" s="142"/>
      <c r="I67" s="141"/>
      <c r="J67" s="142"/>
    </row>
    <row r="68" spans="3:10" ht="15.75">
      <c r="C68" s="142"/>
      <c r="D68" s="142"/>
      <c r="E68" s="142"/>
      <c r="F68" s="142"/>
      <c r="G68" s="142"/>
      <c r="H68" s="142"/>
      <c r="I68" s="141"/>
      <c r="J68" s="142"/>
    </row>
    <row r="69" spans="3:10" ht="15.75">
      <c r="C69" s="142"/>
      <c r="D69" s="142"/>
      <c r="E69" s="142"/>
      <c r="F69" s="142"/>
      <c r="G69" s="142"/>
      <c r="H69" s="142"/>
      <c r="I69" s="141"/>
      <c r="J69" s="142"/>
    </row>
    <row r="70" spans="3:10" ht="15.75">
      <c r="C70" s="142"/>
      <c r="D70" s="142"/>
      <c r="E70" s="142"/>
      <c r="F70" s="142"/>
      <c r="G70" s="142"/>
      <c r="H70" s="142"/>
      <c r="I70" s="141"/>
      <c r="J70" s="142"/>
    </row>
    <row r="71" spans="3:10" ht="15.75">
      <c r="C71" s="142"/>
      <c r="D71" s="142"/>
      <c r="E71" s="142"/>
      <c r="F71" s="142"/>
      <c r="G71" s="142"/>
      <c r="H71" s="142"/>
      <c r="I71" s="141"/>
      <c r="J71" s="142"/>
    </row>
    <row r="72" spans="3:10" ht="15.75">
      <c r="C72" s="142"/>
      <c r="D72" s="142"/>
      <c r="E72" s="142"/>
      <c r="F72" s="142"/>
      <c r="G72" s="142"/>
      <c r="H72" s="142"/>
      <c r="I72" s="141"/>
      <c r="J72" s="142"/>
    </row>
    <row r="73" spans="3:10" ht="15.75">
      <c r="C73" s="142"/>
      <c r="D73" s="142"/>
      <c r="E73" s="142"/>
      <c r="F73" s="142"/>
      <c r="G73" s="142"/>
      <c r="H73" s="142"/>
      <c r="I73" s="141"/>
      <c r="J73" s="142"/>
    </row>
    <row r="74" spans="3:10" ht="15.75">
      <c r="C74" s="142"/>
      <c r="D74" s="142"/>
      <c r="E74" s="142"/>
      <c r="F74" s="142"/>
      <c r="G74" s="142"/>
      <c r="H74" s="142"/>
      <c r="I74" s="141"/>
      <c r="J74" s="142"/>
    </row>
    <row r="75" spans="3:10" ht="15.75">
      <c r="C75" s="142"/>
      <c r="D75" s="142"/>
      <c r="E75" s="142"/>
      <c r="F75" s="142"/>
      <c r="G75" s="142"/>
      <c r="H75" s="142"/>
      <c r="I75" s="141"/>
      <c r="J75" s="142"/>
    </row>
    <row r="76" spans="3:10" ht="15.75">
      <c r="C76" s="142"/>
      <c r="D76" s="142"/>
      <c r="E76" s="142"/>
      <c r="F76" s="142"/>
      <c r="G76" s="142"/>
      <c r="H76" s="142"/>
      <c r="I76" s="141"/>
      <c r="J76" s="142"/>
    </row>
    <row r="77" spans="3:10" ht="15.75">
      <c r="C77" s="142"/>
      <c r="D77" s="142"/>
      <c r="E77" s="142"/>
      <c r="F77" s="142"/>
      <c r="G77" s="142"/>
      <c r="H77" s="142"/>
      <c r="I77" s="141"/>
      <c r="J77" s="142"/>
    </row>
    <row r="78" spans="3:10" ht="15.75">
      <c r="C78" s="142"/>
      <c r="D78" s="142"/>
      <c r="E78" s="142"/>
      <c r="F78" s="142"/>
      <c r="G78" s="142"/>
      <c r="H78" s="142"/>
      <c r="I78" s="141"/>
      <c r="J78" s="142"/>
    </row>
    <row r="79" spans="3:10" ht="15.75">
      <c r="C79" s="142"/>
      <c r="D79" s="142"/>
      <c r="E79" s="142"/>
      <c r="F79" s="142"/>
      <c r="G79" s="142"/>
      <c r="H79" s="142"/>
      <c r="I79" s="141"/>
      <c r="J79" s="142"/>
    </row>
    <row r="80" spans="3:10" ht="15.75">
      <c r="C80" s="142"/>
      <c r="D80" s="142"/>
      <c r="E80" s="142"/>
      <c r="F80" s="142"/>
      <c r="G80" s="142"/>
      <c r="H80" s="142"/>
      <c r="I80" s="141"/>
      <c r="J80" s="142"/>
    </row>
    <row r="81" spans="3:10" ht="15.75">
      <c r="C81" s="142"/>
      <c r="D81" s="142"/>
      <c r="E81" s="142"/>
      <c r="F81" s="142"/>
      <c r="G81" s="142"/>
      <c r="H81" s="142"/>
      <c r="I81" s="141"/>
      <c r="J81" s="142"/>
    </row>
    <row r="82" spans="3:10" ht="15.75">
      <c r="C82" s="142"/>
      <c r="D82" s="142"/>
      <c r="E82" s="142"/>
      <c r="F82" s="142"/>
      <c r="G82" s="142"/>
      <c r="H82" s="142"/>
      <c r="I82" s="141"/>
      <c r="J82" s="142"/>
    </row>
    <row r="83" spans="3:10" ht="15.75">
      <c r="C83" s="142"/>
      <c r="D83" s="142"/>
      <c r="E83" s="142"/>
      <c r="F83" s="142"/>
      <c r="G83" s="142"/>
      <c r="H83" s="142"/>
      <c r="I83" s="141"/>
      <c r="J83" s="142"/>
    </row>
    <row r="84" spans="3:10" ht="15.75">
      <c r="C84" s="142"/>
      <c r="D84" s="142"/>
      <c r="E84" s="142"/>
      <c r="F84" s="142"/>
      <c r="G84" s="142"/>
      <c r="H84" s="142"/>
      <c r="I84" s="141"/>
      <c r="J84" s="142"/>
    </row>
    <row r="85" spans="3:10" ht="15.75">
      <c r="C85" s="142"/>
      <c r="D85" s="142"/>
      <c r="E85" s="142"/>
      <c r="F85" s="142"/>
      <c r="G85" s="142"/>
      <c r="H85" s="142"/>
      <c r="I85" s="141"/>
      <c r="J85" s="142"/>
    </row>
    <row r="86" spans="3:10" ht="15.75">
      <c r="C86" s="142"/>
      <c r="D86" s="142"/>
      <c r="E86" s="142"/>
      <c r="F86" s="142"/>
      <c r="G86" s="142"/>
      <c r="H86" s="142"/>
      <c r="I86" s="141"/>
      <c r="J86" s="142"/>
    </row>
    <row r="87" spans="3:10" ht="15.75">
      <c r="C87" s="142"/>
      <c r="D87" s="142"/>
      <c r="E87" s="142"/>
      <c r="F87" s="142"/>
      <c r="G87" s="142"/>
      <c r="H87" s="142"/>
      <c r="I87" s="141"/>
      <c r="J87" s="142"/>
    </row>
    <row r="88" spans="3:10" ht="15.75">
      <c r="C88" s="142"/>
      <c r="D88" s="142"/>
      <c r="E88" s="142"/>
      <c r="F88" s="142"/>
      <c r="G88" s="142"/>
      <c r="H88" s="142"/>
      <c r="I88" s="141"/>
      <c r="J88" s="142"/>
    </row>
    <row r="89" spans="3:10" ht="15.75">
      <c r="C89" s="142"/>
      <c r="D89" s="142"/>
      <c r="E89" s="142"/>
      <c r="F89" s="142"/>
      <c r="G89" s="142"/>
      <c r="H89" s="142"/>
      <c r="I89" s="141"/>
      <c r="J89" s="142"/>
    </row>
    <row r="90" spans="3:10" ht="15.75">
      <c r="C90" s="142"/>
      <c r="D90" s="142"/>
      <c r="E90" s="142"/>
      <c r="F90" s="142"/>
      <c r="G90" s="142"/>
      <c r="H90" s="142"/>
      <c r="I90" s="141"/>
      <c r="J90" s="142"/>
    </row>
    <row r="91" spans="3:10" ht="15.75">
      <c r="C91" s="142"/>
      <c r="D91" s="142"/>
      <c r="E91" s="142"/>
      <c r="F91" s="142"/>
      <c r="G91" s="142"/>
      <c r="H91" s="142"/>
      <c r="I91" s="141"/>
      <c r="J91" s="142"/>
    </row>
    <row r="92" spans="3:10" ht="15.75">
      <c r="C92" s="142"/>
      <c r="D92" s="142"/>
      <c r="E92" s="142"/>
      <c r="F92" s="142"/>
      <c r="G92" s="142"/>
      <c r="H92" s="142"/>
      <c r="I92" s="141"/>
      <c r="J92" s="142"/>
    </row>
    <row r="93" spans="3:10" ht="15.75">
      <c r="C93" s="142"/>
      <c r="D93" s="142"/>
      <c r="E93" s="142"/>
      <c r="F93" s="142"/>
      <c r="G93" s="142"/>
      <c r="H93" s="142"/>
      <c r="I93" s="141"/>
      <c r="J93" s="142"/>
    </row>
    <row r="94" spans="3:10" ht="15.75">
      <c r="C94" s="142"/>
      <c r="D94" s="142"/>
      <c r="E94" s="142"/>
      <c r="F94" s="142"/>
      <c r="G94" s="142"/>
      <c r="H94" s="142"/>
      <c r="I94" s="141"/>
      <c r="J94" s="142"/>
    </row>
    <row r="95" spans="3:10" ht="15.75">
      <c r="C95" s="142"/>
      <c r="D95" s="142"/>
      <c r="E95" s="142"/>
      <c r="F95" s="142"/>
      <c r="G95" s="142"/>
      <c r="H95" s="142"/>
      <c r="I95" s="141"/>
      <c r="J95" s="142"/>
    </row>
    <row r="96" spans="3:10" ht="15.75">
      <c r="C96" s="142"/>
      <c r="D96" s="142"/>
      <c r="E96" s="142"/>
      <c r="F96" s="142"/>
      <c r="G96" s="142"/>
      <c r="H96" s="142"/>
      <c r="I96" s="141"/>
      <c r="J96" s="142"/>
    </row>
    <row r="97" spans="3:10" ht="15.75">
      <c r="C97" s="142"/>
      <c r="D97" s="142"/>
      <c r="E97" s="142"/>
      <c r="F97" s="142"/>
      <c r="G97" s="142"/>
      <c r="H97" s="142"/>
      <c r="I97" s="141"/>
      <c r="J97" s="142"/>
    </row>
    <row r="98" spans="3:10" ht="15.75">
      <c r="C98" s="142"/>
      <c r="D98" s="142"/>
      <c r="E98" s="142"/>
      <c r="F98" s="142"/>
      <c r="G98" s="142"/>
      <c r="H98" s="142"/>
      <c r="I98" s="141"/>
      <c r="J98" s="142"/>
    </row>
    <row r="99" spans="3:10" ht="15.75">
      <c r="C99" s="142"/>
      <c r="D99" s="142"/>
      <c r="E99" s="142"/>
      <c r="F99" s="142"/>
      <c r="G99" s="142"/>
      <c r="H99" s="142"/>
      <c r="I99" s="141"/>
      <c r="J99" s="142"/>
    </row>
    <row r="100" spans="3:10" ht="15.75">
      <c r="C100" s="142"/>
      <c r="D100" s="142"/>
      <c r="E100" s="142"/>
      <c r="F100" s="142"/>
      <c r="G100" s="142"/>
      <c r="H100" s="142"/>
      <c r="I100" s="141"/>
      <c r="J100" s="142"/>
    </row>
    <row r="101" spans="3:10" ht="15.75">
      <c r="C101" s="142"/>
      <c r="D101" s="142"/>
      <c r="E101" s="142"/>
      <c r="F101" s="142"/>
      <c r="G101" s="142"/>
      <c r="H101" s="142"/>
      <c r="I101" s="141"/>
      <c r="J101" s="142"/>
    </row>
    <row r="102" spans="3:10" ht="15.75">
      <c r="C102" s="142"/>
      <c r="D102" s="142"/>
      <c r="E102" s="142"/>
      <c r="F102" s="142"/>
      <c r="G102" s="142"/>
      <c r="H102" s="142"/>
      <c r="I102" s="141"/>
      <c r="J102" s="142"/>
    </row>
    <row r="103" spans="3:10" ht="15.75">
      <c r="C103" s="142"/>
      <c r="D103" s="142"/>
      <c r="E103" s="142"/>
      <c r="F103" s="142"/>
      <c r="G103" s="142"/>
      <c r="H103" s="142"/>
      <c r="I103" s="141"/>
      <c r="J103" s="142"/>
    </row>
    <row r="104" spans="3:10" ht="15.75">
      <c r="C104" s="142"/>
      <c r="D104" s="142"/>
      <c r="E104" s="142"/>
      <c r="F104" s="142"/>
      <c r="G104" s="142"/>
      <c r="H104" s="142"/>
      <c r="I104" s="141"/>
      <c r="J104" s="142"/>
    </row>
    <row r="105" spans="3:10" ht="15.75">
      <c r="C105" s="142"/>
      <c r="D105" s="142"/>
      <c r="E105" s="142"/>
      <c r="F105" s="142"/>
      <c r="G105" s="142"/>
      <c r="H105" s="142"/>
      <c r="I105" s="141"/>
      <c r="J105" s="142"/>
    </row>
    <row r="106" spans="3:10" ht="15.75">
      <c r="C106" s="142"/>
      <c r="D106" s="142"/>
      <c r="E106" s="142"/>
      <c r="F106" s="142"/>
      <c r="G106" s="142"/>
      <c r="H106" s="142"/>
      <c r="I106" s="141"/>
      <c r="J106" s="142"/>
    </row>
    <row r="107" spans="3:10" ht="15.75">
      <c r="C107" s="142"/>
      <c r="D107" s="142"/>
      <c r="E107" s="142"/>
      <c r="F107" s="142"/>
      <c r="G107" s="142"/>
      <c r="H107" s="142"/>
      <c r="I107" s="141"/>
      <c r="J107" s="142"/>
    </row>
    <row r="108" spans="3:10" ht="15.75">
      <c r="C108" s="142"/>
      <c r="D108" s="142"/>
      <c r="E108" s="142"/>
      <c r="F108" s="142"/>
      <c r="G108" s="142"/>
      <c r="H108" s="142"/>
      <c r="I108" s="141"/>
      <c r="J108" s="142"/>
    </row>
    <row r="109" spans="3:10" ht="15.75">
      <c r="C109" s="142"/>
      <c r="D109" s="142"/>
      <c r="E109" s="142"/>
      <c r="F109" s="142"/>
      <c r="G109" s="142"/>
      <c r="H109" s="142"/>
      <c r="I109" s="141"/>
      <c r="J109" s="142"/>
    </row>
    <row r="110" spans="3:10" ht="15.75">
      <c r="C110" s="142"/>
      <c r="D110" s="142"/>
      <c r="E110" s="142"/>
      <c r="F110" s="142"/>
      <c r="G110" s="142"/>
      <c r="H110" s="142"/>
      <c r="I110" s="141"/>
      <c r="J110" s="142"/>
    </row>
    <row r="111" spans="3:10" ht="15.75">
      <c r="C111" s="142"/>
      <c r="D111" s="142"/>
      <c r="E111" s="142"/>
      <c r="F111" s="142"/>
      <c r="G111" s="142"/>
      <c r="H111" s="142"/>
      <c r="I111" s="141"/>
      <c r="J111" s="142"/>
    </row>
    <row r="112" spans="3:10" ht="15.75">
      <c r="C112" s="142"/>
      <c r="D112" s="142"/>
      <c r="E112" s="142"/>
      <c r="F112" s="142"/>
      <c r="G112" s="142"/>
      <c r="H112" s="142"/>
      <c r="I112" s="141"/>
      <c r="J112" s="142"/>
    </row>
    <row r="113" spans="3:10" ht="15.75">
      <c r="C113" s="142"/>
      <c r="D113" s="142"/>
      <c r="E113" s="142"/>
      <c r="F113" s="142"/>
      <c r="G113" s="142"/>
      <c r="H113" s="142"/>
      <c r="I113" s="141"/>
      <c r="J113" s="142"/>
    </row>
    <row r="114" spans="3:10" ht="15.75">
      <c r="C114" s="142"/>
      <c r="D114" s="142"/>
      <c r="E114" s="142"/>
      <c r="F114" s="142"/>
      <c r="G114" s="142"/>
      <c r="H114" s="142"/>
      <c r="I114" s="141"/>
      <c r="J114" s="142"/>
    </row>
    <row r="115" spans="3:10" ht="15.75">
      <c r="C115" s="142"/>
      <c r="D115" s="142"/>
      <c r="E115" s="142"/>
      <c r="F115" s="142"/>
      <c r="G115" s="142"/>
      <c r="H115" s="142"/>
      <c r="I115" s="141"/>
      <c r="J115" s="142"/>
    </row>
    <row r="116" spans="3:10" ht="15.75">
      <c r="C116" s="142"/>
      <c r="D116" s="142"/>
      <c r="E116" s="142"/>
      <c r="F116" s="142"/>
      <c r="G116" s="142"/>
      <c r="H116" s="142"/>
      <c r="I116" s="141"/>
      <c r="J116" s="142"/>
    </row>
    <row r="117" spans="3:10" ht="15.75">
      <c r="C117" s="142"/>
      <c r="D117" s="142"/>
      <c r="E117" s="142"/>
      <c r="F117" s="142"/>
      <c r="G117" s="142"/>
      <c r="H117" s="142"/>
      <c r="I117" s="141"/>
      <c r="J117" s="142"/>
    </row>
    <row r="118" spans="3:10" ht="15.75">
      <c r="C118" s="142"/>
      <c r="D118" s="142"/>
      <c r="E118" s="142"/>
      <c r="F118" s="142"/>
      <c r="G118" s="142"/>
      <c r="H118" s="142"/>
      <c r="I118" s="141"/>
      <c r="J118" s="142"/>
    </row>
    <row r="119" spans="3:10" ht="15.75">
      <c r="C119" s="142"/>
      <c r="D119" s="142"/>
      <c r="E119" s="142"/>
      <c r="F119" s="142"/>
      <c r="G119" s="142"/>
      <c r="H119" s="142"/>
      <c r="I119" s="141"/>
      <c r="J119" s="142"/>
    </row>
    <row r="120" spans="3:10" ht="15.75">
      <c r="C120" s="142"/>
      <c r="D120" s="142"/>
      <c r="E120" s="142"/>
      <c r="F120" s="142"/>
      <c r="G120" s="142"/>
      <c r="H120" s="142"/>
      <c r="I120" s="141"/>
      <c r="J120" s="142"/>
    </row>
    <row r="121" spans="3:10" ht="15.75">
      <c r="C121" s="142"/>
      <c r="D121" s="142"/>
      <c r="E121" s="142"/>
      <c r="F121" s="142"/>
      <c r="G121" s="142"/>
      <c r="H121" s="142"/>
      <c r="I121" s="141"/>
      <c r="J121" s="142"/>
    </row>
    <row r="122" spans="3:10" ht="15.75">
      <c r="C122" s="142"/>
      <c r="D122" s="142"/>
      <c r="E122" s="142"/>
      <c r="F122" s="142"/>
      <c r="G122" s="142"/>
      <c r="H122" s="142"/>
      <c r="I122" s="141"/>
      <c r="J122" s="142"/>
    </row>
    <row r="123" spans="3:10" ht="15.75">
      <c r="C123" s="142"/>
      <c r="D123" s="142"/>
      <c r="E123" s="142"/>
      <c r="F123" s="142"/>
      <c r="G123" s="142"/>
      <c r="H123" s="142"/>
      <c r="I123" s="141"/>
      <c r="J123" s="142"/>
    </row>
    <row r="124" spans="3:10" ht="15.75">
      <c r="C124" s="142"/>
      <c r="D124" s="142"/>
      <c r="E124" s="142"/>
      <c r="F124" s="142"/>
      <c r="G124" s="142"/>
      <c r="H124" s="142"/>
      <c r="I124" s="141"/>
      <c r="J124" s="142"/>
    </row>
    <row r="125" spans="3:10" ht="15.75">
      <c r="C125" s="142"/>
      <c r="D125" s="142"/>
      <c r="E125" s="142"/>
      <c r="F125" s="142"/>
      <c r="G125" s="142"/>
      <c r="H125" s="142"/>
      <c r="I125" s="141"/>
      <c r="J125" s="142"/>
    </row>
    <row r="126" spans="3:10" ht="15.75">
      <c r="C126" s="142"/>
      <c r="D126" s="142"/>
      <c r="E126" s="142"/>
      <c r="F126" s="142"/>
      <c r="G126" s="142"/>
      <c r="H126" s="142"/>
      <c r="I126" s="141"/>
      <c r="J126" s="142"/>
    </row>
    <row r="127" spans="3:10" ht="15.75">
      <c r="C127" s="142"/>
      <c r="D127" s="142"/>
      <c r="E127" s="142"/>
      <c r="F127" s="142"/>
      <c r="G127" s="142"/>
      <c r="H127" s="142"/>
      <c r="I127" s="141"/>
      <c r="J127" s="142"/>
    </row>
    <row r="128" spans="3:10" ht="15.75">
      <c r="C128" s="142"/>
      <c r="D128" s="142"/>
      <c r="E128" s="142"/>
      <c r="F128" s="142"/>
      <c r="G128" s="142"/>
      <c r="H128" s="142"/>
      <c r="I128" s="141"/>
      <c r="J128" s="142"/>
    </row>
    <row r="129" spans="3:10" ht="15.75">
      <c r="C129" s="142"/>
      <c r="D129" s="142"/>
      <c r="E129" s="142"/>
      <c r="F129" s="142"/>
      <c r="G129" s="142"/>
      <c r="H129" s="142"/>
      <c r="I129" s="141"/>
      <c r="J129" s="142"/>
    </row>
    <row r="130" spans="3:10" ht="15.75">
      <c r="C130" s="142"/>
      <c r="D130" s="142"/>
      <c r="E130" s="142"/>
      <c r="F130" s="142"/>
      <c r="G130" s="142"/>
      <c r="H130" s="142"/>
      <c r="I130" s="141"/>
      <c r="J130" s="142"/>
    </row>
    <row r="131" spans="3:10" ht="15.75">
      <c r="C131" s="142"/>
      <c r="D131" s="142"/>
      <c r="E131" s="142"/>
      <c r="F131" s="142"/>
      <c r="G131" s="142"/>
      <c r="H131" s="142"/>
      <c r="I131" s="141"/>
      <c r="J131" s="142"/>
    </row>
    <row r="132" spans="3:10" ht="15.75">
      <c r="C132" s="142"/>
      <c r="D132" s="142"/>
      <c r="E132" s="142"/>
      <c r="F132" s="142"/>
      <c r="G132" s="142"/>
      <c r="H132" s="142"/>
      <c r="I132" s="141"/>
      <c r="J132" s="142"/>
    </row>
    <row r="133" spans="3:10" ht="15.75">
      <c r="C133" s="142"/>
      <c r="D133" s="142"/>
      <c r="E133" s="142"/>
      <c r="F133" s="142"/>
      <c r="G133" s="142"/>
      <c r="H133" s="142"/>
      <c r="I133" s="141"/>
      <c r="J133" s="142"/>
    </row>
    <row r="134" spans="3:10" ht="15.75">
      <c r="C134" s="142"/>
      <c r="D134" s="142"/>
      <c r="E134" s="142"/>
      <c r="F134" s="142"/>
      <c r="G134" s="142"/>
      <c r="H134" s="142"/>
      <c r="I134" s="141"/>
      <c r="J134" s="142"/>
    </row>
    <row r="135" spans="3:10" ht="15.75">
      <c r="C135" s="142"/>
      <c r="D135" s="142"/>
      <c r="E135" s="142"/>
      <c r="F135" s="142"/>
      <c r="G135" s="142"/>
      <c r="H135" s="142"/>
      <c r="I135" s="141"/>
      <c r="J135" s="142"/>
    </row>
    <row r="136" spans="3:10" ht="15.75">
      <c r="C136" s="142"/>
      <c r="D136" s="142"/>
      <c r="E136" s="142"/>
      <c r="F136" s="142"/>
      <c r="G136" s="142"/>
      <c r="H136" s="142"/>
      <c r="I136" s="141"/>
      <c r="J136" s="142"/>
    </row>
    <row r="137" spans="3:10" ht="15.75">
      <c r="C137" s="142"/>
      <c r="D137" s="142"/>
      <c r="E137" s="142"/>
      <c r="F137" s="142"/>
      <c r="G137" s="142"/>
      <c r="H137" s="142"/>
      <c r="I137" s="141"/>
      <c r="J137" s="142"/>
    </row>
    <row r="138" spans="3:10" ht="15.75">
      <c r="C138" s="142"/>
      <c r="D138" s="142"/>
      <c r="E138" s="142"/>
      <c r="F138" s="142"/>
      <c r="G138" s="142"/>
      <c r="H138" s="142"/>
      <c r="I138" s="141"/>
      <c r="J138" s="142"/>
    </row>
    <row r="139" spans="3:10" ht="15.75">
      <c r="C139" s="142"/>
      <c r="D139" s="142"/>
      <c r="E139" s="142"/>
      <c r="F139" s="142"/>
      <c r="G139" s="142"/>
      <c r="H139" s="142"/>
      <c r="I139" s="141"/>
      <c r="J139" s="142"/>
    </row>
    <row r="140" spans="3:10" ht="15.75">
      <c r="C140" s="142"/>
      <c r="D140" s="142"/>
      <c r="E140" s="142"/>
      <c r="F140" s="142"/>
      <c r="G140" s="142"/>
      <c r="H140" s="142"/>
      <c r="I140" s="141"/>
      <c r="J140" s="142"/>
    </row>
    <row r="141" spans="3:10" ht="15.75">
      <c r="C141" s="142"/>
      <c r="D141" s="142"/>
      <c r="E141" s="142"/>
      <c r="F141" s="142"/>
      <c r="G141" s="142"/>
      <c r="H141" s="142"/>
      <c r="I141" s="141"/>
      <c r="J141" s="142"/>
    </row>
    <row r="142" spans="3:10" ht="15.75">
      <c r="C142" s="142"/>
      <c r="D142" s="142"/>
      <c r="E142" s="142"/>
      <c r="F142" s="142"/>
      <c r="G142" s="142"/>
      <c r="H142" s="142"/>
      <c r="I142" s="141"/>
      <c r="J142" s="142"/>
    </row>
    <row r="143" spans="3:10" ht="15.75">
      <c r="C143" s="142"/>
      <c r="D143" s="142"/>
      <c r="E143" s="142"/>
      <c r="F143" s="142"/>
      <c r="G143" s="142"/>
      <c r="H143" s="142"/>
      <c r="I143" s="141"/>
      <c r="J143" s="142"/>
    </row>
    <row r="144" spans="3:10" ht="15.75">
      <c r="C144" s="142"/>
      <c r="D144" s="142"/>
      <c r="E144" s="142"/>
      <c r="F144" s="142"/>
      <c r="G144" s="142"/>
      <c r="H144" s="142"/>
      <c r="I144" s="141"/>
      <c r="J144" s="142"/>
    </row>
    <row r="145" spans="3:10" ht="15.75">
      <c r="C145" s="142"/>
      <c r="D145" s="142"/>
      <c r="E145" s="142"/>
      <c r="F145" s="142"/>
      <c r="G145" s="142"/>
      <c r="H145" s="142"/>
      <c r="I145" s="141"/>
      <c r="J145" s="142"/>
    </row>
    <row r="146" spans="3:10" ht="15.75">
      <c r="C146" s="142"/>
      <c r="D146" s="142"/>
      <c r="E146" s="142"/>
      <c r="F146" s="142"/>
      <c r="G146" s="142"/>
      <c r="H146" s="142"/>
      <c r="I146" s="141"/>
      <c r="J146" s="142"/>
    </row>
    <row r="147" spans="3:10" ht="15.75">
      <c r="C147" s="142"/>
      <c r="D147" s="142"/>
      <c r="E147" s="142"/>
      <c r="F147" s="142"/>
      <c r="G147" s="142"/>
      <c r="H147" s="142"/>
      <c r="I147" s="141"/>
      <c r="J147" s="142"/>
    </row>
    <row r="148" spans="3:10" ht="15.75">
      <c r="C148" s="142"/>
      <c r="D148" s="142"/>
      <c r="E148" s="142"/>
      <c r="F148" s="142"/>
      <c r="G148" s="142"/>
      <c r="H148" s="142"/>
      <c r="I148" s="141"/>
      <c r="J148" s="142"/>
    </row>
    <row r="149" spans="3:10" ht="15.75">
      <c r="C149" s="142"/>
      <c r="D149" s="142"/>
      <c r="E149" s="142"/>
      <c r="F149" s="142"/>
      <c r="G149" s="142"/>
      <c r="H149" s="142"/>
      <c r="I149" s="141"/>
      <c r="J149" s="142"/>
    </row>
    <row r="150" spans="3:10" ht="15.75">
      <c r="C150" s="142"/>
      <c r="D150" s="142"/>
      <c r="E150" s="142"/>
      <c r="F150" s="142"/>
      <c r="G150" s="142"/>
      <c r="H150" s="142"/>
      <c r="I150" s="141"/>
      <c r="J150" s="142"/>
    </row>
    <row r="151" spans="3:10" ht="15.75">
      <c r="C151" s="142"/>
      <c r="D151" s="142"/>
      <c r="E151" s="142"/>
      <c r="F151" s="142"/>
      <c r="G151" s="142"/>
      <c r="H151" s="142"/>
      <c r="I151" s="141"/>
      <c r="J151" s="142"/>
    </row>
    <row r="152" spans="3:10" ht="15.75">
      <c r="C152" s="142"/>
      <c r="D152" s="142"/>
      <c r="E152" s="142"/>
      <c r="F152" s="142"/>
      <c r="G152" s="142"/>
      <c r="H152" s="142"/>
      <c r="I152" s="141"/>
      <c r="J152" s="142"/>
    </row>
    <row r="153" spans="3:10" ht="15.75">
      <c r="C153" s="142"/>
      <c r="D153" s="142"/>
      <c r="E153" s="142"/>
      <c r="F153" s="142"/>
      <c r="G153" s="142"/>
      <c r="H153" s="142"/>
      <c r="I153" s="141"/>
      <c r="J153" s="142"/>
    </row>
    <row r="154" spans="3:10" ht="15.75">
      <c r="C154" s="142"/>
      <c r="D154" s="142"/>
      <c r="E154" s="142"/>
      <c r="F154" s="142"/>
      <c r="G154" s="142"/>
      <c r="H154" s="142"/>
      <c r="I154" s="141"/>
      <c r="J154" s="142"/>
    </row>
    <row r="155" spans="3:10" ht="15.75">
      <c r="C155" s="142"/>
      <c r="D155" s="142"/>
      <c r="E155" s="142"/>
      <c r="F155" s="142"/>
      <c r="G155" s="142"/>
      <c r="H155" s="142"/>
      <c r="I155" s="141"/>
      <c r="J155" s="142"/>
    </row>
    <row r="156" spans="3:10" ht="15.75">
      <c r="C156" s="142"/>
      <c r="D156" s="142"/>
      <c r="E156" s="142"/>
      <c r="F156" s="142"/>
      <c r="G156" s="142"/>
      <c r="H156" s="142"/>
      <c r="I156" s="141"/>
      <c r="J156" s="142"/>
    </row>
    <row r="157" spans="3:10" ht="15.75">
      <c r="C157" s="142"/>
      <c r="D157" s="142"/>
      <c r="E157" s="142"/>
      <c r="F157" s="142"/>
      <c r="G157" s="142"/>
      <c r="H157" s="142"/>
      <c r="I157" s="141"/>
      <c r="J157" s="142"/>
    </row>
    <row r="158" spans="3:10" ht="15.75">
      <c r="C158" s="142"/>
      <c r="D158" s="142"/>
      <c r="E158" s="142"/>
      <c r="F158" s="142"/>
      <c r="G158" s="142"/>
      <c r="H158" s="142"/>
      <c r="I158" s="141"/>
      <c r="J158" s="142"/>
    </row>
    <row r="159" spans="3:10" ht="15.75">
      <c r="C159" s="142"/>
      <c r="D159" s="142"/>
      <c r="E159" s="142"/>
      <c r="F159" s="142"/>
      <c r="G159" s="142"/>
      <c r="H159" s="142"/>
      <c r="I159" s="141"/>
      <c r="J159" s="142"/>
    </row>
    <row r="160" spans="3:10" ht="15.75">
      <c r="C160" s="142"/>
      <c r="D160" s="142"/>
      <c r="E160" s="142"/>
      <c r="F160" s="142"/>
      <c r="G160" s="142"/>
      <c r="H160" s="142"/>
      <c r="I160" s="141"/>
      <c r="J160" s="142"/>
    </row>
    <row r="161" spans="3:10" ht="15.75">
      <c r="C161" s="142"/>
      <c r="D161" s="142"/>
      <c r="E161" s="142"/>
      <c r="F161" s="142"/>
      <c r="G161" s="142"/>
      <c r="H161" s="142"/>
      <c r="I161" s="141"/>
      <c r="J161" s="142"/>
    </row>
    <row r="162" spans="3:10" ht="15.75">
      <c r="C162" s="142"/>
      <c r="D162" s="142"/>
      <c r="E162" s="142"/>
      <c r="F162" s="142"/>
      <c r="G162" s="142"/>
      <c r="H162" s="142"/>
      <c r="I162" s="141"/>
      <c r="J162" s="142"/>
    </row>
    <row r="163" spans="3:10" ht="15.75">
      <c r="C163" s="142"/>
      <c r="D163" s="142"/>
      <c r="E163" s="142"/>
      <c r="F163" s="142"/>
      <c r="G163" s="142"/>
      <c r="H163" s="142"/>
      <c r="I163" s="141"/>
      <c r="J163" s="142"/>
    </row>
    <row r="164" spans="3:10" ht="15.75">
      <c r="C164" s="142"/>
      <c r="D164" s="142"/>
      <c r="E164" s="142"/>
      <c r="F164" s="142"/>
      <c r="G164" s="142"/>
      <c r="H164" s="142"/>
      <c r="I164" s="141"/>
      <c r="J164" s="142"/>
    </row>
    <row r="165" spans="3:10" ht="15.75">
      <c r="C165" s="142"/>
      <c r="D165" s="142"/>
      <c r="E165" s="142"/>
      <c r="F165" s="142"/>
      <c r="G165" s="142"/>
      <c r="H165" s="142"/>
      <c r="I165" s="141"/>
      <c r="J165" s="142"/>
    </row>
    <row r="166" spans="3:10" ht="15.75">
      <c r="C166" s="142"/>
      <c r="D166" s="142"/>
      <c r="E166" s="142"/>
      <c r="F166" s="142"/>
      <c r="G166" s="142"/>
      <c r="H166" s="142"/>
      <c r="I166" s="141"/>
      <c r="J166" s="142"/>
    </row>
    <row r="167" spans="3:10" ht="15.75">
      <c r="C167" s="142"/>
      <c r="D167" s="142"/>
      <c r="E167" s="142"/>
      <c r="F167" s="142"/>
      <c r="G167" s="142"/>
      <c r="H167" s="142"/>
      <c r="I167" s="141"/>
      <c r="J167" s="142"/>
    </row>
    <row r="168" spans="3:10" ht="15.75">
      <c r="C168" s="142"/>
      <c r="D168" s="142"/>
      <c r="E168" s="142"/>
      <c r="F168" s="142"/>
      <c r="G168" s="142"/>
      <c r="H168" s="142"/>
      <c r="I168" s="141"/>
      <c r="J168" s="142"/>
    </row>
    <row r="169" spans="3:10" ht="15.75">
      <c r="C169" s="142"/>
      <c r="D169" s="142"/>
      <c r="E169" s="142"/>
      <c r="F169" s="142"/>
      <c r="G169" s="142"/>
      <c r="H169" s="142"/>
      <c r="I169" s="141"/>
      <c r="J169" s="142"/>
    </row>
    <row r="170" spans="3:10" ht="15.75">
      <c r="C170" s="142"/>
      <c r="D170" s="142"/>
      <c r="E170" s="142"/>
      <c r="F170" s="142"/>
      <c r="G170" s="142"/>
      <c r="H170" s="142"/>
      <c r="I170" s="141"/>
      <c r="J170" s="142"/>
    </row>
    <row r="171" spans="3:10" ht="15.75">
      <c r="C171" s="142"/>
      <c r="D171" s="142"/>
      <c r="E171" s="142"/>
      <c r="F171" s="142"/>
      <c r="G171" s="142"/>
      <c r="H171" s="142"/>
      <c r="I171" s="141"/>
      <c r="J171" s="142"/>
    </row>
    <row r="172" spans="3:10" ht="15.75">
      <c r="C172" s="142"/>
      <c r="D172" s="142"/>
      <c r="E172" s="142"/>
      <c r="F172" s="142"/>
      <c r="G172" s="142"/>
      <c r="H172" s="142"/>
      <c r="I172" s="141"/>
      <c r="J172" s="142"/>
    </row>
    <row r="173" spans="3:10" ht="15.75">
      <c r="C173" s="142"/>
      <c r="D173" s="142"/>
      <c r="E173" s="142"/>
      <c r="F173" s="142"/>
      <c r="G173" s="142"/>
      <c r="H173" s="142"/>
      <c r="I173" s="141"/>
      <c r="J173" s="142"/>
    </row>
    <row r="174" spans="3:10" ht="15.75">
      <c r="C174" s="142"/>
      <c r="D174" s="142"/>
      <c r="E174" s="142"/>
      <c r="F174" s="142"/>
      <c r="G174" s="142"/>
      <c r="H174" s="142"/>
      <c r="I174" s="141"/>
      <c r="J174" s="142"/>
    </row>
    <row r="175" spans="3:10" ht="15.75">
      <c r="C175" s="142"/>
      <c r="D175" s="142"/>
      <c r="E175" s="142"/>
      <c r="F175" s="142"/>
      <c r="G175" s="142"/>
      <c r="H175" s="142"/>
      <c r="I175" s="141"/>
      <c r="J175" s="142"/>
    </row>
    <row r="176" spans="3:10" ht="15.75">
      <c r="C176" s="142"/>
      <c r="D176" s="142"/>
      <c r="E176" s="142"/>
      <c r="F176" s="142"/>
      <c r="G176" s="142"/>
      <c r="H176" s="142"/>
      <c r="I176" s="141"/>
      <c r="J176" s="142"/>
    </row>
    <row r="177" spans="3:10" ht="15.75">
      <c r="C177" s="142"/>
      <c r="D177" s="142"/>
      <c r="E177" s="142"/>
      <c r="F177" s="142"/>
      <c r="G177" s="142"/>
      <c r="H177" s="142"/>
      <c r="I177" s="141"/>
      <c r="J177" s="142"/>
    </row>
    <row r="178" spans="3:10" ht="15.75">
      <c r="C178" s="142"/>
      <c r="D178" s="142"/>
      <c r="E178" s="142"/>
      <c r="F178" s="142"/>
      <c r="G178" s="142"/>
      <c r="H178" s="142"/>
      <c r="I178" s="141"/>
      <c r="J178" s="142"/>
    </row>
    <row r="179" spans="3:10" ht="15.75">
      <c r="C179" s="142"/>
      <c r="D179" s="142"/>
      <c r="E179" s="142"/>
      <c r="F179" s="142"/>
      <c r="G179" s="142"/>
      <c r="H179" s="142"/>
      <c r="I179" s="141"/>
      <c r="J179" s="142"/>
    </row>
    <row r="180" spans="3:10" ht="15.75">
      <c r="C180" s="142"/>
      <c r="D180" s="142"/>
      <c r="E180" s="142"/>
      <c r="F180" s="142"/>
      <c r="G180" s="142"/>
      <c r="H180" s="142"/>
      <c r="I180" s="141"/>
      <c r="J180" s="142"/>
    </row>
    <row r="181" spans="3:10" ht="15.75">
      <c r="C181" s="142"/>
      <c r="D181" s="142"/>
      <c r="E181" s="142"/>
      <c r="F181" s="142"/>
      <c r="G181" s="142"/>
      <c r="H181" s="142"/>
      <c r="I181" s="141"/>
      <c r="J181" s="142"/>
    </row>
    <row r="182" spans="3:10" ht="15.75">
      <c r="C182" s="142"/>
      <c r="D182" s="142"/>
      <c r="E182" s="142"/>
      <c r="F182" s="142"/>
      <c r="G182" s="142"/>
      <c r="H182" s="142"/>
      <c r="I182" s="141"/>
      <c r="J182" s="142"/>
    </row>
    <row r="183" spans="3:10" ht="15.75">
      <c r="C183" s="142"/>
      <c r="D183" s="142"/>
      <c r="E183" s="142"/>
      <c r="F183" s="142"/>
      <c r="G183" s="142"/>
      <c r="H183" s="142"/>
      <c r="I183" s="141"/>
      <c r="J183" s="142"/>
    </row>
    <row r="184" spans="3:10" ht="15.75">
      <c r="C184" s="142"/>
      <c r="D184" s="142"/>
      <c r="E184" s="142"/>
      <c r="F184" s="142"/>
      <c r="G184" s="142"/>
      <c r="H184" s="142"/>
      <c r="I184" s="141"/>
      <c r="J184" s="142"/>
    </row>
    <row r="185" spans="3:10" ht="15.75">
      <c r="C185" s="142"/>
      <c r="D185" s="142"/>
      <c r="E185" s="142"/>
      <c r="F185" s="142"/>
      <c r="G185" s="142"/>
      <c r="H185" s="142"/>
      <c r="I185" s="141"/>
      <c r="J185" s="142"/>
    </row>
    <row r="186" spans="3:10" ht="15.75">
      <c r="C186" s="142"/>
      <c r="D186" s="142"/>
      <c r="E186" s="142"/>
      <c r="F186" s="142"/>
      <c r="G186" s="142"/>
      <c r="H186" s="142"/>
      <c r="I186" s="141"/>
      <c r="J186" s="142"/>
    </row>
    <row r="187" spans="3:10" ht="15.75">
      <c r="C187" s="142"/>
      <c r="D187" s="142"/>
      <c r="E187" s="142"/>
      <c r="F187" s="142"/>
      <c r="G187" s="142"/>
      <c r="H187" s="142"/>
      <c r="I187" s="141"/>
      <c r="J187" s="142"/>
    </row>
    <row r="188" spans="3:10" ht="15.75">
      <c r="C188" s="142"/>
      <c r="D188" s="142"/>
      <c r="E188" s="142"/>
      <c r="F188" s="142"/>
      <c r="G188" s="142"/>
      <c r="H188" s="142"/>
      <c r="I188" s="141"/>
      <c r="J188" s="142"/>
    </row>
    <row r="189" spans="3:10" ht="15.75">
      <c r="C189" s="142"/>
      <c r="D189" s="142"/>
      <c r="E189" s="142"/>
      <c r="F189" s="142"/>
      <c r="G189" s="142"/>
      <c r="H189" s="142"/>
      <c r="I189" s="141"/>
      <c r="J189" s="142"/>
    </row>
    <row r="190" spans="3:10" ht="15.75">
      <c r="C190" s="142"/>
      <c r="D190" s="142"/>
      <c r="E190" s="142"/>
      <c r="F190" s="142"/>
      <c r="G190" s="142"/>
      <c r="H190" s="142"/>
      <c r="I190" s="141"/>
      <c r="J190" s="142"/>
    </row>
    <row r="191" spans="3:10" ht="15.75">
      <c r="C191" s="142"/>
      <c r="D191" s="142"/>
      <c r="E191" s="142"/>
      <c r="F191" s="142"/>
      <c r="G191" s="142"/>
      <c r="H191" s="142"/>
      <c r="I191" s="141"/>
      <c r="J191" s="142"/>
    </row>
    <row r="192" spans="3:10" ht="15.75">
      <c r="C192" s="142"/>
      <c r="D192" s="142"/>
      <c r="E192" s="142"/>
      <c r="F192" s="142"/>
      <c r="G192" s="142"/>
      <c r="H192" s="142"/>
      <c r="I192" s="141"/>
      <c r="J192" s="142"/>
    </row>
    <row r="193" spans="3:10" ht="15.75">
      <c r="C193" s="142"/>
      <c r="D193" s="142"/>
      <c r="E193" s="142"/>
      <c r="F193" s="142"/>
      <c r="G193" s="142"/>
      <c r="H193" s="142"/>
      <c r="I193" s="141"/>
      <c r="J193" s="142"/>
    </row>
    <row r="194" spans="3:10" ht="15.75">
      <c r="C194" s="142"/>
      <c r="D194" s="142"/>
      <c r="E194" s="142"/>
      <c r="F194" s="142"/>
      <c r="G194" s="142"/>
      <c r="H194" s="142"/>
      <c r="I194" s="141"/>
      <c r="J194" s="142"/>
    </row>
    <row r="195" spans="3:10" ht="15.75">
      <c r="C195" s="142"/>
      <c r="D195" s="142"/>
      <c r="E195" s="142"/>
      <c r="F195" s="142"/>
      <c r="G195" s="142"/>
      <c r="H195" s="142"/>
      <c r="I195" s="141"/>
      <c r="J195" s="142"/>
    </row>
    <row r="196" spans="3:10" ht="15.75">
      <c r="C196" s="142"/>
      <c r="D196" s="142"/>
      <c r="E196" s="142"/>
      <c r="F196" s="142"/>
      <c r="G196" s="142"/>
      <c r="H196" s="142"/>
      <c r="I196" s="141"/>
      <c r="J196" s="142"/>
    </row>
    <row r="197" spans="3:10" ht="15.75">
      <c r="C197" s="142"/>
      <c r="D197" s="142"/>
      <c r="E197" s="142"/>
      <c r="F197" s="142"/>
      <c r="G197" s="142"/>
      <c r="H197" s="142"/>
      <c r="I197" s="141"/>
      <c r="J197" s="142"/>
    </row>
    <row r="198" spans="3:10" ht="15.75">
      <c r="C198" s="142"/>
      <c r="D198" s="142"/>
      <c r="E198" s="142"/>
      <c r="F198" s="142"/>
      <c r="G198" s="142"/>
      <c r="H198" s="142"/>
      <c r="I198" s="141"/>
      <c r="J198" s="142"/>
    </row>
    <row r="199" spans="3:10" ht="15.75">
      <c r="C199" s="142"/>
      <c r="D199" s="142"/>
      <c r="E199" s="142"/>
      <c r="F199" s="142"/>
      <c r="G199" s="142"/>
      <c r="H199" s="142"/>
      <c r="I199" s="141"/>
      <c r="J199" s="142"/>
    </row>
    <row r="200" spans="3:10" ht="15.75">
      <c r="C200" s="142"/>
      <c r="D200" s="142"/>
      <c r="E200" s="142"/>
      <c r="F200" s="142"/>
      <c r="G200" s="142"/>
      <c r="H200" s="142"/>
      <c r="I200" s="141"/>
      <c r="J200" s="142"/>
    </row>
    <row r="201" spans="3:10" ht="15.75">
      <c r="C201" s="142"/>
      <c r="D201" s="142"/>
      <c r="E201" s="142"/>
      <c r="F201" s="142"/>
      <c r="G201" s="142"/>
      <c r="H201" s="142"/>
      <c r="I201" s="141"/>
      <c r="J201" s="142"/>
    </row>
    <row r="202" spans="3:10" ht="15.75">
      <c r="C202" s="142"/>
      <c r="D202" s="142"/>
      <c r="E202" s="142"/>
      <c r="F202" s="142"/>
      <c r="G202" s="142"/>
      <c r="H202" s="142"/>
      <c r="I202" s="141"/>
      <c r="J202" s="142"/>
    </row>
    <row r="203" spans="3:10" ht="15.75">
      <c r="C203" s="142"/>
      <c r="D203" s="142"/>
      <c r="E203" s="142"/>
      <c r="F203" s="142"/>
      <c r="G203" s="142"/>
      <c r="H203" s="142"/>
      <c r="I203" s="141"/>
      <c r="J203" s="142"/>
    </row>
    <row r="204" spans="3:10" ht="15.75">
      <c r="C204" s="142"/>
      <c r="D204" s="142"/>
      <c r="E204" s="142"/>
      <c r="F204" s="142"/>
      <c r="G204" s="142"/>
      <c r="H204" s="142"/>
      <c r="I204" s="141"/>
      <c r="J204" s="142"/>
    </row>
    <row r="205" spans="3:10" ht="15.75">
      <c r="C205" s="142"/>
      <c r="D205" s="142"/>
      <c r="E205" s="142"/>
      <c r="F205" s="142"/>
      <c r="G205" s="142"/>
      <c r="H205" s="142"/>
      <c r="I205" s="141"/>
      <c r="J205" s="142"/>
    </row>
    <row r="206" spans="3:10" ht="15.75">
      <c r="C206" s="142"/>
      <c r="D206" s="142"/>
      <c r="E206" s="142"/>
      <c r="F206" s="142"/>
      <c r="G206" s="142"/>
      <c r="H206" s="142"/>
      <c r="I206" s="141"/>
      <c r="J206" s="142"/>
    </row>
    <row r="207" spans="3:10" ht="15.75">
      <c r="C207" s="142"/>
      <c r="D207" s="142"/>
      <c r="E207" s="142"/>
      <c r="F207" s="142"/>
      <c r="G207" s="142"/>
      <c r="H207" s="142"/>
      <c r="I207" s="141"/>
      <c r="J207" s="142"/>
    </row>
    <row r="208" spans="3:10" ht="15.75">
      <c r="C208" s="142"/>
      <c r="D208" s="142"/>
      <c r="E208" s="142"/>
      <c r="F208" s="142"/>
      <c r="G208" s="142"/>
      <c r="H208" s="142"/>
      <c r="I208" s="141"/>
      <c r="J208" s="142"/>
    </row>
    <row r="209" spans="3:10" ht="15.75">
      <c r="C209" s="142"/>
      <c r="D209" s="142"/>
      <c r="E209" s="142"/>
      <c r="F209" s="142"/>
      <c r="G209" s="142"/>
      <c r="H209" s="142"/>
      <c r="I209" s="141"/>
      <c r="J209" s="142"/>
    </row>
    <row r="210" spans="3:10" ht="15.75">
      <c r="C210" s="142"/>
      <c r="D210" s="142"/>
      <c r="E210" s="142"/>
      <c r="F210" s="142"/>
      <c r="G210" s="142"/>
      <c r="H210" s="142"/>
      <c r="I210" s="141"/>
      <c r="J210" s="142"/>
    </row>
    <row r="211" spans="3:10" ht="15.75">
      <c r="C211" s="142"/>
      <c r="D211" s="142"/>
      <c r="E211" s="142"/>
      <c r="F211" s="142"/>
      <c r="G211" s="142"/>
      <c r="H211" s="142"/>
      <c r="I211" s="141"/>
      <c r="J211" s="142"/>
    </row>
    <row r="212" spans="3:10" ht="15.75">
      <c r="C212" s="142"/>
      <c r="D212" s="142"/>
      <c r="E212" s="142"/>
      <c r="F212" s="142"/>
      <c r="G212" s="142"/>
      <c r="H212" s="142"/>
      <c r="I212" s="141"/>
      <c r="J212" s="142"/>
    </row>
    <row r="213" spans="3:10" ht="15.75">
      <c r="C213" s="142"/>
      <c r="D213" s="142"/>
      <c r="E213" s="142"/>
      <c r="F213" s="142"/>
      <c r="G213" s="142"/>
      <c r="H213" s="142"/>
      <c r="I213" s="141"/>
      <c r="J213" s="142"/>
    </row>
    <row r="214" spans="3:10" ht="15.75">
      <c r="C214" s="142"/>
      <c r="D214" s="142"/>
      <c r="E214" s="142"/>
      <c r="F214" s="142"/>
      <c r="G214" s="142"/>
      <c r="H214" s="142"/>
      <c r="I214" s="141"/>
      <c r="J214" s="142"/>
    </row>
    <row r="215" spans="3:10" ht="15.75">
      <c r="C215" s="142"/>
      <c r="D215" s="142"/>
      <c r="E215" s="142"/>
      <c r="F215" s="142"/>
      <c r="G215" s="142"/>
      <c r="H215" s="142"/>
      <c r="I215" s="141"/>
      <c r="J215" s="142"/>
    </row>
    <row r="216" spans="3:10" ht="15.75">
      <c r="C216" s="142"/>
      <c r="D216" s="142"/>
      <c r="E216" s="142"/>
      <c r="F216" s="142"/>
      <c r="G216" s="142"/>
      <c r="H216" s="142"/>
      <c r="I216" s="141"/>
      <c r="J216" s="142"/>
    </row>
    <row r="217" spans="3:10" ht="15.75">
      <c r="C217" s="142"/>
      <c r="D217" s="142"/>
      <c r="E217" s="142"/>
      <c r="F217" s="142"/>
      <c r="G217" s="142"/>
      <c r="H217" s="142"/>
      <c r="I217" s="141"/>
      <c r="J217" s="142"/>
    </row>
    <row r="218" spans="3:10" ht="15.75">
      <c r="C218" s="142"/>
      <c r="D218" s="142"/>
      <c r="E218" s="142"/>
      <c r="F218" s="142"/>
      <c r="G218" s="142"/>
      <c r="H218" s="142"/>
      <c r="I218" s="141"/>
      <c r="J218" s="142"/>
    </row>
    <row r="219" spans="3:10" ht="15.75">
      <c r="C219" s="142"/>
      <c r="D219" s="142"/>
      <c r="E219" s="142"/>
      <c r="F219" s="142"/>
      <c r="G219" s="142"/>
      <c r="H219" s="142"/>
      <c r="I219" s="141"/>
      <c r="J219" s="142"/>
    </row>
    <row r="220" spans="3:10" ht="15.75">
      <c r="C220" s="142"/>
      <c r="D220" s="142"/>
      <c r="E220" s="142"/>
      <c r="F220" s="142"/>
      <c r="G220" s="142"/>
      <c r="H220" s="142"/>
      <c r="I220" s="141"/>
      <c r="J220" s="142"/>
    </row>
    <row r="221" spans="3:10" ht="15.75">
      <c r="C221" s="142"/>
      <c r="D221" s="142"/>
      <c r="E221" s="142"/>
      <c r="F221" s="142"/>
      <c r="G221" s="142"/>
      <c r="H221" s="142"/>
      <c r="I221" s="141"/>
      <c r="J221" s="142"/>
    </row>
    <row r="222" spans="3:10" ht="15.75">
      <c r="C222" s="142"/>
      <c r="D222" s="142"/>
      <c r="E222" s="142"/>
      <c r="F222" s="142"/>
      <c r="G222" s="142"/>
      <c r="H222" s="142"/>
      <c r="I222" s="141"/>
      <c r="J222" s="142"/>
    </row>
    <row r="223" spans="3:10" ht="15.75">
      <c r="C223" s="142"/>
      <c r="D223" s="142"/>
      <c r="E223" s="142"/>
      <c r="F223" s="142"/>
      <c r="G223" s="142"/>
      <c r="H223" s="142"/>
      <c r="I223" s="141"/>
      <c r="J223" s="142"/>
    </row>
    <row r="224" spans="3:10" ht="15.75">
      <c r="C224" s="142"/>
      <c r="D224" s="142"/>
      <c r="E224" s="142"/>
      <c r="F224" s="142"/>
      <c r="G224" s="142"/>
      <c r="H224" s="142"/>
      <c r="I224" s="141"/>
      <c r="J224" s="142"/>
    </row>
    <row r="225" spans="3:10" ht="15.75">
      <c r="C225" s="142"/>
      <c r="D225" s="142"/>
      <c r="E225" s="142"/>
      <c r="F225" s="142"/>
      <c r="G225" s="142"/>
      <c r="H225" s="142"/>
      <c r="I225" s="141"/>
      <c r="J225" s="142"/>
    </row>
    <row r="226" spans="3:10" ht="15.75">
      <c r="C226" s="142"/>
      <c r="D226" s="142"/>
      <c r="E226" s="142"/>
      <c r="F226" s="142"/>
      <c r="G226" s="142"/>
      <c r="H226" s="142"/>
      <c r="I226" s="141"/>
      <c r="J226" s="142"/>
    </row>
    <row r="227" spans="3:10" ht="15.75">
      <c r="C227" s="142"/>
      <c r="D227" s="142"/>
      <c r="E227" s="142"/>
      <c r="F227" s="142"/>
      <c r="G227" s="142"/>
      <c r="H227" s="142"/>
      <c r="I227" s="141"/>
      <c r="J227" s="142"/>
    </row>
    <row r="228" spans="3:10" ht="15.75">
      <c r="C228" s="142"/>
      <c r="D228" s="142"/>
      <c r="E228" s="142"/>
      <c r="F228" s="142"/>
      <c r="G228" s="142"/>
      <c r="H228" s="142"/>
      <c r="I228" s="141"/>
      <c r="J228" s="142"/>
    </row>
    <row r="229" spans="3:10" ht="15.75">
      <c r="C229" s="142"/>
      <c r="D229" s="142"/>
      <c r="E229" s="142"/>
      <c r="F229" s="142"/>
      <c r="G229" s="142"/>
      <c r="H229" s="142"/>
      <c r="I229" s="141"/>
      <c r="J229" s="142"/>
    </row>
    <row r="230" spans="3:10" ht="15.75">
      <c r="C230" s="142"/>
      <c r="D230" s="142"/>
      <c r="E230" s="142"/>
      <c r="F230" s="142"/>
      <c r="G230" s="142"/>
      <c r="H230" s="142"/>
      <c r="I230" s="141"/>
      <c r="J230" s="142"/>
    </row>
    <row r="231" spans="3:10" ht="15.75">
      <c r="C231" s="142"/>
      <c r="D231" s="142"/>
      <c r="E231" s="142"/>
      <c r="F231" s="142"/>
      <c r="G231" s="142"/>
      <c r="H231" s="142"/>
      <c r="I231" s="141"/>
      <c r="J231" s="142"/>
    </row>
    <row r="232" spans="3:10" ht="15.75">
      <c r="C232" s="142"/>
      <c r="D232" s="142"/>
      <c r="E232" s="142"/>
      <c r="F232" s="142"/>
      <c r="G232" s="142"/>
      <c r="H232" s="142"/>
      <c r="I232" s="141"/>
      <c r="J232" s="142"/>
    </row>
    <row r="233" spans="3:10" ht="15.75">
      <c r="C233" s="142"/>
      <c r="D233" s="142"/>
      <c r="E233" s="142"/>
      <c r="F233" s="142"/>
      <c r="G233" s="142"/>
      <c r="H233" s="142"/>
      <c r="I233" s="141"/>
      <c r="J233" s="142"/>
    </row>
    <row r="234" spans="3:10" ht="15.75">
      <c r="C234" s="142"/>
      <c r="D234" s="142"/>
      <c r="E234" s="142"/>
      <c r="F234" s="142"/>
      <c r="G234" s="142"/>
      <c r="H234" s="142"/>
      <c r="I234" s="141"/>
      <c r="J234" s="142"/>
    </row>
    <row r="235" spans="3:10" ht="15.75">
      <c r="C235" s="142"/>
      <c r="D235" s="142"/>
      <c r="E235" s="142"/>
      <c r="F235" s="142"/>
      <c r="G235" s="142"/>
      <c r="H235" s="142"/>
      <c r="I235" s="141"/>
      <c r="J235" s="142"/>
    </row>
    <row r="236" spans="3:10" ht="15.75">
      <c r="C236" s="142"/>
      <c r="D236" s="142"/>
      <c r="E236" s="142"/>
      <c r="F236" s="142"/>
      <c r="G236" s="142"/>
      <c r="H236" s="142"/>
      <c r="I236" s="141"/>
      <c r="J236" s="142"/>
    </row>
    <row r="237" spans="3:10" ht="15.75">
      <c r="C237" s="142"/>
      <c r="D237" s="142"/>
      <c r="E237" s="142"/>
      <c r="F237" s="142"/>
      <c r="G237" s="142"/>
      <c r="H237" s="142"/>
      <c r="I237" s="141"/>
      <c r="J237" s="142"/>
    </row>
    <row r="238" spans="3:10" ht="15.75">
      <c r="C238" s="142"/>
      <c r="D238" s="142"/>
      <c r="E238" s="142"/>
      <c r="F238" s="142"/>
      <c r="G238" s="142"/>
      <c r="H238" s="142"/>
      <c r="I238" s="141"/>
      <c r="J238" s="142"/>
    </row>
    <row r="239" spans="3:10" ht="15.75">
      <c r="C239" s="142"/>
      <c r="D239" s="142"/>
      <c r="E239" s="142"/>
      <c r="F239" s="142"/>
      <c r="G239" s="142"/>
      <c r="H239" s="142"/>
      <c r="I239" s="141"/>
      <c r="J239" s="142"/>
    </row>
    <row r="240" spans="3:10" ht="15.75">
      <c r="C240" s="142"/>
      <c r="D240" s="142"/>
      <c r="E240" s="142"/>
      <c r="F240" s="142"/>
      <c r="G240" s="142"/>
      <c r="H240" s="142"/>
      <c r="I240" s="141"/>
      <c r="J240" s="142"/>
    </row>
    <row r="241" spans="3:10" ht="15.75">
      <c r="C241" s="142"/>
      <c r="D241" s="142"/>
      <c r="E241" s="142"/>
      <c r="F241" s="142"/>
      <c r="G241" s="142"/>
      <c r="H241" s="142"/>
      <c r="I241" s="141"/>
      <c r="J241" s="142"/>
    </row>
    <row r="242" spans="3:10" ht="15.75">
      <c r="C242" s="142"/>
      <c r="D242" s="142"/>
      <c r="E242" s="142"/>
      <c r="F242" s="142"/>
      <c r="G242" s="142"/>
      <c r="H242" s="142"/>
      <c r="I242" s="141"/>
      <c r="J242" s="142"/>
    </row>
    <row r="243" spans="3:10" ht="15.75">
      <c r="C243" s="142"/>
      <c r="D243" s="142"/>
      <c r="E243" s="142"/>
      <c r="F243" s="142"/>
      <c r="G243" s="142"/>
      <c r="H243" s="142"/>
      <c r="I243" s="141"/>
      <c r="J243" s="142"/>
    </row>
    <row r="244" spans="3:10" ht="15.75">
      <c r="C244" s="142"/>
      <c r="D244" s="142"/>
      <c r="E244" s="142"/>
      <c r="F244" s="142"/>
      <c r="G244" s="142"/>
      <c r="H244" s="142"/>
      <c r="I244" s="141"/>
      <c r="J244" s="142"/>
    </row>
    <row r="245" spans="3:10" ht="15.75">
      <c r="C245" s="142"/>
      <c r="D245" s="142"/>
      <c r="E245" s="142"/>
      <c r="F245" s="142"/>
      <c r="G245" s="142"/>
      <c r="H245" s="142"/>
      <c r="I245" s="141"/>
      <c r="J245" s="142"/>
    </row>
    <row r="246" spans="3:10" ht="15.75">
      <c r="C246" s="142"/>
      <c r="D246" s="142"/>
      <c r="E246" s="142"/>
      <c r="F246" s="142"/>
      <c r="G246" s="142"/>
      <c r="H246" s="142"/>
      <c r="I246" s="141"/>
      <c r="J246" s="142"/>
    </row>
    <row r="247" spans="3:10" ht="15.75">
      <c r="C247" s="142"/>
      <c r="D247" s="142"/>
      <c r="E247" s="142"/>
      <c r="F247" s="142"/>
      <c r="G247" s="142"/>
      <c r="H247" s="142"/>
      <c r="I247" s="141"/>
      <c r="J247" s="142"/>
    </row>
    <row r="248" spans="3:10" ht="15.75">
      <c r="C248" s="142"/>
      <c r="D248" s="142"/>
      <c r="E248" s="142"/>
      <c r="F248" s="142"/>
      <c r="G248" s="142"/>
      <c r="H248" s="142"/>
      <c r="I248" s="141"/>
      <c r="J248" s="142"/>
    </row>
    <row r="249" spans="3:10" ht="15.75">
      <c r="C249" s="142"/>
      <c r="D249" s="142"/>
      <c r="E249" s="142"/>
      <c r="F249" s="142"/>
      <c r="G249" s="142"/>
      <c r="H249" s="142"/>
      <c r="I249" s="141"/>
      <c r="J249" s="142"/>
    </row>
    <row r="250" spans="3:10" ht="15.75">
      <c r="C250" s="142"/>
      <c r="D250" s="142"/>
      <c r="E250" s="142"/>
      <c r="F250" s="142"/>
      <c r="G250" s="142"/>
      <c r="H250" s="142"/>
      <c r="I250" s="141"/>
      <c r="J250" s="142"/>
    </row>
    <row r="251" spans="3:10" ht="15.75">
      <c r="C251" s="142"/>
      <c r="D251" s="142"/>
      <c r="E251" s="142"/>
      <c r="F251" s="142"/>
      <c r="G251" s="142"/>
      <c r="H251" s="142"/>
      <c r="I251" s="141"/>
      <c r="J251" s="142"/>
    </row>
    <row r="252" spans="3:10" ht="15.75">
      <c r="C252" s="142"/>
      <c r="D252" s="142"/>
      <c r="E252" s="142"/>
      <c r="F252" s="142"/>
      <c r="G252" s="142"/>
      <c r="H252" s="142"/>
      <c r="I252" s="141"/>
      <c r="J252" s="142"/>
    </row>
    <row r="253" spans="3:10" ht="15.75">
      <c r="C253" s="142"/>
      <c r="D253" s="142"/>
      <c r="E253" s="142"/>
      <c r="F253" s="142"/>
      <c r="G253" s="142"/>
      <c r="H253" s="142"/>
      <c r="I253" s="141"/>
      <c r="J253" s="142"/>
    </row>
    <row r="254" spans="3:10" ht="15.75">
      <c r="C254" s="142"/>
      <c r="D254" s="142"/>
      <c r="E254" s="142"/>
      <c r="F254" s="142"/>
      <c r="G254" s="142"/>
      <c r="H254" s="142"/>
      <c r="I254" s="141"/>
      <c r="J254" s="142"/>
    </row>
    <row r="255" spans="3:10" ht="15.75">
      <c r="C255" s="142"/>
      <c r="D255" s="142"/>
      <c r="E255" s="142"/>
      <c r="F255" s="142"/>
      <c r="G255" s="142"/>
      <c r="H255" s="142"/>
      <c r="I255" s="141"/>
      <c r="J255" s="142"/>
    </row>
    <row r="256" spans="3:10" ht="15.75">
      <c r="C256" s="142"/>
      <c r="D256" s="142"/>
      <c r="E256" s="142"/>
      <c r="F256" s="142"/>
      <c r="G256" s="142"/>
      <c r="H256" s="142"/>
      <c r="I256" s="141"/>
      <c r="J256" s="142"/>
    </row>
    <row r="257" spans="3:10" ht="15.75">
      <c r="C257" s="142"/>
      <c r="D257" s="142"/>
      <c r="E257" s="142"/>
      <c r="F257" s="142"/>
      <c r="G257" s="142"/>
      <c r="H257" s="142"/>
      <c r="I257" s="141"/>
      <c r="J257" s="142"/>
    </row>
    <row r="258" spans="3:10" ht="15.75">
      <c r="C258" s="142"/>
      <c r="D258" s="142"/>
      <c r="E258" s="142"/>
      <c r="F258" s="142"/>
      <c r="G258" s="142"/>
      <c r="H258" s="142"/>
      <c r="I258" s="141"/>
      <c r="J258" s="142"/>
    </row>
    <row r="259" spans="3:10" ht="15.75">
      <c r="C259" s="142"/>
      <c r="D259" s="142"/>
      <c r="E259" s="142"/>
      <c r="F259" s="142"/>
      <c r="G259" s="142"/>
      <c r="H259" s="142"/>
      <c r="I259" s="141"/>
      <c r="J259" s="142"/>
    </row>
    <row r="260" spans="3:10" ht="15.75">
      <c r="C260" s="142"/>
      <c r="D260" s="142"/>
      <c r="E260" s="142"/>
      <c r="F260" s="142"/>
      <c r="G260" s="142"/>
      <c r="H260" s="142"/>
      <c r="I260" s="141"/>
      <c r="J260" s="142"/>
    </row>
    <row r="261" spans="3:10" ht="15.75">
      <c r="C261" s="142"/>
      <c r="D261" s="142"/>
      <c r="E261" s="142"/>
      <c r="F261" s="142"/>
      <c r="G261" s="142"/>
      <c r="H261" s="142"/>
      <c r="I261" s="141"/>
      <c r="J261" s="142"/>
    </row>
    <row r="262" spans="3:10" ht="15.75">
      <c r="C262" s="142"/>
      <c r="D262" s="142"/>
      <c r="E262" s="142"/>
      <c r="F262" s="142"/>
      <c r="G262" s="142"/>
      <c r="H262" s="142"/>
      <c r="I262" s="141"/>
      <c r="J262" s="142"/>
    </row>
    <row r="263" spans="3:10" ht="15.75">
      <c r="C263" s="142"/>
      <c r="D263" s="142"/>
      <c r="E263" s="142"/>
      <c r="F263" s="142"/>
      <c r="G263" s="142"/>
      <c r="H263" s="142"/>
      <c r="I263" s="141"/>
      <c r="J263" s="142"/>
    </row>
    <row r="264" spans="3:10" ht="15.75">
      <c r="C264" s="142"/>
      <c r="D264" s="142"/>
      <c r="E264" s="142"/>
      <c r="F264" s="142"/>
      <c r="G264" s="142"/>
      <c r="H264" s="142"/>
      <c r="I264" s="141"/>
      <c r="J264" s="142"/>
    </row>
    <row r="265" spans="3:10" ht="15.75">
      <c r="C265" s="142"/>
      <c r="D265" s="142"/>
      <c r="E265" s="142"/>
      <c r="F265" s="142"/>
      <c r="G265" s="142"/>
      <c r="H265" s="142"/>
      <c r="I265" s="141"/>
      <c r="J265" s="142"/>
    </row>
    <row r="266" spans="3:10" ht="15.75">
      <c r="C266" s="142"/>
      <c r="D266" s="142"/>
      <c r="E266" s="142"/>
      <c r="F266" s="142"/>
      <c r="G266" s="142"/>
      <c r="H266" s="142"/>
      <c r="I266" s="141"/>
      <c r="J266" s="142"/>
    </row>
    <row r="267" spans="3:10" ht="15.75">
      <c r="C267" s="142"/>
      <c r="D267" s="142"/>
      <c r="E267" s="142"/>
      <c r="F267" s="142"/>
      <c r="G267" s="142"/>
      <c r="H267" s="142"/>
      <c r="I267" s="141"/>
      <c r="J267" s="142"/>
    </row>
    <row r="268" spans="3:10" ht="15.75">
      <c r="C268" s="142"/>
      <c r="D268" s="142"/>
      <c r="E268" s="142"/>
      <c r="F268" s="142"/>
      <c r="G268" s="142"/>
      <c r="H268" s="142"/>
      <c r="I268" s="141"/>
      <c r="J268" s="142"/>
    </row>
    <row r="269" spans="3:10" ht="15.75">
      <c r="C269" s="142"/>
      <c r="D269" s="142"/>
      <c r="E269" s="142"/>
      <c r="F269" s="142"/>
      <c r="G269" s="142"/>
      <c r="H269" s="142"/>
      <c r="I269" s="141"/>
      <c r="J269" s="142"/>
    </row>
    <row r="270" spans="3:10" ht="15.75">
      <c r="C270" s="142"/>
      <c r="D270" s="142"/>
      <c r="E270" s="142"/>
      <c r="F270" s="142"/>
      <c r="G270" s="142"/>
      <c r="H270" s="142"/>
      <c r="I270" s="141"/>
      <c r="J270" s="142"/>
    </row>
    <row r="271" spans="3:10" ht="15.75">
      <c r="C271" s="142"/>
      <c r="D271" s="142"/>
      <c r="E271" s="142"/>
      <c r="F271" s="142"/>
      <c r="G271" s="142"/>
      <c r="H271" s="142"/>
      <c r="I271" s="141"/>
      <c r="J271" s="142"/>
    </row>
    <row r="272" spans="3:10" ht="15.75">
      <c r="C272" s="142"/>
      <c r="D272" s="142"/>
      <c r="E272" s="142"/>
      <c r="F272" s="142"/>
      <c r="G272" s="142"/>
      <c r="H272" s="142"/>
      <c r="I272" s="141"/>
      <c r="J272" s="142"/>
    </row>
    <row r="273" spans="3:10" ht="15.75">
      <c r="C273" s="142"/>
      <c r="D273" s="142"/>
      <c r="E273" s="142"/>
      <c r="F273" s="142"/>
      <c r="G273" s="142"/>
      <c r="H273" s="142"/>
      <c r="I273" s="141"/>
      <c r="J273" s="142"/>
    </row>
    <row r="274" spans="3:10" ht="15.75">
      <c r="C274" s="142"/>
      <c r="D274" s="142"/>
      <c r="E274" s="142"/>
      <c r="F274" s="142"/>
      <c r="G274" s="142"/>
      <c r="H274" s="142"/>
      <c r="I274" s="141"/>
      <c r="J274" s="142"/>
    </row>
    <row r="275" spans="3:10" ht="15.75">
      <c r="C275" s="142"/>
      <c r="D275" s="142"/>
      <c r="E275" s="142"/>
      <c r="F275" s="142"/>
      <c r="G275" s="142"/>
      <c r="H275" s="142"/>
      <c r="I275" s="141"/>
      <c r="J275" s="142"/>
    </row>
    <row r="276" spans="3:10" ht="15.75">
      <c r="C276" s="142"/>
      <c r="D276" s="142"/>
      <c r="E276" s="142"/>
      <c r="F276" s="142"/>
      <c r="G276" s="142"/>
      <c r="H276" s="142"/>
      <c r="I276" s="141"/>
      <c r="J276" s="142"/>
    </row>
    <row r="277" spans="3:10" ht="15.75">
      <c r="C277" s="142"/>
      <c r="D277" s="142"/>
      <c r="E277" s="142"/>
      <c r="F277" s="142"/>
      <c r="G277" s="142"/>
      <c r="H277" s="142"/>
      <c r="I277" s="141"/>
      <c r="J277" s="142"/>
    </row>
    <row r="278" spans="3:10" ht="15.75">
      <c r="C278" s="142"/>
      <c r="D278" s="142"/>
      <c r="E278" s="142"/>
      <c r="F278" s="142"/>
      <c r="G278" s="142"/>
      <c r="H278" s="142"/>
      <c r="I278" s="141"/>
      <c r="J278" s="142"/>
    </row>
    <row r="279" spans="3:10" ht="15.75">
      <c r="C279" s="142"/>
      <c r="D279" s="142"/>
      <c r="E279" s="142"/>
      <c r="F279" s="142"/>
      <c r="G279" s="142"/>
      <c r="H279" s="142"/>
      <c r="I279" s="141"/>
      <c r="J279" s="142"/>
    </row>
    <row r="280" spans="3:10" ht="15.75">
      <c r="C280" s="142"/>
      <c r="D280" s="142"/>
      <c r="E280" s="142"/>
      <c r="F280" s="142"/>
      <c r="G280" s="142"/>
      <c r="H280" s="142"/>
      <c r="I280" s="141"/>
      <c r="J280" s="142"/>
    </row>
    <row r="281" spans="3:10" ht="15.75">
      <c r="C281" s="142"/>
      <c r="D281" s="142"/>
      <c r="E281" s="142"/>
      <c r="F281" s="142"/>
      <c r="G281" s="142"/>
      <c r="H281" s="142"/>
      <c r="I281" s="141"/>
      <c r="J281" s="142"/>
    </row>
    <row r="282" spans="3:10" ht="15.75">
      <c r="C282" s="142"/>
      <c r="D282" s="142"/>
      <c r="E282" s="142"/>
      <c r="F282" s="142"/>
      <c r="G282" s="142"/>
      <c r="H282" s="142"/>
      <c r="I282" s="141"/>
      <c r="J282" s="142"/>
    </row>
    <row r="283" spans="3:10" ht="15.75">
      <c r="C283" s="142"/>
      <c r="D283" s="142"/>
      <c r="E283" s="142"/>
      <c r="F283" s="142"/>
      <c r="G283" s="142"/>
      <c r="H283" s="142"/>
      <c r="I283" s="141"/>
      <c r="J283" s="142"/>
    </row>
    <row r="284" spans="3:10" ht="15.75">
      <c r="C284" s="142"/>
      <c r="D284" s="142"/>
      <c r="E284" s="142"/>
      <c r="F284" s="142"/>
      <c r="G284" s="142"/>
      <c r="H284" s="142"/>
      <c r="I284" s="141"/>
      <c r="J284" s="142"/>
    </row>
    <row r="285" spans="3:10" ht="15.75">
      <c r="C285" s="142"/>
      <c r="D285" s="142"/>
      <c r="E285" s="142"/>
      <c r="F285" s="142"/>
      <c r="G285" s="142"/>
      <c r="H285" s="142"/>
      <c r="I285" s="141"/>
      <c r="J285" s="142"/>
    </row>
    <row r="286" spans="3:10" ht="15.75">
      <c r="C286" s="142"/>
      <c r="D286" s="142"/>
      <c r="E286" s="142"/>
      <c r="F286" s="142"/>
      <c r="G286" s="142"/>
      <c r="H286" s="142"/>
      <c r="I286" s="141"/>
      <c r="J286" s="142"/>
    </row>
    <row r="287" ht="15.75">
      <c r="I287" s="141"/>
    </row>
    <row r="288" ht="15.75">
      <c r="I288" s="141"/>
    </row>
    <row r="289" ht="15.75">
      <c r="I289" s="141"/>
    </row>
    <row r="290" ht="15.75">
      <c r="I290" s="141"/>
    </row>
    <row r="291" ht="15.75">
      <c r="I291" s="141"/>
    </row>
    <row r="292" ht="15.75">
      <c r="I292" s="141"/>
    </row>
    <row r="293" ht="15.75">
      <c r="I293" s="141"/>
    </row>
    <row r="294" ht="15.75">
      <c r="I294" s="141"/>
    </row>
    <row r="295" ht="15.75">
      <c r="I295" s="141"/>
    </row>
    <row r="296" ht="15.75">
      <c r="I296" s="141"/>
    </row>
    <row r="297" ht="15.75">
      <c r="I297" s="141"/>
    </row>
    <row r="298" ht="15.75">
      <c r="I298" s="141"/>
    </row>
    <row r="299" ht="15.75">
      <c r="I299" s="141"/>
    </row>
    <row r="300" ht="15.75">
      <c r="I300" s="141"/>
    </row>
    <row r="301" ht="15.75">
      <c r="I301" s="141"/>
    </row>
    <row r="302" ht="15.75">
      <c r="I302" s="141"/>
    </row>
    <row r="303" ht="15.75">
      <c r="I303" s="141"/>
    </row>
    <row r="304" ht="15.75">
      <c r="I304" s="141"/>
    </row>
    <row r="305" ht="15.75">
      <c r="I305" s="141"/>
    </row>
    <row r="306" ht="15.75">
      <c r="I306" s="141"/>
    </row>
    <row r="307" ht="15.75">
      <c r="I307" s="141"/>
    </row>
    <row r="308" ht="15.75">
      <c r="I308" s="141"/>
    </row>
    <row r="309" ht="15.75">
      <c r="I309" s="141"/>
    </row>
    <row r="310" ht="15.75">
      <c r="I310" s="141"/>
    </row>
    <row r="311" ht="15.75">
      <c r="I311" s="141"/>
    </row>
    <row r="312" ht="15.75">
      <c r="I312" s="141"/>
    </row>
    <row r="313" ht="15.75">
      <c r="I313" s="141"/>
    </row>
    <row r="314" ht="15.75">
      <c r="I314" s="141"/>
    </row>
    <row r="315" ht="15.75">
      <c r="I315" s="141"/>
    </row>
    <row r="316" ht="15.75">
      <c r="I316" s="141"/>
    </row>
    <row r="317" ht="15.75">
      <c r="I317" s="141"/>
    </row>
    <row r="318" ht="15.75">
      <c r="I318" s="141"/>
    </row>
    <row r="319" ht="15.75">
      <c r="I319" s="141"/>
    </row>
    <row r="320" ht="15.75">
      <c r="I320" s="141"/>
    </row>
    <row r="321" ht="15.75">
      <c r="I321" s="141"/>
    </row>
    <row r="322" ht="15.75">
      <c r="I322" s="141"/>
    </row>
    <row r="323" ht="15.75">
      <c r="I323" s="141"/>
    </row>
    <row r="324" ht="15.75">
      <c r="I324" s="141"/>
    </row>
    <row r="325" ht="15.75">
      <c r="I325" s="141"/>
    </row>
    <row r="326" ht="15.75">
      <c r="I326" s="141"/>
    </row>
    <row r="327" ht="15.75">
      <c r="I327" s="141"/>
    </row>
    <row r="328" ht="15.75">
      <c r="I328" s="141"/>
    </row>
    <row r="329" ht="15.75">
      <c r="I329" s="141"/>
    </row>
    <row r="330" ht="15.75">
      <c r="I330" s="141"/>
    </row>
    <row r="331" ht="15.75">
      <c r="I331" s="141"/>
    </row>
    <row r="332" ht="15.75">
      <c r="I332" s="141"/>
    </row>
    <row r="333" ht="15.75">
      <c r="I333" s="141"/>
    </row>
    <row r="334" ht="15.75">
      <c r="I334" s="141"/>
    </row>
    <row r="335" ht="15.75">
      <c r="I335" s="141"/>
    </row>
    <row r="336" ht="15.75">
      <c r="I336" s="141"/>
    </row>
    <row r="337" ht="15.75">
      <c r="I337" s="141"/>
    </row>
    <row r="338" ht="15.75">
      <c r="I338" s="141"/>
    </row>
    <row r="339" ht="15.75">
      <c r="I339" s="141"/>
    </row>
    <row r="340" ht="15.75">
      <c r="I340" s="141"/>
    </row>
    <row r="341" ht="15.75">
      <c r="I341" s="141"/>
    </row>
    <row r="342" ht="15.75">
      <c r="I342" s="141"/>
    </row>
    <row r="343" ht="15.75">
      <c r="I343" s="141"/>
    </row>
    <row r="344" ht="15.75">
      <c r="I344" s="141"/>
    </row>
    <row r="345" ht="15.75">
      <c r="I345" s="141"/>
    </row>
    <row r="346" ht="15.75">
      <c r="I346" s="141"/>
    </row>
    <row r="347" ht="15.75">
      <c r="I347" s="141"/>
    </row>
    <row r="348" ht="15.75">
      <c r="I348" s="141"/>
    </row>
    <row r="349" ht="15.75">
      <c r="I349" s="141"/>
    </row>
    <row r="350" ht="15.75">
      <c r="I350" s="141"/>
    </row>
    <row r="351" ht="15.75">
      <c r="I351" s="141"/>
    </row>
    <row r="352" ht="15.75">
      <c r="I352" s="141"/>
    </row>
    <row r="353" ht="15.75">
      <c r="I353" s="141"/>
    </row>
    <row r="354" ht="15.75">
      <c r="I354" s="141"/>
    </row>
    <row r="355" ht="15.75">
      <c r="I355" s="141"/>
    </row>
    <row r="356" ht="15.75">
      <c r="I356" s="141"/>
    </row>
    <row r="357" ht="15.75">
      <c r="I357" s="141"/>
    </row>
    <row r="358" ht="15.75">
      <c r="I358" s="141"/>
    </row>
    <row r="359" ht="15.75">
      <c r="I359" s="141"/>
    </row>
    <row r="360" ht="15.75">
      <c r="I360" s="141"/>
    </row>
    <row r="361" ht="15.75">
      <c r="I361" s="141"/>
    </row>
    <row r="362" ht="15.75">
      <c r="I362" s="141"/>
    </row>
    <row r="363" ht="15.75">
      <c r="I363" s="141"/>
    </row>
    <row r="364" ht="15.75">
      <c r="I364" s="141"/>
    </row>
    <row r="365" ht="15.75">
      <c r="I365" s="141"/>
    </row>
    <row r="366" ht="15.75">
      <c r="I366" s="141"/>
    </row>
    <row r="367" ht="15.75">
      <c r="I367" s="141"/>
    </row>
    <row r="368" ht="15.75">
      <c r="I368" s="141"/>
    </row>
    <row r="369" ht="15.75">
      <c r="I369" s="141"/>
    </row>
    <row r="370" ht="15.75">
      <c r="I370" s="141"/>
    </row>
    <row r="371" ht="15.75">
      <c r="I371" s="141"/>
    </row>
    <row r="372" ht="15.75">
      <c r="I372" s="141"/>
    </row>
    <row r="373" ht="15.75">
      <c r="I373" s="141"/>
    </row>
    <row r="374" ht="15.75">
      <c r="I374" s="141"/>
    </row>
    <row r="375" ht="15.75">
      <c r="I375" s="141"/>
    </row>
    <row r="376" ht="15.75">
      <c r="I376" s="141"/>
    </row>
    <row r="377" ht="15.75">
      <c r="I377" s="141"/>
    </row>
    <row r="378" ht="15.75">
      <c r="I378" s="141"/>
    </row>
    <row r="379" ht="15.75">
      <c r="I379" s="141"/>
    </row>
    <row r="380" ht="15.75">
      <c r="I380" s="141"/>
    </row>
    <row r="381" ht="15.75">
      <c r="I381" s="141"/>
    </row>
    <row r="382" ht="15.75">
      <c r="I382" s="141"/>
    </row>
    <row r="383" ht="15.75">
      <c r="I383" s="141"/>
    </row>
    <row r="384" ht="15.75">
      <c r="I384" s="141"/>
    </row>
    <row r="385" ht="15.75">
      <c r="I385" s="141"/>
    </row>
    <row r="386" ht="15.75">
      <c r="I386" s="141"/>
    </row>
    <row r="387" ht="15.75">
      <c r="I387" s="141"/>
    </row>
    <row r="388" ht="15.75">
      <c r="I388" s="141"/>
    </row>
    <row r="389" ht="15.75">
      <c r="I389" s="141"/>
    </row>
    <row r="390" ht="15.75">
      <c r="I390" s="141"/>
    </row>
    <row r="391" ht="15.75">
      <c r="I391" s="141"/>
    </row>
    <row r="392" ht="15.75">
      <c r="I392" s="141"/>
    </row>
    <row r="393" ht="15.75">
      <c r="I393" s="141"/>
    </row>
    <row r="394" ht="15.75">
      <c r="I394" s="141"/>
    </row>
    <row r="395" ht="15.75">
      <c r="I395" s="141"/>
    </row>
    <row r="396" ht="15.75">
      <c r="I396" s="141"/>
    </row>
    <row r="397" ht="15.75">
      <c r="I397" s="141"/>
    </row>
    <row r="398" ht="15.75">
      <c r="I398" s="141"/>
    </row>
    <row r="399" ht="15.75">
      <c r="I399" s="141"/>
    </row>
    <row r="400" ht="15.75">
      <c r="I400" s="141"/>
    </row>
    <row r="401" ht="15.75">
      <c r="I401" s="141"/>
    </row>
    <row r="402" ht="15.75">
      <c r="I402" s="141"/>
    </row>
    <row r="403" ht="15.75">
      <c r="I403" s="141"/>
    </row>
    <row r="404" ht="15.75">
      <c r="I404" s="141"/>
    </row>
    <row r="405" ht="15.75">
      <c r="I405" s="141"/>
    </row>
    <row r="406" ht="15.75">
      <c r="I406" s="141"/>
    </row>
    <row r="407" ht="15.75">
      <c r="I407" s="141"/>
    </row>
    <row r="408" ht="15.75">
      <c r="I408" s="141"/>
    </row>
    <row r="409" ht="15.75">
      <c r="I409" s="141"/>
    </row>
    <row r="410" ht="15.75">
      <c r="I410" s="141"/>
    </row>
    <row r="411" ht="15.75">
      <c r="I411" s="141"/>
    </row>
    <row r="412" ht="15.75">
      <c r="I412" s="141"/>
    </row>
    <row r="413" ht="15.75">
      <c r="I413" s="141"/>
    </row>
    <row r="414" ht="15.75">
      <c r="I414" s="141"/>
    </row>
    <row r="415" ht="15.75">
      <c r="I415" s="141"/>
    </row>
    <row r="416" ht="15.75">
      <c r="I416" s="141"/>
    </row>
    <row r="417" ht="15.75">
      <c r="I417" s="141"/>
    </row>
    <row r="418" ht="15.75">
      <c r="I418" s="141"/>
    </row>
    <row r="419" ht="15.75">
      <c r="I419" s="141"/>
    </row>
    <row r="420" ht="15.75">
      <c r="I420" s="141"/>
    </row>
    <row r="421" ht="15.75">
      <c r="I421" s="141"/>
    </row>
    <row r="422" ht="15.75">
      <c r="I422" s="141"/>
    </row>
    <row r="423" ht="15.75">
      <c r="I423" s="141"/>
    </row>
    <row r="424" ht="15.75">
      <c r="I424" s="141"/>
    </row>
    <row r="425" ht="15.75">
      <c r="I425" s="141"/>
    </row>
    <row r="426" ht="15.75">
      <c r="I426" s="141"/>
    </row>
    <row r="427" ht="15.75">
      <c r="I427" s="141"/>
    </row>
    <row r="428" ht="15.75">
      <c r="I428" s="141"/>
    </row>
    <row r="429" ht="15.75">
      <c r="I429" s="141"/>
    </row>
    <row r="430" ht="15.75">
      <c r="I430" s="141"/>
    </row>
    <row r="431" ht="15.75">
      <c r="I431" s="141"/>
    </row>
    <row r="432" ht="15.75">
      <c r="I432" s="141"/>
    </row>
    <row r="433" ht="15.75">
      <c r="I433" s="141"/>
    </row>
    <row r="434" ht="15.75">
      <c r="I434" s="141"/>
    </row>
    <row r="435" ht="15.75">
      <c r="I435" s="141"/>
    </row>
    <row r="436" ht="15.75">
      <c r="I436" s="141"/>
    </row>
    <row r="437" ht="15.75">
      <c r="I437" s="141"/>
    </row>
    <row r="438" ht="15.75">
      <c r="I438" s="141"/>
    </row>
    <row r="439" ht="15.75">
      <c r="I439" s="141"/>
    </row>
    <row r="440" ht="15.75">
      <c r="I440" s="141"/>
    </row>
    <row r="441" ht="15.75">
      <c r="I441" s="141"/>
    </row>
    <row r="442" ht="15.75">
      <c r="I442" s="141"/>
    </row>
    <row r="443" ht="15.75">
      <c r="I443" s="141"/>
    </row>
    <row r="444" ht="15.75">
      <c r="I444" s="141"/>
    </row>
  </sheetData>
  <sheetProtection/>
  <mergeCells count="5">
    <mergeCell ref="B9:I9"/>
    <mergeCell ref="A1:L1"/>
    <mergeCell ref="A2:L2"/>
    <mergeCell ref="A3:L3"/>
    <mergeCell ref="A6:L6"/>
  </mergeCell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M459"/>
  <sheetViews>
    <sheetView zoomScalePageLayoutView="0" workbookViewId="0" topLeftCell="A1">
      <selection activeCell="K3" sqref="K3:M3"/>
    </sheetView>
  </sheetViews>
  <sheetFormatPr defaultColWidth="9.00390625" defaultRowHeight="12.75"/>
  <cols>
    <col min="1" max="1" width="4.375" style="70" customWidth="1"/>
    <col min="2" max="2" width="38.75390625" style="70" customWidth="1"/>
    <col min="3" max="3" width="7.375" style="70" customWidth="1"/>
    <col min="4" max="4" width="7.625" style="70" customWidth="1"/>
    <col min="5" max="5" width="6.875" style="70" customWidth="1"/>
    <col min="6" max="6" width="6.00390625" style="70" customWidth="1"/>
    <col min="7" max="7" width="6.125" style="70" customWidth="1"/>
    <col min="8" max="8" width="5.125" style="70" customWidth="1"/>
    <col min="9" max="9" width="7.375" style="70" customWidth="1"/>
    <col min="10" max="10" width="9.00390625" style="70" customWidth="1"/>
    <col min="11" max="13" width="18.25390625" style="70" customWidth="1"/>
    <col min="14" max="16384" width="9.125" style="70" customWidth="1"/>
  </cols>
  <sheetData>
    <row r="1" spans="3:13" ht="15.75">
      <c r="C1" s="28"/>
      <c r="D1" s="28"/>
      <c r="E1" s="28"/>
      <c r="F1" s="28"/>
      <c r="G1" s="28"/>
      <c r="H1" s="28"/>
      <c r="I1" s="28"/>
      <c r="J1" s="28"/>
      <c r="K1" s="296" t="s">
        <v>433</v>
      </c>
      <c r="L1" s="296"/>
      <c r="M1" s="296"/>
    </row>
    <row r="2" spans="3:13" ht="15.75">
      <c r="C2" s="28"/>
      <c r="D2" s="28"/>
      <c r="E2" s="28"/>
      <c r="F2" s="28"/>
      <c r="G2" s="28"/>
      <c r="H2" s="28"/>
      <c r="I2" s="28"/>
      <c r="J2" s="28"/>
      <c r="K2" s="296" t="s">
        <v>533</v>
      </c>
      <c r="L2" s="296"/>
      <c r="M2" s="296"/>
    </row>
    <row r="3" spans="3:13" ht="15.75">
      <c r="C3" s="28"/>
      <c r="D3" s="28"/>
      <c r="E3" s="28"/>
      <c r="F3" s="28"/>
      <c r="G3" s="28"/>
      <c r="H3" s="28"/>
      <c r="I3" s="28"/>
      <c r="J3" s="28"/>
      <c r="K3" s="296" t="s">
        <v>999</v>
      </c>
      <c r="L3" s="296"/>
      <c r="M3" s="296"/>
    </row>
    <row r="4" spans="3:12" ht="15.75">
      <c r="C4" s="28"/>
      <c r="D4" s="28"/>
      <c r="E4" s="28"/>
      <c r="F4" s="28"/>
      <c r="G4" s="28"/>
      <c r="H4" s="28"/>
      <c r="I4" s="28"/>
      <c r="J4" s="28"/>
      <c r="K4" s="28"/>
      <c r="L4" s="67"/>
    </row>
    <row r="5" spans="1:13" ht="18.75">
      <c r="A5" s="316" t="s">
        <v>531</v>
      </c>
      <c r="B5" s="316"/>
      <c r="C5" s="316"/>
      <c r="D5" s="316"/>
      <c r="E5" s="316"/>
      <c r="F5" s="316"/>
      <c r="G5" s="316"/>
      <c r="H5" s="316"/>
      <c r="I5" s="316"/>
      <c r="J5" s="316"/>
      <c r="K5" s="316"/>
      <c r="L5" s="316"/>
      <c r="M5" s="316"/>
    </row>
    <row r="6" spans="1:13" ht="63.75" customHeight="1">
      <c r="A6" s="317" t="s">
        <v>532</v>
      </c>
      <c r="B6" s="317"/>
      <c r="C6" s="317"/>
      <c r="D6" s="317"/>
      <c r="E6" s="317"/>
      <c r="F6" s="317"/>
      <c r="G6" s="317"/>
      <c r="H6" s="317"/>
      <c r="I6" s="317"/>
      <c r="J6" s="317"/>
      <c r="K6" s="317"/>
      <c r="L6" s="317"/>
      <c r="M6" s="317"/>
    </row>
    <row r="7" spans="1:13" ht="15.75">
      <c r="A7" s="105"/>
      <c r="B7" s="106"/>
      <c r="C7" s="107"/>
      <c r="D7" s="107"/>
      <c r="E7" s="107"/>
      <c r="F7" s="107"/>
      <c r="G7" s="107"/>
      <c r="H7" s="107"/>
      <c r="I7" s="107"/>
      <c r="J7" s="107"/>
      <c r="K7" s="108"/>
      <c r="L7" s="108"/>
      <c r="M7" s="108"/>
    </row>
    <row r="8" spans="1:13" ht="31.5" customHeight="1">
      <c r="A8" s="318" t="s">
        <v>929</v>
      </c>
      <c r="B8" s="318" t="s">
        <v>930</v>
      </c>
      <c r="C8" s="320" t="s">
        <v>931</v>
      </c>
      <c r="D8" s="321"/>
      <c r="E8" s="321"/>
      <c r="F8" s="321"/>
      <c r="G8" s="321"/>
      <c r="H8" s="321"/>
      <c r="I8" s="321"/>
      <c r="J8" s="322"/>
      <c r="K8" s="312" t="s">
        <v>359</v>
      </c>
      <c r="L8" s="312" t="s">
        <v>922</v>
      </c>
      <c r="M8" s="314" t="s">
        <v>360</v>
      </c>
    </row>
    <row r="9" spans="1:13" ht="105.75" customHeight="1">
      <c r="A9" s="319"/>
      <c r="B9" s="319"/>
      <c r="C9" s="109" t="s">
        <v>932</v>
      </c>
      <c r="D9" s="109" t="s">
        <v>933</v>
      </c>
      <c r="E9" s="109" t="s">
        <v>934</v>
      </c>
      <c r="F9" s="109" t="s">
        <v>935</v>
      </c>
      <c r="G9" s="109" t="s">
        <v>936</v>
      </c>
      <c r="H9" s="109" t="s">
        <v>937</v>
      </c>
      <c r="I9" s="109" t="s">
        <v>938</v>
      </c>
      <c r="J9" s="109" t="s">
        <v>939</v>
      </c>
      <c r="K9" s="313"/>
      <c r="L9" s="313"/>
      <c r="M9" s="315"/>
    </row>
    <row r="10" spans="1:13" ht="32.25" customHeight="1">
      <c r="A10" s="110">
        <v>1</v>
      </c>
      <c r="B10" s="111" t="s">
        <v>940</v>
      </c>
      <c r="C10" s="112" t="s">
        <v>424</v>
      </c>
      <c r="D10" s="112" t="s">
        <v>698</v>
      </c>
      <c r="E10" s="112" t="s">
        <v>703</v>
      </c>
      <c r="F10" s="112" t="s">
        <v>728</v>
      </c>
      <c r="G10" s="112" t="s">
        <v>728</v>
      </c>
      <c r="H10" s="112" t="s">
        <v>728</v>
      </c>
      <c r="I10" s="112" t="s">
        <v>941</v>
      </c>
      <c r="J10" s="112" t="s">
        <v>925</v>
      </c>
      <c r="K10" s="113">
        <f>K11</f>
        <v>96800000</v>
      </c>
      <c r="L10" s="113">
        <f>L11</f>
        <v>96800000</v>
      </c>
      <c r="M10" s="178">
        <f>L10/K10</f>
        <v>1</v>
      </c>
    </row>
    <row r="11" spans="1:13" ht="52.5" customHeight="1">
      <c r="A11" s="114" t="s">
        <v>942</v>
      </c>
      <c r="B11" s="115" t="s">
        <v>943</v>
      </c>
      <c r="C11" s="116" t="s">
        <v>424</v>
      </c>
      <c r="D11" s="116" t="s">
        <v>698</v>
      </c>
      <c r="E11" s="116" t="s">
        <v>703</v>
      </c>
      <c r="F11" s="116" t="s">
        <v>728</v>
      </c>
      <c r="G11" s="116" t="s">
        <v>728</v>
      </c>
      <c r="H11" s="116" t="s">
        <v>728</v>
      </c>
      <c r="I11" s="116" t="s">
        <v>941</v>
      </c>
      <c r="J11" s="116" t="s">
        <v>382</v>
      </c>
      <c r="K11" s="117">
        <f>K12</f>
        <v>96800000</v>
      </c>
      <c r="L11" s="117">
        <f>L12</f>
        <v>96800000</v>
      </c>
      <c r="M11" s="179">
        <f aca="true" t="shared" si="0" ref="M11:M37">L11/K11</f>
        <v>1</v>
      </c>
    </row>
    <row r="12" spans="1:13" ht="79.5" customHeight="1">
      <c r="A12" s="118"/>
      <c r="B12" s="115" t="s">
        <v>944</v>
      </c>
      <c r="C12" s="116" t="s">
        <v>424</v>
      </c>
      <c r="D12" s="116" t="s">
        <v>698</v>
      </c>
      <c r="E12" s="116" t="s">
        <v>703</v>
      </c>
      <c r="F12" s="116" t="s">
        <v>728</v>
      </c>
      <c r="G12" s="116" t="s">
        <v>728</v>
      </c>
      <c r="H12" s="116" t="s">
        <v>708</v>
      </c>
      <c r="I12" s="116" t="s">
        <v>941</v>
      </c>
      <c r="J12" s="116" t="s">
        <v>945</v>
      </c>
      <c r="K12" s="117">
        <v>96800000</v>
      </c>
      <c r="L12" s="117">
        <v>96800000</v>
      </c>
      <c r="M12" s="179">
        <f t="shared" si="0"/>
        <v>1</v>
      </c>
    </row>
    <row r="13" spans="1:13" ht="50.25" customHeight="1">
      <c r="A13" s="110">
        <v>2</v>
      </c>
      <c r="B13" s="111" t="s">
        <v>946</v>
      </c>
      <c r="C13" s="112" t="s">
        <v>424</v>
      </c>
      <c r="D13" s="112" t="s">
        <v>698</v>
      </c>
      <c r="E13" s="112" t="s">
        <v>705</v>
      </c>
      <c r="F13" s="112" t="s">
        <v>728</v>
      </c>
      <c r="G13" s="112" t="s">
        <v>728</v>
      </c>
      <c r="H13" s="112" t="s">
        <v>728</v>
      </c>
      <c r="I13" s="112" t="s">
        <v>941</v>
      </c>
      <c r="J13" s="112" t="s">
        <v>925</v>
      </c>
      <c r="K13" s="119">
        <f>K14</f>
        <v>-25727000</v>
      </c>
      <c r="L13" s="119">
        <f>L14</f>
        <v>-25727000</v>
      </c>
      <c r="M13" s="178">
        <f t="shared" si="0"/>
        <v>1</v>
      </c>
    </row>
    <row r="14" spans="1:13" ht="65.25" customHeight="1">
      <c r="A14" s="110"/>
      <c r="B14" s="111" t="s">
        <v>947</v>
      </c>
      <c r="C14" s="112" t="s">
        <v>424</v>
      </c>
      <c r="D14" s="112" t="s">
        <v>698</v>
      </c>
      <c r="E14" s="112" t="s">
        <v>705</v>
      </c>
      <c r="F14" s="112" t="s">
        <v>698</v>
      </c>
      <c r="G14" s="112" t="s">
        <v>728</v>
      </c>
      <c r="H14" s="112" t="s">
        <v>728</v>
      </c>
      <c r="I14" s="112" t="s">
        <v>941</v>
      </c>
      <c r="J14" s="112" t="s">
        <v>925</v>
      </c>
      <c r="K14" s="119">
        <f>K15-K17</f>
        <v>-25727000</v>
      </c>
      <c r="L14" s="119">
        <f>L15-L17</f>
        <v>-25727000</v>
      </c>
      <c r="M14" s="178">
        <f t="shared" si="0"/>
        <v>1</v>
      </c>
    </row>
    <row r="15" spans="1:13" ht="75.75" customHeight="1" hidden="1">
      <c r="A15" s="114" t="s">
        <v>948</v>
      </c>
      <c r="B15" s="115" t="s">
        <v>949</v>
      </c>
      <c r="C15" s="116" t="s">
        <v>424</v>
      </c>
      <c r="D15" s="116" t="s">
        <v>698</v>
      </c>
      <c r="E15" s="116" t="s">
        <v>705</v>
      </c>
      <c r="F15" s="116" t="s">
        <v>698</v>
      </c>
      <c r="G15" s="116" t="s">
        <v>728</v>
      </c>
      <c r="H15" s="116" t="s">
        <v>728</v>
      </c>
      <c r="I15" s="116" t="s">
        <v>941</v>
      </c>
      <c r="J15" s="116" t="s">
        <v>382</v>
      </c>
      <c r="K15" s="120">
        <f>K16</f>
        <v>0</v>
      </c>
      <c r="L15" s="120">
        <f>L16</f>
        <v>0</v>
      </c>
      <c r="M15" s="178" t="e">
        <f t="shared" si="0"/>
        <v>#DIV/0!</v>
      </c>
    </row>
    <row r="16" spans="1:13" ht="83.25" customHeight="1" hidden="1">
      <c r="A16" s="118"/>
      <c r="B16" s="115" t="s">
        <v>950</v>
      </c>
      <c r="C16" s="116" t="s">
        <v>424</v>
      </c>
      <c r="D16" s="116" t="s">
        <v>698</v>
      </c>
      <c r="E16" s="116" t="s">
        <v>705</v>
      </c>
      <c r="F16" s="116" t="s">
        <v>698</v>
      </c>
      <c r="G16" s="116" t="s">
        <v>728</v>
      </c>
      <c r="H16" s="116" t="s">
        <v>708</v>
      </c>
      <c r="I16" s="116" t="s">
        <v>941</v>
      </c>
      <c r="J16" s="116" t="s">
        <v>945</v>
      </c>
      <c r="K16" s="120">
        <v>0</v>
      </c>
      <c r="L16" s="120">
        <v>0</v>
      </c>
      <c r="M16" s="178" t="e">
        <f t="shared" si="0"/>
        <v>#DIV/0!</v>
      </c>
    </row>
    <row r="17" spans="1:13" ht="72" customHeight="1">
      <c r="A17" s="114" t="s">
        <v>951</v>
      </c>
      <c r="B17" s="115" t="s">
        <v>952</v>
      </c>
      <c r="C17" s="116" t="s">
        <v>424</v>
      </c>
      <c r="D17" s="116" t="s">
        <v>698</v>
      </c>
      <c r="E17" s="116" t="s">
        <v>705</v>
      </c>
      <c r="F17" s="116" t="s">
        <v>698</v>
      </c>
      <c r="G17" s="116" t="s">
        <v>728</v>
      </c>
      <c r="H17" s="116" t="s">
        <v>728</v>
      </c>
      <c r="I17" s="116" t="s">
        <v>941</v>
      </c>
      <c r="J17" s="116" t="s">
        <v>383</v>
      </c>
      <c r="K17" s="117">
        <f>K18</f>
        <v>25727000</v>
      </c>
      <c r="L17" s="117">
        <f>L18</f>
        <v>25727000</v>
      </c>
      <c r="M17" s="179">
        <f t="shared" si="0"/>
        <v>1</v>
      </c>
    </row>
    <row r="18" spans="1:13" ht="87.75" customHeight="1">
      <c r="A18" s="118"/>
      <c r="B18" s="115" t="s">
        <v>953</v>
      </c>
      <c r="C18" s="116" t="s">
        <v>424</v>
      </c>
      <c r="D18" s="116" t="s">
        <v>698</v>
      </c>
      <c r="E18" s="116" t="s">
        <v>705</v>
      </c>
      <c r="F18" s="116" t="s">
        <v>698</v>
      </c>
      <c r="G18" s="116" t="s">
        <v>728</v>
      </c>
      <c r="H18" s="116" t="s">
        <v>708</v>
      </c>
      <c r="I18" s="116" t="s">
        <v>941</v>
      </c>
      <c r="J18" s="116" t="s">
        <v>954</v>
      </c>
      <c r="K18" s="117">
        <v>25727000</v>
      </c>
      <c r="L18" s="117">
        <v>25727000</v>
      </c>
      <c r="M18" s="179">
        <f t="shared" si="0"/>
        <v>1</v>
      </c>
    </row>
    <row r="19" spans="1:13" s="121" customFormat="1" ht="57.75" customHeight="1" hidden="1">
      <c r="A19" s="110">
        <v>3</v>
      </c>
      <c r="B19" s="111" t="s">
        <v>955</v>
      </c>
      <c r="C19" s="112" t="s">
        <v>424</v>
      </c>
      <c r="D19" s="112" t="s">
        <v>698</v>
      </c>
      <c r="E19" s="112" t="s">
        <v>699</v>
      </c>
      <c r="F19" s="112" t="s">
        <v>728</v>
      </c>
      <c r="G19" s="112" t="s">
        <v>728</v>
      </c>
      <c r="H19" s="112" t="s">
        <v>728</v>
      </c>
      <c r="I19" s="112" t="s">
        <v>941</v>
      </c>
      <c r="J19" s="112" t="s">
        <v>925</v>
      </c>
      <c r="K19" s="113">
        <f aca="true" t="shared" si="1" ref="K19:L22">K20</f>
        <v>0</v>
      </c>
      <c r="L19" s="113">
        <f t="shared" si="1"/>
        <v>0</v>
      </c>
      <c r="M19" s="178">
        <v>0</v>
      </c>
    </row>
    <row r="20" spans="1:13" s="121" customFormat="1" ht="57.75" customHeight="1" hidden="1">
      <c r="A20" s="122" t="s">
        <v>956</v>
      </c>
      <c r="B20" s="115" t="s">
        <v>957</v>
      </c>
      <c r="C20" s="116" t="s">
        <v>424</v>
      </c>
      <c r="D20" s="116" t="s">
        <v>698</v>
      </c>
      <c r="E20" s="116" t="s">
        <v>699</v>
      </c>
      <c r="F20" s="116" t="s">
        <v>700</v>
      </c>
      <c r="G20" s="116" t="s">
        <v>728</v>
      </c>
      <c r="H20" s="116" t="s">
        <v>728</v>
      </c>
      <c r="I20" s="116" t="s">
        <v>941</v>
      </c>
      <c r="J20" s="116" t="s">
        <v>925</v>
      </c>
      <c r="K20" s="117">
        <f t="shared" si="1"/>
        <v>0</v>
      </c>
      <c r="L20" s="117">
        <f t="shared" si="1"/>
        <v>0</v>
      </c>
      <c r="M20" s="178" t="e">
        <f t="shared" si="0"/>
        <v>#DIV/0!</v>
      </c>
    </row>
    <row r="21" spans="1:13" ht="58.5" customHeight="1" hidden="1">
      <c r="A21" s="118"/>
      <c r="B21" s="115" t="s">
        <v>958</v>
      </c>
      <c r="C21" s="116" t="s">
        <v>424</v>
      </c>
      <c r="D21" s="116" t="s">
        <v>698</v>
      </c>
      <c r="E21" s="116" t="s">
        <v>699</v>
      </c>
      <c r="F21" s="116" t="s">
        <v>700</v>
      </c>
      <c r="G21" s="116" t="s">
        <v>728</v>
      </c>
      <c r="H21" s="116" t="s">
        <v>728</v>
      </c>
      <c r="I21" s="116" t="s">
        <v>941</v>
      </c>
      <c r="J21" s="116" t="s">
        <v>384</v>
      </c>
      <c r="K21" s="117">
        <f t="shared" si="1"/>
        <v>0</v>
      </c>
      <c r="L21" s="117">
        <f t="shared" si="1"/>
        <v>0</v>
      </c>
      <c r="M21" s="178" t="e">
        <f t="shared" si="0"/>
        <v>#DIV/0!</v>
      </c>
    </row>
    <row r="22" spans="1:13" ht="67.5" customHeight="1" hidden="1">
      <c r="A22" s="118"/>
      <c r="B22" s="115" t="s">
        <v>959</v>
      </c>
      <c r="C22" s="116" t="s">
        <v>424</v>
      </c>
      <c r="D22" s="116" t="s">
        <v>698</v>
      </c>
      <c r="E22" s="116" t="s">
        <v>699</v>
      </c>
      <c r="F22" s="116" t="s">
        <v>700</v>
      </c>
      <c r="G22" s="116" t="s">
        <v>698</v>
      </c>
      <c r="H22" s="116" t="s">
        <v>728</v>
      </c>
      <c r="I22" s="116" t="s">
        <v>941</v>
      </c>
      <c r="J22" s="116" t="s">
        <v>960</v>
      </c>
      <c r="K22" s="117">
        <f t="shared" si="1"/>
        <v>0</v>
      </c>
      <c r="L22" s="117">
        <f t="shared" si="1"/>
        <v>0</v>
      </c>
      <c r="M22" s="178" t="e">
        <f t="shared" si="0"/>
        <v>#DIV/0!</v>
      </c>
    </row>
    <row r="23" spans="1:13" ht="86.25" customHeight="1" hidden="1">
      <c r="A23" s="118"/>
      <c r="B23" s="115" t="s">
        <v>961</v>
      </c>
      <c r="C23" s="116" t="s">
        <v>424</v>
      </c>
      <c r="D23" s="116" t="s">
        <v>698</v>
      </c>
      <c r="E23" s="116" t="s">
        <v>699</v>
      </c>
      <c r="F23" s="116" t="s">
        <v>700</v>
      </c>
      <c r="G23" s="116" t="s">
        <v>698</v>
      </c>
      <c r="H23" s="116" t="s">
        <v>708</v>
      </c>
      <c r="I23" s="116" t="s">
        <v>941</v>
      </c>
      <c r="J23" s="116" t="s">
        <v>960</v>
      </c>
      <c r="K23" s="117">
        <v>0</v>
      </c>
      <c r="L23" s="117">
        <v>0</v>
      </c>
      <c r="M23" s="178" t="e">
        <f t="shared" si="0"/>
        <v>#DIV/0!</v>
      </c>
    </row>
    <row r="24" spans="1:13" s="127" customFormat="1" ht="35.25" customHeight="1">
      <c r="A24" s="114" t="s">
        <v>974</v>
      </c>
      <c r="B24" s="123" t="s">
        <v>962</v>
      </c>
      <c r="C24" s="124" t="s">
        <v>424</v>
      </c>
      <c r="D24" s="124" t="s">
        <v>698</v>
      </c>
      <c r="E24" s="124" t="s">
        <v>700</v>
      </c>
      <c r="F24" s="124" t="s">
        <v>728</v>
      </c>
      <c r="G24" s="124" t="s">
        <v>728</v>
      </c>
      <c r="H24" s="124" t="s">
        <v>728</v>
      </c>
      <c r="I24" s="124" t="s">
        <v>941</v>
      </c>
      <c r="J24" s="124" t="s">
        <v>925</v>
      </c>
      <c r="K24" s="125">
        <f>K29-K25</f>
        <v>105370078.00999975</v>
      </c>
      <c r="L24" s="125">
        <f>L29-L25</f>
        <v>38666591.30000019</v>
      </c>
      <c r="M24" s="178">
        <f t="shared" si="0"/>
        <v>0.3669598811185343</v>
      </c>
    </row>
    <row r="25" spans="1:13" s="127" customFormat="1" ht="31.5">
      <c r="A25" s="114" t="s">
        <v>956</v>
      </c>
      <c r="B25" s="123" t="s">
        <v>963</v>
      </c>
      <c r="C25" s="124" t="s">
        <v>424</v>
      </c>
      <c r="D25" s="124" t="s">
        <v>698</v>
      </c>
      <c r="E25" s="124" t="s">
        <v>700</v>
      </c>
      <c r="F25" s="124" t="s">
        <v>728</v>
      </c>
      <c r="G25" s="124" t="s">
        <v>728</v>
      </c>
      <c r="H25" s="124" t="s">
        <v>728</v>
      </c>
      <c r="I25" s="124" t="s">
        <v>941</v>
      </c>
      <c r="J25" s="124" t="s">
        <v>964</v>
      </c>
      <c r="K25" s="125">
        <f aca="true" t="shared" si="2" ref="K25:L27">K26</f>
        <v>2405208552.7200003</v>
      </c>
      <c r="L25" s="125">
        <f t="shared" si="2"/>
        <v>2421598331.79</v>
      </c>
      <c r="M25" s="178">
        <f t="shared" si="0"/>
        <v>1.0068142860424576</v>
      </c>
    </row>
    <row r="26" spans="1:13" s="127" customFormat="1" ht="31.5">
      <c r="A26" s="114"/>
      <c r="B26" s="128" t="s">
        <v>965</v>
      </c>
      <c r="C26" s="114" t="s">
        <v>424</v>
      </c>
      <c r="D26" s="114" t="s">
        <v>698</v>
      </c>
      <c r="E26" s="114" t="s">
        <v>700</v>
      </c>
      <c r="F26" s="114" t="s">
        <v>703</v>
      </c>
      <c r="G26" s="114" t="s">
        <v>728</v>
      </c>
      <c r="H26" s="114" t="s">
        <v>728</v>
      </c>
      <c r="I26" s="114" t="s">
        <v>941</v>
      </c>
      <c r="J26" s="114" t="s">
        <v>964</v>
      </c>
      <c r="K26" s="129">
        <f t="shared" si="2"/>
        <v>2405208552.7200003</v>
      </c>
      <c r="L26" s="129">
        <f t="shared" si="2"/>
        <v>2421598331.79</v>
      </c>
      <c r="M26" s="179">
        <f t="shared" si="0"/>
        <v>1.0068142860424576</v>
      </c>
    </row>
    <row r="27" spans="1:13" s="127" customFormat="1" ht="31.5">
      <c r="A27" s="114"/>
      <c r="B27" s="128" t="s">
        <v>966</v>
      </c>
      <c r="C27" s="114" t="s">
        <v>424</v>
      </c>
      <c r="D27" s="114" t="s">
        <v>698</v>
      </c>
      <c r="E27" s="114" t="s">
        <v>700</v>
      </c>
      <c r="F27" s="114" t="s">
        <v>703</v>
      </c>
      <c r="G27" s="114" t="s">
        <v>698</v>
      </c>
      <c r="H27" s="114" t="s">
        <v>728</v>
      </c>
      <c r="I27" s="114" t="s">
        <v>941</v>
      </c>
      <c r="J27" s="114" t="s">
        <v>967</v>
      </c>
      <c r="K27" s="129">
        <f t="shared" si="2"/>
        <v>2405208552.7200003</v>
      </c>
      <c r="L27" s="129">
        <f t="shared" si="2"/>
        <v>2421598331.79</v>
      </c>
      <c r="M27" s="179">
        <f t="shared" si="0"/>
        <v>1.0068142860424576</v>
      </c>
    </row>
    <row r="28" spans="1:13" s="127" customFormat="1" ht="47.25">
      <c r="A28" s="114"/>
      <c r="B28" s="128" t="s">
        <v>968</v>
      </c>
      <c r="C28" s="114" t="s">
        <v>424</v>
      </c>
      <c r="D28" s="114" t="s">
        <v>698</v>
      </c>
      <c r="E28" s="114" t="s">
        <v>700</v>
      </c>
      <c r="F28" s="114" t="s">
        <v>703</v>
      </c>
      <c r="G28" s="114" t="s">
        <v>698</v>
      </c>
      <c r="H28" s="114" t="s">
        <v>708</v>
      </c>
      <c r="I28" s="114" t="s">
        <v>941</v>
      </c>
      <c r="J28" s="114" t="s">
        <v>967</v>
      </c>
      <c r="K28" s="130">
        <f>прил1!C133+K11+K15+K21</f>
        <v>2405208552.7200003</v>
      </c>
      <c r="L28" s="130">
        <f>L11+L15+L21+2242401538.88+82396792.91</f>
        <v>2421598331.79</v>
      </c>
      <c r="M28" s="179">
        <f t="shared" si="0"/>
        <v>1.0068142860424576</v>
      </c>
    </row>
    <row r="29" spans="1:13" s="127" customFormat="1" ht="31.5">
      <c r="A29" s="114" t="s">
        <v>537</v>
      </c>
      <c r="B29" s="123" t="s">
        <v>969</v>
      </c>
      <c r="C29" s="124" t="s">
        <v>424</v>
      </c>
      <c r="D29" s="124" t="s">
        <v>698</v>
      </c>
      <c r="E29" s="124" t="s">
        <v>700</v>
      </c>
      <c r="F29" s="124" t="s">
        <v>728</v>
      </c>
      <c r="G29" s="124" t="s">
        <v>728</v>
      </c>
      <c r="H29" s="124" t="s">
        <v>728</v>
      </c>
      <c r="I29" s="124" t="s">
        <v>941</v>
      </c>
      <c r="J29" s="124" t="s">
        <v>384</v>
      </c>
      <c r="K29" s="125">
        <f aca="true" t="shared" si="3" ref="K29:L31">K30</f>
        <v>2510578630.73</v>
      </c>
      <c r="L29" s="125">
        <f t="shared" si="3"/>
        <v>2460264923.09</v>
      </c>
      <c r="M29" s="178">
        <f t="shared" si="0"/>
        <v>0.9799593181332185</v>
      </c>
    </row>
    <row r="30" spans="1:13" s="127" customFormat="1" ht="31.5">
      <c r="A30" s="114"/>
      <c r="B30" s="128" t="s">
        <v>970</v>
      </c>
      <c r="C30" s="114" t="s">
        <v>424</v>
      </c>
      <c r="D30" s="114" t="s">
        <v>698</v>
      </c>
      <c r="E30" s="114" t="s">
        <v>700</v>
      </c>
      <c r="F30" s="114" t="s">
        <v>703</v>
      </c>
      <c r="G30" s="114" t="s">
        <v>728</v>
      </c>
      <c r="H30" s="114" t="s">
        <v>728</v>
      </c>
      <c r="I30" s="114" t="s">
        <v>941</v>
      </c>
      <c r="J30" s="114" t="s">
        <v>384</v>
      </c>
      <c r="K30" s="129">
        <f t="shared" si="3"/>
        <v>2510578630.73</v>
      </c>
      <c r="L30" s="129">
        <f t="shared" si="3"/>
        <v>2460264923.09</v>
      </c>
      <c r="M30" s="179">
        <f t="shared" si="0"/>
        <v>0.9799593181332185</v>
      </c>
    </row>
    <row r="31" spans="1:13" s="127" customFormat="1" ht="31.5">
      <c r="A31" s="114"/>
      <c r="B31" s="128" t="s">
        <v>971</v>
      </c>
      <c r="C31" s="114" t="s">
        <v>424</v>
      </c>
      <c r="D31" s="114" t="s">
        <v>698</v>
      </c>
      <c r="E31" s="114" t="s">
        <v>700</v>
      </c>
      <c r="F31" s="114" t="s">
        <v>703</v>
      </c>
      <c r="G31" s="114" t="s">
        <v>698</v>
      </c>
      <c r="H31" s="114" t="s">
        <v>728</v>
      </c>
      <c r="I31" s="114" t="s">
        <v>941</v>
      </c>
      <c r="J31" s="114" t="s">
        <v>972</v>
      </c>
      <c r="K31" s="129">
        <f t="shared" si="3"/>
        <v>2510578630.73</v>
      </c>
      <c r="L31" s="129">
        <f t="shared" si="3"/>
        <v>2460264923.09</v>
      </c>
      <c r="M31" s="179">
        <f t="shared" si="0"/>
        <v>0.9799593181332185</v>
      </c>
    </row>
    <row r="32" spans="1:13" s="127" customFormat="1" ht="47.25">
      <c r="A32" s="114"/>
      <c r="B32" s="128" t="s">
        <v>973</v>
      </c>
      <c r="C32" s="114" t="s">
        <v>424</v>
      </c>
      <c r="D32" s="114" t="s">
        <v>698</v>
      </c>
      <c r="E32" s="114" t="s">
        <v>700</v>
      </c>
      <c r="F32" s="114" t="s">
        <v>703</v>
      </c>
      <c r="G32" s="114" t="s">
        <v>698</v>
      </c>
      <c r="H32" s="114" t="s">
        <v>708</v>
      </c>
      <c r="I32" s="114" t="s">
        <v>941</v>
      </c>
      <c r="J32" s="114" t="s">
        <v>972</v>
      </c>
      <c r="K32" s="129">
        <f>K18+K20+прил3!G774</f>
        <v>2510578630.73</v>
      </c>
      <c r="L32" s="129">
        <f>L18+L20+прил3!H774+82396792.91</f>
        <v>2460264923.09</v>
      </c>
      <c r="M32" s="179">
        <f t="shared" si="0"/>
        <v>0.9799593181332185</v>
      </c>
    </row>
    <row r="33" spans="1:13" s="133" customFormat="1" ht="47.25" hidden="1">
      <c r="A33" s="131" t="s">
        <v>974</v>
      </c>
      <c r="B33" s="111" t="s">
        <v>955</v>
      </c>
      <c r="C33" s="131" t="s">
        <v>424</v>
      </c>
      <c r="D33" s="131" t="s">
        <v>698</v>
      </c>
      <c r="E33" s="131" t="s">
        <v>699</v>
      </c>
      <c r="F33" s="131" t="s">
        <v>728</v>
      </c>
      <c r="G33" s="131" t="s">
        <v>728</v>
      </c>
      <c r="H33" s="131" t="s">
        <v>728</v>
      </c>
      <c r="I33" s="131" t="s">
        <v>941</v>
      </c>
      <c r="J33" s="131" t="s">
        <v>925</v>
      </c>
      <c r="K33" s="132">
        <f aca="true" t="shared" si="4" ref="K33:L35">K34</f>
        <v>0</v>
      </c>
      <c r="L33" s="132">
        <f t="shared" si="4"/>
        <v>0</v>
      </c>
      <c r="M33" s="178" t="e">
        <f t="shared" si="0"/>
        <v>#DIV/0!</v>
      </c>
    </row>
    <row r="34" spans="1:13" s="133" customFormat="1" ht="47.25" hidden="1">
      <c r="A34" s="131" t="s">
        <v>956</v>
      </c>
      <c r="B34" s="111" t="s">
        <v>975</v>
      </c>
      <c r="C34" s="131" t="s">
        <v>424</v>
      </c>
      <c r="D34" s="131" t="s">
        <v>698</v>
      </c>
      <c r="E34" s="131" t="s">
        <v>699</v>
      </c>
      <c r="F34" s="131" t="s">
        <v>708</v>
      </c>
      <c r="G34" s="131" t="s">
        <v>728</v>
      </c>
      <c r="H34" s="131" t="s">
        <v>728</v>
      </c>
      <c r="I34" s="131" t="s">
        <v>941</v>
      </c>
      <c r="J34" s="131" t="s">
        <v>925</v>
      </c>
      <c r="K34" s="134">
        <f t="shared" si="4"/>
        <v>0</v>
      </c>
      <c r="L34" s="134">
        <f t="shared" si="4"/>
        <v>0</v>
      </c>
      <c r="M34" s="178" t="e">
        <f t="shared" si="0"/>
        <v>#DIV/0!</v>
      </c>
    </row>
    <row r="35" spans="1:13" s="127" customFormat="1" ht="174" customHeight="1" hidden="1">
      <c r="A35" s="114"/>
      <c r="B35" s="128" t="s">
        <v>977</v>
      </c>
      <c r="C35" s="114" t="s">
        <v>424</v>
      </c>
      <c r="D35" s="114" t="s">
        <v>698</v>
      </c>
      <c r="E35" s="114" t="s">
        <v>699</v>
      </c>
      <c r="F35" s="114" t="s">
        <v>708</v>
      </c>
      <c r="G35" s="114" t="s">
        <v>728</v>
      </c>
      <c r="H35" s="114" t="s">
        <v>728</v>
      </c>
      <c r="I35" s="114" t="s">
        <v>941</v>
      </c>
      <c r="J35" s="114" t="s">
        <v>383</v>
      </c>
      <c r="K35" s="135">
        <f t="shared" si="4"/>
        <v>0</v>
      </c>
      <c r="L35" s="135">
        <f t="shared" si="4"/>
        <v>0</v>
      </c>
      <c r="M35" s="178" t="e">
        <f t="shared" si="0"/>
        <v>#DIV/0!</v>
      </c>
    </row>
    <row r="36" spans="1:13" s="127" customFormat="1" ht="165.75" customHeight="1" hidden="1">
      <c r="A36" s="114"/>
      <c r="B36" s="128" t="s">
        <v>978</v>
      </c>
      <c r="C36" s="114" t="s">
        <v>424</v>
      </c>
      <c r="D36" s="114" t="s">
        <v>698</v>
      </c>
      <c r="E36" s="114" t="s">
        <v>699</v>
      </c>
      <c r="F36" s="114" t="s">
        <v>708</v>
      </c>
      <c r="G36" s="114" t="s">
        <v>728</v>
      </c>
      <c r="H36" s="114" t="s">
        <v>708</v>
      </c>
      <c r="I36" s="114" t="s">
        <v>941</v>
      </c>
      <c r="J36" s="114" t="s">
        <v>954</v>
      </c>
      <c r="K36" s="136">
        <v>0</v>
      </c>
      <c r="L36" s="136">
        <v>0</v>
      </c>
      <c r="M36" s="178" t="e">
        <f t="shared" si="0"/>
        <v>#DIV/0!</v>
      </c>
    </row>
    <row r="37" spans="1:13" s="127" customFormat="1" ht="57.75" customHeight="1">
      <c r="A37" s="114"/>
      <c r="B37" s="137" t="s">
        <v>976</v>
      </c>
      <c r="C37" s="124" t="s">
        <v>424</v>
      </c>
      <c r="D37" s="124" t="s">
        <v>698</v>
      </c>
      <c r="E37" s="124" t="s">
        <v>728</v>
      </c>
      <c r="F37" s="124" t="s">
        <v>728</v>
      </c>
      <c r="G37" s="124" t="s">
        <v>728</v>
      </c>
      <c r="H37" s="124" t="s">
        <v>728</v>
      </c>
      <c r="I37" s="124" t="s">
        <v>941</v>
      </c>
      <c r="J37" s="124" t="s">
        <v>925</v>
      </c>
      <c r="K37" s="138">
        <f>K10+K24+K33+K13+K19</f>
        <v>176443078.00999975</v>
      </c>
      <c r="L37" s="138">
        <f>L10+L24+L33+L13+L19</f>
        <v>109739591.30000019</v>
      </c>
      <c r="M37" s="178">
        <f t="shared" si="0"/>
        <v>0.621954641336402</v>
      </c>
    </row>
    <row r="38" spans="3:13" s="127" customFormat="1" ht="15.75">
      <c r="C38" s="139"/>
      <c r="D38" s="139"/>
      <c r="E38" s="139"/>
      <c r="F38" s="139"/>
      <c r="G38" s="139"/>
      <c r="H38" s="139"/>
      <c r="I38" s="139"/>
      <c r="J38" s="139"/>
      <c r="K38" s="140"/>
      <c r="L38" s="140"/>
      <c r="M38" s="140"/>
    </row>
    <row r="39" spans="3:13" ht="15.75">
      <c r="C39" s="141"/>
      <c r="D39" s="141"/>
      <c r="E39" s="141"/>
      <c r="F39" s="141"/>
      <c r="G39" s="141"/>
      <c r="H39" s="141"/>
      <c r="I39" s="141"/>
      <c r="J39" s="141"/>
      <c r="K39" s="143"/>
      <c r="L39" s="143"/>
      <c r="M39" s="142"/>
    </row>
    <row r="40" spans="3:13" ht="15.75">
      <c r="C40" s="142"/>
      <c r="D40" s="142"/>
      <c r="E40" s="142"/>
      <c r="F40" s="142"/>
      <c r="G40" s="142"/>
      <c r="H40" s="142"/>
      <c r="I40" s="142"/>
      <c r="J40" s="141"/>
      <c r="K40" s="143"/>
      <c r="L40" s="143"/>
      <c r="M40" s="143"/>
    </row>
    <row r="41" spans="3:13" ht="15.75">
      <c r="C41" s="142"/>
      <c r="D41" s="142"/>
      <c r="E41" s="142"/>
      <c r="F41" s="142"/>
      <c r="G41" s="142"/>
      <c r="H41" s="142"/>
      <c r="I41" s="142"/>
      <c r="J41" s="141"/>
      <c r="K41" s="143"/>
      <c r="L41" s="143"/>
      <c r="M41" s="142"/>
    </row>
    <row r="42" spans="3:13" ht="15.75">
      <c r="C42" s="142"/>
      <c r="D42" s="142"/>
      <c r="E42" s="142"/>
      <c r="F42" s="142"/>
      <c r="G42" s="142"/>
      <c r="H42" s="142"/>
      <c r="I42" s="142"/>
      <c r="J42" s="141"/>
      <c r="K42" s="142"/>
      <c r="L42" s="142"/>
      <c r="M42" s="142"/>
    </row>
    <row r="43" spans="3:13" ht="15.75">
      <c r="C43" s="142"/>
      <c r="D43" s="142"/>
      <c r="E43" s="142"/>
      <c r="F43" s="142"/>
      <c r="G43" s="142"/>
      <c r="H43" s="142"/>
      <c r="I43" s="142"/>
      <c r="J43" s="141"/>
      <c r="K43" s="142"/>
      <c r="L43" s="142"/>
      <c r="M43" s="142"/>
    </row>
    <row r="44" spans="3:13" ht="15.75">
      <c r="C44" s="142"/>
      <c r="D44" s="142"/>
      <c r="E44" s="142"/>
      <c r="F44" s="142"/>
      <c r="G44" s="142"/>
      <c r="H44" s="142"/>
      <c r="I44" s="142"/>
      <c r="J44" s="141"/>
      <c r="K44" s="142"/>
      <c r="L44" s="142"/>
      <c r="M44" s="142"/>
    </row>
    <row r="45" spans="3:13" ht="15.75">
      <c r="C45" s="142"/>
      <c r="D45" s="142"/>
      <c r="E45" s="142"/>
      <c r="F45" s="142"/>
      <c r="G45" s="142"/>
      <c r="H45" s="142"/>
      <c r="I45" s="142"/>
      <c r="J45" s="141"/>
      <c r="K45" s="142"/>
      <c r="L45" s="142"/>
      <c r="M45" s="142"/>
    </row>
    <row r="46" spans="3:13" ht="15.75">
      <c r="C46" s="142"/>
      <c r="D46" s="142"/>
      <c r="E46" s="142"/>
      <c r="F46" s="142"/>
      <c r="G46" s="142"/>
      <c r="H46" s="142"/>
      <c r="I46" s="142"/>
      <c r="J46" s="141"/>
      <c r="K46" s="142"/>
      <c r="L46" s="142"/>
      <c r="M46" s="142"/>
    </row>
    <row r="47" spans="3:13" ht="15.75">
      <c r="C47" s="142"/>
      <c r="D47" s="142"/>
      <c r="E47" s="142"/>
      <c r="F47" s="142"/>
      <c r="G47" s="142"/>
      <c r="H47" s="142"/>
      <c r="I47" s="142"/>
      <c r="J47" s="141"/>
      <c r="K47" s="142"/>
      <c r="L47" s="142"/>
      <c r="M47" s="142"/>
    </row>
    <row r="48" spans="3:13" ht="15.75">
      <c r="C48" s="142"/>
      <c r="D48" s="142"/>
      <c r="E48" s="142"/>
      <c r="F48" s="142"/>
      <c r="G48" s="142"/>
      <c r="H48" s="142"/>
      <c r="I48" s="142"/>
      <c r="J48" s="141"/>
      <c r="K48" s="142"/>
      <c r="L48" s="142"/>
      <c r="M48" s="142"/>
    </row>
    <row r="49" spans="3:13" ht="15.75">
      <c r="C49" s="142"/>
      <c r="D49" s="142"/>
      <c r="E49" s="142"/>
      <c r="F49" s="142"/>
      <c r="G49" s="142"/>
      <c r="H49" s="142"/>
      <c r="I49" s="142"/>
      <c r="J49" s="141"/>
      <c r="K49" s="142"/>
      <c r="L49" s="142"/>
      <c r="M49" s="142"/>
    </row>
    <row r="50" spans="3:13" ht="15.75">
      <c r="C50" s="142"/>
      <c r="D50" s="142"/>
      <c r="E50" s="142"/>
      <c r="F50" s="142"/>
      <c r="G50" s="142"/>
      <c r="H50" s="142"/>
      <c r="I50" s="142"/>
      <c r="J50" s="141"/>
      <c r="K50" s="142"/>
      <c r="L50" s="142"/>
      <c r="M50" s="142"/>
    </row>
    <row r="51" spans="3:13" ht="15.75">
      <c r="C51" s="142"/>
      <c r="D51" s="142"/>
      <c r="E51" s="142"/>
      <c r="F51" s="142"/>
      <c r="G51" s="142"/>
      <c r="H51" s="142"/>
      <c r="I51" s="142"/>
      <c r="J51" s="141"/>
      <c r="K51" s="142"/>
      <c r="L51" s="142"/>
      <c r="M51" s="142"/>
    </row>
    <row r="52" spans="3:13" ht="15.75">
      <c r="C52" s="142"/>
      <c r="D52" s="142"/>
      <c r="E52" s="142"/>
      <c r="F52" s="142"/>
      <c r="G52" s="142"/>
      <c r="H52" s="142"/>
      <c r="I52" s="142"/>
      <c r="J52" s="141"/>
      <c r="K52" s="142"/>
      <c r="L52" s="142"/>
      <c r="M52" s="142"/>
    </row>
    <row r="53" spans="3:13" ht="15.75">
      <c r="C53" s="142"/>
      <c r="D53" s="142"/>
      <c r="E53" s="142"/>
      <c r="F53" s="142"/>
      <c r="G53" s="142"/>
      <c r="H53" s="142"/>
      <c r="I53" s="142"/>
      <c r="J53" s="141"/>
      <c r="K53" s="142"/>
      <c r="L53" s="142"/>
      <c r="M53" s="142"/>
    </row>
    <row r="54" spans="3:13" ht="15.75">
      <c r="C54" s="142"/>
      <c r="D54" s="142"/>
      <c r="E54" s="142"/>
      <c r="F54" s="142"/>
      <c r="G54" s="142"/>
      <c r="H54" s="142"/>
      <c r="I54" s="142"/>
      <c r="J54" s="141"/>
      <c r="K54" s="142"/>
      <c r="L54" s="142"/>
      <c r="M54" s="142"/>
    </row>
    <row r="55" spans="3:13" ht="15.75">
      <c r="C55" s="142"/>
      <c r="D55" s="142"/>
      <c r="E55" s="142"/>
      <c r="F55" s="142"/>
      <c r="G55" s="142"/>
      <c r="H55" s="142"/>
      <c r="I55" s="142"/>
      <c r="J55" s="141"/>
      <c r="K55" s="142"/>
      <c r="L55" s="142"/>
      <c r="M55" s="142"/>
    </row>
    <row r="56" spans="3:13" ht="15.75">
      <c r="C56" s="142"/>
      <c r="D56" s="142"/>
      <c r="E56" s="142"/>
      <c r="F56" s="142"/>
      <c r="G56" s="142"/>
      <c r="H56" s="142"/>
      <c r="I56" s="142"/>
      <c r="J56" s="141"/>
      <c r="K56" s="142"/>
      <c r="L56" s="142"/>
      <c r="M56" s="142"/>
    </row>
    <row r="57" spans="3:13" ht="15.75">
      <c r="C57" s="142"/>
      <c r="D57" s="142"/>
      <c r="E57" s="142"/>
      <c r="F57" s="142"/>
      <c r="G57" s="142"/>
      <c r="H57" s="142"/>
      <c r="I57" s="142"/>
      <c r="J57" s="141"/>
      <c r="K57" s="142"/>
      <c r="L57" s="142"/>
      <c r="M57" s="142"/>
    </row>
    <row r="58" spans="3:13" ht="15.75">
      <c r="C58" s="142"/>
      <c r="D58" s="142"/>
      <c r="E58" s="142"/>
      <c r="F58" s="142"/>
      <c r="G58" s="142"/>
      <c r="H58" s="142"/>
      <c r="I58" s="142"/>
      <c r="J58" s="141"/>
      <c r="K58" s="142"/>
      <c r="L58" s="142"/>
      <c r="M58" s="142"/>
    </row>
    <row r="59" spans="3:13" ht="15.75">
      <c r="C59" s="142"/>
      <c r="D59" s="142"/>
      <c r="E59" s="142"/>
      <c r="F59" s="142"/>
      <c r="G59" s="142"/>
      <c r="H59" s="142"/>
      <c r="I59" s="142"/>
      <c r="J59" s="141"/>
      <c r="K59" s="142"/>
      <c r="L59" s="142"/>
      <c r="M59" s="142"/>
    </row>
    <row r="60" spans="3:13" ht="15.75">
      <c r="C60" s="142"/>
      <c r="D60" s="142"/>
      <c r="E60" s="142"/>
      <c r="F60" s="142"/>
      <c r="G60" s="142"/>
      <c r="H60" s="142"/>
      <c r="I60" s="142"/>
      <c r="J60" s="141"/>
      <c r="K60" s="142"/>
      <c r="L60" s="142"/>
      <c r="M60" s="142"/>
    </row>
    <row r="61" spans="3:13" ht="15.75">
      <c r="C61" s="142"/>
      <c r="D61" s="142"/>
      <c r="E61" s="142"/>
      <c r="F61" s="142"/>
      <c r="G61" s="142"/>
      <c r="H61" s="142"/>
      <c r="I61" s="142"/>
      <c r="J61" s="141"/>
      <c r="K61" s="142"/>
      <c r="L61" s="142"/>
      <c r="M61" s="142"/>
    </row>
    <row r="62" spans="3:13" ht="15.75">
      <c r="C62" s="142"/>
      <c r="D62" s="142"/>
      <c r="E62" s="142"/>
      <c r="F62" s="142"/>
      <c r="G62" s="142"/>
      <c r="H62" s="142"/>
      <c r="I62" s="142"/>
      <c r="J62" s="141"/>
      <c r="K62" s="142"/>
      <c r="L62" s="142"/>
      <c r="M62" s="142"/>
    </row>
    <row r="63" spans="3:13" ht="15.75">
      <c r="C63" s="142"/>
      <c r="D63" s="142"/>
      <c r="E63" s="142"/>
      <c r="F63" s="142"/>
      <c r="G63" s="142"/>
      <c r="H63" s="142"/>
      <c r="I63" s="142"/>
      <c r="J63" s="141"/>
      <c r="K63" s="142"/>
      <c r="L63" s="142"/>
      <c r="M63" s="142"/>
    </row>
    <row r="64" spans="3:13" ht="15.75">
      <c r="C64" s="142"/>
      <c r="D64" s="142"/>
      <c r="E64" s="142"/>
      <c r="F64" s="142"/>
      <c r="G64" s="142"/>
      <c r="H64" s="142"/>
      <c r="I64" s="142"/>
      <c r="J64" s="141"/>
      <c r="K64" s="142"/>
      <c r="L64" s="142"/>
      <c r="M64" s="142"/>
    </row>
    <row r="65" spans="3:13" ht="15.75">
      <c r="C65" s="142"/>
      <c r="D65" s="142"/>
      <c r="E65" s="142"/>
      <c r="F65" s="142"/>
      <c r="G65" s="142"/>
      <c r="H65" s="142"/>
      <c r="I65" s="142"/>
      <c r="J65" s="141"/>
      <c r="K65" s="142"/>
      <c r="L65" s="142"/>
      <c r="M65" s="142"/>
    </row>
    <row r="66" spans="3:13" ht="15.75">
      <c r="C66" s="142"/>
      <c r="D66" s="142"/>
      <c r="E66" s="142"/>
      <c r="F66" s="142"/>
      <c r="G66" s="142"/>
      <c r="H66" s="142"/>
      <c r="I66" s="142"/>
      <c r="J66" s="141"/>
      <c r="K66" s="142"/>
      <c r="L66" s="142"/>
      <c r="M66" s="142"/>
    </row>
    <row r="67" spans="3:13" ht="15.75">
      <c r="C67" s="142"/>
      <c r="D67" s="142"/>
      <c r="E67" s="142"/>
      <c r="F67" s="142"/>
      <c r="G67" s="142"/>
      <c r="H67" s="142"/>
      <c r="I67" s="142"/>
      <c r="J67" s="141"/>
      <c r="K67" s="142"/>
      <c r="L67" s="142"/>
      <c r="M67" s="142"/>
    </row>
    <row r="68" spans="3:13" ht="15.75">
      <c r="C68" s="142"/>
      <c r="D68" s="142"/>
      <c r="E68" s="142"/>
      <c r="F68" s="142"/>
      <c r="G68" s="142"/>
      <c r="H68" s="142"/>
      <c r="I68" s="142"/>
      <c r="J68" s="141"/>
      <c r="K68" s="142"/>
      <c r="L68" s="142"/>
      <c r="M68" s="142"/>
    </row>
    <row r="69" spans="3:13" ht="15.75">
      <c r="C69" s="142"/>
      <c r="D69" s="142"/>
      <c r="E69" s="142"/>
      <c r="F69" s="142"/>
      <c r="G69" s="142"/>
      <c r="H69" s="142"/>
      <c r="I69" s="142"/>
      <c r="J69" s="141"/>
      <c r="K69" s="142"/>
      <c r="L69" s="142"/>
      <c r="M69" s="142"/>
    </row>
    <row r="70" spans="3:13" ht="15.75">
      <c r="C70" s="142"/>
      <c r="D70" s="142"/>
      <c r="E70" s="142"/>
      <c r="F70" s="142"/>
      <c r="G70" s="142"/>
      <c r="H70" s="142"/>
      <c r="I70" s="142"/>
      <c r="J70" s="141"/>
      <c r="K70" s="142"/>
      <c r="L70" s="142"/>
      <c r="M70" s="142"/>
    </row>
    <row r="71" spans="3:13" ht="15.75">
      <c r="C71" s="142"/>
      <c r="D71" s="142"/>
      <c r="E71" s="142"/>
      <c r="F71" s="142"/>
      <c r="G71" s="142"/>
      <c r="H71" s="142"/>
      <c r="I71" s="142"/>
      <c r="J71" s="141"/>
      <c r="K71" s="142"/>
      <c r="L71" s="142"/>
      <c r="M71" s="142"/>
    </row>
    <row r="72" spans="3:13" ht="15.75">
      <c r="C72" s="142"/>
      <c r="D72" s="142"/>
      <c r="E72" s="142"/>
      <c r="F72" s="142"/>
      <c r="G72" s="142"/>
      <c r="H72" s="142"/>
      <c r="I72" s="142"/>
      <c r="J72" s="141"/>
      <c r="K72" s="142"/>
      <c r="L72" s="142"/>
      <c r="M72" s="142"/>
    </row>
    <row r="73" spans="3:13" ht="15.75">
      <c r="C73" s="142"/>
      <c r="D73" s="142"/>
      <c r="E73" s="142"/>
      <c r="F73" s="142"/>
      <c r="G73" s="142"/>
      <c r="H73" s="142"/>
      <c r="I73" s="142"/>
      <c r="J73" s="141"/>
      <c r="K73" s="142"/>
      <c r="L73" s="142"/>
      <c r="M73" s="142"/>
    </row>
    <row r="74" spans="3:13" ht="15.75">
      <c r="C74" s="142"/>
      <c r="D74" s="142"/>
      <c r="E74" s="142"/>
      <c r="F74" s="142"/>
      <c r="G74" s="142"/>
      <c r="H74" s="142"/>
      <c r="I74" s="142"/>
      <c r="J74" s="141"/>
      <c r="K74" s="142"/>
      <c r="L74" s="142"/>
      <c r="M74" s="142"/>
    </row>
    <row r="75" spans="3:13" ht="15.75">
      <c r="C75" s="142"/>
      <c r="D75" s="142"/>
      <c r="E75" s="142"/>
      <c r="F75" s="142"/>
      <c r="G75" s="142"/>
      <c r="H75" s="142"/>
      <c r="I75" s="142"/>
      <c r="J75" s="141"/>
      <c r="K75" s="142"/>
      <c r="L75" s="142"/>
      <c r="M75" s="142"/>
    </row>
    <row r="76" spans="3:13" ht="15.75">
      <c r="C76" s="142"/>
      <c r="D76" s="142"/>
      <c r="E76" s="142"/>
      <c r="F76" s="142"/>
      <c r="G76" s="142"/>
      <c r="H76" s="142"/>
      <c r="I76" s="142"/>
      <c r="J76" s="141"/>
      <c r="K76" s="142"/>
      <c r="L76" s="142"/>
      <c r="M76" s="142"/>
    </row>
    <row r="77" spans="3:13" ht="15.75">
      <c r="C77" s="142"/>
      <c r="D77" s="142"/>
      <c r="E77" s="142"/>
      <c r="F77" s="142"/>
      <c r="G77" s="142"/>
      <c r="H77" s="142"/>
      <c r="I77" s="142"/>
      <c r="J77" s="141"/>
      <c r="K77" s="142"/>
      <c r="L77" s="142"/>
      <c r="M77" s="142"/>
    </row>
    <row r="78" spans="3:13" ht="15.75">
      <c r="C78" s="142"/>
      <c r="D78" s="142"/>
      <c r="E78" s="142"/>
      <c r="F78" s="142"/>
      <c r="G78" s="142"/>
      <c r="H78" s="142"/>
      <c r="I78" s="142"/>
      <c r="J78" s="141"/>
      <c r="K78" s="142"/>
      <c r="L78" s="142"/>
      <c r="M78" s="142"/>
    </row>
    <row r="79" spans="3:13" ht="15.75">
      <c r="C79" s="142"/>
      <c r="D79" s="142"/>
      <c r="E79" s="142"/>
      <c r="F79" s="142"/>
      <c r="G79" s="142"/>
      <c r="H79" s="142"/>
      <c r="I79" s="142"/>
      <c r="J79" s="141"/>
      <c r="K79" s="142"/>
      <c r="L79" s="142"/>
      <c r="M79" s="142"/>
    </row>
    <row r="80" spans="3:13" ht="15.75">
      <c r="C80" s="142"/>
      <c r="D80" s="142"/>
      <c r="E80" s="142"/>
      <c r="F80" s="142"/>
      <c r="G80" s="142"/>
      <c r="H80" s="142"/>
      <c r="I80" s="142"/>
      <c r="J80" s="141"/>
      <c r="K80" s="142"/>
      <c r="L80" s="142"/>
      <c r="M80" s="142"/>
    </row>
    <row r="81" spans="3:13" ht="15.75">
      <c r="C81" s="142"/>
      <c r="D81" s="142"/>
      <c r="E81" s="142"/>
      <c r="F81" s="142"/>
      <c r="G81" s="142"/>
      <c r="H81" s="142"/>
      <c r="I81" s="142"/>
      <c r="J81" s="141"/>
      <c r="K81" s="142"/>
      <c r="L81" s="142"/>
      <c r="M81" s="142"/>
    </row>
    <row r="82" spans="3:13" ht="15.75">
      <c r="C82" s="142"/>
      <c r="D82" s="142"/>
      <c r="E82" s="142"/>
      <c r="F82" s="142"/>
      <c r="G82" s="142"/>
      <c r="H82" s="142"/>
      <c r="I82" s="142"/>
      <c r="J82" s="141"/>
      <c r="K82" s="142"/>
      <c r="L82" s="142"/>
      <c r="M82" s="142"/>
    </row>
    <row r="83" spans="3:13" ht="15.75">
      <c r="C83" s="142"/>
      <c r="D83" s="142"/>
      <c r="E83" s="142"/>
      <c r="F83" s="142"/>
      <c r="G83" s="142"/>
      <c r="H83" s="142"/>
      <c r="I83" s="142"/>
      <c r="J83" s="141"/>
      <c r="K83" s="142"/>
      <c r="L83" s="142"/>
      <c r="M83" s="142"/>
    </row>
    <row r="84" spans="3:13" ht="15.75">
      <c r="C84" s="142"/>
      <c r="D84" s="142"/>
      <c r="E84" s="142"/>
      <c r="F84" s="142"/>
      <c r="G84" s="142"/>
      <c r="H84" s="142"/>
      <c r="I84" s="142"/>
      <c r="J84" s="141"/>
      <c r="K84" s="142"/>
      <c r="L84" s="142"/>
      <c r="M84" s="142"/>
    </row>
    <row r="85" spans="3:13" ht="15.75">
      <c r="C85" s="142"/>
      <c r="D85" s="142"/>
      <c r="E85" s="142"/>
      <c r="F85" s="142"/>
      <c r="G85" s="142"/>
      <c r="H85" s="142"/>
      <c r="I85" s="142"/>
      <c r="J85" s="141"/>
      <c r="K85" s="142"/>
      <c r="L85" s="142"/>
      <c r="M85" s="142"/>
    </row>
    <row r="86" spans="3:13" ht="15.75">
      <c r="C86" s="142"/>
      <c r="D86" s="142"/>
      <c r="E86" s="142"/>
      <c r="F86" s="142"/>
      <c r="G86" s="142"/>
      <c r="H86" s="142"/>
      <c r="I86" s="142"/>
      <c r="J86" s="141"/>
      <c r="K86" s="142"/>
      <c r="L86" s="142"/>
      <c r="M86" s="142"/>
    </row>
    <row r="87" spans="3:13" ht="15.75">
      <c r="C87" s="142"/>
      <c r="D87" s="142"/>
      <c r="E87" s="142"/>
      <c r="F87" s="142"/>
      <c r="G87" s="142"/>
      <c r="H87" s="142"/>
      <c r="I87" s="142"/>
      <c r="J87" s="141"/>
      <c r="K87" s="142"/>
      <c r="L87" s="142"/>
      <c r="M87" s="142"/>
    </row>
    <row r="88" spans="3:13" ht="15.75">
      <c r="C88" s="142"/>
      <c r="D88" s="142"/>
      <c r="E88" s="142"/>
      <c r="F88" s="142"/>
      <c r="G88" s="142"/>
      <c r="H88" s="142"/>
      <c r="I88" s="142"/>
      <c r="J88" s="141"/>
      <c r="K88" s="142"/>
      <c r="L88" s="142"/>
      <c r="M88" s="142"/>
    </row>
    <row r="89" spans="3:13" ht="15.75">
      <c r="C89" s="142"/>
      <c r="D89" s="142"/>
      <c r="E89" s="142"/>
      <c r="F89" s="142"/>
      <c r="G89" s="142"/>
      <c r="H89" s="142"/>
      <c r="I89" s="142"/>
      <c r="J89" s="141"/>
      <c r="K89" s="142"/>
      <c r="L89" s="142"/>
      <c r="M89" s="142"/>
    </row>
    <row r="90" spans="3:13" ht="15.75">
      <c r="C90" s="142"/>
      <c r="D90" s="142"/>
      <c r="E90" s="142"/>
      <c r="F90" s="142"/>
      <c r="G90" s="142"/>
      <c r="H90" s="142"/>
      <c r="I90" s="142"/>
      <c r="J90" s="141"/>
      <c r="K90" s="142"/>
      <c r="L90" s="142"/>
      <c r="M90" s="142"/>
    </row>
    <row r="91" spans="3:13" ht="15.75">
      <c r="C91" s="142"/>
      <c r="D91" s="142"/>
      <c r="E91" s="142"/>
      <c r="F91" s="142"/>
      <c r="G91" s="142"/>
      <c r="H91" s="142"/>
      <c r="I91" s="142"/>
      <c r="J91" s="141"/>
      <c r="K91" s="142"/>
      <c r="L91" s="142"/>
      <c r="M91" s="142"/>
    </row>
    <row r="92" spans="3:13" ht="15.75">
      <c r="C92" s="142"/>
      <c r="D92" s="142"/>
      <c r="E92" s="142"/>
      <c r="F92" s="142"/>
      <c r="G92" s="142"/>
      <c r="H92" s="142"/>
      <c r="I92" s="142"/>
      <c r="J92" s="141"/>
      <c r="K92" s="142"/>
      <c r="L92" s="142"/>
      <c r="M92" s="142"/>
    </row>
    <row r="93" spans="3:13" ht="15.75">
      <c r="C93" s="142"/>
      <c r="D93" s="142"/>
      <c r="E93" s="142"/>
      <c r="F93" s="142"/>
      <c r="G93" s="142"/>
      <c r="H93" s="142"/>
      <c r="I93" s="142"/>
      <c r="J93" s="141"/>
      <c r="K93" s="142"/>
      <c r="L93" s="142"/>
      <c r="M93" s="142"/>
    </row>
    <row r="94" spans="3:13" ht="15.75">
      <c r="C94" s="142"/>
      <c r="D94" s="142"/>
      <c r="E94" s="142"/>
      <c r="F94" s="142"/>
      <c r="G94" s="142"/>
      <c r="H94" s="142"/>
      <c r="I94" s="142"/>
      <c r="J94" s="141"/>
      <c r="K94" s="142"/>
      <c r="L94" s="142"/>
      <c r="M94" s="142"/>
    </row>
    <row r="95" spans="3:13" ht="15.75">
      <c r="C95" s="142"/>
      <c r="D95" s="142"/>
      <c r="E95" s="142"/>
      <c r="F95" s="142"/>
      <c r="G95" s="142"/>
      <c r="H95" s="142"/>
      <c r="I95" s="142"/>
      <c r="J95" s="141"/>
      <c r="K95" s="142"/>
      <c r="L95" s="142"/>
      <c r="M95" s="142"/>
    </row>
    <row r="96" spans="3:13" ht="15.75">
      <c r="C96" s="142"/>
      <c r="D96" s="142"/>
      <c r="E96" s="142"/>
      <c r="F96" s="142"/>
      <c r="G96" s="142"/>
      <c r="H96" s="142"/>
      <c r="I96" s="142"/>
      <c r="J96" s="141"/>
      <c r="K96" s="142"/>
      <c r="L96" s="142"/>
      <c r="M96" s="142"/>
    </row>
    <row r="97" spans="3:13" ht="15.75">
      <c r="C97" s="142"/>
      <c r="D97" s="142"/>
      <c r="E97" s="142"/>
      <c r="F97" s="142"/>
      <c r="G97" s="142"/>
      <c r="H97" s="142"/>
      <c r="I97" s="142"/>
      <c r="J97" s="141"/>
      <c r="K97" s="142"/>
      <c r="L97" s="142"/>
      <c r="M97" s="142"/>
    </row>
    <row r="98" spans="3:13" ht="15.75">
      <c r="C98" s="142"/>
      <c r="D98" s="142"/>
      <c r="E98" s="142"/>
      <c r="F98" s="142"/>
      <c r="G98" s="142"/>
      <c r="H98" s="142"/>
      <c r="I98" s="142"/>
      <c r="J98" s="141"/>
      <c r="K98" s="142"/>
      <c r="L98" s="142"/>
      <c r="M98" s="142"/>
    </row>
    <row r="99" spans="3:13" ht="15.75">
      <c r="C99" s="142"/>
      <c r="D99" s="142"/>
      <c r="E99" s="142"/>
      <c r="F99" s="142"/>
      <c r="G99" s="142"/>
      <c r="H99" s="142"/>
      <c r="I99" s="142"/>
      <c r="J99" s="141"/>
      <c r="K99" s="142"/>
      <c r="L99" s="142"/>
      <c r="M99" s="142"/>
    </row>
    <row r="100" spans="3:13" ht="15.75">
      <c r="C100" s="142"/>
      <c r="D100" s="142"/>
      <c r="E100" s="142"/>
      <c r="F100" s="142"/>
      <c r="G100" s="142"/>
      <c r="H100" s="142"/>
      <c r="I100" s="142"/>
      <c r="J100" s="141"/>
      <c r="K100" s="142"/>
      <c r="L100" s="142"/>
      <c r="M100" s="142"/>
    </row>
    <row r="101" spans="3:13" ht="15.75">
      <c r="C101" s="142"/>
      <c r="D101" s="142"/>
      <c r="E101" s="142"/>
      <c r="F101" s="142"/>
      <c r="G101" s="142"/>
      <c r="H101" s="142"/>
      <c r="I101" s="142"/>
      <c r="J101" s="141"/>
      <c r="K101" s="142"/>
      <c r="L101" s="142"/>
      <c r="M101" s="142"/>
    </row>
    <row r="102" spans="3:13" ht="15.75">
      <c r="C102" s="142"/>
      <c r="D102" s="142"/>
      <c r="E102" s="142"/>
      <c r="F102" s="142"/>
      <c r="G102" s="142"/>
      <c r="H102" s="142"/>
      <c r="I102" s="142"/>
      <c r="J102" s="141"/>
      <c r="K102" s="142"/>
      <c r="L102" s="142"/>
      <c r="M102" s="142"/>
    </row>
    <row r="103" spans="3:13" ht="15.75">
      <c r="C103" s="142"/>
      <c r="D103" s="142"/>
      <c r="E103" s="142"/>
      <c r="F103" s="142"/>
      <c r="G103" s="142"/>
      <c r="H103" s="142"/>
      <c r="I103" s="142"/>
      <c r="J103" s="141"/>
      <c r="K103" s="142"/>
      <c r="L103" s="142"/>
      <c r="M103" s="142"/>
    </row>
    <row r="104" spans="3:13" ht="15.75">
      <c r="C104" s="142"/>
      <c r="D104" s="142"/>
      <c r="E104" s="142"/>
      <c r="F104" s="142"/>
      <c r="G104" s="142"/>
      <c r="H104" s="142"/>
      <c r="I104" s="142"/>
      <c r="J104" s="141"/>
      <c r="K104" s="142"/>
      <c r="L104" s="142"/>
      <c r="M104" s="142"/>
    </row>
    <row r="105" spans="3:13" ht="15.75">
      <c r="C105" s="142"/>
      <c r="D105" s="142"/>
      <c r="E105" s="142"/>
      <c r="F105" s="142"/>
      <c r="G105" s="142"/>
      <c r="H105" s="142"/>
      <c r="I105" s="142"/>
      <c r="J105" s="141"/>
      <c r="K105" s="142"/>
      <c r="L105" s="142"/>
      <c r="M105" s="142"/>
    </row>
    <row r="106" spans="3:13" ht="15.75">
      <c r="C106" s="142"/>
      <c r="D106" s="142"/>
      <c r="E106" s="142"/>
      <c r="F106" s="142"/>
      <c r="G106" s="142"/>
      <c r="H106" s="142"/>
      <c r="I106" s="142"/>
      <c r="J106" s="141"/>
      <c r="K106" s="142"/>
      <c r="L106" s="142"/>
      <c r="M106" s="142"/>
    </row>
    <row r="107" spans="3:13" ht="15.75">
      <c r="C107" s="142"/>
      <c r="D107" s="142"/>
      <c r="E107" s="142"/>
      <c r="F107" s="142"/>
      <c r="G107" s="142"/>
      <c r="H107" s="142"/>
      <c r="I107" s="142"/>
      <c r="J107" s="141"/>
      <c r="K107" s="142"/>
      <c r="L107" s="142"/>
      <c r="M107" s="142"/>
    </row>
    <row r="108" spans="3:13" ht="15.75">
      <c r="C108" s="142"/>
      <c r="D108" s="142"/>
      <c r="E108" s="142"/>
      <c r="F108" s="142"/>
      <c r="G108" s="142"/>
      <c r="H108" s="142"/>
      <c r="I108" s="142"/>
      <c r="J108" s="141"/>
      <c r="K108" s="142"/>
      <c r="L108" s="142"/>
      <c r="M108" s="142"/>
    </row>
    <row r="109" spans="3:13" ht="15.75">
      <c r="C109" s="142"/>
      <c r="D109" s="142"/>
      <c r="E109" s="142"/>
      <c r="F109" s="142"/>
      <c r="G109" s="142"/>
      <c r="H109" s="142"/>
      <c r="I109" s="142"/>
      <c r="J109" s="141"/>
      <c r="K109" s="142"/>
      <c r="L109" s="142"/>
      <c r="M109" s="142"/>
    </row>
    <row r="110" spans="3:13" ht="15.75">
      <c r="C110" s="142"/>
      <c r="D110" s="142"/>
      <c r="E110" s="142"/>
      <c r="F110" s="142"/>
      <c r="G110" s="142"/>
      <c r="H110" s="142"/>
      <c r="I110" s="142"/>
      <c r="J110" s="141"/>
      <c r="K110" s="142"/>
      <c r="L110" s="142"/>
      <c r="M110" s="142"/>
    </row>
    <row r="111" spans="3:13" ht="15.75">
      <c r="C111" s="142"/>
      <c r="D111" s="142"/>
      <c r="E111" s="142"/>
      <c r="F111" s="142"/>
      <c r="G111" s="142"/>
      <c r="H111" s="142"/>
      <c r="I111" s="142"/>
      <c r="J111" s="141"/>
      <c r="K111" s="142"/>
      <c r="L111" s="142"/>
      <c r="M111" s="142"/>
    </row>
    <row r="112" spans="3:13" ht="15.75">
      <c r="C112" s="142"/>
      <c r="D112" s="142"/>
      <c r="E112" s="142"/>
      <c r="F112" s="142"/>
      <c r="G112" s="142"/>
      <c r="H112" s="142"/>
      <c r="I112" s="142"/>
      <c r="J112" s="141"/>
      <c r="K112" s="142"/>
      <c r="L112" s="142"/>
      <c r="M112" s="142"/>
    </row>
    <row r="113" spans="3:13" ht="15.75">
      <c r="C113" s="142"/>
      <c r="D113" s="142"/>
      <c r="E113" s="142"/>
      <c r="F113" s="142"/>
      <c r="G113" s="142"/>
      <c r="H113" s="142"/>
      <c r="I113" s="142"/>
      <c r="J113" s="141"/>
      <c r="K113" s="142"/>
      <c r="L113" s="142"/>
      <c r="M113" s="142"/>
    </row>
    <row r="114" spans="3:13" ht="15.75">
      <c r="C114" s="142"/>
      <c r="D114" s="142"/>
      <c r="E114" s="142"/>
      <c r="F114" s="142"/>
      <c r="G114" s="142"/>
      <c r="H114" s="142"/>
      <c r="I114" s="142"/>
      <c r="J114" s="141"/>
      <c r="K114" s="142"/>
      <c r="L114" s="142"/>
      <c r="M114" s="142"/>
    </row>
    <row r="115" spans="3:13" ht="15.75">
      <c r="C115" s="142"/>
      <c r="D115" s="142"/>
      <c r="E115" s="142"/>
      <c r="F115" s="142"/>
      <c r="G115" s="142"/>
      <c r="H115" s="142"/>
      <c r="I115" s="142"/>
      <c r="J115" s="141"/>
      <c r="K115" s="142"/>
      <c r="L115" s="142"/>
      <c r="M115" s="142"/>
    </row>
    <row r="116" spans="3:13" ht="15.75">
      <c r="C116" s="142"/>
      <c r="D116" s="142"/>
      <c r="E116" s="142"/>
      <c r="F116" s="142"/>
      <c r="G116" s="142"/>
      <c r="H116" s="142"/>
      <c r="I116" s="142"/>
      <c r="J116" s="141"/>
      <c r="K116" s="142"/>
      <c r="L116" s="142"/>
      <c r="M116" s="142"/>
    </row>
    <row r="117" spans="3:13" ht="15.75">
      <c r="C117" s="142"/>
      <c r="D117" s="142"/>
      <c r="E117" s="142"/>
      <c r="F117" s="142"/>
      <c r="G117" s="142"/>
      <c r="H117" s="142"/>
      <c r="I117" s="142"/>
      <c r="J117" s="141"/>
      <c r="K117" s="142"/>
      <c r="L117" s="142"/>
      <c r="M117" s="142"/>
    </row>
    <row r="118" spans="3:13" ht="15.75">
      <c r="C118" s="142"/>
      <c r="D118" s="142"/>
      <c r="E118" s="142"/>
      <c r="F118" s="142"/>
      <c r="G118" s="142"/>
      <c r="H118" s="142"/>
      <c r="I118" s="142"/>
      <c r="J118" s="141"/>
      <c r="K118" s="142"/>
      <c r="L118" s="142"/>
      <c r="M118" s="142"/>
    </row>
    <row r="119" spans="3:13" ht="15.75">
      <c r="C119" s="142"/>
      <c r="D119" s="142"/>
      <c r="E119" s="142"/>
      <c r="F119" s="142"/>
      <c r="G119" s="142"/>
      <c r="H119" s="142"/>
      <c r="I119" s="142"/>
      <c r="J119" s="141"/>
      <c r="K119" s="142"/>
      <c r="L119" s="142"/>
      <c r="M119" s="142"/>
    </row>
    <row r="120" spans="3:13" ht="15.75">
      <c r="C120" s="142"/>
      <c r="D120" s="142"/>
      <c r="E120" s="142"/>
      <c r="F120" s="142"/>
      <c r="G120" s="142"/>
      <c r="H120" s="142"/>
      <c r="I120" s="142"/>
      <c r="J120" s="141"/>
      <c r="K120" s="142"/>
      <c r="L120" s="142"/>
      <c r="M120" s="142"/>
    </row>
    <row r="121" spans="3:13" ht="15.75">
      <c r="C121" s="142"/>
      <c r="D121" s="142"/>
      <c r="E121" s="142"/>
      <c r="F121" s="142"/>
      <c r="G121" s="142"/>
      <c r="H121" s="142"/>
      <c r="I121" s="142"/>
      <c r="J121" s="141"/>
      <c r="K121" s="142"/>
      <c r="L121" s="142"/>
      <c r="M121" s="142"/>
    </row>
    <row r="122" spans="3:13" ht="15.75">
      <c r="C122" s="142"/>
      <c r="D122" s="142"/>
      <c r="E122" s="142"/>
      <c r="F122" s="142"/>
      <c r="G122" s="142"/>
      <c r="H122" s="142"/>
      <c r="I122" s="142"/>
      <c r="J122" s="141"/>
      <c r="K122" s="142"/>
      <c r="L122" s="142"/>
      <c r="M122" s="142"/>
    </row>
    <row r="123" spans="3:13" ht="15.75">
      <c r="C123" s="142"/>
      <c r="D123" s="142"/>
      <c r="E123" s="142"/>
      <c r="F123" s="142"/>
      <c r="G123" s="142"/>
      <c r="H123" s="142"/>
      <c r="I123" s="142"/>
      <c r="J123" s="141"/>
      <c r="K123" s="142"/>
      <c r="L123" s="142"/>
      <c r="M123" s="142"/>
    </row>
    <row r="124" spans="3:13" ht="15.75">
      <c r="C124" s="142"/>
      <c r="D124" s="142"/>
      <c r="E124" s="142"/>
      <c r="F124" s="142"/>
      <c r="G124" s="142"/>
      <c r="H124" s="142"/>
      <c r="I124" s="142"/>
      <c r="J124" s="141"/>
      <c r="K124" s="142"/>
      <c r="L124" s="142"/>
      <c r="M124" s="142"/>
    </row>
    <row r="125" spans="3:13" ht="15.75">
      <c r="C125" s="142"/>
      <c r="D125" s="142"/>
      <c r="E125" s="142"/>
      <c r="F125" s="142"/>
      <c r="G125" s="142"/>
      <c r="H125" s="142"/>
      <c r="I125" s="142"/>
      <c r="J125" s="141"/>
      <c r="K125" s="142"/>
      <c r="L125" s="142"/>
      <c r="M125" s="142"/>
    </row>
    <row r="126" spans="3:13" ht="15.75">
      <c r="C126" s="142"/>
      <c r="D126" s="142"/>
      <c r="E126" s="142"/>
      <c r="F126" s="142"/>
      <c r="G126" s="142"/>
      <c r="H126" s="142"/>
      <c r="I126" s="142"/>
      <c r="J126" s="141"/>
      <c r="K126" s="142"/>
      <c r="L126" s="142"/>
      <c r="M126" s="142"/>
    </row>
    <row r="127" spans="3:13" ht="15.75">
      <c r="C127" s="142"/>
      <c r="D127" s="142"/>
      <c r="E127" s="142"/>
      <c r="F127" s="142"/>
      <c r="G127" s="142"/>
      <c r="H127" s="142"/>
      <c r="I127" s="142"/>
      <c r="J127" s="141"/>
      <c r="K127" s="142"/>
      <c r="L127" s="142"/>
      <c r="M127" s="142"/>
    </row>
    <row r="128" spans="3:13" ht="15.75">
      <c r="C128" s="142"/>
      <c r="D128" s="142"/>
      <c r="E128" s="142"/>
      <c r="F128" s="142"/>
      <c r="G128" s="142"/>
      <c r="H128" s="142"/>
      <c r="I128" s="142"/>
      <c r="J128" s="141"/>
      <c r="K128" s="142"/>
      <c r="L128" s="142"/>
      <c r="M128" s="142"/>
    </row>
    <row r="129" spans="3:13" ht="15.75">
      <c r="C129" s="142"/>
      <c r="D129" s="142"/>
      <c r="E129" s="142"/>
      <c r="F129" s="142"/>
      <c r="G129" s="142"/>
      <c r="H129" s="142"/>
      <c r="I129" s="142"/>
      <c r="J129" s="141"/>
      <c r="K129" s="142"/>
      <c r="L129" s="142"/>
      <c r="M129" s="142"/>
    </row>
    <row r="130" spans="3:13" ht="15.75">
      <c r="C130" s="142"/>
      <c r="D130" s="142"/>
      <c r="E130" s="142"/>
      <c r="F130" s="142"/>
      <c r="G130" s="142"/>
      <c r="H130" s="142"/>
      <c r="I130" s="142"/>
      <c r="J130" s="141"/>
      <c r="K130" s="142"/>
      <c r="L130" s="142"/>
      <c r="M130" s="142"/>
    </row>
    <row r="131" spans="3:13" ht="15.75">
      <c r="C131" s="142"/>
      <c r="D131" s="142"/>
      <c r="E131" s="142"/>
      <c r="F131" s="142"/>
      <c r="G131" s="142"/>
      <c r="H131" s="142"/>
      <c r="I131" s="142"/>
      <c r="J131" s="141"/>
      <c r="K131" s="142"/>
      <c r="L131" s="142"/>
      <c r="M131" s="142"/>
    </row>
    <row r="132" spans="3:13" ht="15.75">
      <c r="C132" s="142"/>
      <c r="D132" s="142"/>
      <c r="E132" s="142"/>
      <c r="F132" s="142"/>
      <c r="G132" s="142"/>
      <c r="H132" s="142"/>
      <c r="I132" s="142"/>
      <c r="J132" s="141"/>
      <c r="K132" s="142"/>
      <c r="L132" s="142"/>
      <c r="M132" s="142"/>
    </row>
    <row r="133" spans="3:13" ht="15.75">
      <c r="C133" s="142"/>
      <c r="D133" s="142"/>
      <c r="E133" s="142"/>
      <c r="F133" s="142"/>
      <c r="G133" s="142"/>
      <c r="H133" s="142"/>
      <c r="I133" s="142"/>
      <c r="J133" s="141"/>
      <c r="K133" s="142"/>
      <c r="L133" s="142"/>
      <c r="M133" s="142"/>
    </row>
    <row r="134" spans="3:13" ht="15.75">
      <c r="C134" s="142"/>
      <c r="D134" s="142"/>
      <c r="E134" s="142"/>
      <c r="F134" s="142"/>
      <c r="G134" s="142"/>
      <c r="H134" s="142"/>
      <c r="I134" s="142"/>
      <c r="J134" s="141"/>
      <c r="K134" s="142"/>
      <c r="L134" s="142"/>
      <c r="M134" s="142"/>
    </row>
    <row r="135" spans="3:13" ht="15.75">
      <c r="C135" s="142"/>
      <c r="D135" s="142"/>
      <c r="E135" s="142"/>
      <c r="F135" s="142"/>
      <c r="G135" s="142"/>
      <c r="H135" s="142"/>
      <c r="I135" s="142"/>
      <c r="J135" s="141"/>
      <c r="K135" s="142"/>
      <c r="L135" s="142"/>
      <c r="M135" s="142"/>
    </row>
    <row r="136" spans="3:13" ht="15.75">
      <c r="C136" s="142"/>
      <c r="D136" s="142"/>
      <c r="E136" s="142"/>
      <c r="F136" s="142"/>
      <c r="G136" s="142"/>
      <c r="H136" s="142"/>
      <c r="I136" s="142"/>
      <c r="J136" s="141"/>
      <c r="K136" s="142"/>
      <c r="L136" s="142"/>
      <c r="M136" s="142"/>
    </row>
    <row r="137" spans="3:13" ht="15.75">
      <c r="C137" s="142"/>
      <c r="D137" s="142"/>
      <c r="E137" s="142"/>
      <c r="F137" s="142"/>
      <c r="G137" s="142"/>
      <c r="H137" s="142"/>
      <c r="I137" s="142"/>
      <c r="J137" s="141"/>
      <c r="K137" s="142"/>
      <c r="L137" s="142"/>
      <c r="M137" s="142"/>
    </row>
    <row r="138" spans="3:13" ht="15.75">
      <c r="C138" s="142"/>
      <c r="D138" s="142"/>
      <c r="E138" s="142"/>
      <c r="F138" s="142"/>
      <c r="G138" s="142"/>
      <c r="H138" s="142"/>
      <c r="I138" s="142"/>
      <c r="J138" s="141"/>
      <c r="K138" s="142"/>
      <c r="L138" s="142"/>
      <c r="M138" s="142"/>
    </row>
    <row r="139" spans="3:13" ht="15.75">
      <c r="C139" s="142"/>
      <c r="D139" s="142"/>
      <c r="E139" s="142"/>
      <c r="F139" s="142"/>
      <c r="G139" s="142"/>
      <c r="H139" s="142"/>
      <c r="I139" s="142"/>
      <c r="J139" s="141"/>
      <c r="K139" s="142"/>
      <c r="L139" s="142"/>
      <c r="M139" s="142"/>
    </row>
    <row r="140" spans="3:13" ht="15.75">
      <c r="C140" s="142"/>
      <c r="D140" s="142"/>
      <c r="E140" s="142"/>
      <c r="F140" s="142"/>
      <c r="G140" s="142"/>
      <c r="H140" s="142"/>
      <c r="I140" s="142"/>
      <c r="J140" s="141"/>
      <c r="K140" s="142"/>
      <c r="L140" s="142"/>
      <c r="M140" s="142"/>
    </row>
    <row r="141" spans="3:13" ht="15.75">
      <c r="C141" s="142"/>
      <c r="D141" s="142"/>
      <c r="E141" s="142"/>
      <c r="F141" s="142"/>
      <c r="G141" s="142"/>
      <c r="H141" s="142"/>
      <c r="I141" s="142"/>
      <c r="J141" s="141"/>
      <c r="K141" s="142"/>
      <c r="L141" s="142"/>
      <c r="M141" s="142"/>
    </row>
    <row r="142" spans="3:13" ht="15.75">
      <c r="C142" s="142"/>
      <c r="D142" s="142"/>
      <c r="E142" s="142"/>
      <c r="F142" s="142"/>
      <c r="G142" s="142"/>
      <c r="H142" s="142"/>
      <c r="I142" s="142"/>
      <c r="J142" s="141"/>
      <c r="K142" s="142"/>
      <c r="L142" s="142"/>
      <c r="M142" s="142"/>
    </row>
    <row r="143" spans="3:13" ht="15.75">
      <c r="C143" s="142"/>
      <c r="D143" s="142"/>
      <c r="E143" s="142"/>
      <c r="F143" s="142"/>
      <c r="G143" s="142"/>
      <c r="H143" s="142"/>
      <c r="I143" s="142"/>
      <c r="J143" s="141"/>
      <c r="K143" s="142"/>
      <c r="L143" s="142"/>
      <c r="M143" s="142"/>
    </row>
    <row r="144" spans="3:13" ht="15.75">
      <c r="C144" s="142"/>
      <c r="D144" s="142"/>
      <c r="E144" s="142"/>
      <c r="F144" s="142"/>
      <c r="G144" s="142"/>
      <c r="H144" s="142"/>
      <c r="I144" s="142"/>
      <c r="J144" s="141"/>
      <c r="K144" s="142"/>
      <c r="L144" s="142"/>
      <c r="M144" s="142"/>
    </row>
    <row r="145" spans="3:13" ht="15.75">
      <c r="C145" s="142"/>
      <c r="D145" s="142"/>
      <c r="E145" s="142"/>
      <c r="F145" s="142"/>
      <c r="G145" s="142"/>
      <c r="H145" s="142"/>
      <c r="I145" s="142"/>
      <c r="J145" s="141"/>
      <c r="K145" s="142"/>
      <c r="L145" s="142"/>
      <c r="M145" s="142"/>
    </row>
    <row r="146" spans="3:13" ht="15.75">
      <c r="C146" s="142"/>
      <c r="D146" s="142"/>
      <c r="E146" s="142"/>
      <c r="F146" s="142"/>
      <c r="G146" s="142"/>
      <c r="H146" s="142"/>
      <c r="I146" s="142"/>
      <c r="J146" s="141"/>
      <c r="K146" s="142"/>
      <c r="L146" s="142"/>
      <c r="M146" s="142"/>
    </row>
    <row r="147" spans="3:13" ht="15.75">
      <c r="C147" s="142"/>
      <c r="D147" s="142"/>
      <c r="E147" s="142"/>
      <c r="F147" s="142"/>
      <c r="G147" s="142"/>
      <c r="H147" s="142"/>
      <c r="I147" s="142"/>
      <c r="J147" s="141"/>
      <c r="K147" s="142"/>
      <c r="L147" s="142"/>
      <c r="M147" s="142"/>
    </row>
    <row r="148" spans="3:13" ht="15.75">
      <c r="C148" s="142"/>
      <c r="D148" s="142"/>
      <c r="E148" s="142"/>
      <c r="F148" s="142"/>
      <c r="G148" s="142"/>
      <c r="H148" s="142"/>
      <c r="I148" s="142"/>
      <c r="J148" s="141"/>
      <c r="K148" s="142"/>
      <c r="L148" s="142"/>
      <c r="M148" s="142"/>
    </row>
    <row r="149" spans="3:13" ht="15.75">
      <c r="C149" s="142"/>
      <c r="D149" s="142"/>
      <c r="E149" s="142"/>
      <c r="F149" s="142"/>
      <c r="G149" s="142"/>
      <c r="H149" s="142"/>
      <c r="I149" s="142"/>
      <c r="J149" s="141"/>
      <c r="K149" s="142"/>
      <c r="L149" s="142"/>
      <c r="M149" s="142"/>
    </row>
    <row r="150" spans="3:13" ht="15.75">
      <c r="C150" s="142"/>
      <c r="D150" s="142"/>
      <c r="E150" s="142"/>
      <c r="F150" s="142"/>
      <c r="G150" s="142"/>
      <c r="H150" s="142"/>
      <c r="I150" s="142"/>
      <c r="J150" s="141"/>
      <c r="K150" s="142"/>
      <c r="L150" s="142"/>
      <c r="M150" s="142"/>
    </row>
    <row r="151" spans="3:13" ht="15.75">
      <c r="C151" s="142"/>
      <c r="D151" s="142"/>
      <c r="E151" s="142"/>
      <c r="F151" s="142"/>
      <c r="G151" s="142"/>
      <c r="H151" s="142"/>
      <c r="I151" s="142"/>
      <c r="J151" s="141"/>
      <c r="K151" s="142"/>
      <c r="L151" s="142"/>
      <c r="M151" s="142"/>
    </row>
    <row r="152" spans="3:13" ht="15.75">
      <c r="C152" s="142"/>
      <c r="D152" s="142"/>
      <c r="E152" s="142"/>
      <c r="F152" s="142"/>
      <c r="G152" s="142"/>
      <c r="H152" s="142"/>
      <c r="I152" s="142"/>
      <c r="J152" s="141"/>
      <c r="K152" s="142"/>
      <c r="L152" s="142"/>
      <c r="M152" s="142"/>
    </row>
    <row r="153" spans="3:13" ht="15.75">
      <c r="C153" s="142"/>
      <c r="D153" s="142"/>
      <c r="E153" s="142"/>
      <c r="F153" s="142"/>
      <c r="G153" s="142"/>
      <c r="H153" s="142"/>
      <c r="I153" s="142"/>
      <c r="J153" s="141"/>
      <c r="K153" s="142"/>
      <c r="L153" s="142"/>
      <c r="M153" s="142"/>
    </row>
    <row r="154" spans="3:13" ht="15.75">
      <c r="C154" s="142"/>
      <c r="D154" s="142"/>
      <c r="E154" s="142"/>
      <c r="F154" s="142"/>
      <c r="G154" s="142"/>
      <c r="H154" s="142"/>
      <c r="I154" s="142"/>
      <c r="J154" s="141"/>
      <c r="K154" s="142"/>
      <c r="L154" s="142"/>
      <c r="M154" s="142"/>
    </row>
    <row r="155" spans="3:13" ht="15.75">
      <c r="C155" s="142"/>
      <c r="D155" s="142"/>
      <c r="E155" s="142"/>
      <c r="F155" s="142"/>
      <c r="G155" s="142"/>
      <c r="H155" s="142"/>
      <c r="I155" s="142"/>
      <c r="J155" s="141"/>
      <c r="K155" s="142"/>
      <c r="L155" s="142"/>
      <c r="M155" s="142"/>
    </row>
    <row r="156" spans="3:13" ht="15.75">
      <c r="C156" s="142"/>
      <c r="D156" s="142"/>
      <c r="E156" s="142"/>
      <c r="F156" s="142"/>
      <c r="G156" s="142"/>
      <c r="H156" s="142"/>
      <c r="I156" s="142"/>
      <c r="J156" s="141"/>
      <c r="K156" s="142"/>
      <c r="L156" s="142"/>
      <c r="M156" s="142"/>
    </row>
    <row r="157" spans="3:13" ht="15.75">
      <c r="C157" s="142"/>
      <c r="D157" s="142"/>
      <c r="E157" s="142"/>
      <c r="F157" s="142"/>
      <c r="G157" s="142"/>
      <c r="H157" s="142"/>
      <c r="I157" s="142"/>
      <c r="J157" s="141"/>
      <c r="K157" s="142"/>
      <c r="L157" s="142"/>
      <c r="M157" s="142"/>
    </row>
    <row r="158" spans="3:13" ht="15.75">
      <c r="C158" s="142"/>
      <c r="D158" s="142"/>
      <c r="E158" s="142"/>
      <c r="F158" s="142"/>
      <c r="G158" s="142"/>
      <c r="H158" s="142"/>
      <c r="I158" s="142"/>
      <c r="J158" s="141"/>
      <c r="K158" s="142"/>
      <c r="L158" s="142"/>
      <c r="M158" s="142"/>
    </row>
    <row r="159" spans="3:13" ht="15.75">
      <c r="C159" s="142"/>
      <c r="D159" s="142"/>
      <c r="E159" s="142"/>
      <c r="F159" s="142"/>
      <c r="G159" s="142"/>
      <c r="H159" s="142"/>
      <c r="I159" s="142"/>
      <c r="J159" s="141"/>
      <c r="K159" s="142"/>
      <c r="L159" s="142"/>
      <c r="M159" s="142"/>
    </row>
    <row r="160" spans="3:13" ht="15.75">
      <c r="C160" s="142"/>
      <c r="D160" s="142"/>
      <c r="E160" s="142"/>
      <c r="F160" s="142"/>
      <c r="G160" s="142"/>
      <c r="H160" s="142"/>
      <c r="I160" s="142"/>
      <c r="J160" s="141"/>
      <c r="K160" s="142"/>
      <c r="L160" s="142"/>
      <c r="M160" s="142"/>
    </row>
    <row r="161" spans="3:13" ht="15.75">
      <c r="C161" s="142"/>
      <c r="D161" s="142"/>
      <c r="E161" s="142"/>
      <c r="F161" s="142"/>
      <c r="G161" s="142"/>
      <c r="H161" s="142"/>
      <c r="I161" s="142"/>
      <c r="J161" s="141"/>
      <c r="K161" s="142"/>
      <c r="L161" s="142"/>
      <c r="M161" s="142"/>
    </row>
    <row r="162" spans="3:13" ht="15.75">
      <c r="C162" s="142"/>
      <c r="D162" s="142"/>
      <c r="E162" s="142"/>
      <c r="F162" s="142"/>
      <c r="G162" s="142"/>
      <c r="H162" s="142"/>
      <c r="I162" s="142"/>
      <c r="J162" s="141"/>
      <c r="K162" s="142"/>
      <c r="L162" s="142"/>
      <c r="M162" s="142"/>
    </row>
    <row r="163" spans="3:13" ht="15.75">
      <c r="C163" s="142"/>
      <c r="D163" s="142"/>
      <c r="E163" s="142"/>
      <c r="F163" s="142"/>
      <c r="G163" s="142"/>
      <c r="H163" s="142"/>
      <c r="I163" s="142"/>
      <c r="J163" s="141"/>
      <c r="K163" s="142"/>
      <c r="L163" s="142"/>
      <c r="M163" s="142"/>
    </row>
    <row r="164" spans="3:13" ht="15.75">
      <c r="C164" s="142"/>
      <c r="D164" s="142"/>
      <c r="E164" s="142"/>
      <c r="F164" s="142"/>
      <c r="G164" s="142"/>
      <c r="H164" s="142"/>
      <c r="I164" s="142"/>
      <c r="J164" s="141"/>
      <c r="K164" s="142"/>
      <c r="L164" s="142"/>
      <c r="M164" s="142"/>
    </row>
    <row r="165" spans="3:13" ht="15.75">
      <c r="C165" s="142"/>
      <c r="D165" s="142"/>
      <c r="E165" s="142"/>
      <c r="F165" s="142"/>
      <c r="G165" s="142"/>
      <c r="H165" s="142"/>
      <c r="I165" s="142"/>
      <c r="J165" s="141"/>
      <c r="K165" s="142"/>
      <c r="L165" s="142"/>
      <c r="M165" s="142"/>
    </row>
    <row r="166" spans="3:13" ht="15.75">
      <c r="C166" s="142"/>
      <c r="D166" s="142"/>
      <c r="E166" s="142"/>
      <c r="F166" s="142"/>
      <c r="G166" s="142"/>
      <c r="H166" s="142"/>
      <c r="I166" s="142"/>
      <c r="J166" s="141"/>
      <c r="K166" s="142"/>
      <c r="L166" s="142"/>
      <c r="M166" s="142"/>
    </row>
    <row r="167" spans="3:13" ht="15.75">
      <c r="C167" s="142"/>
      <c r="D167" s="142"/>
      <c r="E167" s="142"/>
      <c r="F167" s="142"/>
      <c r="G167" s="142"/>
      <c r="H167" s="142"/>
      <c r="I167" s="142"/>
      <c r="J167" s="141"/>
      <c r="K167" s="142"/>
      <c r="L167" s="142"/>
      <c r="M167" s="142"/>
    </row>
    <row r="168" spans="3:13" ht="15.75">
      <c r="C168" s="142"/>
      <c r="D168" s="142"/>
      <c r="E168" s="142"/>
      <c r="F168" s="142"/>
      <c r="G168" s="142"/>
      <c r="H168" s="142"/>
      <c r="I168" s="142"/>
      <c r="J168" s="141"/>
      <c r="K168" s="142"/>
      <c r="L168" s="142"/>
      <c r="M168" s="142"/>
    </row>
    <row r="169" spans="3:13" ht="15.75">
      <c r="C169" s="142"/>
      <c r="D169" s="142"/>
      <c r="E169" s="142"/>
      <c r="F169" s="142"/>
      <c r="G169" s="142"/>
      <c r="H169" s="142"/>
      <c r="I169" s="142"/>
      <c r="J169" s="141"/>
      <c r="K169" s="142"/>
      <c r="L169" s="142"/>
      <c r="M169" s="142"/>
    </row>
    <row r="170" spans="3:13" ht="15.75">
      <c r="C170" s="142"/>
      <c r="D170" s="142"/>
      <c r="E170" s="142"/>
      <c r="F170" s="142"/>
      <c r="G170" s="142"/>
      <c r="H170" s="142"/>
      <c r="I170" s="142"/>
      <c r="J170" s="141"/>
      <c r="K170" s="142"/>
      <c r="L170" s="142"/>
      <c r="M170" s="142"/>
    </row>
    <row r="171" spans="3:13" ht="15.75">
      <c r="C171" s="142"/>
      <c r="D171" s="142"/>
      <c r="E171" s="142"/>
      <c r="F171" s="142"/>
      <c r="G171" s="142"/>
      <c r="H171" s="142"/>
      <c r="I171" s="142"/>
      <c r="J171" s="141"/>
      <c r="K171" s="142"/>
      <c r="L171" s="142"/>
      <c r="M171" s="142"/>
    </row>
    <row r="172" spans="3:13" ht="15.75">
      <c r="C172" s="142"/>
      <c r="D172" s="142"/>
      <c r="E172" s="142"/>
      <c r="F172" s="142"/>
      <c r="G172" s="142"/>
      <c r="H172" s="142"/>
      <c r="I172" s="142"/>
      <c r="J172" s="141"/>
      <c r="K172" s="142"/>
      <c r="L172" s="142"/>
      <c r="M172" s="142"/>
    </row>
    <row r="173" spans="3:13" ht="15.75">
      <c r="C173" s="142"/>
      <c r="D173" s="142"/>
      <c r="E173" s="142"/>
      <c r="F173" s="142"/>
      <c r="G173" s="142"/>
      <c r="H173" s="142"/>
      <c r="I173" s="142"/>
      <c r="J173" s="141"/>
      <c r="K173" s="142"/>
      <c r="L173" s="142"/>
      <c r="M173" s="142"/>
    </row>
    <row r="174" spans="3:13" ht="15.75">
      <c r="C174" s="142"/>
      <c r="D174" s="142"/>
      <c r="E174" s="142"/>
      <c r="F174" s="142"/>
      <c r="G174" s="142"/>
      <c r="H174" s="142"/>
      <c r="I174" s="142"/>
      <c r="J174" s="141"/>
      <c r="K174" s="142"/>
      <c r="L174" s="142"/>
      <c r="M174" s="142"/>
    </row>
    <row r="175" spans="3:13" ht="15.75">
      <c r="C175" s="142"/>
      <c r="D175" s="142"/>
      <c r="E175" s="142"/>
      <c r="F175" s="142"/>
      <c r="G175" s="142"/>
      <c r="H175" s="142"/>
      <c r="I175" s="142"/>
      <c r="J175" s="141"/>
      <c r="K175" s="142"/>
      <c r="L175" s="142"/>
      <c r="M175" s="142"/>
    </row>
    <row r="176" spans="3:13" ht="15.75">
      <c r="C176" s="142"/>
      <c r="D176" s="142"/>
      <c r="E176" s="142"/>
      <c r="F176" s="142"/>
      <c r="G176" s="142"/>
      <c r="H176" s="142"/>
      <c r="I176" s="142"/>
      <c r="J176" s="141"/>
      <c r="K176" s="142"/>
      <c r="L176" s="142"/>
      <c r="M176" s="142"/>
    </row>
    <row r="177" spans="3:13" ht="15.75">
      <c r="C177" s="142"/>
      <c r="D177" s="142"/>
      <c r="E177" s="142"/>
      <c r="F177" s="142"/>
      <c r="G177" s="142"/>
      <c r="H177" s="142"/>
      <c r="I177" s="142"/>
      <c r="J177" s="141"/>
      <c r="K177" s="142"/>
      <c r="L177" s="142"/>
      <c r="M177" s="142"/>
    </row>
    <row r="178" spans="3:13" ht="15.75">
      <c r="C178" s="142"/>
      <c r="D178" s="142"/>
      <c r="E178" s="142"/>
      <c r="F178" s="142"/>
      <c r="G178" s="142"/>
      <c r="H178" s="142"/>
      <c r="I178" s="142"/>
      <c r="J178" s="141"/>
      <c r="K178" s="142"/>
      <c r="L178" s="142"/>
      <c r="M178" s="142"/>
    </row>
    <row r="179" spans="3:13" ht="15.75">
      <c r="C179" s="142"/>
      <c r="D179" s="142"/>
      <c r="E179" s="142"/>
      <c r="F179" s="142"/>
      <c r="G179" s="142"/>
      <c r="H179" s="142"/>
      <c r="I179" s="142"/>
      <c r="J179" s="141"/>
      <c r="K179" s="142"/>
      <c r="L179" s="142"/>
      <c r="M179" s="142"/>
    </row>
    <row r="180" spans="3:13" ht="15.75">
      <c r="C180" s="142"/>
      <c r="D180" s="142"/>
      <c r="E180" s="142"/>
      <c r="F180" s="142"/>
      <c r="G180" s="142"/>
      <c r="H180" s="142"/>
      <c r="I180" s="142"/>
      <c r="J180" s="141"/>
      <c r="K180" s="142"/>
      <c r="L180" s="142"/>
      <c r="M180" s="142"/>
    </row>
    <row r="181" spans="3:13" ht="15.75">
      <c r="C181" s="142"/>
      <c r="D181" s="142"/>
      <c r="E181" s="142"/>
      <c r="F181" s="142"/>
      <c r="G181" s="142"/>
      <c r="H181" s="142"/>
      <c r="I181" s="142"/>
      <c r="J181" s="141"/>
      <c r="K181" s="142"/>
      <c r="L181" s="142"/>
      <c r="M181" s="142"/>
    </row>
    <row r="182" spans="3:13" ht="15.75">
      <c r="C182" s="142"/>
      <c r="D182" s="142"/>
      <c r="E182" s="142"/>
      <c r="F182" s="142"/>
      <c r="G182" s="142"/>
      <c r="H182" s="142"/>
      <c r="I182" s="142"/>
      <c r="J182" s="141"/>
      <c r="K182" s="142"/>
      <c r="L182" s="142"/>
      <c r="M182" s="142"/>
    </row>
    <row r="183" spans="3:13" ht="15.75">
      <c r="C183" s="142"/>
      <c r="D183" s="142"/>
      <c r="E183" s="142"/>
      <c r="F183" s="142"/>
      <c r="G183" s="142"/>
      <c r="H183" s="142"/>
      <c r="I183" s="142"/>
      <c r="J183" s="141"/>
      <c r="K183" s="142"/>
      <c r="L183" s="142"/>
      <c r="M183" s="142"/>
    </row>
    <row r="184" spans="3:13" ht="15.75">
      <c r="C184" s="142"/>
      <c r="D184" s="142"/>
      <c r="E184" s="142"/>
      <c r="F184" s="142"/>
      <c r="G184" s="142"/>
      <c r="H184" s="142"/>
      <c r="I184" s="142"/>
      <c r="J184" s="141"/>
      <c r="K184" s="142"/>
      <c r="L184" s="142"/>
      <c r="M184" s="142"/>
    </row>
    <row r="185" spans="3:13" ht="15.75">
      <c r="C185" s="142"/>
      <c r="D185" s="142"/>
      <c r="E185" s="142"/>
      <c r="F185" s="142"/>
      <c r="G185" s="142"/>
      <c r="H185" s="142"/>
      <c r="I185" s="142"/>
      <c r="J185" s="141"/>
      <c r="K185" s="142"/>
      <c r="L185" s="142"/>
      <c r="M185" s="142"/>
    </row>
    <row r="186" spans="3:13" ht="15.75">
      <c r="C186" s="142"/>
      <c r="D186" s="142"/>
      <c r="E186" s="142"/>
      <c r="F186" s="142"/>
      <c r="G186" s="142"/>
      <c r="H186" s="142"/>
      <c r="I186" s="142"/>
      <c r="J186" s="141"/>
      <c r="K186" s="142"/>
      <c r="L186" s="142"/>
      <c r="M186" s="142"/>
    </row>
    <row r="187" spans="3:13" ht="15.75">
      <c r="C187" s="142"/>
      <c r="D187" s="142"/>
      <c r="E187" s="142"/>
      <c r="F187" s="142"/>
      <c r="G187" s="142"/>
      <c r="H187" s="142"/>
      <c r="I187" s="142"/>
      <c r="J187" s="141"/>
      <c r="K187" s="142"/>
      <c r="L187" s="142"/>
      <c r="M187" s="142"/>
    </row>
    <row r="188" spans="3:13" ht="15.75">
      <c r="C188" s="142"/>
      <c r="D188" s="142"/>
      <c r="E188" s="142"/>
      <c r="F188" s="142"/>
      <c r="G188" s="142"/>
      <c r="H188" s="142"/>
      <c r="I188" s="142"/>
      <c r="J188" s="141"/>
      <c r="K188" s="142"/>
      <c r="L188" s="142"/>
      <c r="M188" s="142"/>
    </row>
    <row r="189" spans="3:13" ht="15.75">
      <c r="C189" s="142"/>
      <c r="D189" s="142"/>
      <c r="E189" s="142"/>
      <c r="F189" s="142"/>
      <c r="G189" s="142"/>
      <c r="H189" s="142"/>
      <c r="I189" s="142"/>
      <c r="J189" s="141"/>
      <c r="K189" s="142"/>
      <c r="L189" s="142"/>
      <c r="M189" s="142"/>
    </row>
    <row r="190" spans="3:13" ht="15.75">
      <c r="C190" s="142"/>
      <c r="D190" s="142"/>
      <c r="E190" s="142"/>
      <c r="F190" s="142"/>
      <c r="G190" s="142"/>
      <c r="H190" s="142"/>
      <c r="I190" s="142"/>
      <c r="J190" s="141"/>
      <c r="K190" s="142"/>
      <c r="L190" s="142"/>
      <c r="M190" s="142"/>
    </row>
    <row r="191" spans="3:13" ht="15.75">
      <c r="C191" s="142"/>
      <c r="D191" s="142"/>
      <c r="E191" s="142"/>
      <c r="F191" s="142"/>
      <c r="G191" s="142"/>
      <c r="H191" s="142"/>
      <c r="I191" s="142"/>
      <c r="J191" s="141"/>
      <c r="K191" s="142"/>
      <c r="L191" s="142"/>
      <c r="M191" s="142"/>
    </row>
    <row r="192" spans="3:13" ht="15.75">
      <c r="C192" s="142"/>
      <c r="D192" s="142"/>
      <c r="E192" s="142"/>
      <c r="F192" s="142"/>
      <c r="G192" s="142"/>
      <c r="H192" s="142"/>
      <c r="I192" s="142"/>
      <c r="J192" s="141"/>
      <c r="K192" s="142"/>
      <c r="L192" s="142"/>
      <c r="M192" s="142"/>
    </row>
    <row r="193" spans="3:13" ht="15.75">
      <c r="C193" s="142"/>
      <c r="D193" s="142"/>
      <c r="E193" s="142"/>
      <c r="F193" s="142"/>
      <c r="G193" s="142"/>
      <c r="H193" s="142"/>
      <c r="I193" s="142"/>
      <c r="J193" s="141"/>
      <c r="K193" s="142"/>
      <c r="L193" s="142"/>
      <c r="M193" s="142"/>
    </row>
    <row r="194" spans="3:13" ht="15.75">
      <c r="C194" s="142"/>
      <c r="D194" s="142"/>
      <c r="E194" s="142"/>
      <c r="F194" s="142"/>
      <c r="G194" s="142"/>
      <c r="H194" s="142"/>
      <c r="I194" s="142"/>
      <c r="J194" s="141"/>
      <c r="K194" s="142"/>
      <c r="L194" s="142"/>
      <c r="M194" s="142"/>
    </row>
    <row r="195" spans="3:13" ht="15.75">
      <c r="C195" s="142"/>
      <c r="D195" s="142"/>
      <c r="E195" s="142"/>
      <c r="F195" s="142"/>
      <c r="G195" s="142"/>
      <c r="H195" s="142"/>
      <c r="I195" s="142"/>
      <c r="J195" s="141"/>
      <c r="K195" s="142"/>
      <c r="L195" s="142"/>
      <c r="M195" s="142"/>
    </row>
    <row r="196" spans="3:13" ht="15.75">
      <c r="C196" s="142"/>
      <c r="D196" s="142"/>
      <c r="E196" s="142"/>
      <c r="F196" s="142"/>
      <c r="G196" s="142"/>
      <c r="H196" s="142"/>
      <c r="I196" s="142"/>
      <c r="J196" s="141"/>
      <c r="K196" s="142"/>
      <c r="L196" s="142"/>
      <c r="M196" s="142"/>
    </row>
    <row r="197" spans="3:13" ht="15.75">
      <c r="C197" s="142"/>
      <c r="D197" s="142"/>
      <c r="E197" s="142"/>
      <c r="F197" s="142"/>
      <c r="G197" s="142"/>
      <c r="H197" s="142"/>
      <c r="I197" s="142"/>
      <c r="J197" s="141"/>
      <c r="K197" s="142"/>
      <c r="L197" s="142"/>
      <c r="M197" s="142"/>
    </row>
    <row r="198" spans="3:13" ht="15.75">
      <c r="C198" s="142"/>
      <c r="D198" s="142"/>
      <c r="E198" s="142"/>
      <c r="F198" s="142"/>
      <c r="G198" s="142"/>
      <c r="H198" s="142"/>
      <c r="I198" s="142"/>
      <c r="J198" s="141"/>
      <c r="K198" s="142"/>
      <c r="L198" s="142"/>
      <c r="M198" s="142"/>
    </row>
    <row r="199" spans="3:13" ht="15.75">
      <c r="C199" s="142"/>
      <c r="D199" s="142"/>
      <c r="E199" s="142"/>
      <c r="F199" s="142"/>
      <c r="G199" s="142"/>
      <c r="H199" s="142"/>
      <c r="I199" s="142"/>
      <c r="J199" s="141"/>
      <c r="K199" s="142"/>
      <c r="L199" s="142"/>
      <c r="M199" s="142"/>
    </row>
    <row r="200" spans="3:13" ht="15.75">
      <c r="C200" s="142"/>
      <c r="D200" s="142"/>
      <c r="E200" s="142"/>
      <c r="F200" s="142"/>
      <c r="G200" s="142"/>
      <c r="H200" s="142"/>
      <c r="I200" s="142"/>
      <c r="J200" s="141"/>
      <c r="K200" s="142"/>
      <c r="L200" s="142"/>
      <c r="M200" s="142"/>
    </row>
    <row r="201" spans="3:13" ht="15.75">
      <c r="C201" s="142"/>
      <c r="D201" s="142"/>
      <c r="E201" s="142"/>
      <c r="F201" s="142"/>
      <c r="G201" s="142"/>
      <c r="H201" s="142"/>
      <c r="I201" s="142"/>
      <c r="J201" s="141"/>
      <c r="K201" s="142"/>
      <c r="L201" s="142"/>
      <c r="M201" s="142"/>
    </row>
    <row r="202" spans="3:13" ht="15.75">
      <c r="C202" s="142"/>
      <c r="D202" s="142"/>
      <c r="E202" s="142"/>
      <c r="F202" s="142"/>
      <c r="G202" s="142"/>
      <c r="H202" s="142"/>
      <c r="I202" s="142"/>
      <c r="J202" s="141"/>
      <c r="K202" s="142"/>
      <c r="L202" s="142"/>
      <c r="M202" s="142"/>
    </row>
    <row r="203" spans="3:13" ht="15.75">
      <c r="C203" s="142"/>
      <c r="D203" s="142"/>
      <c r="E203" s="142"/>
      <c r="F203" s="142"/>
      <c r="G203" s="142"/>
      <c r="H203" s="142"/>
      <c r="I203" s="142"/>
      <c r="J203" s="141"/>
      <c r="K203" s="142"/>
      <c r="L203" s="142"/>
      <c r="M203" s="142"/>
    </row>
    <row r="204" spans="3:13" ht="15.75">
      <c r="C204" s="142"/>
      <c r="D204" s="142"/>
      <c r="E204" s="142"/>
      <c r="F204" s="142"/>
      <c r="G204" s="142"/>
      <c r="H204" s="142"/>
      <c r="I204" s="142"/>
      <c r="J204" s="141"/>
      <c r="K204" s="142"/>
      <c r="L204" s="142"/>
      <c r="M204" s="142"/>
    </row>
    <row r="205" spans="3:13" ht="15.75">
      <c r="C205" s="142"/>
      <c r="D205" s="142"/>
      <c r="E205" s="142"/>
      <c r="F205" s="142"/>
      <c r="G205" s="142"/>
      <c r="H205" s="142"/>
      <c r="I205" s="142"/>
      <c r="J205" s="141"/>
      <c r="K205" s="142"/>
      <c r="L205" s="142"/>
      <c r="M205" s="142"/>
    </row>
    <row r="206" spans="3:13" ht="15.75">
      <c r="C206" s="142"/>
      <c r="D206" s="142"/>
      <c r="E206" s="142"/>
      <c r="F206" s="142"/>
      <c r="G206" s="142"/>
      <c r="H206" s="142"/>
      <c r="I206" s="142"/>
      <c r="J206" s="141"/>
      <c r="K206" s="142"/>
      <c r="L206" s="142"/>
      <c r="M206" s="142"/>
    </row>
    <row r="207" spans="3:13" ht="15.75">
      <c r="C207" s="142"/>
      <c r="D207" s="142"/>
      <c r="E207" s="142"/>
      <c r="F207" s="142"/>
      <c r="G207" s="142"/>
      <c r="H207" s="142"/>
      <c r="I207" s="142"/>
      <c r="J207" s="141"/>
      <c r="K207" s="142"/>
      <c r="L207" s="142"/>
      <c r="M207" s="142"/>
    </row>
    <row r="208" spans="3:13" ht="15.75">
      <c r="C208" s="142"/>
      <c r="D208" s="142"/>
      <c r="E208" s="142"/>
      <c r="F208" s="142"/>
      <c r="G208" s="142"/>
      <c r="H208" s="142"/>
      <c r="I208" s="142"/>
      <c r="J208" s="141"/>
      <c r="K208" s="142"/>
      <c r="L208" s="142"/>
      <c r="M208" s="142"/>
    </row>
    <row r="209" spans="3:13" ht="15.75">
      <c r="C209" s="142"/>
      <c r="D209" s="142"/>
      <c r="E209" s="142"/>
      <c r="F209" s="142"/>
      <c r="G209" s="142"/>
      <c r="H209" s="142"/>
      <c r="I209" s="142"/>
      <c r="J209" s="141"/>
      <c r="K209" s="142"/>
      <c r="L209" s="142"/>
      <c r="M209" s="142"/>
    </row>
    <row r="210" spans="3:13" ht="15.75">
      <c r="C210" s="142"/>
      <c r="D210" s="142"/>
      <c r="E210" s="142"/>
      <c r="F210" s="142"/>
      <c r="G210" s="142"/>
      <c r="H210" s="142"/>
      <c r="I210" s="142"/>
      <c r="J210" s="141"/>
      <c r="K210" s="142"/>
      <c r="L210" s="142"/>
      <c r="M210" s="142"/>
    </row>
    <row r="211" spans="3:13" ht="15.75">
      <c r="C211" s="142"/>
      <c r="D211" s="142"/>
      <c r="E211" s="142"/>
      <c r="F211" s="142"/>
      <c r="G211" s="142"/>
      <c r="H211" s="142"/>
      <c r="I211" s="142"/>
      <c r="J211" s="141"/>
      <c r="K211" s="142"/>
      <c r="L211" s="142"/>
      <c r="M211" s="142"/>
    </row>
    <row r="212" spans="3:13" ht="15.75">
      <c r="C212" s="142"/>
      <c r="D212" s="142"/>
      <c r="E212" s="142"/>
      <c r="F212" s="142"/>
      <c r="G212" s="142"/>
      <c r="H212" s="142"/>
      <c r="I212" s="142"/>
      <c r="J212" s="141"/>
      <c r="K212" s="142"/>
      <c r="L212" s="142"/>
      <c r="M212" s="142"/>
    </row>
    <row r="213" spans="3:13" ht="15.75">
      <c r="C213" s="142"/>
      <c r="D213" s="142"/>
      <c r="E213" s="142"/>
      <c r="F213" s="142"/>
      <c r="G213" s="142"/>
      <c r="H213" s="142"/>
      <c r="I213" s="142"/>
      <c r="J213" s="141"/>
      <c r="K213" s="142"/>
      <c r="L213" s="142"/>
      <c r="M213" s="142"/>
    </row>
    <row r="214" spans="3:13" ht="15.75">
      <c r="C214" s="142"/>
      <c r="D214" s="142"/>
      <c r="E214" s="142"/>
      <c r="F214" s="142"/>
      <c r="G214" s="142"/>
      <c r="H214" s="142"/>
      <c r="I214" s="142"/>
      <c r="J214" s="141"/>
      <c r="K214" s="142"/>
      <c r="L214" s="142"/>
      <c r="M214" s="142"/>
    </row>
    <row r="215" spans="3:13" ht="15.75">
      <c r="C215" s="142"/>
      <c r="D215" s="142"/>
      <c r="E215" s="142"/>
      <c r="F215" s="142"/>
      <c r="G215" s="142"/>
      <c r="H215" s="142"/>
      <c r="I215" s="142"/>
      <c r="J215" s="141"/>
      <c r="K215" s="142"/>
      <c r="L215" s="142"/>
      <c r="M215" s="142"/>
    </row>
    <row r="216" spans="3:13" ht="15.75">
      <c r="C216" s="142"/>
      <c r="D216" s="142"/>
      <c r="E216" s="142"/>
      <c r="F216" s="142"/>
      <c r="G216" s="142"/>
      <c r="H216" s="142"/>
      <c r="I216" s="142"/>
      <c r="J216" s="141"/>
      <c r="K216" s="142"/>
      <c r="L216" s="142"/>
      <c r="M216" s="142"/>
    </row>
    <row r="217" spans="3:13" ht="15.75">
      <c r="C217" s="142"/>
      <c r="D217" s="142"/>
      <c r="E217" s="142"/>
      <c r="F217" s="142"/>
      <c r="G217" s="142"/>
      <c r="H217" s="142"/>
      <c r="I217" s="142"/>
      <c r="J217" s="141"/>
      <c r="K217" s="142"/>
      <c r="L217" s="142"/>
      <c r="M217" s="142"/>
    </row>
    <row r="218" spans="3:13" ht="15.75">
      <c r="C218" s="142"/>
      <c r="D218" s="142"/>
      <c r="E218" s="142"/>
      <c r="F218" s="142"/>
      <c r="G218" s="142"/>
      <c r="H218" s="142"/>
      <c r="I218" s="142"/>
      <c r="J218" s="141"/>
      <c r="K218" s="142"/>
      <c r="L218" s="142"/>
      <c r="M218" s="142"/>
    </row>
    <row r="219" spans="3:13" ht="15.75">
      <c r="C219" s="142"/>
      <c r="D219" s="142"/>
      <c r="E219" s="142"/>
      <c r="F219" s="142"/>
      <c r="G219" s="142"/>
      <c r="H219" s="142"/>
      <c r="I219" s="142"/>
      <c r="J219" s="141"/>
      <c r="K219" s="142"/>
      <c r="L219" s="142"/>
      <c r="M219" s="142"/>
    </row>
    <row r="220" spans="3:13" ht="15.75">
      <c r="C220" s="142"/>
      <c r="D220" s="142"/>
      <c r="E220" s="142"/>
      <c r="F220" s="142"/>
      <c r="G220" s="142"/>
      <c r="H220" s="142"/>
      <c r="I220" s="142"/>
      <c r="J220" s="141"/>
      <c r="K220" s="142"/>
      <c r="L220" s="142"/>
      <c r="M220" s="142"/>
    </row>
    <row r="221" spans="3:13" ht="15.75">
      <c r="C221" s="142"/>
      <c r="D221" s="142"/>
      <c r="E221" s="142"/>
      <c r="F221" s="142"/>
      <c r="G221" s="142"/>
      <c r="H221" s="142"/>
      <c r="I221" s="142"/>
      <c r="J221" s="141"/>
      <c r="K221" s="142"/>
      <c r="L221" s="142"/>
      <c r="M221" s="142"/>
    </row>
    <row r="222" spans="3:13" ht="15.75">
      <c r="C222" s="142"/>
      <c r="D222" s="142"/>
      <c r="E222" s="142"/>
      <c r="F222" s="142"/>
      <c r="G222" s="142"/>
      <c r="H222" s="142"/>
      <c r="I222" s="142"/>
      <c r="J222" s="141"/>
      <c r="K222" s="142"/>
      <c r="L222" s="142"/>
      <c r="M222" s="142"/>
    </row>
    <row r="223" spans="3:13" ht="15.75">
      <c r="C223" s="142"/>
      <c r="D223" s="142"/>
      <c r="E223" s="142"/>
      <c r="F223" s="142"/>
      <c r="G223" s="142"/>
      <c r="H223" s="142"/>
      <c r="I223" s="142"/>
      <c r="J223" s="141"/>
      <c r="K223" s="142"/>
      <c r="L223" s="142"/>
      <c r="M223" s="142"/>
    </row>
    <row r="224" spans="3:13" ht="15.75">
      <c r="C224" s="142"/>
      <c r="D224" s="142"/>
      <c r="E224" s="142"/>
      <c r="F224" s="142"/>
      <c r="G224" s="142"/>
      <c r="H224" s="142"/>
      <c r="I224" s="142"/>
      <c r="J224" s="141"/>
      <c r="K224" s="142"/>
      <c r="L224" s="142"/>
      <c r="M224" s="142"/>
    </row>
    <row r="225" spans="3:13" ht="15.75">
      <c r="C225" s="142"/>
      <c r="D225" s="142"/>
      <c r="E225" s="142"/>
      <c r="F225" s="142"/>
      <c r="G225" s="142"/>
      <c r="H225" s="142"/>
      <c r="I225" s="142"/>
      <c r="J225" s="141"/>
      <c r="K225" s="142"/>
      <c r="L225" s="142"/>
      <c r="M225" s="142"/>
    </row>
    <row r="226" spans="3:13" ht="15.75">
      <c r="C226" s="142"/>
      <c r="D226" s="142"/>
      <c r="E226" s="142"/>
      <c r="F226" s="142"/>
      <c r="G226" s="142"/>
      <c r="H226" s="142"/>
      <c r="I226" s="142"/>
      <c r="J226" s="141"/>
      <c r="K226" s="142"/>
      <c r="L226" s="142"/>
      <c r="M226" s="142"/>
    </row>
    <row r="227" spans="3:13" ht="15.75">
      <c r="C227" s="142"/>
      <c r="D227" s="142"/>
      <c r="E227" s="142"/>
      <c r="F227" s="142"/>
      <c r="G227" s="142"/>
      <c r="H227" s="142"/>
      <c r="I227" s="142"/>
      <c r="J227" s="141"/>
      <c r="K227" s="142"/>
      <c r="L227" s="142"/>
      <c r="M227" s="142"/>
    </row>
    <row r="228" spans="3:13" ht="15.75">
      <c r="C228" s="142"/>
      <c r="D228" s="142"/>
      <c r="E228" s="142"/>
      <c r="F228" s="142"/>
      <c r="G228" s="142"/>
      <c r="H228" s="142"/>
      <c r="I228" s="142"/>
      <c r="J228" s="141"/>
      <c r="K228" s="142"/>
      <c r="L228" s="142"/>
      <c r="M228" s="142"/>
    </row>
    <row r="229" spans="3:13" ht="15.75">
      <c r="C229" s="142"/>
      <c r="D229" s="142"/>
      <c r="E229" s="142"/>
      <c r="F229" s="142"/>
      <c r="G229" s="142"/>
      <c r="H229" s="142"/>
      <c r="I229" s="142"/>
      <c r="J229" s="141"/>
      <c r="K229" s="142"/>
      <c r="L229" s="142"/>
      <c r="M229" s="142"/>
    </row>
    <row r="230" spans="3:13" ht="15.75">
      <c r="C230" s="142"/>
      <c r="D230" s="142"/>
      <c r="E230" s="142"/>
      <c r="F230" s="142"/>
      <c r="G230" s="142"/>
      <c r="H230" s="142"/>
      <c r="I230" s="142"/>
      <c r="J230" s="141"/>
      <c r="K230" s="142"/>
      <c r="L230" s="142"/>
      <c r="M230" s="142"/>
    </row>
    <row r="231" spans="3:13" ht="15.75">
      <c r="C231" s="142"/>
      <c r="D231" s="142"/>
      <c r="E231" s="142"/>
      <c r="F231" s="142"/>
      <c r="G231" s="142"/>
      <c r="H231" s="142"/>
      <c r="I231" s="142"/>
      <c r="J231" s="141"/>
      <c r="K231" s="142"/>
      <c r="L231" s="142"/>
      <c r="M231" s="142"/>
    </row>
    <row r="232" spans="3:13" ht="15.75">
      <c r="C232" s="142"/>
      <c r="D232" s="142"/>
      <c r="E232" s="142"/>
      <c r="F232" s="142"/>
      <c r="G232" s="142"/>
      <c r="H232" s="142"/>
      <c r="I232" s="142"/>
      <c r="J232" s="141"/>
      <c r="K232" s="142"/>
      <c r="L232" s="142"/>
      <c r="M232" s="142"/>
    </row>
    <row r="233" spans="3:13" ht="15.75">
      <c r="C233" s="142"/>
      <c r="D233" s="142"/>
      <c r="E233" s="142"/>
      <c r="F233" s="142"/>
      <c r="G233" s="142"/>
      <c r="H233" s="142"/>
      <c r="I233" s="142"/>
      <c r="J233" s="141"/>
      <c r="K233" s="142"/>
      <c r="L233" s="142"/>
      <c r="M233" s="142"/>
    </row>
    <row r="234" spans="3:13" ht="15.75">
      <c r="C234" s="142"/>
      <c r="D234" s="142"/>
      <c r="E234" s="142"/>
      <c r="F234" s="142"/>
      <c r="G234" s="142"/>
      <c r="H234" s="142"/>
      <c r="I234" s="142"/>
      <c r="J234" s="141"/>
      <c r="K234" s="142"/>
      <c r="L234" s="142"/>
      <c r="M234" s="142"/>
    </row>
    <row r="235" spans="3:13" ht="15.75">
      <c r="C235" s="142"/>
      <c r="D235" s="142"/>
      <c r="E235" s="142"/>
      <c r="F235" s="142"/>
      <c r="G235" s="142"/>
      <c r="H235" s="142"/>
      <c r="I235" s="142"/>
      <c r="J235" s="141"/>
      <c r="K235" s="142"/>
      <c r="L235" s="142"/>
      <c r="M235" s="142"/>
    </row>
    <row r="236" spans="3:13" ht="15.75">
      <c r="C236" s="142"/>
      <c r="D236" s="142"/>
      <c r="E236" s="142"/>
      <c r="F236" s="142"/>
      <c r="G236" s="142"/>
      <c r="H236" s="142"/>
      <c r="I236" s="142"/>
      <c r="J236" s="141"/>
      <c r="K236" s="142"/>
      <c r="L236" s="142"/>
      <c r="M236" s="142"/>
    </row>
    <row r="237" spans="3:13" ht="15.75">
      <c r="C237" s="142"/>
      <c r="D237" s="142"/>
      <c r="E237" s="142"/>
      <c r="F237" s="142"/>
      <c r="G237" s="142"/>
      <c r="H237" s="142"/>
      <c r="I237" s="142"/>
      <c r="J237" s="141"/>
      <c r="K237" s="142"/>
      <c r="L237" s="142"/>
      <c r="M237" s="142"/>
    </row>
    <row r="238" spans="3:13" ht="15.75">
      <c r="C238" s="142"/>
      <c r="D238" s="142"/>
      <c r="E238" s="142"/>
      <c r="F238" s="142"/>
      <c r="G238" s="142"/>
      <c r="H238" s="142"/>
      <c r="I238" s="142"/>
      <c r="J238" s="141"/>
      <c r="K238" s="142"/>
      <c r="L238" s="142"/>
      <c r="M238" s="142"/>
    </row>
    <row r="239" spans="3:13" ht="15.75">
      <c r="C239" s="142"/>
      <c r="D239" s="142"/>
      <c r="E239" s="142"/>
      <c r="F239" s="142"/>
      <c r="G239" s="142"/>
      <c r="H239" s="142"/>
      <c r="I239" s="142"/>
      <c r="J239" s="141"/>
      <c r="K239" s="142"/>
      <c r="L239" s="142"/>
      <c r="M239" s="142"/>
    </row>
    <row r="240" spans="3:13" ht="15.75">
      <c r="C240" s="142"/>
      <c r="D240" s="142"/>
      <c r="E240" s="142"/>
      <c r="F240" s="142"/>
      <c r="G240" s="142"/>
      <c r="H240" s="142"/>
      <c r="I240" s="142"/>
      <c r="J240" s="141"/>
      <c r="K240" s="142"/>
      <c r="L240" s="142"/>
      <c r="M240" s="142"/>
    </row>
    <row r="241" spans="3:13" ht="15.75">
      <c r="C241" s="142"/>
      <c r="D241" s="142"/>
      <c r="E241" s="142"/>
      <c r="F241" s="142"/>
      <c r="G241" s="142"/>
      <c r="H241" s="142"/>
      <c r="I241" s="142"/>
      <c r="J241" s="141"/>
      <c r="K241" s="142"/>
      <c r="L241" s="142"/>
      <c r="M241" s="142"/>
    </row>
    <row r="242" spans="3:13" ht="15.75">
      <c r="C242" s="142"/>
      <c r="D242" s="142"/>
      <c r="E242" s="142"/>
      <c r="F242" s="142"/>
      <c r="G242" s="142"/>
      <c r="H242" s="142"/>
      <c r="I242" s="142"/>
      <c r="J242" s="141"/>
      <c r="K242" s="142"/>
      <c r="L242" s="142"/>
      <c r="M242" s="142"/>
    </row>
    <row r="243" spans="3:13" ht="15.75">
      <c r="C243" s="142"/>
      <c r="D243" s="142"/>
      <c r="E243" s="142"/>
      <c r="F243" s="142"/>
      <c r="G243" s="142"/>
      <c r="H243" s="142"/>
      <c r="I243" s="142"/>
      <c r="J243" s="141"/>
      <c r="K243" s="142"/>
      <c r="L243" s="142"/>
      <c r="M243" s="142"/>
    </row>
    <row r="244" spans="3:13" ht="15.75">
      <c r="C244" s="142"/>
      <c r="D244" s="142"/>
      <c r="E244" s="142"/>
      <c r="F244" s="142"/>
      <c r="G244" s="142"/>
      <c r="H244" s="142"/>
      <c r="I244" s="142"/>
      <c r="J244" s="141"/>
      <c r="K244" s="142"/>
      <c r="L244" s="142"/>
      <c r="M244" s="142"/>
    </row>
    <row r="245" spans="3:13" ht="15.75">
      <c r="C245" s="142"/>
      <c r="D245" s="142"/>
      <c r="E245" s="142"/>
      <c r="F245" s="142"/>
      <c r="G245" s="142"/>
      <c r="H245" s="142"/>
      <c r="I245" s="142"/>
      <c r="J245" s="141"/>
      <c r="K245" s="142"/>
      <c r="L245" s="142"/>
      <c r="M245" s="142"/>
    </row>
    <row r="246" spans="3:13" ht="15.75">
      <c r="C246" s="142"/>
      <c r="D246" s="142"/>
      <c r="E246" s="142"/>
      <c r="F246" s="142"/>
      <c r="G246" s="142"/>
      <c r="H246" s="142"/>
      <c r="I246" s="142"/>
      <c r="J246" s="141"/>
      <c r="K246" s="142"/>
      <c r="L246" s="142"/>
      <c r="M246" s="142"/>
    </row>
    <row r="247" spans="3:13" ht="15.75">
      <c r="C247" s="142"/>
      <c r="D247" s="142"/>
      <c r="E247" s="142"/>
      <c r="F247" s="142"/>
      <c r="G247" s="142"/>
      <c r="H247" s="142"/>
      <c r="I247" s="142"/>
      <c r="J247" s="141"/>
      <c r="K247" s="142"/>
      <c r="L247" s="142"/>
      <c r="M247" s="142"/>
    </row>
    <row r="248" spans="3:13" ht="15.75">
      <c r="C248" s="142"/>
      <c r="D248" s="142"/>
      <c r="E248" s="142"/>
      <c r="F248" s="142"/>
      <c r="G248" s="142"/>
      <c r="H248" s="142"/>
      <c r="I248" s="142"/>
      <c r="J248" s="141"/>
      <c r="K248" s="142"/>
      <c r="L248" s="142"/>
      <c r="M248" s="142"/>
    </row>
    <row r="249" spans="3:13" ht="15.75">
      <c r="C249" s="142"/>
      <c r="D249" s="142"/>
      <c r="E249" s="142"/>
      <c r="F249" s="142"/>
      <c r="G249" s="142"/>
      <c r="H249" s="142"/>
      <c r="I249" s="142"/>
      <c r="J249" s="141"/>
      <c r="K249" s="142"/>
      <c r="L249" s="142"/>
      <c r="M249" s="142"/>
    </row>
    <row r="250" spans="3:13" ht="15.75">
      <c r="C250" s="142"/>
      <c r="D250" s="142"/>
      <c r="E250" s="142"/>
      <c r="F250" s="142"/>
      <c r="G250" s="142"/>
      <c r="H250" s="142"/>
      <c r="I250" s="142"/>
      <c r="J250" s="141"/>
      <c r="K250" s="142"/>
      <c r="L250" s="142"/>
      <c r="M250" s="142"/>
    </row>
    <row r="251" spans="3:13" ht="15.75">
      <c r="C251" s="142"/>
      <c r="D251" s="142"/>
      <c r="E251" s="142"/>
      <c r="F251" s="142"/>
      <c r="G251" s="142"/>
      <c r="H251" s="142"/>
      <c r="I251" s="142"/>
      <c r="J251" s="141"/>
      <c r="K251" s="142"/>
      <c r="L251" s="142"/>
      <c r="M251" s="142"/>
    </row>
    <row r="252" spans="3:13" ht="15.75">
      <c r="C252" s="142"/>
      <c r="D252" s="142"/>
      <c r="E252" s="142"/>
      <c r="F252" s="142"/>
      <c r="G252" s="142"/>
      <c r="H252" s="142"/>
      <c r="I252" s="142"/>
      <c r="J252" s="141"/>
      <c r="K252" s="142"/>
      <c r="L252" s="142"/>
      <c r="M252" s="142"/>
    </row>
    <row r="253" spans="3:13" ht="15.75">
      <c r="C253" s="142"/>
      <c r="D253" s="142"/>
      <c r="E253" s="142"/>
      <c r="F253" s="142"/>
      <c r="G253" s="142"/>
      <c r="H253" s="142"/>
      <c r="I253" s="142"/>
      <c r="J253" s="141"/>
      <c r="K253" s="142"/>
      <c r="L253" s="142"/>
      <c r="M253" s="142"/>
    </row>
    <row r="254" spans="3:13" ht="15.75">
      <c r="C254" s="142"/>
      <c r="D254" s="142"/>
      <c r="E254" s="142"/>
      <c r="F254" s="142"/>
      <c r="G254" s="142"/>
      <c r="H254" s="142"/>
      <c r="I254" s="142"/>
      <c r="J254" s="141"/>
      <c r="K254" s="142"/>
      <c r="L254" s="142"/>
      <c r="M254" s="142"/>
    </row>
    <row r="255" spans="3:13" ht="15.75">
      <c r="C255" s="142"/>
      <c r="D255" s="142"/>
      <c r="E255" s="142"/>
      <c r="F255" s="142"/>
      <c r="G255" s="142"/>
      <c r="H255" s="142"/>
      <c r="I255" s="142"/>
      <c r="J255" s="141"/>
      <c r="K255" s="142"/>
      <c r="L255" s="142"/>
      <c r="M255" s="142"/>
    </row>
    <row r="256" spans="3:13" ht="15.75">
      <c r="C256" s="142"/>
      <c r="D256" s="142"/>
      <c r="E256" s="142"/>
      <c r="F256" s="142"/>
      <c r="G256" s="142"/>
      <c r="H256" s="142"/>
      <c r="I256" s="142"/>
      <c r="J256" s="141"/>
      <c r="K256" s="142"/>
      <c r="L256" s="142"/>
      <c r="M256" s="142"/>
    </row>
    <row r="257" spans="3:13" ht="15.75">
      <c r="C257" s="142"/>
      <c r="D257" s="142"/>
      <c r="E257" s="142"/>
      <c r="F257" s="142"/>
      <c r="G257" s="142"/>
      <c r="H257" s="142"/>
      <c r="I257" s="142"/>
      <c r="J257" s="141"/>
      <c r="K257" s="142"/>
      <c r="L257" s="142"/>
      <c r="M257" s="142"/>
    </row>
    <row r="258" spans="3:13" ht="15.75">
      <c r="C258" s="142"/>
      <c r="D258" s="142"/>
      <c r="E258" s="142"/>
      <c r="F258" s="142"/>
      <c r="G258" s="142"/>
      <c r="H258" s="142"/>
      <c r="I258" s="142"/>
      <c r="J258" s="141"/>
      <c r="K258" s="142"/>
      <c r="L258" s="142"/>
      <c r="M258" s="142"/>
    </row>
    <row r="259" spans="3:13" ht="15.75">
      <c r="C259" s="142"/>
      <c r="D259" s="142"/>
      <c r="E259" s="142"/>
      <c r="F259" s="142"/>
      <c r="G259" s="142"/>
      <c r="H259" s="142"/>
      <c r="I259" s="142"/>
      <c r="J259" s="141"/>
      <c r="K259" s="142"/>
      <c r="L259" s="142"/>
      <c r="M259" s="142"/>
    </row>
    <row r="260" spans="3:13" ht="15.75">
      <c r="C260" s="142"/>
      <c r="D260" s="142"/>
      <c r="E260" s="142"/>
      <c r="F260" s="142"/>
      <c r="G260" s="142"/>
      <c r="H260" s="142"/>
      <c r="I260" s="142"/>
      <c r="J260" s="141"/>
      <c r="K260" s="142"/>
      <c r="L260" s="142"/>
      <c r="M260" s="142"/>
    </row>
    <row r="261" spans="3:13" ht="15.75">
      <c r="C261" s="142"/>
      <c r="D261" s="142"/>
      <c r="E261" s="142"/>
      <c r="F261" s="142"/>
      <c r="G261" s="142"/>
      <c r="H261" s="142"/>
      <c r="I261" s="142"/>
      <c r="J261" s="141"/>
      <c r="K261" s="142"/>
      <c r="L261" s="142"/>
      <c r="M261" s="142"/>
    </row>
    <row r="262" spans="3:13" ht="15.75">
      <c r="C262" s="142"/>
      <c r="D262" s="142"/>
      <c r="E262" s="142"/>
      <c r="F262" s="142"/>
      <c r="G262" s="142"/>
      <c r="H262" s="142"/>
      <c r="I262" s="142"/>
      <c r="J262" s="141"/>
      <c r="K262" s="142"/>
      <c r="L262" s="142"/>
      <c r="M262" s="142"/>
    </row>
    <row r="263" spans="3:13" ht="15.75">
      <c r="C263" s="142"/>
      <c r="D263" s="142"/>
      <c r="E263" s="142"/>
      <c r="F263" s="142"/>
      <c r="G263" s="142"/>
      <c r="H263" s="142"/>
      <c r="I263" s="142"/>
      <c r="J263" s="141"/>
      <c r="K263" s="142"/>
      <c r="L263" s="142"/>
      <c r="M263" s="142"/>
    </row>
    <row r="264" spans="3:13" ht="15.75">
      <c r="C264" s="142"/>
      <c r="D264" s="142"/>
      <c r="E264" s="142"/>
      <c r="F264" s="142"/>
      <c r="G264" s="142"/>
      <c r="H264" s="142"/>
      <c r="I264" s="142"/>
      <c r="J264" s="141"/>
      <c r="K264" s="142"/>
      <c r="L264" s="142"/>
      <c r="M264" s="142"/>
    </row>
    <row r="265" spans="3:13" ht="15.75">
      <c r="C265" s="142"/>
      <c r="D265" s="142"/>
      <c r="E265" s="142"/>
      <c r="F265" s="142"/>
      <c r="G265" s="142"/>
      <c r="H265" s="142"/>
      <c r="I265" s="142"/>
      <c r="J265" s="141"/>
      <c r="K265" s="142"/>
      <c r="L265" s="142"/>
      <c r="M265" s="142"/>
    </row>
    <row r="266" spans="3:13" ht="15.75">
      <c r="C266" s="142"/>
      <c r="D266" s="142"/>
      <c r="E266" s="142"/>
      <c r="F266" s="142"/>
      <c r="G266" s="142"/>
      <c r="H266" s="142"/>
      <c r="I266" s="142"/>
      <c r="J266" s="141"/>
      <c r="K266" s="142"/>
      <c r="L266" s="142"/>
      <c r="M266" s="142"/>
    </row>
    <row r="267" spans="3:13" ht="15.75">
      <c r="C267" s="142"/>
      <c r="D267" s="142"/>
      <c r="E267" s="142"/>
      <c r="F267" s="142"/>
      <c r="G267" s="142"/>
      <c r="H267" s="142"/>
      <c r="I267" s="142"/>
      <c r="J267" s="141"/>
      <c r="K267" s="142"/>
      <c r="L267" s="142"/>
      <c r="M267" s="142"/>
    </row>
    <row r="268" spans="3:13" ht="15.75">
      <c r="C268" s="142"/>
      <c r="D268" s="142"/>
      <c r="E268" s="142"/>
      <c r="F268" s="142"/>
      <c r="G268" s="142"/>
      <c r="H268" s="142"/>
      <c r="I268" s="142"/>
      <c r="J268" s="141"/>
      <c r="K268" s="142"/>
      <c r="L268" s="142"/>
      <c r="M268" s="142"/>
    </row>
    <row r="269" spans="3:13" ht="15.75">
      <c r="C269" s="142"/>
      <c r="D269" s="142"/>
      <c r="E269" s="142"/>
      <c r="F269" s="142"/>
      <c r="G269" s="142"/>
      <c r="H269" s="142"/>
      <c r="I269" s="142"/>
      <c r="J269" s="141"/>
      <c r="K269" s="142"/>
      <c r="L269" s="142"/>
      <c r="M269" s="142"/>
    </row>
    <row r="270" spans="3:13" ht="15.75">
      <c r="C270" s="142"/>
      <c r="D270" s="142"/>
      <c r="E270" s="142"/>
      <c r="F270" s="142"/>
      <c r="G270" s="142"/>
      <c r="H270" s="142"/>
      <c r="I270" s="142"/>
      <c r="J270" s="141"/>
      <c r="K270" s="142"/>
      <c r="L270" s="142"/>
      <c r="M270" s="142"/>
    </row>
    <row r="271" spans="3:13" ht="15.75">
      <c r="C271" s="142"/>
      <c r="D271" s="142"/>
      <c r="E271" s="142"/>
      <c r="F271" s="142"/>
      <c r="G271" s="142"/>
      <c r="H271" s="142"/>
      <c r="I271" s="142"/>
      <c r="J271" s="141"/>
      <c r="K271" s="142"/>
      <c r="L271" s="142"/>
      <c r="M271" s="142"/>
    </row>
    <row r="272" spans="3:13" ht="15.75">
      <c r="C272" s="142"/>
      <c r="D272" s="142"/>
      <c r="E272" s="142"/>
      <c r="F272" s="142"/>
      <c r="G272" s="142"/>
      <c r="H272" s="142"/>
      <c r="I272" s="142"/>
      <c r="J272" s="141"/>
      <c r="K272" s="142"/>
      <c r="L272" s="142"/>
      <c r="M272" s="142"/>
    </row>
    <row r="273" spans="3:13" ht="15.75">
      <c r="C273" s="142"/>
      <c r="D273" s="142"/>
      <c r="E273" s="142"/>
      <c r="F273" s="142"/>
      <c r="G273" s="142"/>
      <c r="H273" s="142"/>
      <c r="I273" s="142"/>
      <c r="J273" s="141"/>
      <c r="K273" s="142"/>
      <c r="L273" s="142"/>
      <c r="M273" s="142"/>
    </row>
    <row r="274" spans="3:13" ht="15.75">
      <c r="C274" s="142"/>
      <c r="D274" s="142"/>
      <c r="E274" s="142"/>
      <c r="F274" s="142"/>
      <c r="G274" s="142"/>
      <c r="H274" s="142"/>
      <c r="I274" s="142"/>
      <c r="J274" s="141"/>
      <c r="K274" s="142"/>
      <c r="L274" s="142"/>
      <c r="M274" s="142"/>
    </row>
    <row r="275" spans="3:13" ht="15.75">
      <c r="C275" s="142"/>
      <c r="D275" s="142"/>
      <c r="E275" s="142"/>
      <c r="F275" s="142"/>
      <c r="G275" s="142"/>
      <c r="H275" s="142"/>
      <c r="I275" s="142"/>
      <c r="J275" s="141"/>
      <c r="K275" s="142"/>
      <c r="L275" s="142"/>
      <c r="M275" s="142"/>
    </row>
    <row r="276" spans="3:13" ht="15.75">
      <c r="C276" s="142"/>
      <c r="D276" s="142"/>
      <c r="E276" s="142"/>
      <c r="F276" s="142"/>
      <c r="G276" s="142"/>
      <c r="H276" s="142"/>
      <c r="I276" s="142"/>
      <c r="J276" s="141"/>
      <c r="K276" s="142"/>
      <c r="L276" s="142"/>
      <c r="M276" s="142"/>
    </row>
    <row r="277" spans="3:13" ht="15.75">
      <c r="C277" s="142"/>
      <c r="D277" s="142"/>
      <c r="E277" s="142"/>
      <c r="F277" s="142"/>
      <c r="G277" s="142"/>
      <c r="H277" s="142"/>
      <c r="I277" s="142"/>
      <c r="J277" s="141"/>
      <c r="K277" s="142"/>
      <c r="L277" s="142"/>
      <c r="M277" s="142"/>
    </row>
    <row r="278" spans="3:13" ht="15.75">
      <c r="C278" s="142"/>
      <c r="D278" s="142"/>
      <c r="E278" s="142"/>
      <c r="F278" s="142"/>
      <c r="G278" s="142"/>
      <c r="H278" s="142"/>
      <c r="I278" s="142"/>
      <c r="J278" s="141"/>
      <c r="K278" s="142"/>
      <c r="L278" s="142"/>
      <c r="M278" s="142"/>
    </row>
    <row r="279" spans="3:13" ht="15.75">
      <c r="C279" s="142"/>
      <c r="D279" s="142"/>
      <c r="E279" s="142"/>
      <c r="F279" s="142"/>
      <c r="G279" s="142"/>
      <c r="H279" s="142"/>
      <c r="I279" s="142"/>
      <c r="J279" s="141"/>
      <c r="K279" s="142"/>
      <c r="L279" s="142"/>
      <c r="M279" s="142"/>
    </row>
    <row r="280" spans="3:13" ht="15.75">
      <c r="C280" s="142"/>
      <c r="D280" s="142"/>
      <c r="E280" s="142"/>
      <c r="F280" s="142"/>
      <c r="G280" s="142"/>
      <c r="H280" s="142"/>
      <c r="I280" s="142"/>
      <c r="J280" s="141"/>
      <c r="K280" s="142"/>
      <c r="L280" s="142"/>
      <c r="M280" s="142"/>
    </row>
    <row r="281" spans="3:13" ht="15.75">
      <c r="C281" s="142"/>
      <c r="D281" s="142"/>
      <c r="E281" s="142"/>
      <c r="F281" s="142"/>
      <c r="G281" s="142"/>
      <c r="H281" s="142"/>
      <c r="I281" s="142"/>
      <c r="J281" s="141"/>
      <c r="K281" s="142"/>
      <c r="L281" s="142"/>
      <c r="M281" s="142"/>
    </row>
    <row r="282" spans="3:13" ht="15.75">
      <c r="C282" s="142"/>
      <c r="D282" s="142"/>
      <c r="E282" s="142"/>
      <c r="F282" s="142"/>
      <c r="G282" s="142"/>
      <c r="H282" s="142"/>
      <c r="I282" s="142"/>
      <c r="J282" s="141"/>
      <c r="K282" s="142"/>
      <c r="L282" s="142"/>
      <c r="M282" s="142"/>
    </row>
    <row r="283" spans="3:13" ht="15.75">
      <c r="C283" s="142"/>
      <c r="D283" s="142"/>
      <c r="E283" s="142"/>
      <c r="F283" s="142"/>
      <c r="G283" s="142"/>
      <c r="H283" s="142"/>
      <c r="I283" s="142"/>
      <c r="J283" s="141"/>
      <c r="K283" s="142"/>
      <c r="L283" s="142"/>
      <c r="M283" s="142"/>
    </row>
    <row r="284" spans="3:13" ht="15.75">
      <c r="C284" s="142"/>
      <c r="D284" s="142"/>
      <c r="E284" s="142"/>
      <c r="F284" s="142"/>
      <c r="G284" s="142"/>
      <c r="H284" s="142"/>
      <c r="I284" s="142"/>
      <c r="J284" s="141"/>
      <c r="K284" s="142"/>
      <c r="L284" s="142"/>
      <c r="M284" s="142"/>
    </row>
    <row r="285" spans="3:13" ht="15.75">
      <c r="C285" s="142"/>
      <c r="D285" s="142"/>
      <c r="E285" s="142"/>
      <c r="F285" s="142"/>
      <c r="G285" s="142"/>
      <c r="H285" s="142"/>
      <c r="I285" s="142"/>
      <c r="J285" s="141"/>
      <c r="K285" s="142"/>
      <c r="L285" s="142"/>
      <c r="M285" s="142"/>
    </row>
    <row r="286" spans="3:13" ht="15.75">
      <c r="C286" s="142"/>
      <c r="D286" s="142"/>
      <c r="E286" s="142"/>
      <c r="F286" s="142"/>
      <c r="G286" s="142"/>
      <c r="H286" s="142"/>
      <c r="I286" s="142"/>
      <c r="J286" s="141"/>
      <c r="K286" s="142"/>
      <c r="L286" s="142"/>
      <c r="M286" s="142"/>
    </row>
    <row r="287" spans="3:13" ht="15.75">
      <c r="C287" s="142"/>
      <c r="D287" s="142"/>
      <c r="E287" s="142"/>
      <c r="F287" s="142"/>
      <c r="G287" s="142"/>
      <c r="H287" s="142"/>
      <c r="I287" s="142"/>
      <c r="J287" s="141"/>
      <c r="K287" s="142"/>
      <c r="L287" s="142"/>
      <c r="M287" s="142"/>
    </row>
    <row r="288" spans="3:13" ht="15.75">
      <c r="C288" s="142"/>
      <c r="D288" s="142"/>
      <c r="E288" s="142"/>
      <c r="F288" s="142"/>
      <c r="G288" s="142"/>
      <c r="H288" s="142"/>
      <c r="I288" s="142"/>
      <c r="J288" s="141"/>
      <c r="K288" s="142"/>
      <c r="L288" s="142"/>
      <c r="M288" s="142"/>
    </row>
    <row r="289" spans="3:13" ht="15.75">
      <c r="C289" s="142"/>
      <c r="D289" s="142"/>
      <c r="E289" s="142"/>
      <c r="F289" s="142"/>
      <c r="G289" s="142"/>
      <c r="H289" s="142"/>
      <c r="I289" s="142"/>
      <c r="J289" s="141"/>
      <c r="K289" s="142"/>
      <c r="L289" s="142"/>
      <c r="M289" s="142"/>
    </row>
    <row r="290" spans="3:13" ht="15.75">
      <c r="C290" s="142"/>
      <c r="D290" s="142"/>
      <c r="E290" s="142"/>
      <c r="F290" s="142"/>
      <c r="G290" s="142"/>
      <c r="H290" s="142"/>
      <c r="I290" s="142"/>
      <c r="J290" s="141"/>
      <c r="K290" s="142"/>
      <c r="L290" s="142"/>
      <c r="M290" s="142"/>
    </row>
    <row r="291" spans="3:13" ht="15.75">
      <c r="C291" s="142"/>
      <c r="D291" s="142"/>
      <c r="E291" s="142"/>
      <c r="F291" s="142"/>
      <c r="G291" s="142"/>
      <c r="H291" s="142"/>
      <c r="I291" s="142"/>
      <c r="J291" s="141"/>
      <c r="K291" s="142"/>
      <c r="L291" s="142"/>
      <c r="M291" s="142"/>
    </row>
    <row r="292" spans="3:13" ht="15.75">
      <c r="C292" s="142"/>
      <c r="D292" s="142"/>
      <c r="E292" s="142"/>
      <c r="F292" s="142"/>
      <c r="G292" s="142"/>
      <c r="H292" s="142"/>
      <c r="I292" s="142"/>
      <c r="J292" s="141"/>
      <c r="K292" s="142"/>
      <c r="L292" s="142"/>
      <c r="M292" s="142"/>
    </row>
    <row r="293" spans="3:13" ht="15.75">
      <c r="C293" s="142"/>
      <c r="D293" s="142"/>
      <c r="E293" s="142"/>
      <c r="F293" s="142"/>
      <c r="G293" s="142"/>
      <c r="H293" s="142"/>
      <c r="I293" s="142"/>
      <c r="J293" s="141"/>
      <c r="K293" s="142"/>
      <c r="L293" s="142"/>
      <c r="M293" s="142"/>
    </row>
    <row r="294" spans="3:13" ht="15.75">
      <c r="C294" s="142"/>
      <c r="D294" s="142"/>
      <c r="E294" s="142"/>
      <c r="F294" s="142"/>
      <c r="G294" s="142"/>
      <c r="H294" s="142"/>
      <c r="I294" s="142"/>
      <c r="J294" s="141"/>
      <c r="K294" s="142"/>
      <c r="L294" s="142"/>
      <c r="M294" s="142"/>
    </row>
    <row r="295" spans="3:13" ht="15.75">
      <c r="C295" s="142"/>
      <c r="D295" s="142"/>
      <c r="E295" s="142"/>
      <c r="F295" s="142"/>
      <c r="G295" s="142"/>
      <c r="H295" s="142"/>
      <c r="I295" s="142"/>
      <c r="J295" s="141"/>
      <c r="K295" s="142"/>
      <c r="L295" s="142"/>
      <c r="M295" s="142"/>
    </row>
    <row r="296" spans="3:13" ht="15.75">
      <c r="C296" s="142"/>
      <c r="D296" s="142"/>
      <c r="E296" s="142"/>
      <c r="F296" s="142"/>
      <c r="G296" s="142"/>
      <c r="H296" s="142"/>
      <c r="I296" s="142"/>
      <c r="J296" s="141"/>
      <c r="K296" s="142"/>
      <c r="L296" s="142"/>
      <c r="M296" s="142"/>
    </row>
    <row r="297" spans="3:13" ht="15.75">
      <c r="C297" s="142"/>
      <c r="D297" s="142"/>
      <c r="E297" s="142"/>
      <c r="F297" s="142"/>
      <c r="G297" s="142"/>
      <c r="H297" s="142"/>
      <c r="I297" s="142"/>
      <c r="J297" s="141"/>
      <c r="K297" s="142"/>
      <c r="L297" s="142"/>
      <c r="M297" s="142"/>
    </row>
    <row r="298" spans="3:13" ht="15.75">
      <c r="C298" s="142"/>
      <c r="D298" s="142"/>
      <c r="E298" s="142"/>
      <c r="F298" s="142"/>
      <c r="G298" s="142"/>
      <c r="H298" s="142"/>
      <c r="I298" s="142"/>
      <c r="J298" s="141"/>
      <c r="K298" s="142"/>
      <c r="L298" s="142"/>
      <c r="M298" s="142"/>
    </row>
    <row r="299" spans="3:13" ht="15.75">
      <c r="C299" s="142"/>
      <c r="D299" s="142"/>
      <c r="E299" s="142"/>
      <c r="F299" s="142"/>
      <c r="G299" s="142"/>
      <c r="H299" s="142"/>
      <c r="I299" s="142"/>
      <c r="J299" s="141"/>
      <c r="K299" s="142"/>
      <c r="L299" s="142"/>
      <c r="M299" s="142"/>
    </row>
    <row r="300" spans="3:13" ht="15.75">
      <c r="C300" s="142"/>
      <c r="D300" s="142"/>
      <c r="E300" s="142"/>
      <c r="F300" s="142"/>
      <c r="G300" s="142"/>
      <c r="H300" s="142"/>
      <c r="I300" s="142"/>
      <c r="J300" s="141"/>
      <c r="K300" s="142"/>
      <c r="L300" s="142"/>
      <c r="M300" s="142"/>
    </row>
    <row r="301" spans="3:13" ht="15.75">
      <c r="C301" s="142"/>
      <c r="D301" s="142"/>
      <c r="E301" s="142"/>
      <c r="F301" s="142"/>
      <c r="G301" s="142"/>
      <c r="H301" s="142"/>
      <c r="I301" s="142"/>
      <c r="J301" s="141"/>
      <c r="K301" s="142"/>
      <c r="L301" s="142"/>
      <c r="M301" s="142"/>
    </row>
    <row r="302" ht="15.75">
      <c r="J302" s="141"/>
    </row>
    <row r="303" ht="15.75">
      <c r="J303" s="141"/>
    </row>
    <row r="304" ht="15.75">
      <c r="J304" s="141"/>
    </row>
    <row r="305" ht="15.75">
      <c r="J305" s="141"/>
    </row>
    <row r="306" ht="15.75">
      <c r="J306" s="141"/>
    </row>
    <row r="307" ht="15.75">
      <c r="J307" s="141"/>
    </row>
    <row r="308" ht="15.75">
      <c r="J308" s="141"/>
    </row>
    <row r="309" ht="15.75">
      <c r="J309" s="141"/>
    </row>
    <row r="310" ht="15.75">
      <c r="J310" s="141"/>
    </row>
    <row r="311" ht="15.75">
      <c r="J311" s="141"/>
    </row>
    <row r="312" ht="15.75">
      <c r="J312" s="141"/>
    </row>
    <row r="313" ht="15.75">
      <c r="J313" s="141"/>
    </row>
    <row r="314" ht="15.75">
      <c r="J314" s="141"/>
    </row>
    <row r="315" ht="15.75">
      <c r="J315" s="141"/>
    </row>
    <row r="316" ht="15.75">
      <c r="J316" s="141"/>
    </row>
    <row r="317" ht="15.75">
      <c r="J317" s="141"/>
    </row>
    <row r="318" ht="15.75">
      <c r="J318" s="141"/>
    </row>
    <row r="319" ht="15.75">
      <c r="J319" s="141"/>
    </row>
    <row r="320" ht="15.75">
      <c r="J320" s="141"/>
    </row>
    <row r="321" ht="15.75">
      <c r="J321" s="141"/>
    </row>
    <row r="322" ht="15.75">
      <c r="J322" s="141"/>
    </row>
    <row r="323" ht="15.75">
      <c r="J323" s="141"/>
    </row>
    <row r="324" ht="15.75">
      <c r="J324" s="141"/>
    </row>
    <row r="325" ht="15.75">
      <c r="J325" s="141"/>
    </row>
    <row r="326" ht="15.75">
      <c r="J326" s="141"/>
    </row>
    <row r="327" ht="15.75">
      <c r="J327" s="141"/>
    </row>
    <row r="328" ht="15.75">
      <c r="J328" s="141"/>
    </row>
    <row r="329" ht="15.75">
      <c r="J329" s="141"/>
    </row>
    <row r="330" ht="15.75">
      <c r="J330" s="141"/>
    </row>
    <row r="331" ht="15.75">
      <c r="J331" s="141"/>
    </row>
    <row r="332" ht="15.75">
      <c r="J332" s="141"/>
    </row>
    <row r="333" ht="15.75">
      <c r="J333" s="141"/>
    </row>
    <row r="334" ht="15.75">
      <c r="J334" s="141"/>
    </row>
    <row r="335" ht="15.75">
      <c r="J335" s="141"/>
    </row>
    <row r="336" ht="15.75">
      <c r="J336" s="141"/>
    </row>
    <row r="337" ht="15.75">
      <c r="J337" s="141"/>
    </row>
    <row r="338" ht="15.75">
      <c r="J338" s="141"/>
    </row>
    <row r="339" ht="15.75">
      <c r="J339" s="141"/>
    </row>
    <row r="340" ht="15.75">
      <c r="J340" s="141"/>
    </row>
    <row r="341" ht="15.75">
      <c r="J341" s="141"/>
    </row>
    <row r="342" ht="15.75">
      <c r="J342" s="141"/>
    </row>
    <row r="343" ht="15.75">
      <c r="J343" s="141"/>
    </row>
    <row r="344" ht="15.75">
      <c r="J344" s="141"/>
    </row>
    <row r="345" ht="15.75">
      <c r="J345" s="141"/>
    </row>
    <row r="346" ht="15.75">
      <c r="J346" s="141"/>
    </row>
    <row r="347" ht="15.75">
      <c r="J347" s="141"/>
    </row>
    <row r="348" ht="15.75">
      <c r="J348" s="141"/>
    </row>
    <row r="349" ht="15.75">
      <c r="J349" s="141"/>
    </row>
    <row r="350" ht="15.75">
      <c r="J350" s="141"/>
    </row>
    <row r="351" ht="15.75">
      <c r="J351" s="141"/>
    </row>
    <row r="352" ht="15.75">
      <c r="J352" s="141"/>
    </row>
    <row r="353" ht="15.75">
      <c r="J353" s="141"/>
    </row>
    <row r="354" ht="15.75">
      <c r="J354" s="141"/>
    </row>
    <row r="355" ht="15.75">
      <c r="J355" s="141"/>
    </row>
    <row r="356" ht="15.75">
      <c r="J356" s="141"/>
    </row>
    <row r="357" ht="15.75">
      <c r="J357" s="141"/>
    </row>
    <row r="358" ht="15.75">
      <c r="J358" s="141"/>
    </row>
    <row r="359" ht="15.75">
      <c r="J359" s="141"/>
    </row>
    <row r="360" ht="15.75">
      <c r="J360" s="141"/>
    </row>
    <row r="361" ht="15.75">
      <c r="J361" s="141"/>
    </row>
    <row r="362" ht="15.75">
      <c r="J362" s="141"/>
    </row>
    <row r="363" ht="15.75">
      <c r="J363" s="141"/>
    </row>
    <row r="364" ht="15.75">
      <c r="J364" s="141"/>
    </row>
    <row r="365" ht="15.75">
      <c r="J365" s="141"/>
    </row>
    <row r="366" ht="15.75">
      <c r="J366" s="141"/>
    </row>
    <row r="367" ht="15.75">
      <c r="J367" s="141"/>
    </row>
    <row r="368" ht="15.75">
      <c r="J368" s="141"/>
    </row>
    <row r="369" ht="15.75">
      <c r="J369" s="141"/>
    </row>
    <row r="370" ht="15.75">
      <c r="J370" s="141"/>
    </row>
    <row r="371" ht="15.75">
      <c r="J371" s="141"/>
    </row>
    <row r="372" ht="15.75">
      <c r="J372" s="141"/>
    </row>
    <row r="373" ht="15.75">
      <c r="J373" s="141"/>
    </row>
    <row r="374" ht="15.75">
      <c r="J374" s="141"/>
    </row>
    <row r="375" ht="15.75">
      <c r="J375" s="141"/>
    </row>
    <row r="376" ht="15.75">
      <c r="J376" s="141"/>
    </row>
    <row r="377" ht="15.75">
      <c r="J377" s="141"/>
    </row>
    <row r="378" ht="15.75">
      <c r="J378" s="141"/>
    </row>
    <row r="379" ht="15.75">
      <c r="J379" s="141"/>
    </row>
    <row r="380" ht="15.75">
      <c r="J380" s="141"/>
    </row>
    <row r="381" ht="15.75">
      <c r="J381" s="141"/>
    </row>
    <row r="382" ht="15.75">
      <c r="J382" s="141"/>
    </row>
    <row r="383" ht="15.75">
      <c r="J383" s="141"/>
    </row>
    <row r="384" ht="15.75">
      <c r="J384" s="141"/>
    </row>
    <row r="385" ht="15.75">
      <c r="J385" s="141"/>
    </row>
    <row r="386" ht="15.75">
      <c r="J386" s="141"/>
    </row>
    <row r="387" ht="15.75">
      <c r="J387" s="141"/>
    </row>
    <row r="388" ht="15.75">
      <c r="J388" s="141"/>
    </row>
    <row r="389" ht="15.75">
      <c r="J389" s="141"/>
    </row>
    <row r="390" ht="15.75">
      <c r="J390" s="141"/>
    </row>
    <row r="391" ht="15.75">
      <c r="J391" s="141"/>
    </row>
    <row r="392" ht="15.75">
      <c r="J392" s="141"/>
    </row>
    <row r="393" ht="15.75">
      <c r="J393" s="141"/>
    </row>
    <row r="394" ht="15.75">
      <c r="J394" s="141"/>
    </row>
    <row r="395" ht="15.75">
      <c r="J395" s="141"/>
    </row>
    <row r="396" ht="15.75">
      <c r="J396" s="141"/>
    </row>
    <row r="397" ht="15.75">
      <c r="J397" s="141"/>
    </row>
    <row r="398" ht="15.75">
      <c r="J398" s="141"/>
    </row>
    <row r="399" ht="15.75">
      <c r="J399" s="141"/>
    </row>
    <row r="400" ht="15.75">
      <c r="J400" s="141"/>
    </row>
    <row r="401" ht="15.75">
      <c r="J401" s="141"/>
    </row>
    <row r="402" ht="15.75">
      <c r="J402" s="141"/>
    </row>
    <row r="403" ht="15.75">
      <c r="J403" s="141"/>
    </row>
    <row r="404" ht="15.75">
      <c r="J404" s="141"/>
    </row>
    <row r="405" ht="15.75">
      <c r="J405" s="141"/>
    </row>
    <row r="406" ht="15.75">
      <c r="J406" s="141"/>
    </row>
    <row r="407" ht="15.75">
      <c r="J407" s="141"/>
    </row>
    <row r="408" ht="15.75">
      <c r="J408" s="141"/>
    </row>
    <row r="409" ht="15.75">
      <c r="J409" s="141"/>
    </row>
    <row r="410" ht="15.75">
      <c r="J410" s="141"/>
    </row>
    <row r="411" ht="15.75">
      <c r="J411" s="141"/>
    </row>
    <row r="412" ht="15.75">
      <c r="J412" s="141"/>
    </row>
    <row r="413" ht="15.75">
      <c r="J413" s="141"/>
    </row>
    <row r="414" ht="15.75">
      <c r="J414" s="141"/>
    </row>
    <row r="415" ht="15.75">
      <c r="J415" s="141"/>
    </row>
    <row r="416" ht="15.75">
      <c r="J416" s="141"/>
    </row>
    <row r="417" ht="15.75">
      <c r="J417" s="141"/>
    </row>
    <row r="418" ht="15.75">
      <c r="J418" s="141"/>
    </row>
    <row r="419" ht="15.75">
      <c r="J419" s="141"/>
    </row>
    <row r="420" ht="15.75">
      <c r="J420" s="141"/>
    </row>
    <row r="421" ht="15.75">
      <c r="J421" s="141"/>
    </row>
    <row r="422" ht="15.75">
      <c r="J422" s="141"/>
    </row>
    <row r="423" ht="15.75">
      <c r="J423" s="141"/>
    </row>
    <row r="424" ht="15.75">
      <c r="J424" s="141"/>
    </row>
    <row r="425" ht="15.75">
      <c r="J425" s="141"/>
    </row>
    <row r="426" ht="15.75">
      <c r="J426" s="141"/>
    </row>
    <row r="427" ht="15.75">
      <c r="J427" s="141"/>
    </row>
    <row r="428" ht="15.75">
      <c r="J428" s="141"/>
    </row>
    <row r="429" ht="15.75">
      <c r="J429" s="141"/>
    </row>
    <row r="430" ht="15.75">
      <c r="J430" s="141"/>
    </row>
    <row r="431" ht="15.75">
      <c r="J431" s="141"/>
    </row>
    <row r="432" ht="15.75">
      <c r="J432" s="141"/>
    </row>
    <row r="433" ht="15.75">
      <c r="J433" s="141"/>
    </row>
    <row r="434" ht="15.75">
      <c r="J434" s="141"/>
    </row>
    <row r="435" ht="15.75">
      <c r="J435" s="141"/>
    </row>
    <row r="436" ht="15.75">
      <c r="J436" s="141"/>
    </row>
    <row r="437" ht="15.75">
      <c r="J437" s="141"/>
    </row>
    <row r="438" ht="15.75">
      <c r="J438" s="141"/>
    </row>
    <row r="439" ht="15.75">
      <c r="J439" s="141"/>
    </row>
    <row r="440" ht="15.75">
      <c r="J440" s="141"/>
    </row>
    <row r="441" ht="15.75">
      <c r="J441" s="141"/>
    </row>
    <row r="442" ht="15.75">
      <c r="J442" s="141"/>
    </row>
    <row r="443" ht="15.75">
      <c r="J443" s="141"/>
    </row>
    <row r="444" ht="15.75">
      <c r="J444" s="141"/>
    </row>
    <row r="445" ht="15.75">
      <c r="J445" s="141"/>
    </row>
    <row r="446" ht="15.75">
      <c r="J446" s="141"/>
    </row>
    <row r="447" ht="15.75">
      <c r="J447" s="141"/>
    </row>
    <row r="448" ht="15.75">
      <c r="J448" s="141"/>
    </row>
    <row r="449" ht="15.75">
      <c r="J449" s="141"/>
    </row>
    <row r="450" ht="15.75">
      <c r="J450" s="141"/>
    </row>
    <row r="451" ht="15.75">
      <c r="J451" s="141"/>
    </row>
    <row r="452" ht="15.75">
      <c r="J452" s="141"/>
    </row>
    <row r="453" ht="15.75">
      <c r="J453" s="141"/>
    </row>
    <row r="454" ht="15.75">
      <c r="J454" s="141"/>
    </row>
    <row r="455" ht="15.75">
      <c r="J455" s="141"/>
    </row>
    <row r="456" ht="15.75">
      <c r="J456" s="141"/>
    </row>
    <row r="457" ht="15.75">
      <c r="J457" s="141"/>
    </row>
    <row r="458" ht="15.75">
      <c r="J458" s="141"/>
    </row>
    <row r="459" ht="15.75">
      <c r="J459" s="141"/>
    </row>
  </sheetData>
  <sheetProtection/>
  <mergeCells count="11">
    <mergeCell ref="C8:J8"/>
    <mergeCell ref="K8:K9"/>
    <mergeCell ref="K1:M1"/>
    <mergeCell ref="K2:M2"/>
    <mergeCell ref="K3:M3"/>
    <mergeCell ref="L8:L9"/>
    <mergeCell ref="M8:M9"/>
    <mergeCell ref="A5:M5"/>
    <mergeCell ref="A6:M6"/>
    <mergeCell ref="A8:A9"/>
    <mergeCell ref="B8:B9"/>
  </mergeCells>
  <printOptions horizontalCentered="1"/>
  <pageMargins left="0.7874015748031497" right="0.3937007874015748" top="0.7874015748031497" bottom="0.7874015748031497" header="0.5118110236220472" footer="0.5118110236220472"/>
  <pageSetup fitToHeight="2" fitToWidth="1" horizontalDpi="600" verticalDpi="600" orientation="portrait" paperSize="9" scale="60" r:id="rId1"/>
  <headerFooter alignWithMargins="0">
    <oddFooter>&amp;CСтраница &amp;P&amp;R&amp;A</oddFooter>
  </headerFooter>
</worksheet>
</file>

<file path=xl/worksheets/sheet7.xml><?xml version="1.0" encoding="utf-8"?>
<worksheet xmlns="http://schemas.openxmlformats.org/spreadsheetml/2006/main" xmlns:r="http://schemas.openxmlformats.org/officeDocument/2006/relationships">
  <sheetPr>
    <tabColor indexed="13"/>
    <pageSetUpPr fitToPage="1"/>
  </sheetPr>
  <dimension ref="A1:J72"/>
  <sheetViews>
    <sheetView tabSelected="1" zoomScalePageLayoutView="0" workbookViewId="0" topLeftCell="A1">
      <selection activeCell="D3" sqref="D3:E3"/>
    </sheetView>
  </sheetViews>
  <sheetFormatPr defaultColWidth="9.00390625" defaultRowHeight="12.75"/>
  <cols>
    <col min="1" max="1" width="11.375" style="20" customWidth="1"/>
    <col min="2" max="2" width="33.25390625" style="57" customWidth="1"/>
    <col min="3" max="3" width="19.125" style="10" customWidth="1"/>
    <col min="4" max="4" width="22.625" style="10" customWidth="1"/>
    <col min="5" max="5" width="19.75390625" style="10" customWidth="1"/>
    <col min="6" max="6" width="19.75390625" style="24" customWidth="1"/>
    <col min="7" max="7" width="18.75390625" style="10" customWidth="1"/>
    <col min="8" max="8" width="9.125" style="10" customWidth="1"/>
    <col min="9" max="9" width="24.625" style="10" customWidth="1"/>
    <col min="10" max="10" width="16.125" style="10" customWidth="1"/>
    <col min="11" max="16384" width="9.125" style="10" customWidth="1"/>
  </cols>
  <sheetData>
    <row r="1" spans="2:5" ht="15.75">
      <c r="B1" s="296"/>
      <c r="C1" s="296"/>
      <c r="D1" s="296" t="s">
        <v>529</v>
      </c>
      <c r="E1" s="296"/>
    </row>
    <row r="2" spans="2:5" ht="15.75">
      <c r="B2" s="296" t="s">
        <v>686</v>
      </c>
      <c r="C2" s="296"/>
      <c r="D2" s="296"/>
      <c r="E2" s="296"/>
    </row>
    <row r="3" spans="2:5" ht="15.75">
      <c r="B3" s="296"/>
      <c r="C3" s="296"/>
      <c r="D3" s="296" t="s">
        <v>997</v>
      </c>
      <c r="E3" s="296"/>
    </row>
    <row r="4" spans="1:5" ht="39.75" customHeight="1">
      <c r="A4" s="327" t="s">
        <v>530</v>
      </c>
      <c r="B4" s="307"/>
      <c r="C4" s="307"/>
      <c r="D4" s="307"/>
      <c r="E4" s="307"/>
    </row>
    <row r="5" ht="15.75">
      <c r="E5" s="37"/>
    </row>
    <row r="6" spans="1:5" ht="41.25" customHeight="1">
      <c r="A6" s="162" t="s">
        <v>388</v>
      </c>
      <c r="B6" s="163" t="s">
        <v>697</v>
      </c>
      <c r="C6" s="13" t="s">
        <v>359</v>
      </c>
      <c r="D6" s="13" t="s">
        <v>922</v>
      </c>
      <c r="E6" s="149" t="s">
        <v>360</v>
      </c>
    </row>
    <row r="7" spans="1:5" ht="15.75">
      <c r="A7" s="13">
        <v>1</v>
      </c>
      <c r="B7" s="13">
        <v>2</v>
      </c>
      <c r="C7" s="13">
        <v>3</v>
      </c>
      <c r="D7" s="13">
        <v>4</v>
      </c>
      <c r="E7" s="13">
        <v>5</v>
      </c>
    </row>
    <row r="8" spans="1:9" s="38" customFormat="1" ht="54" customHeight="1">
      <c r="A8" s="330" t="s">
        <v>771</v>
      </c>
      <c r="B8" s="331"/>
      <c r="C8" s="30">
        <f>C9+C10</f>
        <v>1590793647.23</v>
      </c>
      <c r="D8" s="30">
        <f>D9+D10</f>
        <v>1470745465.27</v>
      </c>
      <c r="E8" s="177">
        <f>D8/C8</f>
        <v>0.9245356667289713</v>
      </c>
      <c r="F8" s="24"/>
      <c r="G8" s="24"/>
      <c r="I8" s="64"/>
    </row>
    <row r="9" spans="1:7" s="38" customFormat="1" ht="54" customHeight="1">
      <c r="A9" s="54">
        <v>915</v>
      </c>
      <c r="B9" s="49" t="s">
        <v>695</v>
      </c>
      <c r="C9" s="165">
        <f>прил3!G379+прил3!G385</f>
        <v>340807502.75</v>
      </c>
      <c r="D9" s="165">
        <f>прил3!H379+прил3!H385</f>
        <v>222808511.5</v>
      </c>
      <c r="E9" s="176">
        <f aca="true" t="shared" si="0" ref="E9:E59">D9/C9</f>
        <v>0.6537664508619742</v>
      </c>
      <c r="F9" s="24"/>
      <c r="G9" s="24"/>
    </row>
    <row r="10" spans="1:7" s="38" customFormat="1" ht="47.25">
      <c r="A10" s="13">
        <v>918</v>
      </c>
      <c r="B10" s="60" t="s">
        <v>425</v>
      </c>
      <c r="C10" s="165">
        <f>прил3!G478+прил3!G501+прил3!G526+прил3!G533+прил3!G565+прил3!G446+прил3!G587</f>
        <v>1249986144.48</v>
      </c>
      <c r="D10" s="165">
        <f>прил3!H478+прил3!H501+прил3!H526+прил3!H533+прил3!H565+прил3!H446+прил3!H587</f>
        <v>1247936953.77</v>
      </c>
      <c r="E10" s="176">
        <f t="shared" si="0"/>
        <v>0.9983606292605327</v>
      </c>
      <c r="F10" s="24"/>
      <c r="G10" s="24"/>
    </row>
    <row r="11" spans="1:9" s="38" customFormat="1" ht="70.5" customHeight="1">
      <c r="A11" s="325" t="s">
        <v>764</v>
      </c>
      <c r="B11" s="326"/>
      <c r="C11" s="52">
        <f>C12+C13+C14</f>
        <v>7244913</v>
      </c>
      <c r="D11" s="52">
        <f>D12+D13+D14</f>
        <v>7239947</v>
      </c>
      <c r="E11" s="177">
        <f t="shared" si="0"/>
        <v>0.9993145535357015</v>
      </c>
      <c r="F11" s="24"/>
      <c r="G11" s="24"/>
      <c r="I11" s="64"/>
    </row>
    <row r="12" spans="1:7" s="38" customFormat="1" ht="94.5">
      <c r="A12" s="13">
        <v>914</v>
      </c>
      <c r="B12" s="60" t="s">
        <v>694</v>
      </c>
      <c r="C12" s="165">
        <f>прил3!G76</f>
        <v>914980</v>
      </c>
      <c r="D12" s="165">
        <f>прил3!H76</f>
        <v>910014</v>
      </c>
      <c r="E12" s="176">
        <f t="shared" si="0"/>
        <v>0.9945725589630374</v>
      </c>
      <c r="F12" s="24"/>
      <c r="G12" s="24"/>
    </row>
    <row r="13" spans="1:7" s="38" customFormat="1" ht="47.25">
      <c r="A13" s="13">
        <v>918</v>
      </c>
      <c r="B13" s="60" t="s">
        <v>425</v>
      </c>
      <c r="C13" s="165">
        <f>прил3!G495+прил3!G520</f>
        <v>4500000</v>
      </c>
      <c r="D13" s="165">
        <f>прил3!H495+прил3!H520</f>
        <v>4500000</v>
      </c>
      <c r="E13" s="176">
        <f t="shared" si="0"/>
        <v>1</v>
      </c>
      <c r="F13" s="24"/>
      <c r="G13" s="24"/>
    </row>
    <row r="14" spans="1:7" s="38" customFormat="1" ht="63">
      <c r="A14" s="13">
        <v>919</v>
      </c>
      <c r="B14" s="60" t="s">
        <v>734</v>
      </c>
      <c r="C14" s="165">
        <f>прил3!G631+прил3!G676</f>
        <v>1829933</v>
      </c>
      <c r="D14" s="165">
        <f>прил3!H631+прил3!H676</f>
        <v>1829933</v>
      </c>
      <c r="E14" s="176">
        <f t="shared" si="0"/>
        <v>1</v>
      </c>
      <c r="F14" s="24"/>
      <c r="G14" s="24"/>
    </row>
    <row r="15" spans="1:9" s="38" customFormat="1" ht="75" customHeight="1">
      <c r="A15" s="325" t="s">
        <v>783</v>
      </c>
      <c r="B15" s="326"/>
      <c r="C15" s="52">
        <f>C19+C18+C16+C17</f>
        <v>21700494</v>
      </c>
      <c r="D15" s="52">
        <f>D19+D18+D16+D17</f>
        <v>21531361.689999998</v>
      </c>
      <c r="E15" s="177">
        <f t="shared" si="0"/>
        <v>0.9922060617606215</v>
      </c>
      <c r="F15" s="24"/>
      <c r="G15" s="24"/>
      <c r="I15" s="64"/>
    </row>
    <row r="16" spans="1:7" s="38" customFormat="1" ht="96.75" customHeight="1">
      <c r="A16" s="13">
        <v>914</v>
      </c>
      <c r="B16" s="60" t="s">
        <v>694</v>
      </c>
      <c r="C16" s="165">
        <f>прил3!G82</f>
        <v>5000</v>
      </c>
      <c r="D16" s="165">
        <f>прил3!H82</f>
        <v>5000</v>
      </c>
      <c r="E16" s="176">
        <f t="shared" si="0"/>
        <v>1</v>
      </c>
      <c r="F16" s="24"/>
      <c r="G16" s="24"/>
    </row>
    <row r="17" spans="1:7" s="38" customFormat="1" ht="57" customHeight="1">
      <c r="A17" s="54">
        <v>915</v>
      </c>
      <c r="B17" s="49" t="s">
        <v>695</v>
      </c>
      <c r="C17" s="165">
        <f>прил3!G403+прил3!G406+прил3!G404</f>
        <v>2965800</v>
      </c>
      <c r="D17" s="165">
        <f>прил3!H403+прил3!H406+прил3!H404</f>
        <v>2855075.58</v>
      </c>
      <c r="E17" s="176">
        <f t="shared" si="0"/>
        <v>0.9626662553105402</v>
      </c>
      <c r="F17" s="24"/>
      <c r="G17" s="24"/>
    </row>
    <row r="18" spans="1:7" s="14" customFormat="1" ht="47.25">
      <c r="A18" s="13">
        <v>918</v>
      </c>
      <c r="B18" s="60" t="s">
        <v>425</v>
      </c>
      <c r="C18" s="165">
        <f>прил3!G550</f>
        <v>61750</v>
      </c>
      <c r="D18" s="165">
        <f>прил3!H550</f>
        <v>61750</v>
      </c>
      <c r="E18" s="176">
        <f t="shared" si="0"/>
        <v>1</v>
      </c>
      <c r="F18" s="43"/>
      <c r="G18" s="24"/>
    </row>
    <row r="19" spans="1:7" ht="63">
      <c r="A19" s="13">
        <v>919</v>
      </c>
      <c r="B19" s="60" t="s">
        <v>734</v>
      </c>
      <c r="C19" s="165">
        <f>прил3!G746+прил3!G741+прил3!G683+прил3!G653</f>
        <v>18667944</v>
      </c>
      <c r="D19" s="165">
        <f>прил3!H746+прил3!H741+прил3!H683+прил3!H653</f>
        <v>18609536.11</v>
      </c>
      <c r="E19" s="176">
        <f t="shared" si="0"/>
        <v>0.9968712199908034</v>
      </c>
      <c r="G19" s="24"/>
    </row>
    <row r="20" spans="1:9" ht="72.75" customHeight="1">
      <c r="A20" s="323" t="s">
        <v>407</v>
      </c>
      <c r="B20" s="324"/>
      <c r="C20" s="52">
        <f>C21+C22</f>
        <v>238710277.81000003</v>
      </c>
      <c r="D20" s="52">
        <f>D21+D22</f>
        <v>238167996.47000003</v>
      </c>
      <c r="E20" s="177">
        <f t="shared" si="0"/>
        <v>0.9977282865866729</v>
      </c>
      <c r="G20" s="24"/>
      <c r="I20" s="24"/>
    </row>
    <row r="21" spans="1:7" ht="63">
      <c r="A21" s="54">
        <v>915</v>
      </c>
      <c r="B21" s="49" t="s">
        <v>695</v>
      </c>
      <c r="C21" s="165">
        <f>прил3!G212</f>
        <v>1870000</v>
      </c>
      <c r="D21" s="165">
        <f>прил3!H212</f>
        <v>1630819</v>
      </c>
      <c r="E21" s="176">
        <f t="shared" si="0"/>
        <v>0.8720957219251337</v>
      </c>
      <c r="G21" s="24"/>
    </row>
    <row r="22" spans="1:7" ht="63">
      <c r="A22" s="13">
        <v>919</v>
      </c>
      <c r="B22" s="60" t="s">
        <v>734</v>
      </c>
      <c r="C22" s="165">
        <f>прил3!G636+прил3!G687+прил3!G728</f>
        <v>236840277.81000003</v>
      </c>
      <c r="D22" s="165">
        <f>прил3!H636+прил3!H687+прил3!H728</f>
        <v>236537177.47000003</v>
      </c>
      <c r="E22" s="176">
        <f t="shared" si="0"/>
        <v>0.9987202331343187</v>
      </c>
      <c r="G22" s="24"/>
    </row>
    <row r="23" spans="1:9" ht="83.25" customHeight="1">
      <c r="A23" s="323" t="s">
        <v>391</v>
      </c>
      <c r="B23" s="324"/>
      <c r="C23" s="52">
        <f>C24+C25</f>
        <v>151609736.76</v>
      </c>
      <c r="D23" s="52">
        <f>D24+D25</f>
        <v>148146633.70000002</v>
      </c>
      <c r="E23" s="177">
        <f t="shared" si="0"/>
        <v>0.9771577793484194</v>
      </c>
      <c r="G23" s="24"/>
      <c r="I23" s="24"/>
    </row>
    <row r="24" spans="1:7" ht="94.5">
      <c r="A24" s="13">
        <v>914</v>
      </c>
      <c r="B24" s="60" t="s">
        <v>694</v>
      </c>
      <c r="C24" s="165">
        <f>прил3!G155</f>
        <v>33466000</v>
      </c>
      <c r="D24" s="165">
        <f>прил3!H155</f>
        <v>33457637.75</v>
      </c>
      <c r="E24" s="176">
        <f t="shared" si="0"/>
        <v>0.9997501269945617</v>
      </c>
      <c r="G24" s="24"/>
    </row>
    <row r="25" spans="1:7" ht="63">
      <c r="A25" s="54">
        <v>915</v>
      </c>
      <c r="B25" s="49" t="s">
        <v>695</v>
      </c>
      <c r="C25" s="165">
        <f>прил3!G304+прил3!G322+прил3!G334+прил3!G353</f>
        <v>118143736.76</v>
      </c>
      <c r="D25" s="165">
        <f>прил3!H304+прил3!H322+прил3!H334+прил3!H353</f>
        <v>114688995.95000002</v>
      </c>
      <c r="E25" s="176">
        <f t="shared" si="0"/>
        <v>0.9707581552374797</v>
      </c>
      <c r="G25" s="24"/>
    </row>
    <row r="26" spans="1:9" ht="63" customHeight="1">
      <c r="A26" s="325" t="s">
        <v>474</v>
      </c>
      <c r="B26" s="326"/>
      <c r="C26" s="52">
        <f>C27+C28+C29+C30</f>
        <v>51514237.410000004</v>
      </c>
      <c r="D26" s="52">
        <f>D27+D28+D29+D30</f>
        <v>49050415.15</v>
      </c>
      <c r="E26" s="177">
        <f t="shared" si="0"/>
        <v>0.9521720133331193</v>
      </c>
      <c r="G26" s="24"/>
      <c r="I26" s="24"/>
    </row>
    <row r="27" spans="1:7" ht="94.5">
      <c r="A27" s="13">
        <v>914</v>
      </c>
      <c r="B27" s="60" t="s">
        <v>694</v>
      </c>
      <c r="C27" s="165">
        <f>прил3!G139</f>
        <v>47200040.89</v>
      </c>
      <c r="D27" s="165">
        <f>прил3!H139</f>
        <v>46999813.74</v>
      </c>
      <c r="E27" s="176">
        <f t="shared" si="0"/>
        <v>0.9957579030393929</v>
      </c>
      <c r="G27" s="24"/>
    </row>
    <row r="28" spans="1:7" ht="57" customHeight="1">
      <c r="A28" s="54">
        <v>915</v>
      </c>
      <c r="B28" s="49" t="s">
        <v>695</v>
      </c>
      <c r="C28" s="165">
        <f>прил3!G218+прил3!G261</f>
        <v>3068116.52</v>
      </c>
      <c r="D28" s="165">
        <f>прил3!H218+прил3!H261</f>
        <v>804521.4099999999</v>
      </c>
      <c r="E28" s="176">
        <f t="shared" si="0"/>
        <v>0.26221996614391946</v>
      </c>
      <c r="G28" s="24"/>
    </row>
    <row r="29" spans="1:7" ht="47.25">
      <c r="A29" s="13">
        <v>918</v>
      </c>
      <c r="B29" s="60" t="s">
        <v>425</v>
      </c>
      <c r="C29" s="165">
        <f>прил3!G554+прил3!G468</f>
        <v>1004448</v>
      </c>
      <c r="D29" s="165">
        <f>прил3!H554+прил3!H468</f>
        <v>1004448</v>
      </c>
      <c r="E29" s="176">
        <f t="shared" si="0"/>
        <v>1</v>
      </c>
      <c r="G29" s="24"/>
    </row>
    <row r="30" spans="1:7" ht="63">
      <c r="A30" s="13">
        <v>919</v>
      </c>
      <c r="B30" s="60" t="s">
        <v>734</v>
      </c>
      <c r="C30" s="165">
        <f>прил3!G665+прил3!G717</f>
        <v>241632</v>
      </c>
      <c r="D30" s="165">
        <f>прил3!H665+прил3!H717</f>
        <v>241632</v>
      </c>
      <c r="E30" s="176">
        <f t="shared" si="0"/>
        <v>1</v>
      </c>
      <c r="G30" s="24"/>
    </row>
    <row r="31" spans="1:9" ht="54.75" customHeight="1">
      <c r="A31" s="323" t="s">
        <v>362</v>
      </c>
      <c r="B31" s="324"/>
      <c r="C31" s="52">
        <f>C32</f>
        <v>859086.3700000001</v>
      </c>
      <c r="D31" s="52">
        <f>D32</f>
        <v>859086.3700000001</v>
      </c>
      <c r="E31" s="177">
        <f t="shared" si="0"/>
        <v>1</v>
      </c>
      <c r="G31" s="24"/>
      <c r="I31" s="24"/>
    </row>
    <row r="32" spans="1:7" ht="63">
      <c r="A32" s="54">
        <v>915</v>
      </c>
      <c r="B32" s="49" t="s">
        <v>695</v>
      </c>
      <c r="C32" s="165">
        <f>прил3!G374+прил3!G369</f>
        <v>859086.3700000001</v>
      </c>
      <c r="D32" s="165">
        <f>прил3!H374+прил3!H369</f>
        <v>859086.3700000001</v>
      </c>
      <c r="E32" s="176">
        <f t="shared" si="0"/>
        <v>1</v>
      </c>
      <c r="G32" s="24"/>
    </row>
    <row r="33" spans="1:7" ht="60" customHeight="1">
      <c r="A33" s="323" t="s">
        <v>682</v>
      </c>
      <c r="B33" s="324"/>
      <c r="C33" s="52">
        <f>C34</f>
        <v>110684834.13999999</v>
      </c>
      <c r="D33" s="52">
        <f>D34</f>
        <v>109816971.02999999</v>
      </c>
      <c r="E33" s="177">
        <f t="shared" si="0"/>
        <v>0.9921591506483871</v>
      </c>
      <c r="G33" s="24"/>
    </row>
    <row r="34" spans="1:7" ht="63">
      <c r="A34" s="54">
        <v>915</v>
      </c>
      <c r="B34" s="49" t="s">
        <v>695</v>
      </c>
      <c r="C34" s="165">
        <f>прил3!G273</f>
        <v>110684834.13999999</v>
      </c>
      <c r="D34" s="165">
        <f>прил3!H273</f>
        <v>109816971.02999999</v>
      </c>
      <c r="E34" s="176">
        <f t="shared" si="0"/>
        <v>0.9921591506483871</v>
      </c>
      <c r="G34" s="24"/>
    </row>
    <row r="35" spans="1:7" s="14" customFormat="1" ht="49.5" customHeight="1">
      <c r="A35" s="323" t="s">
        <v>428</v>
      </c>
      <c r="B35" s="324"/>
      <c r="C35" s="52">
        <f>C36+C37+C38</f>
        <v>23224975.56</v>
      </c>
      <c r="D35" s="52">
        <f>D36+D37+D38</f>
        <v>21787174.05</v>
      </c>
      <c r="E35" s="177">
        <f t="shared" si="0"/>
        <v>0.9380924424964175</v>
      </c>
      <c r="F35" s="24"/>
      <c r="G35" s="24"/>
    </row>
    <row r="36" spans="1:7" ht="63">
      <c r="A36" s="54">
        <v>915</v>
      </c>
      <c r="B36" s="49" t="s">
        <v>695</v>
      </c>
      <c r="C36" s="165">
        <f>прил3!G288+прил3!G312+прил3!G224</f>
        <v>11451719.64</v>
      </c>
      <c r="D36" s="165">
        <f>прил3!H288+прил3!H312+прил3!H224</f>
        <v>10020924.13</v>
      </c>
      <c r="E36" s="176">
        <f t="shared" si="0"/>
        <v>0.8750584580325964</v>
      </c>
      <c r="G36" s="24"/>
    </row>
    <row r="37" spans="1:7" ht="47.25">
      <c r="A37" s="13">
        <v>918</v>
      </c>
      <c r="B37" s="60" t="s">
        <v>425</v>
      </c>
      <c r="C37" s="165">
        <f>прил3!G558</f>
        <v>6613589.77</v>
      </c>
      <c r="D37" s="165">
        <f>прил3!H558</f>
        <v>6606583.77</v>
      </c>
      <c r="E37" s="176">
        <f t="shared" si="0"/>
        <v>0.9989406660764204</v>
      </c>
      <c r="G37" s="24"/>
    </row>
    <row r="38" spans="1:7" ht="63">
      <c r="A38" s="13">
        <v>919</v>
      </c>
      <c r="B38" s="60" t="s">
        <v>734</v>
      </c>
      <c r="C38" s="165">
        <f>прил3!G647+прил3!G669+прил3!G721</f>
        <v>5159666.149999999</v>
      </c>
      <c r="D38" s="165">
        <f>прил3!H647+прил3!H669+прил3!H721</f>
        <v>5159666.149999999</v>
      </c>
      <c r="E38" s="176">
        <f t="shared" si="0"/>
        <v>1</v>
      </c>
      <c r="G38" s="24"/>
    </row>
    <row r="39" spans="1:7" ht="71.25" customHeight="1">
      <c r="A39" s="323" t="s">
        <v>365</v>
      </c>
      <c r="B39" s="324"/>
      <c r="C39" s="52">
        <f>C40</f>
        <v>200000</v>
      </c>
      <c r="D39" s="52">
        <f>D40</f>
        <v>200000</v>
      </c>
      <c r="E39" s="177">
        <f t="shared" si="0"/>
        <v>1</v>
      </c>
      <c r="G39" s="24"/>
    </row>
    <row r="40" spans="1:7" ht="63">
      <c r="A40" s="54">
        <v>915</v>
      </c>
      <c r="B40" s="49" t="s">
        <v>695</v>
      </c>
      <c r="C40" s="165">
        <f>прил3!G225</f>
        <v>200000</v>
      </c>
      <c r="D40" s="165">
        <f>прил3!H225</f>
        <v>200000</v>
      </c>
      <c r="E40" s="176">
        <f t="shared" si="0"/>
        <v>1</v>
      </c>
      <c r="G40" s="24"/>
    </row>
    <row r="41" spans="1:7" ht="54" customHeight="1">
      <c r="A41" s="323" t="s">
        <v>747</v>
      </c>
      <c r="B41" s="324"/>
      <c r="C41" s="52">
        <f>SUM(C42:C48)</f>
        <v>54120368.269999996</v>
      </c>
      <c r="D41" s="52">
        <f>SUM(D42:D48)</f>
        <v>52047701.65999999</v>
      </c>
      <c r="E41" s="177">
        <f t="shared" si="0"/>
        <v>0.9617026513999365</v>
      </c>
      <c r="G41" s="24"/>
    </row>
    <row r="42" spans="1:7" ht="94.5">
      <c r="A42" s="13">
        <v>913</v>
      </c>
      <c r="B42" s="60" t="s">
        <v>693</v>
      </c>
      <c r="C42" s="165">
        <f>прил3!G39</f>
        <v>210570</v>
      </c>
      <c r="D42" s="165">
        <f>прил3!H39</f>
        <v>117980</v>
      </c>
      <c r="E42" s="176">
        <f t="shared" si="0"/>
        <v>0.560288740086432</v>
      </c>
      <c r="G42" s="24"/>
    </row>
    <row r="43" spans="1:7" ht="94.5">
      <c r="A43" s="13">
        <v>914</v>
      </c>
      <c r="B43" s="60" t="s">
        <v>694</v>
      </c>
      <c r="C43" s="165">
        <f>прил3!G86+прил3!G162+прил3!G195</f>
        <v>21720253.82</v>
      </c>
      <c r="D43" s="165">
        <f>прил3!H86+прил3!H162+прил3!H195</f>
        <v>20012115.45</v>
      </c>
      <c r="E43" s="176">
        <f t="shared" si="0"/>
        <v>0.9213573476555257</v>
      </c>
      <c r="G43" s="24"/>
    </row>
    <row r="44" spans="1:7" ht="63">
      <c r="A44" s="54">
        <v>915</v>
      </c>
      <c r="B44" s="49" t="s">
        <v>695</v>
      </c>
      <c r="C44" s="165">
        <f>прил3!G283+прил3!G228</f>
        <v>22702206.5</v>
      </c>
      <c r="D44" s="165">
        <f>прил3!H283+прил3!H228</f>
        <v>22532256.369999997</v>
      </c>
      <c r="E44" s="176">
        <f t="shared" si="0"/>
        <v>0.9925139377971915</v>
      </c>
      <c r="G44" s="24"/>
    </row>
    <row r="45" spans="1:7" ht="47.25">
      <c r="A45" s="54">
        <v>916</v>
      </c>
      <c r="B45" s="49" t="s">
        <v>685</v>
      </c>
      <c r="C45" s="165">
        <f>прил3!G431</f>
        <v>420201.44</v>
      </c>
      <c r="D45" s="165">
        <f>прил3!H431</f>
        <v>419981</v>
      </c>
      <c r="E45" s="176">
        <f t="shared" si="0"/>
        <v>0.9994753944679485</v>
      </c>
      <c r="G45" s="24"/>
    </row>
    <row r="46" spans="1:7" ht="47.25">
      <c r="A46" s="13">
        <v>918</v>
      </c>
      <c r="B46" s="60" t="s">
        <v>425</v>
      </c>
      <c r="C46" s="165">
        <f>прил3!G470</f>
        <v>6776002.47</v>
      </c>
      <c r="D46" s="165">
        <f>прил3!H470</f>
        <v>6739994.8</v>
      </c>
      <c r="E46" s="176">
        <f t="shared" si="0"/>
        <v>0.9946860010515906</v>
      </c>
      <c r="G46" s="24"/>
    </row>
    <row r="47" spans="1:7" ht="63">
      <c r="A47" s="13">
        <v>919</v>
      </c>
      <c r="B47" s="60" t="s">
        <v>734</v>
      </c>
      <c r="C47" s="165">
        <f>прил3!G623</f>
        <v>2105196.04</v>
      </c>
      <c r="D47" s="165">
        <f>прил3!H623</f>
        <v>2039436.04</v>
      </c>
      <c r="E47" s="176">
        <f t="shared" si="0"/>
        <v>0.9687630041333348</v>
      </c>
      <c r="G47" s="24"/>
    </row>
    <row r="48" spans="1:7" ht="31.5">
      <c r="A48" s="61">
        <v>924</v>
      </c>
      <c r="B48" s="60" t="s">
        <v>621</v>
      </c>
      <c r="C48" s="165">
        <f>прил3!G769</f>
        <v>185938</v>
      </c>
      <c r="D48" s="165">
        <f>прил3!H769</f>
        <v>185938</v>
      </c>
      <c r="E48" s="176">
        <f t="shared" si="0"/>
        <v>1</v>
      </c>
      <c r="G48" s="24"/>
    </row>
    <row r="49" spans="1:9" s="14" customFormat="1" ht="102.75" customHeight="1">
      <c r="A49" s="332" t="s">
        <v>368</v>
      </c>
      <c r="B49" s="333"/>
      <c r="C49" s="52">
        <f>C50</f>
        <v>12333282.07</v>
      </c>
      <c r="D49" s="52">
        <f>D50</f>
        <v>12332333.91</v>
      </c>
      <c r="E49" s="177">
        <f t="shared" si="0"/>
        <v>0.9999231218426191</v>
      </c>
      <c r="F49" s="24"/>
      <c r="G49" s="24"/>
      <c r="H49" s="10"/>
      <c r="I49" s="10"/>
    </row>
    <row r="50" spans="1:7" ht="47.25">
      <c r="A50" s="54">
        <v>916</v>
      </c>
      <c r="B50" s="49" t="s">
        <v>685</v>
      </c>
      <c r="C50" s="165">
        <f>прил3!G411+прил3!G438</f>
        <v>12333282.07</v>
      </c>
      <c r="D50" s="165">
        <f>прил3!H411+прил3!H438</f>
        <v>12332333.91</v>
      </c>
      <c r="E50" s="176">
        <f t="shared" si="0"/>
        <v>0.9999231218426191</v>
      </c>
      <c r="G50" s="24"/>
    </row>
    <row r="51" spans="1:10" ht="69.75" customHeight="1">
      <c r="A51" s="332" t="s">
        <v>753</v>
      </c>
      <c r="B51" s="333"/>
      <c r="C51" s="52">
        <f>SUM(C52:C58)</f>
        <v>206386806.21</v>
      </c>
      <c r="D51" s="52">
        <f>SUM(D52:D58)</f>
        <v>205268987.94000003</v>
      </c>
      <c r="E51" s="177">
        <f t="shared" si="0"/>
        <v>0.9945838675905349</v>
      </c>
      <c r="G51" s="24"/>
      <c r="I51" s="24"/>
      <c r="J51" s="24"/>
    </row>
    <row r="52" spans="1:7" ht="99.75" customHeight="1">
      <c r="A52" s="13">
        <v>913</v>
      </c>
      <c r="B52" s="60" t="s">
        <v>693</v>
      </c>
      <c r="C52" s="165">
        <f>прил3!G29</f>
        <v>227200</v>
      </c>
      <c r="D52" s="165">
        <f>прил3!H29</f>
        <v>227200</v>
      </c>
      <c r="E52" s="176">
        <f t="shared" si="0"/>
        <v>1</v>
      </c>
      <c r="G52" s="24"/>
    </row>
    <row r="53" spans="1:7" ht="94.5">
      <c r="A53" s="13">
        <v>914</v>
      </c>
      <c r="B53" s="60" t="s">
        <v>694</v>
      </c>
      <c r="C53" s="165">
        <f>прил3!G46+прил3!G96+прил3!G133+прил3!G175+прил3!G185</f>
        <v>74517196.59</v>
      </c>
      <c r="D53" s="165">
        <f>прил3!H46+прил3!H96+прил3!H133+прил3!H175+прил3!H185</f>
        <v>73623739.66000001</v>
      </c>
      <c r="E53" s="176">
        <f t="shared" si="0"/>
        <v>0.9880100571292842</v>
      </c>
      <c r="G53" s="24"/>
    </row>
    <row r="54" spans="1:7" ht="63">
      <c r="A54" s="54">
        <v>915</v>
      </c>
      <c r="B54" s="49" t="s">
        <v>695</v>
      </c>
      <c r="C54" s="165">
        <f>прил3!G202+прил3!G240+прил3!G291+прил3!G364+прил3!G394</f>
        <v>123888260.62</v>
      </c>
      <c r="D54" s="165">
        <f>прил3!H202+прил3!H240+прил3!H291+прил3!H364+прил3!H394</f>
        <v>123755190.9</v>
      </c>
      <c r="E54" s="176">
        <f t="shared" si="0"/>
        <v>0.9989258891897097</v>
      </c>
      <c r="G54" s="24"/>
    </row>
    <row r="55" spans="1:7" ht="47.25">
      <c r="A55" s="54">
        <v>916</v>
      </c>
      <c r="B55" s="49" t="s">
        <v>685</v>
      </c>
      <c r="C55" s="165">
        <f>прил3!G422</f>
        <v>142100</v>
      </c>
      <c r="D55" s="165">
        <f>прил3!H422</f>
        <v>68208</v>
      </c>
      <c r="E55" s="176">
        <f t="shared" si="0"/>
        <v>0.48</v>
      </c>
      <c r="G55" s="24"/>
    </row>
    <row r="56" spans="1:7" ht="47.25">
      <c r="A56" s="54">
        <v>918</v>
      </c>
      <c r="B56" s="60" t="s">
        <v>425</v>
      </c>
      <c r="C56" s="165">
        <f>прил3!G458</f>
        <v>282840</v>
      </c>
      <c r="D56" s="165">
        <f>прил3!H458</f>
        <v>273811.8</v>
      </c>
      <c r="E56" s="176">
        <f t="shared" si="0"/>
        <v>0.9680801866779805</v>
      </c>
      <c r="G56" s="24"/>
    </row>
    <row r="57" spans="1:7" ht="63">
      <c r="A57" s="13">
        <v>919</v>
      </c>
      <c r="B57" s="60" t="s">
        <v>734</v>
      </c>
      <c r="C57" s="165">
        <f>прил3!G607+прил3!G617</f>
        <v>7286828.999999999</v>
      </c>
      <c r="D57" s="165">
        <f>прил3!H607+прил3!H617</f>
        <v>7278457.58</v>
      </c>
      <c r="E57" s="176">
        <f t="shared" si="0"/>
        <v>0.9988511573415544</v>
      </c>
      <c r="G57" s="24"/>
    </row>
    <row r="58" spans="1:7" ht="31.5">
      <c r="A58" s="54">
        <v>924</v>
      </c>
      <c r="B58" s="60" t="s">
        <v>621</v>
      </c>
      <c r="C58" s="165">
        <f>прил3!G763</f>
        <v>42380</v>
      </c>
      <c r="D58" s="165">
        <f>прил3!H763</f>
        <v>42380</v>
      </c>
      <c r="E58" s="176">
        <f t="shared" si="0"/>
        <v>1</v>
      </c>
      <c r="G58" s="24"/>
    </row>
    <row r="59" spans="1:7" s="14" customFormat="1" ht="15.75">
      <c r="A59" s="328" t="s">
        <v>798</v>
      </c>
      <c r="B59" s="329"/>
      <c r="C59" s="52">
        <f>C8+C11+C15+C20+C23+C26+C31+C33+C35+C39+C41+C49+C51</f>
        <v>2469382658.83</v>
      </c>
      <c r="D59" s="52">
        <f>D8+D11+D15+D20+D23+D26+D31+D33+D35+D39+D41+D49+D51</f>
        <v>2337194074.2400002</v>
      </c>
      <c r="E59" s="177">
        <f t="shared" si="0"/>
        <v>0.9464689751030199</v>
      </c>
      <c r="F59" s="43"/>
      <c r="G59" s="24"/>
    </row>
    <row r="60" spans="1:6" s="14" customFormat="1" ht="15.75">
      <c r="A60" s="174"/>
      <c r="B60" s="174"/>
      <c r="C60" s="175"/>
      <c r="D60" s="175"/>
      <c r="E60" s="175"/>
      <c r="F60" s="43"/>
    </row>
    <row r="61" spans="1:6" s="14" customFormat="1" ht="15.75">
      <c r="A61" s="174"/>
      <c r="B61" s="174"/>
      <c r="C61" s="175"/>
      <c r="D61" s="175"/>
      <c r="E61" s="175"/>
      <c r="F61" s="43"/>
    </row>
    <row r="62" spans="1:6" s="14" customFormat="1" ht="15.75">
      <c r="A62" s="174"/>
      <c r="B62" s="174"/>
      <c r="C62" s="175"/>
      <c r="D62" s="175"/>
      <c r="E62" s="175"/>
      <c r="F62" s="43"/>
    </row>
    <row r="63" spans="2:5" ht="15.75" hidden="1">
      <c r="B63" s="58"/>
      <c r="C63" s="66"/>
      <c r="D63" s="66"/>
      <c r="E63" s="66"/>
    </row>
    <row r="64" spans="2:5" ht="15.75">
      <c r="B64" s="58"/>
      <c r="C64" s="66"/>
      <c r="D64" s="66"/>
      <c r="E64" s="66"/>
    </row>
    <row r="65" spans="2:5" ht="15.75">
      <c r="B65" s="58"/>
      <c r="C65" s="66"/>
      <c r="D65" s="66"/>
      <c r="E65" s="66"/>
    </row>
    <row r="66" spans="2:5" ht="15.75">
      <c r="B66" s="58"/>
      <c r="C66" s="66"/>
      <c r="D66" s="66"/>
      <c r="E66" s="66"/>
    </row>
    <row r="67" spans="2:5" ht="15.75">
      <c r="B67" s="58"/>
      <c r="C67" s="66"/>
      <c r="D67" s="66"/>
      <c r="E67" s="66"/>
    </row>
    <row r="68" spans="2:5" ht="15.75">
      <c r="B68" s="58"/>
      <c r="C68" s="17"/>
      <c r="D68" s="17"/>
      <c r="E68" s="17"/>
    </row>
    <row r="69" spans="2:5" ht="15.75">
      <c r="B69" s="58"/>
      <c r="C69" s="66"/>
      <c r="D69" s="66"/>
      <c r="E69" s="66"/>
    </row>
    <row r="70" spans="2:5" ht="15.75">
      <c r="B70" s="58"/>
      <c r="C70" s="66"/>
      <c r="D70" s="17"/>
      <c r="E70" s="17"/>
    </row>
    <row r="71" spans="2:5" ht="15.75">
      <c r="B71" s="58"/>
      <c r="C71" s="17"/>
      <c r="D71" s="17"/>
      <c r="E71" s="17"/>
    </row>
    <row r="72" spans="2:5" ht="15.75">
      <c r="B72" s="58"/>
      <c r="C72" s="17"/>
      <c r="D72" s="17"/>
      <c r="E72" s="17"/>
    </row>
  </sheetData>
  <sheetProtection/>
  <mergeCells count="20">
    <mergeCell ref="A59:B59"/>
    <mergeCell ref="A8:B8"/>
    <mergeCell ref="A11:B11"/>
    <mergeCell ref="A15:B15"/>
    <mergeCell ref="A20:B20"/>
    <mergeCell ref="A23:B23"/>
    <mergeCell ref="A41:B41"/>
    <mergeCell ref="A49:B49"/>
    <mergeCell ref="A51:B51"/>
    <mergeCell ref="A31:B31"/>
    <mergeCell ref="A33:B33"/>
    <mergeCell ref="A35:B35"/>
    <mergeCell ref="A39:B39"/>
    <mergeCell ref="B1:C1"/>
    <mergeCell ref="D1:E1"/>
    <mergeCell ref="A26:B26"/>
    <mergeCell ref="B2:E2"/>
    <mergeCell ref="A4:E4"/>
    <mergeCell ref="B3:C3"/>
    <mergeCell ref="D3:E3"/>
  </mergeCells>
  <printOptions horizontalCentered="1"/>
  <pageMargins left="0.7874015748031497" right="0.3937007874015748" top="0.33" bottom="0.42" header="0.28" footer="0.17"/>
  <pageSetup fitToHeight="4" fitToWidth="1" horizontalDpi="600" verticalDpi="600" orientation="portrait" paperSize="9" scale="84" r:id="rId1"/>
  <headerFooter alignWithMargins="0">
    <oddFooter>&amp;CСтраница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SNEG</dc:creator>
  <cp:keywords/>
  <dc:description/>
  <cp:lastModifiedBy>Полянина Александра Александровна</cp:lastModifiedBy>
  <cp:lastPrinted>2015-05-19T14:42:02Z</cp:lastPrinted>
  <dcterms:created xsi:type="dcterms:W3CDTF">2003-08-14T15:25:08Z</dcterms:created>
  <dcterms:modified xsi:type="dcterms:W3CDTF">2015-06-16T13:50:00Z</dcterms:modified>
  <cp:category/>
  <cp:version/>
  <cp:contentType/>
  <cp:contentStatus/>
</cp:coreProperties>
</file>