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2"/>
  </bookViews>
  <sheets>
    <sheet name="прил 1" sheetId="1" r:id="rId1"/>
    <sheet name="прил4" sheetId="2" r:id="rId2"/>
    <sheet name="прил5" sheetId="3" r:id="rId3"/>
    <sheet name="прил6" sheetId="4" r:id="rId4"/>
    <sheet name="прил7" sheetId="5" r:id="rId5"/>
    <sheet name="прил 8" sheetId="6" r:id="rId6"/>
    <sheet name="прил 9" sheetId="7" r:id="rId7"/>
  </sheets>
  <definedNames>
    <definedName name="_xlnm.Print_Titles" localSheetId="0">'прил 1'!$10:$11</definedName>
    <definedName name="_xlnm.Print_Titles" localSheetId="5">'прил 8'!$9:$10</definedName>
    <definedName name="_xlnm.Print_Titles" localSheetId="6">'прил 9'!$9:$11</definedName>
    <definedName name="_xlnm.Print_Titles" localSheetId="1">'прил4'!$10:$11</definedName>
    <definedName name="_xlnm.Print_Titles" localSheetId="3">'прил6'!$8:$9</definedName>
    <definedName name="_xlnm.Print_Titles" localSheetId="4">'прил7'!$9:$10</definedName>
    <definedName name="_xlnm.Print_Area" localSheetId="0">'прил 1'!$A$1:$D$131</definedName>
  </definedNames>
  <calcPr fullCalcOnLoad="1"/>
</workbook>
</file>

<file path=xl/comments5.xml><?xml version="1.0" encoding="utf-8"?>
<comments xmlns="http://schemas.openxmlformats.org/spreadsheetml/2006/main">
  <authors>
    <author>CvindinaGV</author>
  </authors>
  <commentList>
    <comment ref="G233" authorId="0">
      <text>
        <r>
          <rPr>
            <b/>
            <sz val="8"/>
            <rFont val="Tahoma"/>
            <family val="0"/>
          </rPr>
          <t>CvindinaGV:</t>
        </r>
        <r>
          <rPr>
            <sz val="8"/>
            <rFont val="Tahoma"/>
            <family val="0"/>
          </rPr>
          <t xml:space="preserve">
АПК Безопасный город</t>
        </r>
      </text>
    </comment>
    <comment ref="G540" authorId="0">
      <text>
        <r>
          <rPr>
            <b/>
            <sz val="8"/>
            <rFont val="Tahoma"/>
            <family val="0"/>
          </rPr>
          <t>CvindinaGV:</t>
        </r>
        <r>
          <rPr>
            <sz val="8"/>
            <rFont val="Tahoma"/>
            <family val="0"/>
          </rPr>
          <t xml:space="preserve">
Убрала Указы не наши полномочия!</t>
        </r>
      </text>
    </comment>
  </commentList>
</comments>
</file>

<file path=xl/sharedStrings.xml><?xml version="1.0" encoding="utf-8"?>
<sst xmlns="http://schemas.openxmlformats.org/spreadsheetml/2006/main" count="11338" uniqueCount="885">
  <si>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</si>
  <si>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</si>
  <si>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</si>
  <si>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</si>
  <si>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</si>
  <si>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</si>
  <si>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</si>
  <si>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</si>
  <si>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</si>
  <si>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</si>
  <si>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</si>
  <si>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</si>
  <si>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7030821</t>
  </si>
  <si>
    <t>0001 03 02250 01 0000 110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</si>
  <si>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</si>
  <si>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</si>
  <si>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</si>
  <si>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</si>
  <si>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</si>
  <si>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</si>
  <si>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Налог, взимаемый в связи с применением упрощенной системы налогобложения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</si>
  <si>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</si>
  <si>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</si>
  <si>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</si>
  <si>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</si>
  <si>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</si>
  <si>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</si>
  <si>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</si>
  <si>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</si>
  <si>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000 1 05 02000 02 0000 110</t>
  </si>
  <si>
    <t>Единый налог на вмененый доход для отдельных видов деятельности</t>
  </si>
  <si>
    <t>000 1 05 02010 02 0000 110</t>
  </si>
  <si>
    <t>Единый налог на вмененный доход для отдельных видов деятельности</t>
  </si>
  <si>
    <t>000 1 05 02020 02 0000 110</t>
  </si>
  <si>
    <t>Единый налог на вмененный доход для отдельных видов деятельности (за налоговые периоды, истекшие до 1 января 2011 года)</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</si>
  <si>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</si>
  <si>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</si>
  <si>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</si>
  <si>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</si>
  <si>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</si>
  <si>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</si>
  <si>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</si>
  <si>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</si>
  <si>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</si>
  <si>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</si>
  <si>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</si>
  <si>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 xml:space="preserve">Земельный налог </t>
  </si>
  <si>
    <t>Расходы на обеспечение функций главы муниципального образования</t>
  </si>
  <si>
    <t>9900103</t>
  </si>
  <si>
    <t>Расходы на обеспечение функций депутатов представительного органа муниципального образования</t>
  </si>
  <si>
    <t>9900303</t>
  </si>
  <si>
    <t>Расходы на обеспечение функций главы местной администрации</t>
  </si>
  <si>
    <t>8210403</t>
  </si>
  <si>
    <t>8042009</t>
  </si>
  <si>
    <t>8222999</t>
  </si>
  <si>
    <t>Подпрограмма 7 "Обеспечение жильем молодых семей в ЗАТО Александровск"</t>
  </si>
  <si>
    <t>7470000</t>
  </si>
  <si>
    <t>7472999</t>
  </si>
  <si>
    <t>Расходы на обеспечение функций руководителя контрольно-счетной палаты муниципального образования и его заместителей</t>
  </si>
  <si>
    <t>9900503</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</si>
  <si>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</si>
  <si>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</si>
  <si>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</si>
  <si>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</si>
  <si>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</si>
  <si>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</si>
  <si>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</si>
  <si>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</si>
  <si>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</si>
  <si>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 xml:space="preserve">Государственная пошлина за выдачу разрешения на установку рекламной конструкции </t>
  </si>
  <si>
    <t>НЕНАЛОГОВЫЕ ДОХОДЫ</t>
  </si>
  <si>
    <t>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</si>
  <si>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t>
  </si>
  <si>
    <t>7030840</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</si>
  <si>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</si>
  <si>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</si>
  <si>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</si>
  <si>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</si>
  <si>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</si>
  <si>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</si>
  <si>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</si>
  <si>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</si>
  <si>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</si>
  <si>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</si>
  <si>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</si>
  <si>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</si>
  <si>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000 1 11 05034 04 0000 120</t>
  </si>
  <si>
    <t>000 1 11 07000 00 0000 120</t>
  </si>
  <si>
    <t>Платежи от государственных и муниципальных унитарных предприятий</t>
  </si>
  <si>
    <t>000 1 11 07010 00 0000 120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</si>
  <si>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</si>
  <si>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000 1 11 07014 04 0000 120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</si>
  <si>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</si>
  <si>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</si>
  <si>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</si>
  <si>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</si>
  <si>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</si>
  <si>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</si>
  <si>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</si>
  <si>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</si>
  <si>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</si>
  <si>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</si>
  <si>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</si>
  <si>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</si>
  <si>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</si>
  <si>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</si>
  <si>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</si>
  <si>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</si>
  <si>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</si>
  <si>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Доходы от оказания платных услуг (работ) и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</si>
  <si>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</si>
  <si>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</si>
  <si>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000 1 13 02064 04 0000 130</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</si>
  <si>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</si>
  <si>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</si>
  <si>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</si>
  <si>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</si>
  <si>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</si>
  <si>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</si>
  <si>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</si>
  <si>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</si>
  <si>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</si>
  <si>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</si>
  <si>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</si>
  <si>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</si>
  <si>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</si>
  <si>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</si>
  <si>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</si>
  <si>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</si>
  <si>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</si>
  <si>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</si>
  <si>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</si>
  <si>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000 1 16 25030 01 0000 140</t>
  </si>
  <si>
    <t>Денежные взыскания (штрафы) за нарушение законодательства Российской Федерации об охране и использовании животного мира</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</si>
  <si>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</si>
  <si>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</si>
  <si>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</si>
  <si>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</si>
  <si>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</si>
  <si>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хозяйства</t>
  </si>
  <si>
    <t>000 1 16 30030 01 0000 140</t>
  </si>
  <si>
    <t>Прочие денежные взыскания (штрафы) за правонарушения в области дорожного хозяйства</t>
  </si>
  <si>
    <t>000 1 16 33000 00 0000 140</t>
  </si>
  <si>
    <t>Распределение бюджетных ассигнований по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2015 год</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</si>
  <si>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</si>
  <si>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</si>
  <si>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</si>
  <si>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</si>
  <si>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</si>
  <si>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000 1 16 90000 00 0000 140</t>
  </si>
  <si>
    <t>Прочие поступления от денежных взысканий (штрафов) и иных сумм в возмещение ущерба</t>
  </si>
  <si>
    <t xml:space="preserve">000 1 16 90040 04 0000 140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</si>
  <si>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</si>
  <si>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</si>
  <si>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</si>
  <si>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</si>
  <si>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</si>
  <si>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субъектов Российской Федерации и муниципальных образований</t>
  </si>
  <si>
    <t>000 2 02 01001 00 0000 151</t>
  </si>
  <si>
    <t>Дотации на выравнивание бюджетной обеспеченнности</t>
  </si>
  <si>
    <t>000 2 02 01001 04 0000 151</t>
  </si>
  <si>
    <t>000 2 02 01007 00 0000 151</t>
  </si>
  <si>
    <t>Дотации бюджетам, связанные с особым режимом безопасного функционирования закрытых административно-территориальных образований</t>
  </si>
  <si>
    <t>000 2 02 01007 04 0000 151</t>
  </si>
  <si>
    <t>000 2 02 02000 00 0000 151</t>
  </si>
  <si>
    <t>000 2 02 02999 00 0000 151</t>
  </si>
  <si>
    <t>Прочие субсидии</t>
  </si>
  <si>
    <t>000 2 02 02999 04 0000 151</t>
  </si>
  <si>
    <t>Прочие субсидии бюджетам городских округов</t>
  </si>
  <si>
    <t>000 2 02 03000 00 0000 151</t>
  </si>
  <si>
    <t>Субвенции бюджетам субъектов Российской Федерации и муниципальных образований</t>
  </si>
  <si>
    <t>000 2 02 03003 00 0000 151</t>
  </si>
  <si>
    <t>Субвенции бюджетам на государственную регистрацию актов гражданского состояния</t>
  </si>
  <si>
    <t>000 2 02 03003 04 0000 151</t>
  </si>
  <si>
    <t>000 2 02 03999 00 0000 151</t>
  </si>
  <si>
    <t>Прочие субвенции</t>
  </si>
  <si>
    <t>000 2 02 03999 04 0000 151</t>
  </si>
  <si>
    <t>000 2 02 04000 00 0000 151</t>
  </si>
  <si>
    <t>Иные межбюджетные трансферты</t>
  </si>
  <si>
    <t>000 2 02 04010 00 0000 151</t>
  </si>
  <si>
    <t>Межбюджетные трансферты, передаваемые бюджетам на переселение граждан из закрытых административно-территориальных образований</t>
  </si>
  <si>
    <t>000 2 02 04010 04 0000 151</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</si>
  <si>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</si>
  <si>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</si>
  <si>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000 2 02 04025 04 0000 151</t>
  </si>
  <si>
    <t>ИТОГО ДОХОДОВ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</si>
  <si>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1"/>
        <rFont val="Times New Roman"/>
        <family val="1"/>
      </rPr>
      <t>1</t>
    </r>
    <r>
      <rPr>
        <sz val="11"/>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</si>
  <si>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1"/>
        <rFont val="Times New Roman"/>
        <family val="1"/>
      </rPr>
      <t>1</t>
    </r>
    <r>
      <rPr>
        <sz val="11"/>
        <rFont val="Times New Roman"/>
        <family val="1"/>
      </rPr>
      <t xml:space="preserve"> Налогового кодекса Российской Федерации</t>
    </r>
  </si>
  <si>
    <r>
      <t>Денежные взыскания (штрафы) за нарушение законодательства о налогах и сборах, предусмотренные статьями 116, 118, статьей 119</t>
    </r>
    <r>
      <rPr>
        <vertAlign val="superscript"/>
        <sz val="11"/>
        <rFont val="Times New Roman"/>
        <family val="1"/>
      </rPr>
      <t>1</t>
    </r>
    <r>
      <rPr>
        <sz val="11"/>
        <rFont val="Times New Roman"/>
        <family val="1"/>
      </rPr>
      <t>, пунктами 1 и 2 статьи 120, статьями 125, 126, 128, 129, 129</t>
    </r>
    <r>
      <rPr>
        <vertAlign val="superscript"/>
        <sz val="11"/>
        <rFont val="Times New Roman"/>
        <family val="1"/>
      </rPr>
      <t>1</t>
    </r>
    <r>
      <rPr>
        <sz val="11"/>
        <rFont val="Times New Roman"/>
        <family val="1"/>
      </rPr>
      <t>, 132, 133, 134, 135, 135</t>
    </r>
    <r>
      <rPr>
        <vertAlign val="superscript"/>
        <sz val="11"/>
        <rFont val="Times New Roman"/>
        <family val="1"/>
      </rPr>
      <t>1</t>
    </r>
    <r>
      <rPr>
        <sz val="11"/>
        <rFont val="Times New Roman"/>
        <family val="1"/>
      </rPr>
      <t xml:space="preserve"> Налогового кодекса Российской Федерации </t>
    </r>
  </si>
  <si>
    <t>Капитальные вложения в объекты государственной (муниципальной) собственности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</si>
  <si>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</si>
  <si>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7037520</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</si>
  <si>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</si>
  <si>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7037521</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</si>
  <si>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</si>
  <si>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7037534</t>
  </si>
  <si>
    <t>7037535</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</si>
  <si>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</si>
  <si>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(банковские, почтовые услуги, расходы на компенсацию затрат деятельности органов местного самоуправления и учреждений, находящихся в их ведении)</t>
  </si>
  <si>
    <t>7017536</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</si>
  <si>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</si>
  <si>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7017537</t>
  </si>
  <si>
    <t>Подпрограмма 2 "Подготовка объектов и систем жизнеобеспечения ЗАТО Александровск к работе в осенне-зимний период"</t>
  </si>
  <si>
    <t>7420000</t>
  </si>
  <si>
    <t>Подпрограмма 3 "Обеспечение собираемости платежей населения за оказанные жилищно-коммунальные услуги в ЗАТО Александровск"</t>
  </si>
  <si>
    <t>7430000</t>
  </si>
  <si>
    <t>7432999</t>
  </si>
  <si>
    <t>Возмещение убытков по жилищно-коммунальному хозяйству</t>
  </si>
  <si>
    <t>7436003</t>
  </si>
  <si>
    <t>Расходы на обеспечение деятельности (оказание услуг) подведомтсвенных учреждений, в том числе на предоставление муниципальным бюджетным и автономным учреждениям субсидий</t>
  </si>
  <si>
    <t>7430002</t>
  </si>
  <si>
    <t>Подпрограмма 4 "Благоустройство территории муниципального образования ЗАТО Александровск"</t>
  </si>
  <si>
    <t>7440000</t>
  </si>
  <si>
    <t>Организация наружного освещения улиц и дворовых территорий муниципального образования</t>
  </si>
  <si>
    <t>7442006</t>
  </si>
  <si>
    <t>Выплаты по решениям судов и оплата государственной пошлины</t>
  </si>
  <si>
    <t>9909999</t>
  </si>
  <si>
    <t>Обеспечение сохранности, технического обслуживания и содержания прочих объектов благоустройства</t>
  </si>
  <si>
    <t>7442007</t>
  </si>
  <si>
    <t>Мероприятия, связанные с отловом и транспортировкой безнадзорных животных</t>
  </si>
  <si>
    <t>7442008</t>
  </si>
  <si>
    <t>7442009</t>
  </si>
  <si>
    <t>7442010</t>
  </si>
  <si>
    <t>7442999</t>
  </si>
  <si>
    <t>Возмещение затрат, связанное с санитарным содержанием, техническим обслуживанием и ремонтом детских игровых площадок, расположенных на внутриквартальных территориях и (или) дворовых территориях</t>
  </si>
  <si>
    <t>7446005</t>
  </si>
  <si>
    <t>Возмещение затрат, связанное с проведением работ по поставке и установке малых архитектурных форм на детских площадках, расположенных на внутриквартальных территориях и (или) дворовых территориях</t>
  </si>
  <si>
    <t>7446006</t>
  </si>
  <si>
    <t>Подпрограмма 5 "Управление развитием системы жилищно-коммунального хозяйства ЗАТО Александровск"</t>
  </si>
  <si>
    <t>7450000</t>
  </si>
  <si>
    <t>7450002</t>
  </si>
  <si>
    <t>7422999</t>
  </si>
  <si>
    <t>7082999</t>
  </si>
  <si>
    <t>Расходы на выплаты по оплате труда главы муниципального образования</t>
  </si>
  <si>
    <t>9900101</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</si>
  <si>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</si>
  <si>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9901306</t>
  </si>
  <si>
    <t>Расходы на выплаты по оплате труда депутатов представительного органа муниципального образования</t>
  </si>
  <si>
    <t>9900301</t>
  </si>
  <si>
    <t>Расходы на выплаты по оплате труда работников органов местного самоуправления</t>
  </si>
  <si>
    <t>9900601</t>
  </si>
  <si>
    <t>Расходы на обеспечение функций работников органов местного самоуправления</t>
  </si>
  <si>
    <t>9900603</t>
  </si>
  <si>
    <t>7412095</t>
  </si>
  <si>
    <t>Взносы на проведение капитального ремонта общего имущества многоквартирных домов</t>
  </si>
  <si>
    <t>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</si>
  <si>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главы местной администрации</t>
  </si>
  <si>
    <t>8210401</t>
  </si>
  <si>
    <t>8210601</t>
  </si>
  <si>
    <t>8210603</t>
  </si>
  <si>
    <t>8211306</t>
  </si>
  <si>
    <t>8241306</t>
  </si>
  <si>
    <t>8261306</t>
  </si>
  <si>
    <t>7531306</t>
  </si>
  <si>
    <t>8011306</t>
  </si>
  <si>
    <t>8220601</t>
  </si>
  <si>
    <t>8220603</t>
  </si>
  <si>
    <t>8221306</t>
  </si>
  <si>
    <t>8251306</t>
  </si>
  <si>
    <t>8271306</t>
  </si>
  <si>
    <t>7451306</t>
  </si>
  <si>
    <t>8110601</t>
  </si>
  <si>
    <t xml:space="preserve"> 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</si>
  <si>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8110603</t>
  </si>
  <si>
    <t>8111306</t>
  </si>
  <si>
    <t>Расходы на единовременное поощрение за многолетнюю безупречную муниципальную службу и компенсационных выплат муниципальным служащим, высвобождаемым в связи с выходом на трудовую пенсию</t>
  </si>
  <si>
    <t>7030601</t>
  </si>
  <si>
    <t>7030603</t>
  </si>
  <si>
    <t>7030820</t>
  </si>
  <si>
    <t>7031306</t>
  </si>
  <si>
    <t>8230601</t>
  </si>
  <si>
    <t>8230603</t>
  </si>
  <si>
    <t>8231306</t>
  </si>
  <si>
    <t>Расходы на выплаты по оплате труда руководителя контрольно-счетной палаты муниципального образования и его заместителей</t>
  </si>
  <si>
    <t>9900501</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</si>
  <si>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</si>
  <si>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7085898</t>
  </si>
  <si>
    <t>Развитие и поддержка социальной и инженерной инфраструктуры закрытых административно-территориальных образований</t>
  </si>
  <si>
    <t>8262999</t>
  </si>
  <si>
    <t>7532009</t>
  </si>
  <si>
    <t>Мероприятия государственной программы Российской Федерации "Доступная среда" на 2011-2015 годы</t>
  </si>
  <si>
    <t>7105027</t>
  </si>
  <si>
    <t>Строительство, реконструкция, ремонт и капитальный ремонт автомобильных дорог общего пользования местного значения (на конкурсной основе)</t>
  </si>
  <si>
    <t>7707093</t>
  </si>
  <si>
    <t>Модернизация региональных систем дошкольного образования</t>
  </si>
  <si>
    <t>7085059</t>
  </si>
  <si>
    <t>Субсидия муниципальным районам (городским округам) на приобретение и установку спортивных площадок</t>
  </si>
  <si>
    <t>7217060</t>
  </si>
  <si>
    <t>Резервный фонд Правительства Мурманской области</t>
  </si>
  <si>
    <t>9992001</t>
  </si>
  <si>
    <t>Иная непрограммная деятельность</t>
  </si>
  <si>
    <t>9990000</t>
  </si>
  <si>
    <t>Ведомственная структура расходов местного бюджета ЗАТО Александровск на 2015 год</t>
  </si>
  <si>
    <t>000 2 02 04061 00 0000 151</t>
  </si>
  <si>
    <t>Межбюджетные трансферы, передаваемые бюджетам на создание и развитие сети многофукциональных центров предоставления государственных и муниципальных услуг</t>
  </si>
  <si>
    <t>000 2 02 04061 04 0000 151</t>
  </si>
  <si>
    <t>Межбюджетные трансферы, передаваемые бюджетам городских округов на создание и развитие сети многофукциональных центров предоставления государственных и муниципальных услуг</t>
  </si>
  <si>
    <t>Распределение бюджетных ассигнований по целевым статьям (муниципальным программам ЗАТО Александровск и непрограммным направлениям деятельности), группам видов расходов, разделам, подразделам классификации расходов местного бюджета ЗАТО Александровск на 2015 год</t>
  </si>
  <si>
    <t>7600000</t>
  </si>
  <si>
    <t>7900000</t>
  </si>
  <si>
    <t>7902999</t>
  </si>
  <si>
    <t>8100000</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</si>
  <si>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</si>
  <si>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</si>
  <si>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</si>
  <si>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</si>
  <si>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</si>
  <si>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</si>
  <si>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0700502</t>
  </si>
  <si>
    <t>в том числе за счет средств бюджетов других уровней бюджетной системы Российской Федерации</t>
  </si>
  <si>
    <t>13</t>
  </si>
  <si>
    <t>Органы юстиции</t>
  </si>
  <si>
    <t>100</t>
  </si>
  <si>
    <t>200</t>
  </si>
  <si>
    <t>Культура и кинематография</t>
  </si>
  <si>
    <t>700</t>
  </si>
  <si>
    <t>800</t>
  </si>
  <si>
    <t>600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</si>
  <si>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</si>
  <si>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</si>
  <si>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</si>
  <si>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 xml:space="preserve">                                             Приложение № 9</t>
  </si>
  <si>
    <t>Код ведомства</t>
  </si>
  <si>
    <t>Реализация Закона Мурманской области "О региональных нормативах финансового обеспечения образовательной деятельности в Мурманской области"</t>
  </si>
  <si>
    <t>Субвенция местным бюджетамна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</si>
  <si>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</si>
  <si>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от 24 декабря 2014 года № 99</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</si>
  <si>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</si>
  <si>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7400000</t>
  </si>
  <si>
    <t>Подпрограмма 6 "Транспортное обслуживание населения ЗАТО Александровск"</t>
  </si>
  <si>
    <t>7460000</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</si>
  <si>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</si>
  <si>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7467760</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</si>
  <si>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</si>
  <si>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7037524</t>
  </si>
  <si>
    <t>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</si>
  <si>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7037525</t>
  </si>
  <si>
    <t>8217551</t>
  </si>
  <si>
    <t>Подпрограмма 5 "Осуществление муниципальных функций, направленных на повышение эффективности управления муниципальным имуществом"</t>
  </si>
  <si>
    <t>8250000</t>
  </si>
  <si>
    <t>8255159</t>
  </si>
  <si>
    <t>7300000</t>
  </si>
  <si>
    <t>8262009</t>
  </si>
  <si>
    <t>Подпрограмма 2 "Библиотечное дело ЗАТО Александровск"</t>
  </si>
  <si>
    <t>7320000</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</si>
  <si>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</si>
  <si>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7325144</t>
  </si>
  <si>
    <t>Подпрограмма 8 "Развитие современной инфраструктуры системы образования ЗАТО Александровск"</t>
  </si>
  <si>
    <t>7080000</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</si>
  <si>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</si>
  <si>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</si>
  <si>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</si>
  <si>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</si>
  <si>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</si>
  <si>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</si>
  <si>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</si>
  <si>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</si>
  <si>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</si>
  <si>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Управление образования  администрации ЗАТО Александровск</t>
  </si>
  <si>
    <t>918</t>
  </si>
  <si>
    <r>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t>
    </r>
    <r>
      <rPr>
        <b/>
        <i/>
        <sz val="12"/>
        <rFont val="Times New Roman"/>
        <family val="1"/>
      </rPr>
      <t xml:space="preserve"> </t>
    </r>
    <r>
      <rPr>
        <i/>
        <sz val="12"/>
        <rFont val="Times New Roman"/>
        <family val="1"/>
      </rPr>
      <t>земельного законодательства, лесного законодательства, водного законодательства</t>
    </r>
  </si>
  <si>
    <t>Субсидии бюджетам бюджетной системы Российской Федерации (межбюджетные субсидии)</t>
  </si>
  <si>
    <t>Функционирование высшего должностного лица субъекта Российской Федерации и муниципального образования</t>
  </si>
  <si>
    <t>7800000</t>
  </si>
  <si>
    <t>7802009</t>
  </si>
  <si>
    <t>7802999</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</si>
  <si>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</si>
  <si>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</si>
  <si>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</si>
  <si>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8010000</t>
  </si>
  <si>
    <t>8010002</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</si>
  <si>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</si>
  <si>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8030000</t>
  </si>
  <si>
    <t>8036007</t>
  </si>
  <si>
    <t>8040002</t>
  </si>
  <si>
    <t>8044001</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</si>
  <si>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</si>
  <si>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</si>
  <si>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8240000</t>
  </si>
  <si>
    <t>8240002</t>
  </si>
  <si>
    <t>8250002</t>
  </si>
  <si>
    <t>Подпрограмма 6 "Обслуживание деятельности органов местного самоуправления"</t>
  </si>
  <si>
    <t>8260000</t>
  </si>
  <si>
    <t>8260002</t>
  </si>
  <si>
    <t>от 24 декабря 2014 года №99</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</si>
  <si>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</si>
  <si>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8270000</t>
  </si>
  <si>
    <t>8270002</t>
  </si>
  <si>
    <t>8222014</t>
  </si>
  <si>
    <t>8220000</t>
  </si>
  <si>
    <t>8222015</t>
  </si>
  <si>
    <t>8215930</t>
  </si>
  <si>
    <t>Подпрограмма 1 "Совершенствование финансовой и бюджетной политики"</t>
  </si>
  <si>
    <t>8110000</t>
  </si>
  <si>
    <t>Обслуживание государственного внутреннего и муниципального долга</t>
  </si>
  <si>
    <t>Подпрограмма 2 "Эффективное управление муниципальным долгом"</t>
  </si>
  <si>
    <t>8120000</t>
  </si>
  <si>
    <t>Процентные платежи по муниципальному долгу</t>
  </si>
  <si>
    <t>8122012</t>
  </si>
  <si>
    <t>7102009</t>
  </si>
  <si>
    <t>7700000</t>
  </si>
  <si>
    <t>Ремонт автомобильных дорог общего пользования местного значения</t>
  </si>
  <si>
    <t>7702004</t>
  </si>
  <si>
    <t>Содержание автомобильных дорог общего пользования местного значения, за исключением капитального ремонта и ремонта</t>
  </si>
  <si>
    <t>7702005</t>
  </si>
  <si>
    <t>7702999</t>
  </si>
  <si>
    <t>7500000</t>
  </si>
  <si>
    <t>Подпрограмма 1 "Профилактика правонарушений, обеспечение безопасности населения ЗАТО Александровск"</t>
  </si>
  <si>
    <t>7510000</t>
  </si>
  <si>
    <t>Мероприятия по развитию и обслуживанию системы АПК "Безопасный город"</t>
  </si>
  <si>
    <t>7512011</t>
  </si>
  <si>
    <t>Подпрограмма 2 "Повышение безопасности дорожного движения и снижение дорожно-транспортного травматизма в ЗАТО Александровск"</t>
  </si>
  <si>
    <t>7520000</t>
  </si>
  <si>
    <t>7522999</t>
  </si>
  <si>
    <t>Подпрограмма 3 "Защита населения и территории ЗАТО Александровск от чрезвычайных ситуаций, мероприятия в области гражданской обороны"</t>
  </si>
  <si>
    <t>7530000</t>
  </si>
  <si>
    <t>7530002</t>
  </si>
  <si>
    <t>7532999</t>
  </si>
  <si>
    <t>8042999</t>
  </si>
  <si>
    <t>Подпрограмма 8 "Развитие муниципальной службы ЗАТО Александровск"</t>
  </si>
  <si>
    <t>8280000</t>
  </si>
  <si>
    <t>8282999</t>
  </si>
  <si>
    <t>7534001</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</si>
  <si>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</si>
  <si>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9908001</t>
  </si>
  <si>
    <t>7312999</t>
  </si>
  <si>
    <t>7310002</t>
  </si>
  <si>
    <t>7320002</t>
  </si>
  <si>
    <t>Подпрограмма 3 "Музейное дело ЗАТО Александровск"</t>
  </si>
  <si>
    <t>7330000</t>
  </si>
  <si>
    <t>7330002</t>
  </si>
  <si>
    <t>Подпрограмма 4 "Сохранение и реконструкция военно-мемориальных объектов ЗАТО Александровск"</t>
  </si>
  <si>
    <t>7340000</t>
  </si>
  <si>
    <t>7342009</t>
  </si>
  <si>
    <t>7342999</t>
  </si>
  <si>
    <t>Подпрограмма 5 "Модернизация учреждений культуры и дополнительного образования в сфере культуры ЗАТО Александровск"</t>
  </si>
  <si>
    <t>7350000</t>
  </si>
  <si>
    <t>7352009</t>
  </si>
  <si>
    <t>7352999</t>
  </si>
  <si>
    <t>7212999</t>
  </si>
  <si>
    <t>Подпрограмма 2 "Молодежь ЗАТО Александровск"</t>
  </si>
  <si>
    <t>7220000</t>
  </si>
  <si>
    <t>Стипендии и премии главы администрации ЗАТО Александровск</t>
  </si>
  <si>
    <t>7222001</t>
  </si>
  <si>
    <t>7222999</t>
  </si>
  <si>
    <t>Подпрограмма 3 "Патриотическое воспитание граждан"</t>
  </si>
  <si>
    <t>7230000</t>
  </si>
  <si>
    <t>7230002</t>
  </si>
  <si>
    <t>Подпрограмма 4 "SOS!"</t>
  </si>
  <si>
    <t>7240000</t>
  </si>
  <si>
    <t>7242999</t>
  </si>
  <si>
    <t>Подпрограмма 3 "Обеспечение деятельности управления культуры, спорта и молодежной политики администрации ЗАТО Александровск"</t>
  </si>
  <si>
    <t>8230000</t>
  </si>
  <si>
    <t>Мероприятия по землеустройству и землепользованию</t>
  </si>
  <si>
    <t>Периодическая печать и издательства</t>
  </si>
  <si>
    <t>Физическая культура и спорт</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</si>
  <si>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</si>
  <si>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и муниципального долга</t>
  </si>
  <si>
    <t>11</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</si>
  <si>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</si>
  <si>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7082009</t>
  </si>
  <si>
    <t>Целевая статья</t>
  </si>
  <si>
    <t>Вид расхода</t>
  </si>
  <si>
    <t>Раздел</t>
  </si>
  <si>
    <t>Подраздел</t>
  </si>
  <si>
    <t>контрольно-счетная палата ЗАТО Александровск</t>
  </si>
  <si>
    <t>7017103</t>
  </si>
  <si>
    <t>7027103</t>
  </si>
  <si>
    <t>Подпрограмма 1 "Развитие творческого потенциала и организация досуга населения ЗАТО Александровск"</t>
  </si>
  <si>
    <t>7310000</t>
  </si>
  <si>
    <t>7317103</t>
  </si>
  <si>
    <t>7327103</t>
  </si>
  <si>
    <t>7017533</t>
  </si>
  <si>
    <t>7027533</t>
  </si>
  <si>
    <t>7037552</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</si>
  <si>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</si>
  <si>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7017511</t>
  </si>
  <si>
    <t>7027511</t>
  </si>
  <si>
    <t>7317511</t>
  </si>
  <si>
    <t>7327511</t>
  </si>
  <si>
    <t>Субсидия муниципальным образованиям на предоставление поддержки малоимущим гражданам на установку приборов учета используемых энергоресурсов (подтвержденные остатки прошлых лет)</t>
  </si>
  <si>
    <t>7807917</t>
  </si>
  <si>
    <t>Охрана объектов растительного и животного мира и среды их обитания</t>
  </si>
  <si>
    <t>Субсидии бюджетам муниципальных образований на реализацию мероприятий, направленных на снижение негативного воздействия отходов производства и потребления на природную среду (подтвержденные остатки прошлых лет)</t>
  </si>
  <si>
    <t>7607911</t>
  </si>
  <si>
    <t>Адресная программа поэтапного перехода на отпуск ресурсопотреблений в соответствии с показаниями коллективных приборов учета (подтвержденные остатки прошлых лет)</t>
  </si>
  <si>
    <t>7807918</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</si>
  <si>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</si>
  <si>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7317510</t>
  </si>
  <si>
    <t>7327510</t>
  </si>
  <si>
    <t>7017510</t>
  </si>
  <si>
    <t>7027510</t>
  </si>
  <si>
    <t>8217556</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</si>
  <si>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</si>
  <si>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7010002</t>
  </si>
  <si>
    <t>7020002</t>
  </si>
  <si>
    <t>Подпрограмма 4 "Обеспечение информационно-методического сопровождения образовательного процесса муниципальных учреждений"</t>
  </si>
  <si>
    <t>7040000</t>
  </si>
  <si>
    <t>7040002</t>
  </si>
  <si>
    <t>Подпрограмма 5 "Обеспечение хозяйственно-эксплуатационного обслуживания учреждений системы образования ЗАТО Александровск"</t>
  </si>
  <si>
    <t>7050000</t>
  </si>
  <si>
    <t>7050002</t>
  </si>
  <si>
    <t>7060002</t>
  </si>
  <si>
    <t>Подпрограмма 7 "Организация отдыха, оздоровления и занятости детей и молодежи ЗАТО Александровск"</t>
  </si>
  <si>
    <t>7070000</t>
  </si>
  <si>
    <t>7072999</t>
  </si>
  <si>
    <t>Мероприятия, связанные со строительством (реконструкцией) объектов муниципальной собственности</t>
  </si>
  <si>
    <t>7084001</t>
  </si>
  <si>
    <t>Возмещение затрат в связи с осуществлением регулярных пассажирских перевозок на социально-значимых маршрутах</t>
  </si>
  <si>
    <t>7466001</t>
  </si>
  <si>
    <t>Подпрограмма 1 "Капитальный ремонт многоквартирных домов ЗАТО Александровск"</t>
  </si>
  <si>
    <t>7410000</t>
  </si>
  <si>
    <t>Капитальный и текущий ремонт объектов муниципальной собственности</t>
  </si>
  <si>
    <t>7412009</t>
  </si>
  <si>
    <t>Капитальный и текущий ремонт объектов жилищно-коммунального хозяйства</t>
  </si>
  <si>
    <t>7422010</t>
  </si>
  <si>
    <t>Субсидии бюджетам городских округов на модернизацию региональных систем дошкольного образования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</si>
  <si>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</si>
  <si>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</si>
  <si>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</si>
  <si>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</si>
  <si>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000 2 02 02204 00 0000 151</t>
  </si>
  <si>
    <t>Субсидии бюджетам на модернизацию региональных систем дошкольного образования</t>
  </si>
  <si>
    <t>000 2 02 02204 04 0000 151</t>
  </si>
  <si>
    <t>000 2 02 03027 00 0000 151</t>
  </si>
  <si>
    <t>Субвенции бюджетам на содержание ребенка в семье опекуна и приемной семье, а также вознаграждение, причитающееся приемному родителю</t>
  </si>
  <si>
    <t>000 2 02 03027 04 0000 151</t>
  </si>
  <si>
    <t>000 2 02 03029 00 0000 151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</si>
  <si>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</si>
  <si>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000 2 02 03029 04 0000 151</t>
  </si>
  <si>
    <t>Расходы на единовременное поощрение за многолетнюю безупречную муниципальную службу, выплачиваемое муниципальным служащим</t>
  </si>
  <si>
    <t>8210821</t>
  </si>
  <si>
    <t>7447066</t>
  </si>
  <si>
    <t>Субсидия бюджетам муниципальных образований Мурманской области на осуществление деятельности по регулированию численности бродячих животных, проводимой в рамках эксплуатации объектов благоустройства</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</si>
  <si>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</si>
  <si>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</si>
  <si>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9905120</t>
  </si>
  <si>
    <t>7512999</t>
  </si>
  <si>
    <t>Возмещение затрат на производство и выпуск газеты "Полярный вестник"</t>
  </si>
  <si>
    <t>Муниципальная программа ЗАТО Александровск "Развитие образования" на 2014 - 2020 годы</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</si>
  <si>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2014 - 2020 годы</t>
  </si>
  <si>
    <t>Муниципальная программа ЗАТО Александровск "Эффективное муниципальное управление" на 2014 - 2020 годы</t>
  </si>
  <si>
    <t>Муниципальная программа "Повышение качества жизни отдельных категорий граждан ЗАТО Александровск" на 2014 - 2020 годы</t>
  </si>
  <si>
    <t>Муниципальная программа ЗАТО Александровск "Развитие физической культуры, спорта и молодежной политики" на 2014 - 2020 годы</t>
  </si>
  <si>
    <t>Муниципальная программа ЗАТО Александровск "Развитие культуры и сохранение культурного наследия" на 2014 - 2020 годы</t>
  </si>
  <si>
    <t>Муниципальная программа "Обеспечение комплексной безопасности населения ЗАТО Александровск" на 2014 - 2020 годы</t>
  </si>
  <si>
    <t>Муниципальная программа ЗАТО Александровск "Энергоэффективность и развитие энергетики" на 2014 - 2020 годы</t>
  </si>
  <si>
    <t>Муниципальная программа "Развитие инвестиционной деятельности муниципального образования ЗАТО Александровск" на 2014 - 2020 годы</t>
  </si>
  <si>
    <t>Муниципальная программа ЗАТО Александровск "Информационное общество" на 2014 - 2020 годы</t>
  </si>
  <si>
    <t>Муниципальная программа ЗАТО Александровск "Обеспечение комфортной среды проживания населения муниципального образования" на 2014 - 2020 годы</t>
  </si>
  <si>
    <t>Муниципальная программа "Развитие транспортной системы ЗАТО Александровск" на 2014 - 2020 годы</t>
  </si>
  <si>
    <t>Муниципальная программа ЗАТО Александровск "Охрана окружающей среды" на 2014 - 2020 годы</t>
  </si>
  <si>
    <t>9902009</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</si>
  <si>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</si>
  <si>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</si>
  <si>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Дорожное хозяйство (дорожные фонды)</t>
  </si>
  <si>
    <t>Иные бюджетные ассигнования</t>
  </si>
  <si>
    <t>Резервные средства</t>
  </si>
  <si>
    <t>870</t>
  </si>
  <si>
    <t>Организация отдыха детей Мурманской области в оздоровительных учреждениях с дневныи пребываением, организованных на базе муниципальных учреждений</t>
  </si>
  <si>
    <t>Социальное обеспечение и иные выплаты населению</t>
  </si>
  <si>
    <t>300</t>
  </si>
  <si>
    <t>7002002</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</si>
  <si>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</si>
  <si>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</si>
  <si>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</si>
  <si>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</si>
  <si>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 xml:space="preserve">                                             Приложение № 5</t>
  </si>
  <si>
    <t xml:space="preserve">Источники финансирования </t>
  </si>
  <si>
    <t>дефицита местного бюджета ЗАТО Александровск на 2015 год</t>
  </si>
  <si>
    <t xml:space="preserve">рублей </t>
  </si>
  <si>
    <t>№№</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</si>
  <si>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</si>
  <si>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Код бюджетной классификации</t>
  </si>
  <si>
    <t>главный админи-стратор</t>
  </si>
  <si>
    <t>группа</t>
  </si>
  <si>
    <t>под-группа</t>
  </si>
  <si>
    <t>статья</t>
  </si>
  <si>
    <t>под-статья</t>
  </si>
  <si>
    <t>эле-мент</t>
  </si>
  <si>
    <t>прог-рамма</t>
  </si>
  <si>
    <t>Класси-фикация операций сектора государст-венного управле-ния</t>
  </si>
  <si>
    <t>Кредиты кредитных организаций в валюте Российской Федерации</t>
  </si>
  <si>
    <t>0000</t>
  </si>
  <si>
    <t>000</t>
  </si>
  <si>
    <t>1.1</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</si>
  <si>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</si>
  <si>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</si>
  <si>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710</t>
  </si>
  <si>
    <t>1.2</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</si>
  <si>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</si>
  <si>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</si>
  <si>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810</t>
  </si>
  <si>
    <t>Бюджетные кредиты от других бюджетов бюджетной системы Российской Федерации</t>
  </si>
  <si>
    <t>2.1</t>
  </si>
  <si>
    <t>Бюджетные кредиты от других бюджетов бюджетной системы Российской Федерации в валюте Российской Федерации</t>
  </si>
  <si>
    <t>2.1.1</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</si>
  <si>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</si>
  <si>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</si>
  <si>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2.1.2</t>
  </si>
  <si>
    <t>Погашение бюджетных кредитов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</si>
  <si>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</si>
  <si>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</si>
  <si>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3.1</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</si>
  <si>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</si>
  <si>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</si>
  <si>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</si>
  <si>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640</t>
  </si>
  <si>
    <t>Возврат бюджетных кредитов, предоставленных юридическим лицам из бюджетов городских округов в валюте Российской Федерации</t>
  </si>
  <si>
    <t>3</t>
  </si>
  <si>
    <t>Изменение остатков средств на счетах по учету средств бюджета</t>
  </si>
  <si>
    <t>Увеличение остатков средств бюджетов</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</si>
  <si>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</si>
  <si>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</si>
  <si>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</si>
  <si>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</si>
  <si>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городских округов</t>
  </si>
  <si>
    <t>3.2</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</si>
  <si>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</si>
  <si>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</si>
  <si>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</si>
  <si>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</si>
  <si>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городских округов</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</si>
  <si>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</si>
  <si>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</si>
  <si>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</si>
  <si>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ИТОГО ИСТОЧНИКОВ ВНУТРЕННЕГО ФИНАНСИРОВАНИЯ ДЕФИЦИТА БЮДЖЕТА</t>
  </si>
  <si>
    <t>000 2 02 02051 00 0000 151</t>
  </si>
  <si>
    <t>Субсидии бюджетам на реализацию федеральных целевых программ</t>
  </si>
  <si>
    <t>000 2 02 02051 04 0000 151</t>
  </si>
  <si>
    <t>Субсидии бюджетам городских округов на реализацию федеральных целевых программ</t>
  </si>
  <si>
    <t>000 2 02 02215 00 0000 151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</si>
  <si>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</si>
  <si>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000 2 02 02215 04 0000 151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</si>
  <si>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</si>
  <si>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Сельское хозяйство и рыболовство</t>
  </si>
  <si>
    <t>Субвенция на осуществление деятельности по отлову и содержанию безнадзорных животных</t>
  </si>
  <si>
    <t>7447559</t>
  </si>
  <si>
    <t>Субсидия на создание в общеобразовательных организациях, расположенных в сельской местности, условий для занятий физической культурой и спортом</t>
  </si>
  <si>
    <t>7085097</t>
  </si>
  <si>
    <t>Культура, кинематография</t>
  </si>
  <si>
    <t>Субвенция на организацию осуществления деятельности по отлову и содержанию безнадзорных животных</t>
  </si>
  <si>
    <t>7447560</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</si>
  <si>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</si>
  <si>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</si>
  <si>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</si>
  <si>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 xml:space="preserve">                                             Приложение № 6</t>
  </si>
  <si>
    <t xml:space="preserve">                                             Приложение № 7</t>
  </si>
  <si>
    <t>Оценка недвижимости, признание прав и регулирование отношений по государственной и муниципальной собственности</t>
  </si>
  <si>
    <t>Наименование</t>
  </si>
  <si>
    <t>Сумма</t>
  </si>
  <si>
    <t>01</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</si>
  <si>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</si>
  <si>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</si>
  <si>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</si>
  <si>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</si>
  <si>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</si>
  <si>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</si>
  <si>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</si>
  <si>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</si>
  <si>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</si>
  <si>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</si>
  <si>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</si>
  <si>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</si>
  <si>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</si>
  <si>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</si>
  <si>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</si>
  <si>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</si>
  <si>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</si>
  <si>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</si>
  <si>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</si>
  <si>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</si>
  <si>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</si>
  <si>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</si>
  <si>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</si>
  <si>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</si>
  <si>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</si>
  <si>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</si>
  <si>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</si>
  <si>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</si>
  <si>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</si>
  <si>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</si>
  <si>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рублей</t>
  </si>
  <si>
    <t>Пенсионное обеспечение</t>
  </si>
  <si>
    <t>Раз-дел</t>
  </si>
  <si>
    <t>Другие вопросы в области национальной безопасности и правоохранительной деятельности</t>
  </si>
  <si>
    <t>Другие вопросы в области социальной политики</t>
  </si>
  <si>
    <t>Прочие расходы администрации ЗАТО Александровск</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</si>
  <si>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</si>
  <si>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</si>
  <si>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Обеспечение бесплатным питанием отдельных категорий обучающихся</t>
  </si>
  <si>
    <t>Охрана семьи и детства</t>
  </si>
  <si>
    <t xml:space="preserve">                                             Приложение № 8</t>
  </si>
  <si>
    <t>400</t>
  </si>
  <si>
    <t>Обслуживание государственного (муниципального) долга</t>
  </si>
  <si>
    <t>924</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</si>
  <si>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</si>
  <si>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Обеспечение деятельности финансовых, налоговых и таможенных органов и органов финансового (финансово-бюджетного) надзора</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</si>
  <si>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</si>
  <si>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Непрограммная деятельность</t>
  </si>
  <si>
    <t>9900000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</si>
  <si>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</si>
  <si>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</si>
  <si>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8000000</t>
  </si>
  <si>
    <t>Подпрограмма 2 "Развитие информационного общества и формирование электронного правительства"</t>
  </si>
  <si>
    <t>8020000</t>
  </si>
  <si>
    <t>Прочие направления деятельности муниципальной программы</t>
  </si>
  <si>
    <t>8022999</t>
  </si>
  <si>
    <t>8200000</t>
  </si>
  <si>
    <t>Подпрограмма 1 "Обеспечение деятельности администрации ЗАТО Александровск"</t>
  </si>
  <si>
    <t>8210000</t>
  </si>
  <si>
    <t>Непрограммная часть</t>
  </si>
  <si>
    <t>Резервный фонд администрации ЗАТО Александровск</t>
  </si>
  <si>
    <t>9902002</t>
  </si>
  <si>
    <t>8217554</t>
  </si>
  <si>
    <t>Реализация Закона Мурманской области "Об административных комиссиях"</t>
  </si>
  <si>
    <t>8217555</t>
  </si>
  <si>
    <t>9902013</t>
  </si>
  <si>
    <t>7100000</t>
  </si>
  <si>
    <t>Прочие направления расходов муниципальной программы</t>
  </si>
  <si>
    <t>7102999</t>
  </si>
  <si>
    <t>Предоставление субсидий социально-ориентированным некоммерческим организациям</t>
  </si>
  <si>
    <t>7106004</t>
  </si>
  <si>
    <t>Предоставление субсидий бюджетным, автономным учреждениям и иным некоммерческим организациям</t>
  </si>
  <si>
    <t>7000000</t>
  </si>
  <si>
    <t>Подпрограмма 6 "Школьное здоровое питание"</t>
  </si>
  <si>
    <t>7067104</t>
  </si>
  <si>
    <t>7060000</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</si>
  <si>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</si>
  <si>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8027057</t>
  </si>
  <si>
    <t>Подпрограмма 4 "Создание и развитие многофункционального центра предоставления государственных и муниципальных услуг ЗАТО Александровск"</t>
  </si>
  <si>
    <t>8040000</t>
  </si>
  <si>
    <t>Создание и развитие сети МФЦ предоставления государственных и муниципальных услуг</t>
  </si>
  <si>
    <t>8047056</t>
  </si>
  <si>
    <t>Другие вопросы в области физической культуры и спорта</t>
  </si>
  <si>
    <t>7200000</t>
  </si>
  <si>
    <t>7077105</t>
  </si>
  <si>
    <t>7332999</t>
  </si>
  <si>
    <t>Подпрограмма 1 "Развитие физической культуры и спорта"</t>
  </si>
  <si>
    <t>7210000</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</si>
  <si>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</si>
  <si>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7217539</t>
  </si>
  <si>
    <t>Подпрограмма 2 "Обеспечение предоставления муниципальных услуг в сфере общего и дополнительного образования"</t>
  </si>
  <si>
    <t>7020000</t>
  </si>
  <si>
    <t>7027531</t>
  </si>
  <si>
    <t>Подпрограмма 1 "Качественное и доступное дошкольное образование"</t>
  </si>
  <si>
    <t>7010000</t>
  </si>
  <si>
    <t>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</si>
  <si>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7017538</t>
  </si>
  <si>
    <t>ВСЕГО расходов</t>
  </si>
  <si>
    <t>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</si>
  <si>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7017062</t>
  </si>
  <si>
    <t>7027062</t>
  </si>
  <si>
    <t>7317062</t>
  </si>
  <si>
    <t>7327062</t>
  </si>
  <si>
    <t>7337062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</si>
  <si>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</si>
  <si>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8217553</t>
  </si>
  <si>
    <t>7067532</t>
  </si>
  <si>
    <t>Подпрограмма 3 "Развитие системы образования через эффективное выполнение муниципальных функций"</t>
  </si>
  <si>
    <t>7030000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</si>
  <si>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</si>
  <si>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поступающие в порядке возмещения расходов, понесенных в связи с эксплуатацией имущества городских округов</t>
  </si>
  <si>
    <t>Субвенции бюджетам городских округов на государственную регистрацию актов гражданского состояния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</si>
  <si>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</si>
  <si>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</si>
  <si>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</si>
  <si>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Распределение бюджетных ассигнований местного бюджета ЗАТО Александровск на реализацию муниципальных  программ ЗАТО Александровск на 2015 год и на плановый период 2016 и 2017 годов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</si>
  <si>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</si>
  <si>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</si>
  <si>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</si>
  <si>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Межбюджетные трансферты, передаваемые бюджетам городских округов на переселение граждан из закрытых административно - территориальных образований</t>
  </si>
  <si>
    <t>Дотации бюджетам городских округов на выравнивание бюджетной обеспеченнности</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</si>
  <si>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</si>
  <si>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</si>
  <si>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доходы от компенсации затрат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</si>
  <si>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</si>
  <si>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Прочие субвенции бюджетам городских округов</t>
  </si>
  <si>
    <t>Расходы на компенсационные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</si>
  <si>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9900840</t>
  </si>
  <si>
    <t>8045392</t>
  </si>
  <si>
    <t>8210820</t>
  </si>
  <si>
    <t>Государственная регистрация актов гражданского состояния</t>
  </si>
  <si>
    <t>9902022</t>
  </si>
  <si>
    <t xml:space="preserve">               от 24 декабря 2014 года № 99</t>
  </si>
  <si>
    <t>в редакции решения Совета депутатов ЗАТО Александровск</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</si>
  <si>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</si>
  <si>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</si>
  <si>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</si>
  <si>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</si>
  <si>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</si>
  <si>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</si>
  <si>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</si>
  <si>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физичесих лиц, обладающих земельным участком, расположенным в границах городских округов</t>
  </si>
  <si>
    <t xml:space="preserve">Переселение граждан из закрытых административно-территориальных образований </t>
  </si>
  <si>
    <t>Переселение граждан из закрытых административно-территориальных образований</t>
  </si>
  <si>
    <t>000 1 13 00000 00 0000 000</t>
  </si>
  <si>
    <t>Доходы от компенсации затрат государства</t>
  </si>
  <si>
    <t>000 1 13 02000 00 0000 130</t>
  </si>
  <si>
    <t>000 1 13 02994 04 0000 130</t>
  </si>
  <si>
    <t xml:space="preserve">                                             Приложение № 4</t>
  </si>
  <si>
    <t>Объем поступлений доходов местного бюджета ЗАТО Александровск                                                                                                                                                                            на 2015 год</t>
  </si>
  <si>
    <t>7232999</t>
  </si>
  <si>
    <t>Коды бюджетной классификации Российской Федерации</t>
  </si>
  <si>
    <t>Наименование доходов</t>
  </si>
  <si>
    <t>000 1 00 00000 00 0000 000</t>
  </si>
  <si>
    <t>НАЛОГОВЫЕ И НЕНАЛОГОВЫЕ ДОХОДЫ</t>
  </si>
  <si>
    <t>НАЛОГОВЫЕ ДОХОДЫ</t>
  </si>
  <si>
    <t>из них:</t>
  </si>
  <si>
    <t>000 1 01 00000 00 0000 000</t>
  </si>
  <si>
    <t>Налоги на прибыль, доходы</t>
  </si>
  <si>
    <t>000 1 01 02000 01 0000 110</t>
  </si>
  <si>
    <t>Налог на доходы физических лиц</t>
  </si>
  <si>
    <t>000 1 01 02010 01 0000 110</t>
  </si>
  <si>
    <t>000 1 01 02020 01 0000 110</t>
  </si>
  <si>
    <t xml:space="preserve">                                             Приложение № 1</t>
  </si>
  <si>
    <t xml:space="preserve">Перечень главных администраторов доходов бюджета ЗАТО Александровск - органов местного самоуправления или органов администрации                                                              ЗАТО Александровск с правами юридических лиц </t>
  </si>
  <si>
    <t>Код бюджетной классификации Российской Федерации</t>
  </si>
  <si>
    <t>Наименование главного администратора (администратора) доходов местного бюджета</t>
  </si>
  <si>
    <t>код главного администратора</t>
  </si>
  <si>
    <t>код дохода</t>
  </si>
  <si>
    <t>Администрация ЗАТО Александровск</t>
  </si>
  <si>
    <t>1 11 07014 04 0000 120</t>
  </si>
  <si>
    <t>1 13 01994 04 0000 130</t>
  </si>
  <si>
    <t>Прочие доходы от оказания платных услуг (работ) получателями средств бюджетов городских округов</t>
  </si>
  <si>
    <t>1 13 02064 04 0000 130</t>
  </si>
  <si>
    <t>1 14 02043 04 0000 410</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</si>
  <si>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</si>
  <si>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</si>
  <si>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2 02 03003 04 0000 151</t>
  </si>
  <si>
    <t>1 08 07150 01 1000 110</t>
  </si>
  <si>
    <t>Государственная пошлина за выдачу разрешения на установку рекламной конструкции</t>
  </si>
  <si>
    <t>1 08 07150 01 4000 110</t>
  </si>
  <si>
    <t>1 11 05012 04 0000 120</t>
  </si>
  <si>
    <t>1 11 05024 04 0000 120</t>
  </si>
  <si>
    <t>1 11 05034 04 0000 120</t>
  </si>
  <si>
    <t>1 11 09044 04 0000 120</t>
  </si>
  <si>
    <t>2 02 02008 04 0000 151</t>
  </si>
  <si>
    <t>Субсидии бюджетам городских округов на обеспечение жильем молодых семей</t>
  </si>
  <si>
    <t>2 02 02051 04 0000 151</t>
  </si>
  <si>
    <t>2 02 02204 04 0000 151</t>
  </si>
  <si>
    <t>2 02 04010 04 0000 151</t>
  </si>
  <si>
    <t>2 02 04061 04 0000 151</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</si>
  <si>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</si>
  <si>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2 02 01001 04 0000 151</t>
  </si>
  <si>
    <t>2 02 01007 04 0000151</t>
  </si>
  <si>
    <t>2 08 04000 04 0000 180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</si>
  <si>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</si>
  <si>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Управление образования администрации ЗАТО Александровск</t>
  </si>
  <si>
    <t>2 02 03027 04 0000 151</t>
  </si>
  <si>
    <t>2 02 03029 04 0000 151</t>
  </si>
  <si>
    <t>Управление культуры, спорта и молодежной политики администрации                                                                                                                                                                             ЗАТО Александровск</t>
  </si>
  <si>
    <t>2 02 04025 04 0000 151</t>
  </si>
  <si>
    <t xml:space="preserve">Иные доходы местного бюджета, администрирование которых может осуществляться главными администраторами доходов - органами местного самоуправления или органами администрации ЗАТО Александровск с правами юридических лиц, в пределах их компетенции </t>
  </si>
  <si>
    <t xml:space="preserve"> 1 13 02994 04 0000 130</t>
  </si>
  <si>
    <t>1 16 90040 04 0000 140</t>
  </si>
  <si>
    <t>1 17 01040 04 0000 180</t>
  </si>
  <si>
    <t>Невыясненные поступления, зачисляемые в бюджеты городских округов</t>
  </si>
  <si>
    <t>2 02 02999 04 0000 151</t>
  </si>
  <si>
    <t>Прочие субсидии бюджетам гороских округов</t>
  </si>
  <si>
    <t>2 02 03999 04 0000 151</t>
  </si>
  <si>
    <t>2 18 04010 04 0000 180</t>
  </si>
  <si>
    <t>Доходы бюджетов городских округов от возврата бюджетными учреждениями остатков субсидий прошлых лет</t>
  </si>
  <si>
    <t>2 18 04020 04 0000 180</t>
  </si>
  <si>
    <t>Доходы бюджетов городских округов от возврата автономными учреждениями остатков субсидий прошлых лет</t>
  </si>
  <si>
    <t>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</si>
  <si>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</si>
  <si>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000 2 02 02008 00 0000 151</t>
  </si>
  <si>
    <t>Субсидии бюджетам на обеспечение жильем молодых семей</t>
  </si>
  <si>
    <t>000 2 02 02008 04 0000 151</t>
  </si>
  <si>
    <t>В пояснительную</t>
  </si>
  <si>
    <t>Изменения в областной бюджет нет в росписи</t>
  </si>
  <si>
    <t>Изм. В областной бюджет есть в росписи</t>
  </si>
  <si>
    <t>Изм. В областной бюджет нет в росписи</t>
  </si>
  <si>
    <t>Изменения в ОБ нет в росписи</t>
  </si>
  <si>
    <t>учтено в росписи</t>
  </si>
  <si>
    <t xml:space="preserve">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</si>
  <si>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7475020</t>
  </si>
  <si>
    <t>Субсидии для предоставления социальных выплат молодым семьям для улучшения жилищных условий</t>
  </si>
  <si>
    <t>7477102</t>
  </si>
  <si>
    <t>7604001</t>
  </si>
  <si>
    <t xml:space="preserve">от 22 сентября  2015 года № 40       </t>
  </si>
  <si>
    <t xml:space="preserve">от 22 сентября  2015 года № 40  </t>
  </si>
  <si>
    <t xml:space="preserve"> от 22 сентября  2015 года № 40</t>
  </si>
  <si>
    <t>от 22 сентября  2015 года № 40</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</si>
</sst>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_-* #,##0.0_р_._-;\-* #,##0.0_р_._-;_-* &quot;-&quot;??_р_._-;_-@_-"/>
    <numFmt numFmtId="178" formatCode="_-* #,##0.0_р_._-;\-* #,##0.0_р_._-;_-* &quot;-&quot;?_р_._-;_-@_-"/>
    <numFmt numFmtId="179" formatCode="[$€-2]\ ###,000_);[Red]\([$€-2]\ ###,000\)"/>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0"/>
    <numFmt numFmtId="190" formatCode="#,##0.00000"/>
  </numFmts>
  <fonts count="46">
    <font>
      <sz val="10"/>
      <name val="Arial Cyr"/>
      <family val="0"/>
    </font>
    <font>
      <sz val="12"/>
      <name val="Times New Roman"/>
      <family val="1"/>
    </font>
    <font>
      <b/>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sz val="8"/>
      <name val="Arial Cyr"/>
      <family val="0"/>
    </font>
    <font>
      <b/>
      <sz val="15"/>
      <name val="Times New Roman"/>
      <family val="1"/>
    </font>
    <font>
      <b/>
      <sz val="13"/>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Cyr"/>
      <family val="0"/>
    </font>
    <font>
      <sz val="11"/>
      <name val="Times New Roman"/>
      <family val="1"/>
    </font>
    <font>
      <b/>
      <i/>
      <sz val="12"/>
      <name val="Times New Roman"/>
      <family val="1"/>
    </font>
    <font>
      <i/>
      <sz val="12"/>
      <name val="Times New Roman"/>
      <family val="1"/>
    </font>
    <font>
      <vertAlign val="superscript"/>
      <sz val="11"/>
      <name val="Times New Roman"/>
      <family val="1"/>
    </font>
    <font>
      <i/>
      <sz val="11"/>
      <name val="Times New Roman"/>
      <family val="1"/>
    </font>
    <font>
      <i/>
      <sz val="14"/>
      <name val="Times New Roman"/>
      <family val="1"/>
    </font>
    <font>
      <sz val="8"/>
      <name val="Tahoma"/>
      <family val="0"/>
    </font>
    <font>
      <b/>
      <sz val="8"/>
      <name val="Tahoma"/>
      <family val="0"/>
    </font>
    <font>
      <sz val="12"/>
      <color indexed="10"/>
      <name val="Times New Roman"/>
      <family val="1"/>
    </font>
    <font>
      <b/>
      <sz val="14"/>
      <name val="Times New Roman Cyr"/>
      <family val="1"/>
    </font>
    <font>
      <sz val="11"/>
      <name val="Times New Roman Cyr"/>
      <family val="1"/>
    </font>
    <font>
      <sz val="10"/>
      <name val="Times New Roman CYR"/>
      <family val="1"/>
    </font>
    <font>
      <b/>
      <sz val="11"/>
      <name val="Times New Roman Cyr"/>
      <family val="0"/>
    </font>
    <font>
      <b/>
      <sz val="12"/>
      <name val="Times New Roman Cyr"/>
      <family val="0"/>
    </font>
    <font>
      <sz val="12"/>
      <name val="Arial"/>
      <family val="0"/>
    </font>
    <font>
      <sz val="12"/>
      <name val="TimesNewRomanPSMT"/>
      <family val="0"/>
    </font>
    <font>
      <b/>
      <sz val="8"/>
      <name val="Arial Cyr"/>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color indexed="8"/>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6"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257">
    <xf numFmtId="0" fontId="0" fillId="0" borderId="0" xfId="0" applyAlignment="1">
      <alignment/>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center" wrapText="1"/>
    </xf>
    <xf numFmtId="0" fontId="3" fillId="0" borderId="0" xfId="0" applyFont="1" applyFill="1" applyAlignment="1">
      <alignment/>
    </xf>
    <xf numFmtId="0" fontId="1" fillId="0" borderId="13"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0" xfId="0" applyFont="1" applyFill="1" applyAlignment="1">
      <alignment horizontal="center"/>
    </xf>
    <xf numFmtId="49" fontId="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1" fillId="0" borderId="0" xfId="0" applyFont="1" applyFill="1" applyAlignment="1">
      <alignment vertical="center"/>
    </xf>
    <xf numFmtId="4" fontId="1" fillId="0" borderId="0" xfId="0" applyNumberFormat="1" applyFont="1" applyFill="1" applyAlignment="1">
      <alignment/>
    </xf>
    <xf numFmtId="2" fontId="1"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1" fillId="0" borderId="10" xfId="0" applyNumberFormat="1" applyFont="1" applyFill="1" applyBorder="1" applyAlignment="1">
      <alignment vertical="center" wrapText="1"/>
    </xf>
    <xf numFmtId="0" fontId="1" fillId="0" borderId="0" xfId="0" applyFont="1" applyFill="1" applyAlignment="1">
      <alignment/>
    </xf>
    <xf numFmtId="4" fontId="1" fillId="0" borderId="12"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8" fillId="0" borderId="11" xfId="0"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2" fontId="2" fillId="0" borderId="11" xfId="0" applyNumberFormat="1" applyFont="1" applyFill="1" applyBorder="1" applyAlignment="1">
      <alignment vertical="center" wrapText="1"/>
    </xf>
    <xf numFmtId="4" fontId="1" fillId="0" borderId="13" xfId="0" applyNumberFormat="1" applyFont="1" applyFill="1" applyBorder="1" applyAlignment="1">
      <alignment horizontal="center" vertical="center" wrapText="1"/>
    </xf>
    <xf numFmtId="4" fontId="1" fillId="0" borderId="0" xfId="0" applyNumberFormat="1" applyFont="1" applyFill="1" applyAlignment="1">
      <alignment horizontal="center"/>
    </xf>
    <xf numFmtId="3" fontId="1" fillId="0" borderId="13" xfId="0" applyNumberFormat="1" applyFont="1" applyFill="1" applyBorder="1" applyAlignment="1">
      <alignment horizontal="center" vertical="center" wrapText="1"/>
    </xf>
    <xf numFmtId="0" fontId="10" fillId="0" borderId="0" xfId="0" applyFont="1" applyFill="1" applyAlignment="1">
      <alignment/>
    </xf>
    <xf numFmtId="4" fontId="1" fillId="0" borderId="0" xfId="0" applyNumberFormat="1" applyFont="1" applyFill="1" applyAlignment="1">
      <alignment vertical="center" wrapText="1"/>
    </xf>
    <xf numFmtId="4" fontId="2" fillId="0" borderId="11"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 fillId="0" borderId="0" xfId="0" applyNumberFormat="1" applyFont="1" applyFill="1" applyAlignment="1">
      <alignment vertical="center"/>
    </xf>
    <xf numFmtId="4" fontId="2" fillId="0" borderId="0" xfId="0" applyNumberFormat="1" applyFont="1" applyFill="1" applyAlignment="1">
      <alignment/>
    </xf>
    <xf numFmtId="0" fontId="1" fillId="0" borderId="14" xfId="0" applyFont="1" applyFill="1" applyBorder="1" applyAlignment="1">
      <alignment vertical="center" wrapText="1"/>
    </xf>
    <xf numFmtId="2" fontId="2" fillId="0" borderId="10" xfId="0" applyNumberFormat="1" applyFont="1" applyFill="1" applyBorder="1" applyAlignment="1">
      <alignment vertical="center" wrapText="1"/>
    </xf>
    <xf numFmtId="4" fontId="3" fillId="0" borderId="0" xfId="0" applyNumberFormat="1" applyFont="1" applyFill="1" applyAlignment="1">
      <alignment/>
    </xf>
    <xf numFmtId="0" fontId="1" fillId="0" borderId="0" xfId="0" applyFont="1" applyFill="1" applyAlignment="1">
      <alignment horizontal="right"/>
    </xf>
    <xf numFmtId="0" fontId="2" fillId="0" borderId="13" xfId="0" applyFont="1" applyFill="1" applyBorder="1" applyAlignment="1">
      <alignment vertical="center" wrapText="1"/>
    </xf>
    <xf numFmtId="0" fontId="1" fillId="0" borderId="13"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 fontId="2" fillId="0" borderId="13"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4" xfId="0" applyFont="1" applyFill="1" applyBorder="1" applyAlignment="1" applyProtection="1">
      <alignment vertical="top" wrapText="1" readingOrder="1"/>
      <protection locked="0"/>
    </xf>
    <xf numFmtId="3" fontId="1" fillId="0" borderId="1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horizontal="left" vertical="center"/>
    </xf>
    <xf numFmtId="4" fontId="1"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left" vertical="center" wrapText="1"/>
    </xf>
    <xf numFmtId="4" fontId="2"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0" fontId="1" fillId="0" borderId="0" xfId="0" applyFont="1" applyFill="1" applyBorder="1" applyAlignment="1" applyProtection="1">
      <alignment vertical="top" wrapText="1"/>
      <protection locked="0"/>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4" fontId="1" fillId="0" borderId="14"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2" fillId="0" borderId="11" xfId="0" applyFont="1" applyFill="1" applyBorder="1" applyAlignment="1" applyProtection="1">
      <alignment vertical="top" wrapText="1" readingOrder="1"/>
      <protection locked="0"/>
    </xf>
    <xf numFmtId="0" fontId="1" fillId="0" borderId="18" xfId="0" applyFont="1" applyFill="1" applyBorder="1" applyAlignment="1">
      <alignment horizontal="left" vertical="center" wrapText="1"/>
    </xf>
    <xf numFmtId="0" fontId="2" fillId="0" borderId="19" xfId="0" applyFont="1" applyFill="1" applyBorder="1" applyAlignment="1">
      <alignment horizontal="left" vertical="top" wrapText="1"/>
    </xf>
    <xf numFmtId="4" fontId="2" fillId="0" borderId="14"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4" fontId="10" fillId="0" borderId="0" xfId="0" applyNumberFormat="1" applyFont="1" applyFill="1" applyAlignment="1">
      <alignment/>
    </xf>
    <xf numFmtId="4" fontId="9" fillId="0" borderId="10" xfId="0" applyNumberFormat="1" applyFont="1" applyFill="1" applyBorder="1" applyAlignment="1">
      <alignment vertical="center" wrapText="1"/>
    </xf>
    <xf numFmtId="49" fontId="1" fillId="0" borderId="2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pplyProtection="1">
      <alignment vertical="top" wrapText="1" readingOrder="1"/>
      <protection locked="0"/>
    </xf>
    <xf numFmtId="4" fontId="1" fillId="0" borderId="0" xfId="0" applyNumberFormat="1" applyFont="1" applyFill="1" applyAlignment="1">
      <alignment horizontal="center" vertical="center"/>
    </xf>
    <xf numFmtId="0" fontId="4" fillId="0" borderId="0" xfId="0" applyFont="1" applyFill="1" applyAlignment="1">
      <alignment/>
    </xf>
    <xf numFmtId="0" fontId="1" fillId="0" borderId="13" xfId="0" applyFont="1" applyFill="1" applyBorder="1" applyAlignment="1">
      <alignment horizontal="center" vertical="center"/>
    </xf>
    <xf numFmtId="4" fontId="29" fillId="0" borderId="0" xfId="0" applyNumberFormat="1" applyFont="1" applyFill="1" applyAlignment="1">
      <alignment/>
    </xf>
    <xf numFmtId="0" fontId="28" fillId="0" borderId="0" xfId="0" applyFont="1" applyFill="1" applyAlignment="1">
      <alignment horizontal="center"/>
    </xf>
    <xf numFmtId="0" fontId="1" fillId="0" borderId="13" xfId="0" applyFont="1" applyFill="1" applyBorder="1" applyAlignment="1">
      <alignment horizontal="center"/>
    </xf>
    <xf numFmtId="0" fontId="2" fillId="0" borderId="13" xfId="0" applyFont="1" applyFill="1" applyBorder="1" applyAlignment="1">
      <alignment horizontal="center" vertical="center"/>
    </xf>
    <xf numFmtId="4" fontId="2" fillId="0" borderId="13" xfId="0" applyNumberFormat="1" applyFont="1" applyFill="1" applyBorder="1" applyAlignment="1">
      <alignment horizontal="center" vertical="center"/>
    </xf>
    <xf numFmtId="4" fontId="4" fillId="0" borderId="0" xfId="0" applyNumberFormat="1" applyFont="1" applyFill="1" applyAlignment="1">
      <alignment/>
    </xf>
    <xf numFmtId="0" fontId="30" fillId="0" borderId="13" xfId="0" applyFont="1" applyFill="1" applyBorder="1" applyAlignment="1">
      <alignment vertical="center"/>
    </xf>
    <xf numFmtId="4" fontId="30" fillId="0" borderId="13" xfId="0" applyNumberFormat="1" applyFont="1" applyFill="1" applyBorder="1" applyAlignment="1">
      <alignment horizontal="center" vertical="center"/>
    </xf>
    <xf numFmtId="0" fontId="2" fillId="0" borderId="13" xfId="0" applyFont="1" applyFill="1" applyBorder="1" applyAlignment="1">
      <alignment vertical="center"/>
    </xf>
    <xf numFmtId="0" fontId="31" fillId="0" borderId="13" xfId="0" applyFont="1" applyFill="1" applyBorder="1" applyAlignment="1">
      <alignment horizontal="center" vertical="center"/>
    </xf>
    <xf numFmtId="0" fontId="31" fillId="0" borderId="13" xfId="0" applyFont="1" applyFill="1" applyBorder="1" applyAlignment="1">
      <alignment vertical="center"/>
    </xf>
    <xf numFmtId="4" fontId="31"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29" fillId="0" borderId="13" xfId="0" applyFont="1" applyFill="1" applyBorder="1" applyAlignment="1">
      <alignment vertical="center" wrapText="1"/>
    </xf>
    <xf numFmtId="4" fontId="1" fillId="0" borderId="13" xfId="0" applyNumberFormat="1" applyFont="1" applyFill="1" applyBorder="1" applyAlignment="1">
      <alignment horizontal="center" vertical="center"/>
    </xf>
    <xf numFmtId="4" fontId="4" fillId="24" borderId="0" xfId="0" applyNumberFormat="1" applyFont="1" applyFill="1" applyAlignment="1">
      <alignment/>
    </xf>
    <xf numFmtId="0" fontId="31" fillId="0" borderId="13" xfId="0" applyFont="1" applyFill="1" applyBorder="1" applyAlignment="1">
      <alignment vertical="center" wrapText="1"/>
    </xf>
    <xf numFmtId="4" fontId="29" fillId="0" borderId="13" xfId="0" applyNumberFormat="1" applyFont="1" applyFill="1" applyBorder="1" applyAlignment="1">
      <alignment horizontal="center" vertical="center"/>
    </xf>
    <xf numFmtId="0" fontId="31" fillId="0" borderId="13" xfId="0" applyFont="1" applyFill="1" applyBorder="1" applyAlignment="1">
      <alignment horizontal="justify" vertical="center" wrapText="1"/>
    </xf>
    <xf numFmtId="0" fontId="29" fillId="0" borderId="0" xfId="0" applyFont="1" applyFill="1" applyAlignment="1">
      <alignment/>
    </xf>
    <xf numFmtId="0" fontId="34" fillId="0" borderId="0" xfId="0" applyFont="1" applyFill="1" applyAlignment="1">
      <alignment/>
    </xf>
    <xf numFmtId="4" fontId="33" fillId="0" borderId="13" xfId="0" applyNumberFormat="1" applyFont="1" applyFill="1" applyBorder="1" applyAlignment="1">
      <alignment horizontal="center" vertical="center"/>
    </xf>
    <xf numFmtId="0" fontId="29" fillId="0" borderId="13" xfId="0" applyFont="1" applyFill="1" applyBorder="1" applyAlignment="1">
      <alignment horizontal="justify" vertical="center" wrapText="1"/>
    </xf>
    <xf numFmtId="49" fontId="29" fillId="0" borderId="13" xfId="0" applyNumberFormat="1" applyFont="1" applyFill="1" applyBorder="1" applyAlignment="1">
      <alignment vertical="center" wrapText="1"/>
    </xf>
    <xf numFmtId="0" fontId="33" fillId="0" borderId="13" xfId="0" applyFont="1" applyFill="1" applyBorder="1" applyAlignment="1">
      <alignment horizontal="center" vertical="center"/>
    </xf>
    <xf numFmtId="0" fontId="33" fillId="0" borderId="13" xfId="0" applyFont="1" applyFill="1" applyBorder="1" applyAlignment="1">
      <alignment vertical="center" wrapText="1"/>
    </xf>
    <xf numFmtId="0" fontId="30" fillId="0" borderId="13"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justify" vertical="center" wrapText="1"/>
    </xf>
    <xf numFmtId="2" fontId="31" fillId="0" borderId="13" xfId="0" applyNumberFormat="1" applyFont="1" applyFill="1" applyBorder="1" applyAlignment="1">
      <alignment horizontal="justify" vertical="center" wrapText="1"/>
    </xf>
    <xf numFmtId="2" fontId="29" fillId="0" borderId="13" xfId="0" applyNumberFormat="1" applyFont="1" applyFill="1" applyBorder="1" applyAlignment="1">
      <alignment horizontal="left" vertical="center" wrapText="1"/>
    </xf>
    <xf numFmtId="0" fontId="29"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25" borderId="13" xfId="0" applyFont="1" applyFill="1" applyBorder="1" applyAlignment="1">
      <alignment horizontal="center" vertical="center"/>
    </xf>
    <xf numFmtId="0" fontId="31" fillId="25" borderId="13" xfId="0" applyFont="1" applyFill="1" applyBorder="1" applyAlignment="1">
      <alignment vertical="center" wrapText="1"/>
    </xf>
    <xf numFmtId="4" fontId="31" fillId="25" borderId="13" xfId="0" applyNumberFormat="1" applyFont="1" applyFill="1" applyBorder="1" applyAlignment="1">
      <alignment horizontal="center" vertical="center"/>
    </xf>
    <xf numFmtId="0" fontId="4" fillId="25" borderId="0" xfId="0" applyFont="1" applyFill="1" applyAlignment="1">
      <alignment/>
    </xf>
    <xf numFmtId="0" fontId="29" fillId="25" borderId="13" xfId="0" applyFont="1" applyFill="1" applyBorder="1" applyAlignment="1">
      <alignment horizontal="center" vertical="center"/>
    </xf>
    <xf numFmtId="0" fontId="29" fillId="25" borderId="13" xfId="0" applyFont="1" applyFill="1" applyBorder="1" applyAlignment="1">
      <alignment vertical="center" wrapText="1"/>
    </xf>
    <xf numFmtId="4" fontId="29" fillId="25" borderId="13" xfId="0" applyNumberFormat="1" applyFont="1" applyFill="1" applyBorder="1" applyAlignment="1">
      <alignment horizontal="center" vertical="center"/>
    </xf>
    <xf numFmtId="0" fontId="2" fillId="0" borderId="0" xfId="0" applyFont="1" applyFill="1" applyAlignment="1">
      <alignment vertical="center" wrapText="1"/>
    </xf>
    <xf numFmtId="4" fontId="2" fillId="0" borderId="0" xfId="0" applyNumberFormat="1" applyFont="1" applyFill="1" applyAlignment="1">
      <alignment vertical="center" wrapText="1"/>
    </xf>
    <xf numFmtId="4" fontId="3"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4" fontId="37" fillId="0" borderId="0" xfId="0" applyNumberFormat="1" applyFont="1" applyFill="1" applyAlignment="1">
      <alignment/>
    </xf>
    <xf numFmtId="4" fontId="1" fillId="0" borderId="11" xfId="0" applyNumberFormat="1" applyFont="1" applyFill="1" applyBorder="1" applyAlignment="1">
      <alignment vertical="center" wrapText="1"/>
    </xf>
    <xf numFmtId="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2" fillId="0" borderId="0" xfId="0" applyFont="1" applyFill="1" applyAlignment="1">
      <alignment horizontal="center" wrapText="1"/>
    </xf>
    <xf numFmtId="0" fontId="28" fillId="0" borderId="0" xfId="0" applyFont="1" applyAlignment="1">
      <alignment/>
    </xf>
    <xf numFmtId="4" fontId="28" fillId="0" borderId="0" xfId="0" applyNumberFormat="1" applyFont="1" applyAlignment="1">
      <alignment/>
    </xf>
    <xf numFmtId="0" fontId="38" fillId="0" borderId="0" xfId="0" applyFont="1" applyAlignment="1">
      <alignment horizontal="center"/>
    </xf>
    <xf numFmtId="0" fontId="28" fillId="0" borderId="0" xfId="0" applyFont="1" applyAlignment="1">
      <alignment horizontal="right"/>
    </xf>
    <xf numFmtId="49" fontId="28" fillId="0" borderId="0" xfId="0" applyNumberFormat="1" applyFont="1" applyAlignment="1">
      <alignment vertical="top"/>
    </xf>
    <xf numFmtId="0" fontId="28" fillId="0" borderId="0" xfId="0" applyFont="1" applyAlignment="1">
      <alignment horizontal="left" vertical="top" wrapText="1"/>
    </xf>
    <xf numFmtId="49" fontId="28" fillId="0" borderId="0" xfId="0" applyNumberFormat="1" applyFont="1" applyAlignment="1">
      <alignment horizontal="center"/>
    </xf>
    <xf numFmtId="0" fontId="28" fillId="0" borderId="0" xfId="0" applyFont="1" applyAlignment="1">
      <alignment horizontal="right"/>
    </xf>
    <xf numFmtId="0" fontId="40" fillId="0" borderId="13" xfId="0" applyFont="1" applyBorder="1" applyAlignment="1">
      <alignment horizontal="center" vertical="center" wrapText="1"/>
    </xf>
    <xf numFmtId="0" fontId="41" fillId="0" borderId="0" xfId="0" applyFont="1" applyBorder="1" applyAlignment="1">
      <alignment horizontal="center" vertical="center" wrapText="1"/>
    </xf>
    <xf numFmtId="0" fontId="42" fillId="0" borderId="0" xfId="0" applyFont="1" applyBorder="1" applyAlignment="1">
      <alignment horizontal="left" vertical="center" wrapText="1"/>
    </xf>
    <xf numFmtId="49" fontId="42" fillId="0" borderId="0" xfId="0" applyNumberFormat="1" applyFont="1" applyBorder="1" applyAlignment="1">
      <alignment horizontal="center" vertical="center" wrapText="1"/>
    </xf>
    <xf numFmtId="172" fontId="42" fillId="0" borderId="0" xfId="0" applyNumberFormat="1" applyFont="1" applyBorder="1" applyAlignment="1">
      <alignment horizontal="right" vertical="center" wrapText="1"/>
    </xf>
    <xf numFmtId="49" fontId="28" fillId="0" borderId="0" xfId="0" applyNumberFormat="1" applyFont="1" applyBorder="1" applyAlignment="1">
      <alignment horizontal="center" vertical="center"/>
    </xf>
    <xf numFmtId="0" fontId="28" fillId="0" borderId="0" xfId="0" applyFont="1" applyBorder="1" applyAlignment="1">
      <alignment horizontal="left" vertical="center" wrapText="1"/>
    </xf>
    <xf numFmtId="49" fontId="28" fillId="0" borderId="0" xfId="0" applyNumberFormat="1" applyFont="1" applyBorder="1" applyAlignment="1">
      <alignment horizontal="center" vertical="center" wrapText="1"/>
    </xf>
    <xf numFmtId="172" fontId="28" fillId="0" borderId="0" xfId="0" applyNumberFormat="1" applyFont="1" applyBorder="1" applyAlignment="1">
      <alignment horizontal="right" vertical="center" wrapText="1"/>
    </xf>
    <xf numFmtId="0" fontId="39" fillId="0" borderId="0" xfId="0" applyFont="1" applyBorder="1" applyAlignment="1">
      <alignment horizontal="center" vertical="center" wrapText="1"/>
    </xf>
    <xf numFmtId="172" fontId="28" fillId="0" borderId="0" xfId="0" applyNumberFormat="1" applyFont="1" applyFill="1" applyBorder="1" applyAlignment="1">
      <alignment horizontal="right" vertical="center" wrapText="1"/>
    </xf>
    <xf numFmtId="172" fontId="42" fillId="0" borderId="0" xfId="0" applyNumberFormat="1" applyFont="1" applyFill="1" applyBorder="1" applyAlignment="1">
      <alignment horizontal="right" vertical="center" wrapText="1"/>
    </xf>
    <xf numFmtId="49" fontId="42" fillId="0" borderId="0" xfId="0" applyNumberFormat="1" applyFont="1" applyBorder="1" applyAlignment="1">
      <alignment horizontal="center" vertical="center"/>
    </xf>
    <xf numFmtId="4" fontId="28" fillId="0" borderId="0" xfId="0" applyNumberFormat="1" applyFont="1" applyAlignment="1">
      <alignment/>
    </xf>
    <xf numFmtId="0" fontId="28" fillId="0" borderId="0" xfId="0" applyFont="1" applyAlignment="1">
      <alignment/>
    </xf>
    <xf numFmtId="49" fontId="39" fillId="0" borderId="0" xfId="0" applyNumberFormat="1" applyFont="1" applyBorder="1" applyAlignment="1">
      <alignment horizontal="center" vertical="center" wrapText="1"/>
    </xf>
    <xf numFmtId="0" fontId="42" fillId="0" borderId="0" xfId="0" applyFont="1" applyBorder="1" applyAlignment="1">
      <alignment horizontal="left" vertical="center" wrapText="1"/>
    </xf>
    <xf numFmtId="49" fontId="42" fillId="0" borderId="0" xfId="0" applyNumberFormat="1" applyFont="1" applyBorder="1" applyAlignment="1">
      <alignment horizontal="center" vertical="center"/>
    </xf>
    <xf numFmtId="4" fontId="42" fillId="0" borderId="0" xfId="0" applyNumberFormat="1" applyFont="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0" fontId="28" fillId="0" borderId="0" xfId="0" applyFont="1" applyBorder="1" applyAlignment="1">
      <alignment horizontal="left" vertical="center" wrapText="1"/>
    </xf>
    <xf numFmtId="4" fontId="28" fillId="0" borderId="0" xfId="0" applyNumberFormat="1" applyFont="1" applyBorder="1" applyAlignment="1">
      <alignment horizontal="right" vertical="center"/>
    </xf>
    <xf numFmtId="4" fontId="28" fillId="0" borderId="0" xfId="0" applyNumberFormat="1" applyFont="1" applyFill="1" applyBorder="1" applyAlignment="1">
      <alignment horizontal="right" vertical="center"/>
    </xf>
    <xf numFmtId="4" fontId="42" fillId="0" borderId="0" xfId="0" applyNumberFormat="1" applyFont="1" applyBorder="1" applyAlignment="1">
      <alignment horizontal="right" vertical="center"/>
    </xf>
    <xf numFmtId="4" fontId="42" fillId="0" borderId="0" xfId="0" applyNumberFormat="1" applyFont="1" applyAlignment="1">
      <alignment vertical="center"/>
    </xf>
    <xf numFmtId="0" fontId="42" fillId="0" borderId="0" xfId="0" applyFont="1" applyAlignment="1">
      <alignment vertical="center"/>
    </xf>
    <xf numFmtId="172" fontId="42" fillId="0" borderId="0" xfId="0" applyNumberFormat="1" applyFont="1" applyBorder="1" applyAlignment="1">
      <alignment horizontal="right" vertical="center"/>
    </xf>
    <xf numFmtId="172" fontId="28" fillId="0" borderId="0" xfId="0" applyNumberFormat="1" applyFont="1" applyBorder="1" applyAlignment="1">
      <alignment horizontal="right" vertical="center"/>
    </xf>
    <xf numFmtId="172" fontId="28" fillId="0" borderId="0" xfId="0" applyNumberFormat="1" applyFont="1" applyFill="1" applyBorder="1" applyAlignment="1">
      <alignment horizontal="right" vertical="center"/>
    </xf>
    <xf numFmtId="0" fontId="41" fillId="0" borderId="0" xfId="0" applyFont="1" applyBorder="1" applyAlignment="1">
      <alignment vertical="center" wrapText="1"/>
    </xf>
    <xf numFmtId="4" fontId="42" fillId="0" borderId="0" xfId="0" applyNumberFormat="1" applyFont="1" applyFill="1" applyBorder="1" applyAlignment="1">
      <alignment horizontal="right" vertical="center"/>
    </xf>
    <xf numFmtId="49" fontId="28" fillId="0" borderId="0" xfId="0" applyNumberFormat="1" applyFont="1" applyAlignment="1">
      <alignment horizontal="center" vertical="center"/>
    </xf>
    <xf numFmtId="4" fontId="28" fillId="0" borderId="0" xfId="0" applyNumberFormat="1" applyFont="1" applyAlignment="1">
      <alignment horizontal="center" vertical="center"/>
    </xf>
    <xf numFmtId="49" fontId="28" fillId="0" borderId="0" xfId="0" applyNumberFormat="1" applyFont="1" applyAlignment="1">
      <alignment horizontal="center" vertical="top"/>
    </xf>
    <xf numFmtId="4" fontId="28" fillId="0" borderId="0" xfId="0" applyNumberFormat="1" applyFont="1" applyAlignment="1">
      <alignment horizontal="center" vertical="top"/>
    </xf>
    <xf numFmtId="0" fontId="28" fillId="0" borderId="0" xfId="0" applyFont="1" applyAlignment="1">
      <alignment horizontal="center" vertical="top"/>
    </xf>
    <xf numFmtId="0" fontId="43" fillId="0" borderId="0" xfId="0" applyFont="1" applyFill="1" applyAlignment="1">
      <alignment/>
    </xf>
    <xf numFmtId="0" fontId="1" fillId="0" borderId="0" xfId="0" applyFont="1" applyFill="1" applyAlignment="1">
      <alignment vertical="top"/>
    </xf>
    <xf numFmtId="0" fontId="0" fillId="0" borderId="0" xfId="0" applyFont="1" applyFill="1" applyAlignment="1">
      <alignment/>
    </xf>
    <xf numFmtId="49" fontId="2" fillId="0" borderId="13" xfId="0" applyNumberFormat="1" applyFont="1" applyFill="1" applyBorder="1" applyAlignment="1">
      <alignment horizontal="center"/>
    </xf>
    <xf numFmtId="49" fontId="1"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2" fontId="1" fillId="0" borderId="13" xfId="0" applyNumberFormat="1"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Border="1" applyAlignment="1">
      <alignment/>
    </xf>
    <xf numFmtId="0" fontId="1" fillId="25" borderId="13" xfId="0" applyFont="1" applyFill="1" applyBorder="1" applyAlignment="1">
      <alignment horizontal="center" vertical="center"/>
    </xf>
    <xf numFmtId="0" fontId="1" fillId="25" borderId="13" xfId="0" applyFont="1" applyFill="1" applyBorder="1" applyAlignment="1">
      <alignment horizontal="left" vertical="center" wrapText="1"/>
    </xf>
    <xf numFmtId="0" fontId="1" fillId="0" borderId="13" xfId="0" applyFont="1" applyFill="1" applyBorder="1" applyAlignment="1">
      <alignment horizontal="left" vertical="top" wrapText="1"/>
    </xf>
    <xf numFmtId="0" fontId="1" fillId="0" borderId="13" xfId="0" applyFont="1" applyFill="1" applyBorder="1" applyAlignment="1">
      <alignment vertical="center" wrapText="1"/>
    </xf>
    <xf numFmtId="0" fontId="1" fillId="0" borderId="13" xfId="0" applyFont="1" applyFill="1" applyBorder="1" applyAlignment="1">
      <alignment horizontal="justify" vertical="center" wrapText="1"/>
    </xf>
    <xf numFmtId="0" fontId="44" fillId="0" borderId="13" xfId="0" applyFont="1" applyFill="1" applyBorder="1" applyAlignment="1">
      <alignment horizontal="justify" vertical="center" wrapText="1"/>
    </xf>
    <xf numFmtId="0" fontId="44" fillId="0" borderId="13" xfId="0" applyFont="1" applyFill="1" applyBorder="1" applyAlignment="1">
      <alignment vertical="center" wrapText="1"/>
    </xf>
    <xf numFmtId="2" fontId="1" fillId="0" borderId="13" xfId="0" applyNumberFormat="1" applyFont="1" applyFill="1" applyBorder="1" applyAlignment="1">
      <alignment horizontal="justify" vertical="center" wrapText="1"/>
    </xf>
    <xf numFmtId="0" fontId="29" fillId="0" borderId="0" xfId="0" applyFont="1" applyFill="1" applyAlignment="1">
      <alignment horizontal="left" vertical="center" wrapText="1"/>
    </xf>
    <xf numFmtId="0" fontId="31" fillId="26" borderId="13" xfId="0" applyFont="1" applyFill="1" applyBorder="1" applyAlignment="1">
      <alignment horizontal="center" vertical="center"/>
    </xf>
    <xf numFmtId="0" fontId="31" fillId="26" borderId="13" xfId="0" applyFont="1" applyFill="1" applyBorder="1" applyAlignment="1">
      <alignment horizontal="left" vertical="center" wrapText="1"/>
    </xf>
    <xf numFmtId="0" fontId="31" fillId="0" borderId="0" xfId="0" applyFont="1" applyFill="1" applyAlignment="1">
      <alignment/>
    </xf>
    <xf numFmtId="0" fontId="29" fillId="26" borderId="13" xfId="0" applyFont="1" applyFill="1" applyBorder="1" applyAlignment="1">
      <alignment horizontal="center" vertical="center"/>
    </xf>
    <xf numFmtId="0" fontId="29" fillId="26" borderId="13" xfId="0" applyFont="1" applyFill="1" applyBorder="1" applyAlignment="1">
      <alignment horizontal="left" vertical="center" wrapText="1"/>
    </xf>
    <xf numFmtId="4" fontId="1" fillId="0" borderId="0" xfId="0" applyNumberFormat="1" applyFont="1" applyFill="1" applyAlignment="1">
      <alignment wrapText="1"/>
    </xf>
    <xf numFmtId="4" fontId="2" fillId="0" borderId="0" xfId="0" applyNumberFormat="1" applyFont="1" applyFill="1" applyAlignment="1">
      <alignment wrapText="1"/>
    </xf>
    <xf numFmtId="4" fontId="3" fillId="0" borderId="0" xfId="0" applyNumberFormat="1" applyFont="1" applyFill="1" applyAlignment="1">
      <alignment wrapText="1"/>
    </xf>
    <xf numFmtId="49" fontId="1" fillId="0" borderId="0" xfId="0" applyNumberFormat="1" applyFont="1" applyFill="1" applyAlignment="1">
      <alignment wrapText="1"/>
    </xf>
    <xf numFmtId="189" fontId="1" fillId="0" borderId="0" xfId="0" applyNumberFormat="1" applyFont="1" applyFill="1" applyAlignment="1">
      <alignment/>
    </xf>
    <xf numFmtId="0" fontId="1" fillId="27" borderId="10" xfId="0" applyFont="1" applyFill="1" applyBorder="1" applyAlignment="1">
      <alignment vertical="center" wrapText="1"/>
    </xf>
    <xf numFmtId="49" fontId="1" fillId="27" borderId="10" xfId="0" applyNumberFormat="1" applyFont="1" applyFill="1" applyBorder="1" applyAlignment="1">
      <alignment horizontal="center" vertical="center" wrapText="1"/>
    </xf>
    <xf numFmtId="0" fontId="43" fillId="0" borderId="0" xfId="0" applyFont="1" applyFill="1" applyAlignment="1">
      <alignment horizontal="right"/>
    </xf>
    <xf numFmtId="49" fontId="2" fillId="0" borderId="15"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0" borderId="0" xfId="0" applyFont="1" applyFill="1" applyAlignment="1">
      <alignment horizontal="center" wrapText="1"/>
    </xf>
    <xf numFmtId="0" fontId="1" fillId="0" borderId="13" xfId="0" applyFont="1" applyFill="1" applyBorder="1" applyAlignment="1">
      <alignment horizontal="center" vertical="center" wrapText="1"/>
    </xf>
    <xf numFmtId="0" fontId="1" fillId="0" borderId="0" xfId="0" applyFont="1" applyFill="1" applyAlignment="1">
      <alignment horizontal="right"/>
    </xf>
    <xf numFmtId="0" fontId="2" fillId="0" borderId="13" xfId="0" applyFont="1" applyFill="1" applyBorder="1" applyAlignment="1">
      <alignment horizontal="right" vertical="center"/>
    </xf>
    <xf numFmtId="49" fontId="3" fillId="0" borderId="0" xfId="0" applyNumberFormat="1" applyFont="1" applyFill="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5" xfId="0" applyFont="1" applyBorder="1" applyAlignment="1">
      <alignment horizontal="center" vertical="center"/>
    </xf>
    <xf numFmtId="0" fontId="39" fillId="0" borderId="22" xfId="0" applyFont="1" applyBorder="1" applyAlignment="1">
      <alignment horizontal="center" vertical="center"/>
    </xf>
    <xf numFmtId="0" fontId="39" fillId="0" borderId="21" xfId="0" applyFont="1" applyBorder="1" applyAlignment="1">
      <alignment horizontal="center" vertical="center"/>
    </xf>
    <xf numFmtId="0" fontId="38" fillId="0" borderId="0" xfId="0" applyFont="1" applyAlignment="1">
      <alignment horizontal="center"/>
    </xf>
    <xf numFmtId="4" fontId="1"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1" fillId="0" borderId="0" xfId="0" applyFont="1" applyFill="1" applyAlignment="1">
      <alignment horizontal="right" wrapText="1"/>
    </xf>
    <xf numFmtId="0" fontId="2" fillId="0" borderId="0" xfId="0" applyFont="1" applyFill="1" applyAlignment="1">
      <alignment horizontal="center" vertical="center" wrapText="1"/>
    </xf>
    <xf numFmtId="49" fontId="1" fillId="0" borderId="18"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4" fontId="1" fillId="0" borderId="10"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2" fontId="2" fillId="0" borderId="15" xfId="0" applyNumberFormat="1" applyFont="1" applyFill="1" applyBorder="1" applyAlignment="1">
      <alignment horizontal="left" vertical="center" wrapText="1"/>
    </xf>
    <xf numFmtId="2" fontId="2" fillId="0" borderId="21" xfId="0" applyNumberFormat="1" applyFont="1" applyFill="1" applyBorder="1" applyAlignment="1">
      <alignment horizontal="left"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108"/>
  <sheetViews>
    <sheetView zoomScalePageLayoutView="0" workbookViewId="0" topLeftCell="A1">
      <selection activeCell="E8" sqref="E8"/>
    </sheetView>
  </sheetViews>
  <sheetFormatPr defaultColWidth="9.00390625" defaultRowHeight="12.75"/>
  <cols>
    <col min="1" max="1" width="9.625" style="187" customWidth="1"/>
    <col min="2" max="2" width="27.00390625" style="187" customWidth="1"/>
    <col min="3" max="3" width="63.625" style="187" customWidth="1"/>
    <col min="4" max="16384" width="9.125" style="187" customWidth="1"/>
  </cols>
  <sheetData>
    <row r="1" spans="1:3" s="185" customFormat="1" ht="15.75">
      <c r="A1" s="12"/>
      <c r="B1" s="224" t="s">
        <v>815</v>
      </c>
      <c r="C1" s="224"/>
    </row>
    <row r="2" spans="1:3" s="185" customFormat="1" ht="15.75">
      <c r="A2" s="186"/>
      <c r="B2" s="224" t="s">
        <v>566</v>
      </c>
      <c r="C2" s="224"/>
    </row>
    <row r="3" spans="1:6" s="185" customFormat="1" ht="18.75" customHeight="1">
      <c r="A3" s="30"/>
      <c r="B3" s="224" t="s">
        <v>784</v>
      </c>
      <c r="C3" s="224"/>
      <c r="D3" s="30"/>
      <c r="E3" s="30"/>
      <c r="F3" s="30"/>
    </row>
    <row r="4" spans="1:3" s="185" customFormat="1" ht="15.75">
      <c r="A4" s="12"/>
      <c r="B4" s="224" t="s">
        <v>785</v>
      </c>
      <c r="C4" s="224"/>
    </row>
    <row r="5" spans="1:3" s="185" customFormat="1" ht="15.75">
      <c r="A5" s="12"/>
      <c r="B5" s="224" t="s">
        <v>881</v>
      </c>
      <c r="C5" s="224"/>
    </row>
    <row r="6" spans="1:3" s="185" customFormat="1" ht="15.75">
      <c r="A6" s="12"/>
      <c r="B6" s="52"/>
      <c r="C6" s="52"/>
    </row>
    <row r="7" spans="1:3" ht="18.75">
      <c r="A7" s="88"/>
      <c r="B7" s="224"/>
      <c r="C7" s="224"/>
    </row>
    <row r="8" spans="1:3" ht="69" customHeight="1">
      <c r="A8" s="222" t="s">
        <v>816</v>
      </c>
      <c r="B8" s="222"/>
      <c r="C8" s="222"/>
    </row>
    <row r="9" spans="1:3" ht="14.25" customHeight="1">
      <c r="A9" s="139"/>
      <c r="B9" s="139"/>
      <c r="C9" s="139"/>
    </row>
    <row r="10" spans="1:3" ht="15.75">
      <c r="A10" s="223" t="s">
        <v>817</v>
      </c>
      <c r="B10" s="223"/>
      <c r="C10" s="223" t="s">
        <v>818</v>
      </c>
    </row>
    <row r="11" spans="1:3" ht="63">
      <c r="A11" s="15" t="s">
        <v>819</v>
      </c>
      <c r="B11" s="15" t="s">
        <v>820</v>
      </c>
      <c r="C11" s="223"/>
    </row>
    <row r="12" spans="1:3" ht="15.75">
      <c r="A12" s="188" t="s">
        <v>354</v>
      </c>
      <c r="B12" s="216" t="s">
        <v>821</v>
      </c>
      <c r="C12" s="217"/>
    </row>
    <row r="13" spans="1:3" ht="63">
      <c r="A13" s="189" t="s">
        <v>354</v>
      </c>
      <c r="B13" s="89" t="s">
        <v>822</v>
      </c>
      <c r="C13" s="54" t="s">
        <v>761</v>
      </c>
    </row>
    <row r="14" spans="1:3" ht="31.5">
      <c r="A14" s="189" t="s">
        <v>354</v>
      </c>
      <c r="B14" s="89" t="s">
        <v>823</v>
      </c>
      <c r="C14" s="54" t="s">
        <v>824</v>
      </c>
    </row>
    <row r="15" spans="1:3" ht="47.25">
      <c r="A15" s="189" t="s">
        <v>354</v>
      </c>
      <c r="B15" s="89" t="s">
        <v>825</v>
      </c>
      <c r="C15" s="54" t="s">
        <v>762</v>
      </c>
    </row>
    <row r="16" spans="1:3" ht="94.5">
      <c r="A16" s="189" t="s">
        <v>354</v>
      </c>
      <c r="B16" s="89" t="s">
        <v>826</v>
      </c>
      <c r="C16" s="54" t="s">
        <v>770</v>
      </c>
    </row>
    <row r="17" spans="1:3" ht="47.25">
      <c r="A17" s="189" t="s">
        <v>354</v>
      </c>
      <c r="B17" s="89" t="s">
        <v>827</v>
      </c>
      <c r="C17" s="54" t="s">
        <v>828</v>
      </c>
    </row>
    <row r="18" spans="1:3" ht="31.5">
      <c r="A18" s="189" t="s">
        <v>354</v>
      </c>
      <c r="B18" s="89" t="s">
        <v>829</v>
      </c>
      <c r="C18" s="54" t="s">
        <v>763</v>
      </c>
    </row>
    <row r="19" spans="1:3" ht="15.75">
      <c r="A19" s="190" t="s">
        <v>355</v>
      </c>
      <c r="B19" s="218" t="s">
        <v>645</v>
      </c>
      <c r="C19" s="219"/>
    </row>
    <row r="20" spans="1:3" s="192" customFormat="1" ht="31.5">
      <c r="A20" s="189" t="s">
        <v>355</v>
      </c>
      <c r="B20" s="189" t="s">
        <v>830</v>
      </c>
      <c r="C20" s="191" t="s">
        <v>831</v>
      </c>
    </row>
    <row r="21" spans="1:3" s="192" customFormat="1" ht="31.5">
      <c r="A21" s="189" t="s">
        <v>355</v>
      </c>
      <c r="B21" s="189" t="s">
        <v>832</v>
      </c>
      <c r="C21" s="191" t="s">
        <v>831</v>
      </c>
    </row>
    <row r="22" spans="1:3" ht="78.75">
      <c r="A22" s="189" t="s">
        <v>355</v>
      </c>
      <c r="B22" s="89" t="s">
        <v>833</v>
      </c>
      <c r="C22" s="191" t="s">
        <v>764</v>
      </c>
    </row>
    <row r="23" spans="1:3" ht="78.75">
      <c r="A23" s="189" t="s">
        <v>355</v>
      </c>
      <c r="B23" s="89" t="s">
        <v>834</v>
      </c>
      <c r="C23" s="191" t="s">
        <v>766</v>
      </c>
    </row>
    <row r="24" spans="1:3" ht="78.75">
      <c r="A24" s="189" t="s">
        <v>355</v>
      </c>
      <c r="B24" s="89" t="s">
        <v>835</v>
      </c>
      <c r="C24" s="191" t="s">
        <v>768</v>
      </c>
    </row>
    <row r="25" spans="1:3" ht="63">
      <c r="A25" s="189" t="s">
        <v>355</v>
      </c>
      <c r="B25" s="89" t="s">
        <v>822</v>
      </c>
      <c r="C25" s="54" t="s">
        <v>761</v>
      </c>
    </row>
    <row r="26" spans="1:3" ht="78.75">
      <c r="A26" s="189" t="s">
        <v>355</v>
      </c>
      <c r="B26" s="89" t="s">
        <v>836</v>
      </c>
      <c r="C26" s="54" t="s">
        <v>769</v>
      </c>
    </row>
    <row r="27" spans="1:3" ht="94.5">
      <c r="A27" s="189" t="s">
        <v>355</v>
      </c>
      <c r="B27" s="89" t="s">
        <v>826</v>
      </c>
      <c r="C27" s="54" t="s">
        <v>770</v>
      </c>
    </row>
    <row r="28" spans="1:3" ht="37.5" customHeight="1">
      <c r="A28" s="189" t="s">
        <v>355</v>
      </c>
      <c r="B28" s="89" t="s">
        <v>837</v>
      </c>
      <c r="C28" s="54" t="s">
        <v>838</v>
      </c>
    </row>
    <row r="29" spans="1:3" ht="37.5" customHeight="1">
      <c r="A29" s="189" t="s">
        <v>355</v>
      </c>
      <c r="B29" s="89" t="s">
        <v>839</v>
      </c>
      <c r="C29" s="54" t="s">
        <v>630</v>
      </c>
    </row>
    <row r="30" spans="1:7" ht="31.5">
      <c r="A30" s="189" t="s">
        <v>355</v>
      </c>
      <c r="B30" s="15" t="s">
        <v>840</v>
      </c>
      <c r="C30" s="54" t="s">
        <v>516</v>
      </c>
      <c r="F30" s="193"/>
      <c r="G30" s="193"/>
    </row>
    <row r="31" spans="1:7" ht="47.25">
      <c r="A31" s="189" t="s">
        <v>355</v>
      </c>
      <c r="B31" s="89" t="s">
        <v>841</v>
      </c>
      <c r="C31" s="54" t="s">
        <v>771</v>
      </c>
      <c r="F31" s="193"/>
      <c r="G31" s="193"/>
    </row>
    <row r="32" spans="1:7" ht="63">
      <c r="A32" s="189" t="s">
        <v>355</v>
      </c>
      <c r="B32" s="194" t="s">
        <v>842</v>
      </c>
      <c r="C32" s="195" t="s">
        <v>843</v>
      </c>
      <c r="F32" s="193"/>
      <c r="G32" s="193"/>
    </row>
    <row r="33" spans="1:3" ht="15.75">
      <c r="A33" s="190" t="s">
        <v>357</v>
      </c>
      <c r="B33" s="218" t="s">
        <v>565</v>
      </c>
      <c r="C33" s="219"/>
    </row>
    <row r="34" spans="1:3" ht="31.5">
      <c r="A34" s="189" t="s">
        <v>357</v>
      </c>
      <c r="B34" s="89" t="s">
        <v>844</v>
      </c>
      <c r="C34" s="54" t="s">
        <v>772</v>
      </c>
    </row>
    <row r="35" spans="1:3" ht="47.25">
      <c r="A35" s="189" t="s">
        <v>357</v>
      </c>
      <c r="B35" s="89" t="s">
        <v>845</v>
      </c>
      <c r="C35" s="196" t="s">
        <v>773</v>
      </c>
    </row>
    <row r="36" spans="1:3" ht="94.5">
      <c r="A36" s="189" t="s">
        <v>357</v>
      </c>
      <c r="B36" s="89" t="s">
        <v>846</v>
      </c>
      <c r="C36" s="54" t="s">
        <v>847</v>
      </c>
    </row>
    <row r="37" spans="1:3" ht="15.75">
      <c r="A37" s="190" t="s">
        <v>359</v>
      </c>
      <c r="B37" s="216" t="s">
        <v>848</v>
      </c>
      <c r="C37" s="217"/>
    </row>
    <row r="38" spans="1:3" ht="47.25">
      <c r="A38" s="189" t="s">
        <v>359</v>
      </c>
      <c r="B38" s="89" t="s">
        <v>849</v>
      </c>
      <c r="C38" s="54" t="s">
        <v>517</v>
      </c>
    </row>
    <row r="39" spans="1:3" ht="78.75">
      <c r="A39" s="189" t="s">
        <v>359</v>
      </c>
      <c r="B39" s="89" t="s">
        <v>850</v>
      </c>
      <c r="C39" s="54" t="s">
        <v>518</v>
      </c>
    </row>
    <row r="40" spans="1:3" ht="37.5" customHeight="1">
      <c r="A40" s="190" t="s">
        <v>356</v>
      </c>
      <c r="B40" s="218" t="s">
        <v>851</v>
      </c>
      <c r="C40" s="219"/>
    </row>
    <row r="41" spans="1:3" ht="37.5" customHeight="1">
      <c r="A41" s="189" t="s">
        <v>356</v>
      </c>
      <c r="B41" s="89" t="s">
        <v>839</v>
      </c>
      <c r="C41" s="54" t="s">
        <v>630</v>
      </c>
    </row>
    <row r="42" spans="1:3" ht="47.25">
      <c r="A42" s="189" t="s">
        <v>356</v>
      </c>
      <c r="B42" s="89" t="s">
        <v>852</v>
      </c>
      <c r="C42" s="54" t="s">
        <v>774</v>
      </c>
    </row>
    <row r="43" spans="1:3" ht="69.75" customHeight="1">
      <c r="A43" s="190" t="s">
        <v>584</v>
      </c>
      <c r="B43" s="220" t="s">
        <v>853</v>
      </c>
      <c r="C43" s="221"/>
    </row>
    <row r="44" spans="1:3" ht="31.5">
      <c r="A44" s="69" t="s">
        <v>584</v>
      </c>
      <c r="B44" s="89" t="s">
        <v>854</v>
      </c>
      <c r="C44" s="54" t="s">
        <v>775</v>
      </c>
    </row>
    <row r="45" spans="1:3" ht="47.25">
      <c r="A45" s="69" t="s">
        <v>584</v>
      </c>
      <c r="B45" s="89" t="s">
        <v>855</v>
      </c>
      <c r="C45" s="197" t="s">
        <v>776</v>
      </c>
    </row>
    <row r="46" spans="1:3" ht="31.5">
      <c r="A46" s="69" t="s">
        <v>584</v>
      </c>
      <c r="B46" s="89" t="s">
        <v>856</v>
      </c>
      <c r="C46" s="198" t="s">
        <v>857</v>
      </c>
    </row>
    <row r="47" spans="1:3" ht="15.75">
      <c r="A47" s="189" t="s">
        <v>584</v>
      </c>
      <c r="B47" s="89" t="s">
        <v>858</v>
      </c>
      <c r="C47" s="198" t="s">
        <v>859</v>
      </c>
    </row>
    <row r="48" spans="1:3" ht="15.75">
      <c r="A48" s="189" t="s">
        <v>584</v>
      </c>
      <c r="B48" s="89" t="s">
        <v>860</v>
      </c>
      <c r="C48" s="198" t="s">
        <v>777</v>
      </c>
    </row>
    <row r="49" spans="1:3" ht="31.5">
      <c r="A49" s="69" t="s">
        <v>584</v>
      </c>
      <c r="B49" s="89" t="s">
        <v>861</v>
      </c>
      <c r="C49" s="199" t="s">
        <v>862</v>
      </c>
    </row>
    <row r="50" spans="1:3" ht="31.5">
      <c r="A50" s="69" t="s">
        <v>584</v>
      </c>
      <c r="B50" s="89" t="s">
        <v>863</v>
      </c>
      <c r="C50" s="200" t="s">
        <v>864</v>
      </c>
    </row>
    <row r="51" spans="1:3" ht="47.25">
      <c r="A51" s="189" t="s">
        <v>584</v>
      </c>
      <c r="B51" s="89" t="s">
        <v>865</v>
      </c>
      <c r="C51" s="201" t="s">
        <v>866</v>
      </c>
    </row>
    <row r="54" spans="1:3" ht="15.75">
      <c r="A54" s="12"/>
      <c r="B54" s="12"/>
      <c r="C54" s="12"/>
    </row>
    <row r="55" spans="1:3" ht="15.75">
      <c r="A55" s="12"/>
      <c r="B55" s="12"/>
      <c r="C55" s="12"/>
    </row>
    <row r="56" spans="1:3" ht="15.75">
      <c r="A56" s="12"/>
      <c r="B56" s="12"/>
      <c r="C56" s="12"/>
    </row>
    <row r="57" spans="1:3" ht="30.75" customHeight="1">
      <c r="A57" s="12"/>
      <c r="B57" s="12"/>
      <c r="C57" s="12"/>
    </row>
    <row r="58" spans="1:3" ht="15.75">
      <c r="A58" s="12"/>
      <c r="B58" s="12"/>
      <c r="C58" s="12"/>
    </row>
    <row r="59" spans="1:3" ht="15.75">
      <c r="A59" s="12"/>
      <c r="B59" s="12"/>
      <c r="C59" s="12"/>
    </row>
    <row r="60" spans="1:3" ht="15.75">
      <c r="A60" s="12"/>
      <c r="B60" s="12"/>
      <c r="C60" s="12"/>
    </row>
    <row r="61" spans="1:3" ht="15.75">
      <c r="A61" s="12"/>
      <c r="B61" s="12"/>
      <c r="C61" s="12"/>
    </row>
    <row r="62" spans="1:3" ht="15.75">
      <c r="A62" s="12"/>
      <c r="B62" s="12"/>
      <c r="C62" s="12"/>
    </row>
    <row r="63" spans="1:3" ht="15.75">
      <c r="A63" s="12"/>
      <c r="B63" s="12"/>
      <c r="C63" s="12"/>
    </row>
    <row r="64" spans="1:3" ht="15.75">
      <c r="A64" s="12"/>
      <c r="B64" s="12"/>
      <c r="C64" s="12"/>
    </row>
    <row r="65" spans="1:3" ht="15.75">
      <c r="A65" s="12"/>
      <c r="B65" s="12"/>
      <c r="C65" s="12"/>
    </row>
    <row r="66" spans="1:3" ht="15.75">
      <c r="A66" s="12"/>
      <c r="B66" s="12"/>
      <c r="C66" s="12"/>
    </row>
    <row r="67" spans="1:3" ht="15.75">
      <c r="A67" s="12"/>
      <c r="B67" s="12"/>
      <c r="C67" s="12"/>
    </row>
    <row r="68" spans="1:3" ht="15.75">
      <c r="A68" s="12"/>
      <c r="B68" s="12"/>
      <c r="C68" s="12"/>
    </row>
    <row r="69" spans="1:3" ht="15.75">
      <c r="A69" s="12"/>
      <c r="B69" s="12"/>
      <c r="C69" s="12"/>
    </row>
    <row r="70" spans="1:3" ht="15.75">
      <c r="A70" s="12"/>
      <c r="B70" s="12"/>
      <c r="C70" s="12"/>
    </row>
    <row r="71" spans="1:3" ht="15.75">
      <c r="A71" s="12"/>
      <c r="B71" s="12"/>
      <c r="C71" s="12"/>
    </row>
    <row r="72" spans="1:3" ht="15.75">
      <c r="A72" s="12"/>
      <c r="B72" s="12"/>
      <c r="C72" s="12"/>
    </row>
    <row r="73" spans="1:3" ht="15.75">
      <c r="A73" s="12"/>
      <c r="B73" s="12"/>
      <c r="C73" s="12"/>
    </row>
    <row r="74" spans="1:3" ht="15.75">
      <c r="A74" s="12"/>
      <c r="B74" s="12"/>
      <c r="C74" s="12"/>
    </row>
    <row r="75" spans="1:3" ht="15.75">
      <c r="A75" s="12"/>
      <c r="B75" s="12"/>
      <c r="C75" s="12"/>
    </row>
    <row r="76" spans="1:3" ht="15.75">
      <c r="A76" s="12"/>
      <c r="B76" s="12"/>
      <c r="C76" s="12"/>
    </row>
    <row r="77" spans="1:3" ht="15.75">
      <c r="A77" s="12"/>
      <c r="B77" s="12"/>
      <c r="C77" s="12"/>
    </row>
    <row r="78" spans="1:3" ht="15.75">
      <c r="A78" s="12"/>
      <c r="B78" s="12"/>
      <c r="C78" s="12"/>
    </row>
    <row r="79" spans="1:3" ht="15.75">
      <c r="A79" s="12"/>
      <c r="B79" s="12"/>
      <c r="C79" s="12"/>
    </row>
    <row r="80" spans="1:3" ht="15.75">
      <c r="A80" s="12"/>
      <c r="B80" s="12"/>
      <c r="C80" s="12"/>
    </row>
    <row r="81" spans="1:3" ht="15.75">
      <c r="A81" s="12"/>
      <c r="B81" s="12"/>
      <c r="C81" s="12"/>
    </row>
    <row r="82" spans="1:3" ht="15.75">
      <c r="A82" s="12"/>
      <c r="B82" s="12"/>
      <c r="C82" s="12"/>
    </row>
    <row r="83" spans="1:3" ht="15.75">
      <c r="A83" s="12"/>
      <c r="B83" s="12"/>
      <c r="C83" s="12"/>
    </row>
    <row r="84" spans="1:3" ht="15.75">
      <c r="A84" s="12"/>
      <c r="B84" s="12"/>
      <c r="C84" s="12"/>
    </row>
    <row r="85" spans="1:3" ht="15.75">
      <c r="A85" s="12"/>
      <c r="B85" s="12"/>
      <c r="C85" s="12"/>
    </row>
    <row r="86" spans="1:3" ht="15.75">
      <c r="A86" s="12"/>
      <c r="B86" s="12"/>
      <c r="C86" s="12"/>
    </row>
    <row r="87" spans="1:3" ht="15.75">
      <c r="A87" s="12"/>
      <c r="B87" s="12"/>
      <c r="C87" s="12"/>
    </row>
    <row r="88" spans="1:3" ht="15.75">
      <c r="A88" s="12"/>
      <c r="B88" s="12"/>
      <c r="C88" s="12"/>
    </row>
    <row r="89" spans="1:3" ht="15.75">
      <c r="A89" s="12"/>
      <c r="B89" s="12"/>
      <c r="C89" s="12"/>
    </row>
    <row r="90" spans="1:3" ht="15.75">
      <c r="A90" s="12"/>
      <c r="B90" s="12"/>
      <c r="C90" s="12"/>
    </row>
    <row r="91" spans="1:3" ht="15.75">
      <c r="A91" s="12"/>
      <c r="B91" s="12"/>
      <c r="C91" s="12"/>
    </row>
    <row r="92" spans="1:3" ht="15.75">
      <c r="A92" s="12"/>
      <c r="B92" s="12"/>
      <c r="C92" s="12"/>
    </row>
    <row r="93" spans="1:3" ht="15.75">
      <c r="A93" s="12"/>
      <c r="B93" s="12"/>
      <c r="C93" s="12"/>
    </row>
    <row r="94" spans="1:3" ht="15.75">
      <c r="A94" s="12"/>
      <c r="B94" s="12"/>
      <c r="C94" s="12"/>
    </row>
    <row r="95" spans="1:3" ht="15.75">
      <c r="A95" s="12"/>
      <c r="B95" s="12"/>
      <c r="C95" s="12"/>
    </row>
    <row r="96" spans="1:3" ht="15.75">
      <c r="A96" s="12"/>
      <c r="B96" s="12"/>
      <c r="C96" s="12"/>
    </row>
    <row r="97" spans="1:3" ht="15.75">
      <c r="A97" s="12"/>
      <c r="B97" s="12"/>
      <c r="C97" s="12"/>
    </row>
    <row r="98" spans="1:3" ht="15.75">
      <c r="A98" s="12"/>
      <c r="B98" s="12"/>
      <c r="C98" s="12"/>
    </row>
    <row r="99" spans="1:3" ht="15.75">
      <c r="A99" s="12"/>
      <c r="B99" s="12"/>
      <c r="C99" s="12"/>
    </row>
    <row r="100" spans="1:3" ht="15.75">
      <c r="A100" s="12"/>
      <c r="B100" s="12"/>
      <c r="C100" s="12"/>
    </row>
    <row r="101" spans="1:3" ht="15.75">
      <c r="A101" s="12"/>
      <c r="B101" s="12"/>
      <c r="C101" s="12"/>
    </row>
    <row r="102" spans="1:3" ht="15.75">
      <c r="A102" s="12"/>
      <c r="B102" s="12"/>
      <c r="C102" s="12"/>
    </row>
    <row r="103" spans="1:3" ht="15.75">
      <c r="A103" s="12"/>
      <c r="B103" s="12"/>
      <c r="C103" s="12"/>
    </row>
    <row r="104" spans="1:3" ht="15.75">
      <c r="A104" s="12"/>
      <c r="B104" s="12"/>
      <c r="C104" s="12"/>
    </row>
    <row r="105" spans="1:3" ht="15.75">
      <c r="A105" s="12"/>
      <c r="B105" s="12"/>
      <c r="C105" s="12"/>
    </row>
    <row r="106" spans="1:3" ht="15.75">
      <c r="A106" s="12"/>
      <c r="B106" s="12"/>
      <c r="C106" s="12"/>
    </row>
    <row r="107" spans="1:3" ht="15.75">
      <c r="A107" s="12"/>
      <c r="B107" s="12"/>
      <c r="C107" s="12"/>
    </row>
    <row r="108" spans="1:3" ht="15.75">
      <c r="A108" s="12"/>
      <c r="B108" s="12"/>
      <c r="C108" s="12"/>
    </row>
  </sheetData>
  <sheetProtection/>
  <mergeCells count="15">
    <mergeCell ref="B1:C1"/>
    <mergeCell ref="B2:C2"/>
    <mergeCell ref="B3:C3"/>
    <mergeCell ref="B4:C4"/>
    <mergeCell ref="B5:C5"/>
    <mergeCell ref="B7:C7"/>
    <mergeCell ref="B37:C37"/>
    <mergeCell ref="B40:C40"/>
    <mergeCell ref="B43:C43"/>
    <mergeCell ref="A8:C8"/>
    <mergeCell ref="A10:B10"/>
    <mergeCell ref="C10:C11"/>
    <mergeCell ref="B12:C12"/>
    <mergeCell ref="B19:C19"/>
    <mergeCell ref="B33:C33"/>
  </mergeCells>
  <printOptions horizontalCentered="1"/>
  <pageMargins left="0.7480314960629921" right="0.15748031496062992" top="0.15748031496062992" bottom="0.2362204724409449" header="0.1968503937007874" footer="0.15748031496062992"/>
  <pageSetup fitToHeight="20" fitToWidth="1" horizontalDpi="600" verticalDpi="600" orientation="portrait" paperSize="9" r:id="rId1"/>
  <rowBreaks count="9" manualBreakCount="9">
    <brk id="19" max="3" man="1"/>
    <brk id="33" max="3" man="1"/>
    <brk id="48" max="3" man="1"/>
    <brk id="58" max="3" man="1"/>
    <brk id="66" max="3" man="1"/>
    <brk id="80" max="3" man="1"/>
    <brk id="88" max="3" man="1"/>
    <brk id="96" max="3" man="1"/>
    <brk id="120" max="3" man="1"/>
  </rowBreaks>
</worksheet>
</file>

<file path=xl/worksheets/sheet2.xml><?xml version="1.0" encoding="utf-8"?>
<worksheet xmlns="http://schemas.openxmlformats.org/spreadsheetml/2006/main" xmlns:r="http://schemas.openxmlformats.org/officeDocument/2006/relationships">
  <sheetPr>
    <pageSetUpPr fitToPage="1"/>
  </sheetPr>
  <dimension ref="A1:D134"/>
  <sheetViews>
    <sheetView zoomScalePageLayoutView="0" workbookViewId="0" topLeftCell="A1">
      <selection activeCell="A5" sqref="A5:IV5"/>
    </sheetView>
  </sheetViews>
  <sheetFormatPr defaultColWidth="9.00390625" defaultRowHeight="16.5" customHeight="1"/>
  <cols>
    <col min="1" max="1" width="27.625" style="88" customWidth="1"/>
    <col min="2" max="2" width="46.25390625" style="12" customWidth="1"/>
    <col min="3" max="3" width="19.375" style="90" customWidth="1"/>
    <col min="4" max="4" width="24.875" style="88" hidden="1" customWidth="1"/>
    <col min="5" max="16384" width="9.125" style="88" customWidth="1"/>
  </cols>
  <sheetData>
    <row r="1" spans="2:4" ht="16.5" customHeight="1">
      <c r="B1" s="224" t="s">
        <v>800</v>
      </c>
      <c r="C1" s="224"/>
      <c r="D1" s="224"/>
    </row>
    <row r="2" spans="1:4" ht="16.5" customHeight="1">
      <c r="A2" s="30"/>
      <c r="B2" s="224" t="s">
        <v>566</v>
      </c>
      <c r="C2" s="224"/>
      <c r="D2" s="52"/>
    </row>
    <row r="3" spans="1:4" ht="16.5" customHeight="1">
      <c r="A3" s="30"/>
      <c r="B3" s="224" t="s">
        <v>784</v>
      </c>
      <c r="C3" s="224"/>
      <c r="D3" s="52"/>
    </row>
    <row r="4" spans="2:4" ht="16.5" customHeight="1">
      <c r="B4" s="224" t="s">
        <v>785</v>
      </c>
      <c r="C4" s="224"/>
      <c r="D4" s="52"/>
    </row>
    <row r="5" spans="1:3" s="215" customFormat="1" ht="15.75">
      <c r="A5" s="52"/>
      <c r="B5" s="224" t="s">
        <v>882</v>
      </c>
      <c r="C5" s="224"/>
    </row>
    <row r="6" ht="16.5" customHeight="1">
      <c r="B6" s="52"/>
    </row>
    <row r="7" ht="16.5" customHeight="1">
      <c r="B7" s="52"/>
    </row>
    <row r="8" spans="1:3" ht="36.75" customHeight="1">
      <c r="A8" s="226" t="s">
        <v>801</v>
      </c>
      <c r="B8" s="226"/>
      <c r="C8" s="226"/>
    </row>
    <row r="9" ht="16.5" customHeight="1">
      <c r="C9" s="91" t="s">
        <v>682</v>
      </c>
    </row>
    <row r="10" spans="1:3" ht="56.25" customHeight="1">
      <c r="A10" s="15" t="s">
        <v>803</v>
      </c>
      <c r="B10" s="89" t="s">
        <v>804</v>
      </c>
      <c r="C10" s="89" t="s">
        <v>650</v>
      </c>
    </row>
    <row r="11" spans="1:3" ht="18.75">
      <c r="A11" s="92">
        <v>1</v>
      </c>
      <c r="B11" s="92">
        <v>2</v>
      </c>
      <c r="C11" s="92">
        <v>3</v>
      </c>
    </row>
    <row r="12" spans="1:4" ht="31.5">
      <c r="A12" s="93" t="s">
        <v>805</v>
      </c>
      <c r="B12" s="53" t="s">
        <v>806</v>
      </c>
      <c r="C12" s="94">
        <f>C13+C53</f>
        <v>844459137.98</v>
      </c>
      <c r="D12" s="95"/>
    </row>
    <row r="13" spans="1:4" ht="18.75">
      <c r="A13" s="93"/>
      <c r="B13" s="96" t="s">
        <v>807</v>
      </c>
      <c r="C13" s="97">
        <f>C15+C27+C40+C48+C21</f>
        <v>704130433.63</v>
      </c>
      <c r="D13" s="95"/>
    </row>
    <row r="14" spans="1:3" ht="18.75">
      <c r="A14" s="93"/>
      <c r="B14" s="96" t="s">
        <v>808</v>
      </c>
      <c r="C14" s="94"/>
    </row>
    <row r="15" spans="1:3" ht="24.75" customHeight="1">
      <c r="A15" s="93" t="s">
        <v>809</v>
      </c>
      <c r="B15" s="98" t="s">
        <v>810</v>
      </c>
      <c r="C15" s="94">
        <f>C16</f>
        <v>609459672</v>
      </c>
    </row>
    <row r="16" spans="1:3" ht="23.25" customHeight="1">
      <c r="A16" s="99" t="s">
        <v>811</v>
      </c>
      <c r="B16" s="100" t="s">
        <v>812</v>
      </c>
      <c r="C16" s="101">
        <f>C17+C18+C19+C20</f>
        <v>609459672</v>
      </c>
    </row>
    <row r="17" spans="1:4" ht="98.25" customHeight="1">
      <c r="A17" s="102" t="s">
        <v>813</v>
      </c>
      <c r="B17" s="103" t="s">
        <v>186</v>
      </c>
      <c r="C17" s="104">
        <v>608322170</v>
      </c>
      <c r="D17" s="105">
        <v>-406000</v>
      </c>
    </row>
    <row r="18" spans="1:3" ht="139.5" customHeight="1">
      <c r="A18" s="102" t="s">
        <v>814</v>
      </c>
      <c r="B18" s="103" t="s">
        <v>0</v>
      </c>
      <c r="C18" s="104">
        <v>210000</v>
      </c>
    </row>
    <row r="19" spans="1:4" ht="68.25" customHeight="1">
      <c r="A19" s="102" t="s">
        <v>1</v>
      </c>
      <c r="B19" s="103" t="s">
        <v>2</v>
      </c>
      <c r="C19" s="104">
        <v>916125</v>
      </c>
      <c r="D19" s="105">
        <v>400000</v>
      </c>
    </row>
    <row r="20" spans="1:4" ht="123.75" customHeight="1">
      <c r="A20" s="102" t="s">
        <v>3</v>
      </c>
      <c r="B20" s="103" t="s">
        <v>187</v>
      </c>
      <c r="C20" s="104">
        <v>11377</v>
      </c>
      <c r="D20" s="105">
        <v>6000</v>
      </c>
    </row>
    <row r="21" spans="1:3" ht="57" customHeight="1">
      <c r="A21" s="93" t="s">
        <v>4</v>
      </c>
      <c r="B21" s="53" t="s">
        <v>5</v>
      </c>
      <c r="C21" s="94">
        <f>C22</f>
        <v>8009741</v>
      </c>
    </row>
    <row r="22" spans="1:3" ht="47.25">
      <c r="A22" s="99" t="s">
        <v>6</v>
      </c>
      <c r="B22" s="106" t="s">
        <v>7</v>
      </c>
      <c r="C22" s="101">
        <f>C23+C24+C25+C26</f>
        <v>8009741</v>
      </c>
    </row>
    <row r="23" spans="1:3" ht="90">
      <c r="A23" s="102" t="s">
        <v>8</v>
      </c>
      <c r="B23" s="103" t="s">
        <v>9</v>
      </c>
      <c r="C23" s="107">
        <v>3028460</v>
      </c>
    </row>
    <row r="24" spans="1:3" ht="105">
      <c r="A24" s="102" t="s">
        <v>10</v>
      </c>
      <c r="B24" s="103" t="s">
        <v>11</v>
      </c>
      <c r="C24" s="107">
        <v>72890</v>
      </c>
    </row>
    <row r="25" spans="1:3" ht="90">
      <c r="A25" s="102" t="s">
        <v>13</v>
      </c>
      <c r="B25" s="103" t="s">
        <v>14</v>
      </c>
      <c r="C25" s="107">
        <f>4876238+32153</f>
        <v>4908391</v>
      </c>
    </row>
    <row r="26" spans="1:3" ht="90">
      <c r="A26" s="102" t="s">
        <v>15</v>
      </c>
      <c r="B26" s="103" t="s">
        <v>16</v>
      </c>
      <c r="C26" s="107">
        <f>32153-32153</f>
        <v>0</v>
      </c>
    </row>
    <row r="27" spans="1:3" ht="22.5" customHeight="1">
      <c r="A27" s="93" t="s">
        <v>17</v>
      </c>
      <c r="B27" s="98" t="s">
        <v>18</v>
      </c>
      <c r="C27" s="94">
        <f>C28+C35+C39</f>
        <v>62073130</v>
      </c>
    </row>
    <row r="28" spans="1:3" ht="39.75" customHeight="1">
      <c r="A28" s="99" t="s">
        <v>19</v>
      </c>
      <c r="B28" s="108" t="s">
        <v>20</v>
      </c>
      <c r="C28" s="101">
        <f>C29+C32+C34</f>
        <v>37402580</v>
      </c>
    </row>
    <row r="29" spans="1:3" s="109" customFormat="1" ht="51.75" customHeight="1">
      <c r="A29" s="102" t="s">
        <v>21</v>
      </c>
      <c r="B29" s="103" t="s">
        <v>22</v>
      </c>
      <c r="C29" s="107">
        <f>C30+C31</f>
        <v>14577888</v>
      </c>
    </row>
    <row r="30" spans="1:3" s="109" customFormat="1" ht="51" customHeight="1">
      <c r="A30" s="102" t="s">
        <v>23</v>
      </c>
      <c r="B30" s="103" t="s">
        <v>22</v>
      </c>
      <c r="C30" s="107">
        <f>14577888-1000</f>
        <v>14576888</v>
      </c>
    </row>
    <row r="31" spans="1:3" s="109" customFormat="1" ht="68.25" customHeight="1">
      <c r="A31" s="102" t="s">
        <v>519</v>
      </c>
      <c r="B31" s="103" t="s">
        <v>520</v>
      </c>
      <c r="C31" s="107">
        <v>1000</v>
      </c>
    </row>
    <row r="32" spans="1:3" s="109" customFormat="1" ht="51" customHeight="1">
      <c r="A32" s="102" t="s">
        <v>24</v>
      </c>
      <c r="B32" s="103" t="s">
        <v>25</v>
      </c>
      <c r="C32" s="107">
        <f>C33</f>
        <v>14749100</v>
      </c>
    </row>
    <row r="33" spans="1:3" s="109" customFormat="1" ht="51.75" customHeight="1">
      <c r="A33" s="102" t="s">
        <v>26</v>
      </c>
      <c r="B33" s="103" t="s">
        <v>25</v>
      </c>
      <c r="C33" s="107">
        <v>14749100</v>
      </c>
    </row>
    <row r="34" spans="1:3" s="109" customFormat="1" ht="39.75" customHeight="1">
      <c r="A34" s="102" t="s">
        <v>27</v>
      </c>
      <c r="B34" s="103" t="s">
        <v>28</v>
      </c>
      <c r="C34" s="107">
        <v>8075592</v>
      </c>
    </row>
    <row r="35" spans="1:3" s="110" customFormat="1" ht="43.5" customHeight="1">
      <c r="A35" s="99" t="s">
        <v>29</v>
      </c>
      <c r="B35" s="108" t="s">
        <v>30</v>
      </c>
      <c r="C35" s="101">
        <f>C36+C37</f>
        <v>24250550</v>
      </c>
    </row>
    <row r="36" spans="1:3" s="110" customFormat="1" ht="43.5" customHeight="1">
      <c r="A36" s="102" t="s">
        <v>31</v>
      </c>
      <c r="B36" s="103" t="s">
        <v>32</v>
      </c>
      <c r="C36" s="107">
        <v>24200550</v>
      </c>
    </row>
    <row r="37" spans="1:3" s="110" customFormat="1" ht="46.5" customHeight="1">
      <c r="A37" s="102" t="s">
        <v>33</v>
      </c>
      <c r="B37" s="103" t="s">
        <v>34</v>
      </c>
      <c r="C37" s="107">
        <v>50000</v>
      </c>
    </row>
    <row r="38" spans="1:3" s="110" customFormat="1" ht="46.5" customHeight="1">
      <c r="A38" s="99" t="s">
        <v>35</v>
      </c>
      <c r="B38" s="108" t="s">
        <v>36</v>
      </c>
      <c r="C38" s="101">
        <f>C39</f>
        <v>420000</v>
      </c>
    </row>
    <row r="39" spans="1:3" ht="51.75" customHeight="1">
      <c r="A39" s="102" t="s">
        <v>37</v>
      </c>
      <c r="B39" s="112" t="s">
        <v>38</v>
      </c>
      <c r="C39" s="107">
        <v>420000</v>
      </c>
    </row>
    <row r="40" spans="1:3" ht="21" customHeight="1">
      <c r="A40" s="93" t="s">
        <v>39</v>
      </c>
      <c r="B40" s="98" t="s">
        <v>40</v>
      </c>
      <c r="C40" s="94">
        <f>C41+C43</f>
        <v>18592867.63</v>
      </c>
    </row>
    <row r="41" spans="1:3" ht="33" customHeight="1">
      <c r="A41" s="99" t="s">
        <v>41</v>
      </c>
      <c r="B41" s="108" t="s">
        <v>42</v>
      </c>
      <c r="C41" s="101">
        <f>C42</f>
        <v>6427657.63</v>
      </c>
    </row>
    <row r="42" spans="1:4" ht="61.5" customHeight="1">
      <c r="A42" s="102" t="s">
        <v>43</v>
      </c>
      <c r="B42" s="113" t="s">
        <v>44</v>
      </c>
      <c r="C42" s="107">
        <f>2809320+3618337.63</f>
        <v>6427657.63</v>
      </c>
      <c r="D42" s="105">
        <v>-200000</v>
      </c>
    </row>
    <row r="43" spans="1:3" ht="31.5" customHeight="1">
      <c r="A43" s="99" t="s">
        <v>45</v>
      </c>
      <c r="B43" s="108" t="s">
        <v>46</v>
      </c>
      <c r="C43" s="101">
        <f>C44+C46</f>
        <v>12165210</v>
      </c>
    </row>
    <row r="44" spans="1:3" ht="18.75">
      <c r="A44" s="102" t="s">
        <v>786</v>
      </c>
      <c r="B44" s="103" t="s">
        <v>787</v>
      </c>
      <c r="C44" s="107">
        <f>C45</f>
        <v>11165210</v>
      </c>
    </row>
    <row r="45" spans="1:4" ht="45">
      <c r="A45" s="102" t="s">
        <v>788</v>
      </c>
      <c r="B45" s="103" t="s">
        <v>789</v>
      </c>
      <c r="C45" s="107">
        <v>11165210</v>
      </c>
      <c r="D45" s="105">
        <v>200000</v>
      </c>
    </row>
    <row r="46" spans="1:3" ht="18.75">
      <c r="A46" s="102" t="s">
        <v>790</v>
      </c>
      <c r="B46" s="103" t="s">
        <v>791</v>
      </c>
      <c r="C46" s="107">
        <f>C47</f>
        <v>1000000</v>
      </c>
    </row>
    <row r="47" spans="1:3" ht="57.75" customHeight="1">
      <c r="A47" s="102" t="s">
        <v>792</v>
      </c>
      <c r="B47" s="103" t="s">
        <v>793</v>
      </c>
      <c r="C47" s="107">
        <v>1000000</v>
      </c>
    </row>
    <row r="48" spans="1:3" ht="29.25" customHeight="1">
      <c r="A48" s="93" t="s">
        <v>60</v>
      </c>
      <c r="B48" s="98" t="s">
        <v>61</v>
      </c>
      <c r="C48" s="94">
        <f>C49+C51</f>
        <v>5995023</v>
      </c>
    </row>
    <row r="49" spans="1:3" ht="54" customHeight="1">
      <c r="A49" s="114" t="s">
        <v>62</v>
      </c>
      <c r="B49" s="115" t="s">
        <v>63</v>
      </c>
      <c r="C49" s="111">
        <f>C50</f>
        <v>5975023</v>
      </c>
    </row>
    <row r="50" spans="1:3" ht="66.75" customHeight="1">
      <c r="A50" s="102" t="s">
        <v>64</v>
      </c>
      <c r="B50" s="103" t="s">
        <v>65</v>
      </c>
      <c r="C50" s="107">
        <v>5975023</v>
      </c>
    </row>
    <row r="51" spans="1:3" ht="63.75" customHeight="1">
      <c r="A51" s="114" t="s">
        <v>66</v>
      </c>
      <c r="B51" s="115" t="s">
        <v>67</v>
      </c>
      <c r="C51" s="111">
        <f>C52</f>
        <v>20000</v>
      </c>
    </row>
    <row r="52" spans="1:3" ht="37.5" customHeight="1">
      <c r="A52" s="102" t="s">
        <v>68</v>
      </c>
      <c r="B52" s="103" t="s">
        <v>69</v>
      </c>
      <c r="C52" s="107">
        <v>20000</v>
      </c>
    </row>
    <row r="53" spans="1:3" ht="24.75" customHeight="1">
      <c r="A53" s="93"/>
      <c r="B53" s="116" t="s">
        <v>70</v>
      </c>
      <c r="C53" s="97">
        <f>C54+C68+C74+C80+C84</f>
        <v>140328704.35000002</v>
      </c>
    </row>
    <row r="54" spans="1:3" ht="47.25">
      <c r="A54" s="117" t="s">
        <v>74</v>
      </c>
      <c r="B54" s="118" t="s">
        <v>75</v>
      </c>
      <c r="C54" s="94">
        <f>C55+C62+C65</f>
        <v>99305739.27000001</v>
      </c>
    </row>
    <row r="55" spans="1:3" ht="142.5" customHeight="1">
      <c r="A55" s="99" t="s">
        <v>76</v>
      </c>
      <c r="B55" s="119" t="s">
        <v>77</v>
      </c>
      <c r="C55" s="101">
        <f>C56+C58+C60</f>
        <v>29011924</v>
      </c>
    </row>
    <row r="56" spans="1:3" ht="91.5" customHeight="1">
      <c r="A56" s="102" t="s">
        <v>78</v>
      </c>
      <c r="B56" s="103" t="s">
        <v>79</v>
      </c>
      <c r="C56" s="107">
        <f>C57</f>
        <v>10415809</v>
      </c>
    </row>
    <row r="57" spans="1:3" ht="109.5" customHeight="1">
      <c r="A57" s="102" t="s">
        <v>80</v>
      </c>
      <c r="B57" s="120" t="s">
        <v>764</v>
      </c>
      <c r="C57" s="107">
        <f>8747201+1668608</f>
        <v>10415809</v>
      </c>
    </row>
    <row r="58" spans="1:3" ht="113.25" customHeight="1">
      <c r="A58" s="102" t="s">
        <v>81</v>
      </c>
      <c r="B58" s="103" t="s">
        <v>82</v>
      </c>
      <c r="C58" s="107">
        <f>C59</f>
        <v>2267377</v>
      </c>
    </row>
    <row r="59" spans="1:3" ht="103.5" customHeight="1">
      <c r="A59" s="102" t="s">
        <v>83</v>
      </c>
      <c r="B59" s="120" t="s">
        <v>766</v>
      </c>
      <c r="C59" s="107">
        <f>1912443+354934</f>
        <v>2267377</v>
      </c>
    </row>
    <row r="60" spans="1:3" ht="112.5" customHeight="1">
      <c r="A60" s="102" t="s">
        <v>84</v>
      </c>
      <c r="B60" s="103" t="s">
        <v>85</v>
      </c>
      <c r="C60" s="107">
        <f>C61</f>
        <v>16328738</v>
      </c>
    </row>
    <row r="61" spans="1:3" ht="100.5" customHeight="1">
      <c r="A61" s="102" t="s">
        <v>86</v>
      </c>
      <c r="B61" s="120" t="s">
        <v>768</v>
      </c>
      <c r="C61" s="107">
        <f>15416455+912283</f>
        <v>16328738</v>
      </c>
    </row>
    <row r="62" spans="1:3" ht="53.25" customHeight="1">
      <c r="A62" s="99" t="s">
        <v>87</v>
      </c>
      <c r="B62" s="106" t="s">
        <v>88</v>
      </c>
      <c r="C62" s="101">
        <f>C63</f>
        <v>0</v>
      </c>
    </row>
    <row r="63" spans="1:3" ht="65.25" customHeight="1">
      <c r="A63" s="102" t="s">
        <v>89</v>
      </c>
      <c r="B63" s="103" t="s">
        <v>90</v>
      </c>
      <c r="C63" s="107">
        <f>C64</f>
        <v>0</v>
      </c>
    </row>
    <row r="64" spans="1:3" ht="81" customHeight="1">
      <c r="A64" s="102" t="s">
        <v>91</v>
      </c>
      <c r="B64" s="121" t="s">
        <v>761</v>
      </c>
      <c r="C64" s="107">
        <f>298000-298000</f>
        <v>0</v>
      </c>
    </row>
    <row r="65" spans="1:3" ht="128.25" customHeight="1">
      <c r="A65" s="99" t="s">
        <v>92</v>
      </c>
      <c r="B65" s="106" t="s">
        <v>93</v>
      </c>
      <c r="C65" s="101">
        <f>C66</f>
        <v>70293815.27000001</v>
      </c>
    </row>
    <row r="66" spans="1:3" ht="105" customHeight="1">
      <c r="A66" s="102" t="s">
        <v>94</v>
      </c>
      <c r="B66" s="103" t="s">
        <v>95</v>
      </c>
      <c r="C66" s="107">
        <f>C67</f>
        <v>70293815.27000001</v>
      </c>
    </row>
    <row r="67" spans="1:3" ht="108" customHeight="1">
      <c r="A67" s="102" t="s">
        <v>96</v>
      </c>
      <c r="B67" s="121" t="s">
        <v>769</v>
      </c>
      <c r="C67" s="107">
        <f>25930091+48196266.27-782000-3050542</f>
        <v>70293815.27000001</v>
      </c>
    </row>
    <row r="68" spans="1:4" ht="42.75" customHeight="1">
      <c r="A68" s="93" t="s">
        <v>97</v>
      </c>
      <c r="B68" s="122" t="s">
        <v>98</v>
      </c>
      <c r="C68" s="94">
        <f>C69</f>
        <v>2772357</v>
      </c>
      <c r="D68" s="95"/>
    </row>
    <row r="69" spans="1:4" ht="42.75" customHeight="1">
      <c r="A69" s="99" t="s">
        <v>99</v>
      </c>
      <c r="B69" s="123" t="s">
        <v>100</v>
      </c>
      <c r="C69" s="101">
        <f>C70+C71+C72+C73</f>
        <v>2772357</v>
      </c>
      <c r="D69" s="95"/>
    </row>
    <row r="70" spans="1:4" ht="42.75" customHeight="1">
      <c r="A70" s="102" t="s">
        <v>101</v>
      </c>
      <c r="B70" s="103" t="s">
        <v>102</v>
      </c>
      <c r="C70" s="107">
        <f>260000+140000</f>
        <v>400000</v>
      </c>
      <c r="D70" s="105">
        <v>3750</v>
      </c>
    </row>
    <row r="71" spans="1:4" ht="42.75" customHeight="1">
      <c r="A71" s="102" t="s">
        <v>103</v>
      </c>
      <c r="B71" s="103" t="s">
        <v>104</v>
      </c>
      <c r="C71" s="107">
        <f>24465+5535</f>
        <v>30000</v>
      </c>
      <c r="D71" s="105">
        <v>6310</v>
      </c>
    </row>
    <row r="72" spans="1:4" ht="42.75" customHeight="1">
      <c r="A72" s="102" t="s">
        <v>105</v>
      </c>
      <c r="B72" s="103" t="s">
        <v>106</v>
      </c>
      <c r="C72" s="107">
        <f>587892-5535</f>
        <v>582357</v>
      </c>
      <c r="D72" s="105">
        <v>30860</v>
      </c>
    </row>
    <row r="73" spans="1:4" ht="33.75" customHeight="1">
      <c r="A73" s="102" t="s">
        <v>107</v>
      </c>
      <c r="B73" s="103" t="s">
        <v>108</v>
      </c>
      <c r="C73" s="107">
        <f>1900000-140000</f>
        <v>1760000</v>
      </c>
      <c r="D73" s="105">
        <v>1177530</v>
      </c>
    </row>
    <row r="74" spans="1:3" ht="57.75" customHeight="1">
      <c r="A74" s="93" t="s">
        <v>796</v>
      </c>
      <c r="B74" s="122" t="s">
        <v>109</v>
      </c>
      <c r="C74" s="94">
        <f>C75</f>
        <v>15873455.08</v>
      </c>
    </row>
    <row r="75" spans="1:3" ht="31.5" customHeight="1">
      <c r="A75" s="99" t="s">
        <v>798</v>
      </c>
      <c r="B75" s="123" t="s">
        <v>797</v>
      </c>
      <c r="C75" s="101">
        <f>C78+C76</f>
        <v>15873455.08</v>
      </c>
    </row>
    <row r="76" spans="1:3" ht="48" customHeight="1">
      <c r="A76" s="102" t="s">
        <v>110</v>
      </c>
      <c r="B76" s="121" t="s">
        <v>111</v>
      </c>
      <c r="C76" s="107">
        <f>C77</f>
        <v>168000</v>
      </c>
    </row>
    <row r="77" spans="1:3" ht="48.75" customHeight="1">
      <c r="A77" s="102" t="s">
        <v>112</v>
      </c>
      <c r="B77" s="121" t="s">
        <v>762</v>
      </c>
      <c r="C77" s="107">
        <f>40000+100000+28000</f>
        <v>168000</v>
      </c>
    </row>
    <row r="78" spans="1:3" ht="41.25" customHeight="1">
      <c r="A78" s="102" t="s">
        <v>113</v>
      </c>
      <c r="B78" s="121" t="s">
        <v>114</v>
      </c>
      <c r="C78" s="107">
        <f>C79</f>
        <v>15705455.08</v>
      </c>
    </row>
    <row r="79" spans="1:3" ht="43.5" customHeight="1">
      <c r="A79" s="102" t="s">
        <v>799</v>
      </c>
      <c r="B79" s="121" t="s">
        <v>775</v>
      </c>
      <c r="C79" s="107">
        <f>1025933+14025522.08-100000+782000-28000</f>
        <v>15705455.08</v>
      </c>
    </row>
    <row r="80" spans="1:3" ht="40.5" customHeight="1">
      <c r="A80" s="93" t="s">
        <v>115</v>
      </c>
      <c r="B80" s="122" t="s">
        <v>116</v>
      </c>
      <c r="C80" s="94">
        <f>C81</f>
        <v>18387840</v>
      </c>
    </row>
    <row r="81" spans="1:3" ht="133.5" customHeight="1">
      <c r="A81" s="99" t="s">
        <v>117</v>
      </c>
      <c r="B81" s="106" t="s">
        <v>118</v>
      </c>
      <c r="C81" s="101">
        <f>C82</f>
        <v>18387840</v>
      </c>
    </row>
    <row r="82" spans="1:3" ht="123" customHeight="1">
      <c r="A82" s="102" t="s">
        <v>119</v>
      </c>
      <c r="B82" s="103" t="s">
        <v>120</v>
      </c>
      <c r="C82" s="107">
        <f>C83</f>
        <v>18387840</v>
      </c>
    </row>
    <row r="83" spans="1:4" ht="124.5" customHeight="1">
      <c r="A83" s="102" t="s">
        <v>121</v>
      </c>
      <c r="B83" s="103" t="s">
        <v>770</v>
      </c>
      <c r="C83" s="107">
        <v>18387840</v>
      </c>
      <c r="D83" s="105">
        <f>-1218450-14050</f>
        <v>-1232500</v>
      </c>
    </row>
    <row r="84" spans="1:3" ht="35.25" customHeight="1">
      <c r="A84" s="93" t="s">
        <v>122</v>
      </c>
      <c r="B84" s="122" t="s">
        <v>123</v>
      </c>
      <c r="C84" s="94">
        <f>C85+C88+C89+C92+C97+C98+C95+C94</f>
        <v>3989313</v>
      </c>
    </row>
    <row r="85" spans="1:4" ht="47.25" customHeight="1">
      <c r="A85" s="99" t="s">
        <v>124</v>
      </c>
      <c r="B85" s="106" t="s">
        <v>125</v>
      </c>
      <c r="C85" s="101">
        <f>C86+C87</f>
        <v>75000</v>
      </c>
      <c r="D85" s="95"/>
    </row>
    <row r="86" spans="1:3" ht="96.75" customHeight="1">
      <c r="A86" s="102" t="s">
        <v>126</v>
      </c>
      <c r="B86" s="103" t="s">
        <v>188</v>
      </c>
      <c r="C86" s="107">
        <f>101783-26783</f>
        <v>75000</v>
      </c>
    </row>
    <row r="87" spans="1:4" ht="83.25" customHeight="1">
      <c r="A87" s="102" t="s">
        <v>127</v>
      </c>
      <c r="B87" s="103" t="s">
        <v>128</v>
      </c>
      <c r="C87" s="107">
        <f>22500-22500</f>
        <v>0</v>
      </c>
      <c r="D87" s="105">
        <v>20000</v>
      </c>
    </row>
    <row r="88" spans="1:4" ht="102.75" customHeight="1">
      <c r="A88" s="99" t="s">
        <v>129</v>
      </c>
      <c r="B88" s="106" t="s">
        <v>130</v>
      </c>
      <c r="C88" s="101">
        <v>78850</v>
      </c>
      <c r="D88" s="105">
        <v>22000</v>
      </c>
    </row>
    <row r="89" spans="1:3" ht="176.25" customHeight="1">
      <c r="A89" s="99" t="s">
        <v>131</v>
      </c>
      <c r="B89" s="106" t="s">
        <v>360</v>
      </c>
      <c r="C89" s="101">
        <f>C91+C90</f>
        <v>1375</v>
      </c>
    </row>
    <row r="90" spans="1:3" ht="45" customHeight="1">
      <c r="A90" s="102" t="s">
        <v>132</v>
      </c>
      <c r="B90" s="103" t="s">
        <v>133</v>
      </c>
      <c r="C90" s="107">
        <v>0</v>
      </c>
    </row>
    <row r="91" spans="1:3" ht="35.25" customHeight="1">
      <c r="A91" s="102" t="s">
        <v>134</v>
      </c>
      <c r="B91" s="103" t="s">
        <v>135</v>
      </c>
      <c r="C91" s="107">
        <f>39375-38000</f>
        <v>1375</v>
      </c>
    </row>
    <row r="92" spans="1:3" s="127" customFormat="1" ht="87" customHeight="1">
      <c r="A92" s="124" t="s">
        <v>136</v>
      </c>
      <c r="B92" s="125" t="s">
        <v>137</v>
      </c>
      <c r="C92" s="126">
        <v>333303</v>
      </c>
    </row>
    <row r="93" spans="1:3" s="127" customFormat="1" ht="60.75" customHeight="1">
      <c r="A93" s="124" t="s">
        <v>138</v>
      </c>
      <c r="B93" s="125" t="s">
        <v>139</v>
      </c>
      <c r="C93" s="126">
        <f>C94</f>
        <v>1610000</v>
      </c>
    </row>
    <row r="94" spans="1:4" s="127" customFormat="1" ht="36.75" customHeight="1">
      <c r="A94" s="128" t="s">
        <v>140</v>
      </c>
      <c r="B94" s="129" t="s">
        <v>141</v>
      </c>
      <c r="C94" s="130">
        <f>1310000+300000</f>
        <v>1610000</v>
      </c>
      <c r="D94" s="105">
        <v>160000</v>
      </c>
    </row>
    <row r="95" spans="1:3" s="127" customFormat="1" ht="124.5" customHeight="1">
      <c r="A95" s="124" t="s">
        <v>142</v>
      </c>
      <c r="B95" s="125" t="s">
        <v>144</v>
      </c>
      <c r="C95" s="126">
        <f>C96</f>
        <v>176500</v>
      </c>
    </row>
    <row r="96" spans="1:4" s="127" customFormat="1" ht="97.5" customHeight="1">
      <c r="A96" s="128" t="s">
        <v>145</v>
      </c>
      <c r="B96" s="129" t="s">
        <v>146</v>
      </c>
      <c r="C96" s="130">
        <f>126500+50000</f>
        <v>176500</v>
      </c>
      <c r="D96" s="105">
        <v>95000</v>
      </c>
    </row>
    <row r="97" spans="1:4" ht="120.75" customHeight="1">
      <c r="A97" s="99" t="s">
        <v>147</v>
      </c>
      <c r="B97" s="106" t="s">
        <v>148</v>
      </c>
      <c r="C97" s="101">
        <f>11585+150000</f>
        <v>161585</v>
      </c>
      <c r="D97" s="105">
        <v>2450</v>
      </c>
    </row>
    <row r="98" spans="1:3" ht="42" customHeight="1">
      <c r="A98" s="99" t="s">
        <v>149</v>
      </c>
      <c r="B98" s="106" t="s">
        <v>150</v>
      </c>
      <c r="C98" s="101">
        <f>C99</f>
        <v>1552700</v>
      </c>
    </row>
    <row r="99" spans="1:4" ht="57" customHeight="1">
      <c r="A99" s="102" t="s">
        <v>151</v>
      </c>
      <c r="B99" s="103" t="s">
        <v>776</v>
      </c>
      <c r="C99" s="107">
        <v>1552700</v>
      </c>
      <c r="D99" s="105">
        <f>-299450</f>
        <v>-299450</v>
      </c>
    </row>
    <row r="100" spans="1:3" ht="18.75">
      <c r="A100" s="93" t="s">
        <v>152</v>
      </c>
      <c r="B100" s="98" t="s">
        <v>153</v>
      </c>
      <c r="C100" s="94">
        <f>C101</f>
        <v>1328732876.13</v>
      </c>
    </row>
    <row r="101" spans="1:4" ht="47.25">
      <c r="A101" s="93" t="s">
        <v>154</v>
      </c>
      <c r="B101" s="53" t="s">
        <v>155</v>
      </c>
      <c r="C101" s="97">
        <f>C102+C107+C118+C127</f>
        <v>1328732876.13</v>
      </c>
      <c r="D101" s="95"/>
    </row>
    <row r="102" spans="1:4" ht="42" customHeight="1">
      <c r="A102" s="93" t="s">
        <v>156</v>
      </c>
      <c r="B102" s="53" t="s">
        <v>157</v>
      </c>
      <c r="C102" s="94">
        <f>C103+C105</f>
        <v>610509601.13</v>
      </c>
      <c r="D102" s="95"/>
    </row>
    <row r="103" spans="1:3" ht="43.5" customHeight="1">
      <c r="A103" s="99" t="s">
        <v>158</v>
      </c>
      <c r="B103" s="106" t="s">
        <v>159</v>
      </c>
      <c r="C103" s="101">
        <f>C104</f>
        <v>12937501.13</v>
      </c>
    </row>
    <row r="104" spans="1:3" ht="30">
      <c r="A104" s="102" t="s">
        <v>160</v>
      </c>
      <c r="B104" s="103" t="s">
        <v>772</v>
      </c>
      <c r="C104" s="107">
        <f>13471000-533498.87</f>
        <v>12937501.13</v>
      </c>
    </row>
    <row r="105" spans="1:3" ht="63">
      <c r="A105" s="99" t="s">
        <v>161</v>
      </c>
      <c r="B105" s="106" t="s">
        <v>162</v>
      </c>
      <c r="C105" s="101">
        <f>C106</f>
        <v>597572100</v>
      </c>
    </row>
    <row r="106" spans="1:3" ht="60">
      <c r="A106" s="102" t="s">
        <v>163</v>
      </c>
      <c r="B106" s="103" t="s">
        <v>773</v>
      </c>
      <c r="C106" s="107">
        <f>663969000-66396900</f>
        <v>597572100</v>
      </c>
    </row>
    <row r="107" spans="1:4" ht="47.25">
      <c r="A107" s="93" t="s">
        <v>164</v>
      </c>
      <c r="B107" s="122" t="s">
        <v>361</v>
      </c>
      <c r="C107" s="94">
        <f>C116+C112+C108+C110+C114</f>
        <v>71655565</v>
      </c>
      <c r="D107" s="95"/>
    </row>
    <row r="108" spans="1:4" ht="36" customHeight="1">
      <c r="A108" s="99" t="s">
        <v>867</v>
      </c>
      <c r="B108" s="123" t="s">
        <v>868</v>
      </c>
      <c r="C108" s="101">
        <f>C109</f>
        <v>752456</v>
      </c>
      <c r="D108" s="95"/>
    </row>
    <row r="109" spans="1:4" ht="36.75" customHeight="1">
      <c r="A109" s="102" t="s">
        <v>869</v>
      </c>
      <c r="B109" s="121" t="s">
        <v>838</v>
      </c>
      <c r="C109" s="107">
        <v>752456</v>
      </c>
      <c r="D109" s="95"/>
    </row>
    <row r="110" spans="1:4" ht="44.25" customHeight="1">
      <c r="A110" s="99" t="s">
        <v>627</v>
      </c>
      <c r="B110" s="123" t="s">
        <v>628</v>
      </c>
      <c r="C110" s="101">
        <f>C111</f>
        <v>1486205</v>
      </c>
      <c r="D110" s="95"/>
    </row>
    <row r="111" spans="1:4" ht="40.5" customHeight="1">
      <c r="A111" s="102" t="s">
        <v>629</v>
      </c>
      <c r="B111" s="202" t="s">
        <v>630</v>
      </c>
      <c r="C111" s="107">
        <v>1486205</v>
      </c>
      <c r="D111" s="95"/>
    </row>
    <row r="112" spans="1:3" ht="48" customHeight="1">
      <c r="A112" s="99" t="s">
        <v>521</v>
      </c>
      <c r="B112" s="123" t="s">
        <v>522</v>
      </c>
      <c r="C112" s="101">
        <f>C113</f>
        <v>48714400</v>
      </c>
    </row>
    <row r="113" spans="1:3" ht="48" customHeight="1">
      <c r="A113" s="102" t="s">
        <v>523</v>
      </c>
      <c r="B113" s="121" t="s">
        <v>516</v>
      </c>
      <c r="C113" s="107">
        <v>48714400</v>
      </c>
    </row>
    <row r="114" spans="1:3" s="205" customFormat="1" ht="85.5" customHeight="1">
      <c r="A114" s="203" t="s">
        <v>631</v>
      </c>
      <c r="B114" s="204" t="s">
        <v>632</v>
      </c>
      <c r="C114" s="101">
        <f>C115</f>
        <v>4806100</v>
      </c>
    </row>
    <row r="115" spans="1:3" s="109" customFormat="1" ht="74.25" customHeight="1">
      <c r="A115" s="206" t="s">
        <v>633</v>
      </c>
      <c r="B115" s="207" t="s">
        <v>634</v>
      </c>
      <c r="C115" s="107">
        <v>4806100</v>
      </c>
    </row>
    <row r="116" spans="1:3" ht="30" customHeight="1">
      <c r="A116" s="99" t="s">
        <v>165</v>
      </c>
      <c r="B116" s="123" t="s">
        <v>166</v>
      </c>
      <c r="C116" s="101">
        <f>C117</f>
        <v>15896404</v>
      </c>
    </row>
    <row r="117" spans="1:3" ht="40.5" customHeight="1">
      <c r="A117" s="102" t="s">
        <v>167</v>
      </c>
      <c r="B117" s="121" t="s">
        <v>168</v>
      </c>
      <c r="C117" s="107">
        <f>15969800+739004-812400</f>
        <v>15896404</v>
      </c>
    </row>
    <row r="118" spans="1:3" ht="49.5" customHeight="1">
      <c r="A118" s="93" t="s">
        <v>169</v>
      </c>
      <c r="B118" s="122" t="s">
        <v>170</v>
      </c>
      <c r="C118" s="94">
        <f>C119+C125+C121+C123</f>
        <v>646193890</v>
      </c>
    </row>
    <row r="119" spans="1:3" ht="46.5" customHeight="1">
      <c r="A119" s="99" t="s">
        <v>171</v>
      </c>
      <c r="B119" s="123" t="s">
        <v>172</v>
      </c>
      <c r="C119" s="101">
        <f>C120</f>
        <v>1748200</v>
      </c>
    </row>
    <row r="120" spans="1:3" ht="52.5" customHeight="1">
      <c r="A120" s="102" t="s">
        <v>173</v>
      </c>
      <c r="B120" s="103" t="s">
        <v>763</v>
      </c>
      <c r="C120" s="107">
        <f>1828000+114400-194200</f>
        <v>1748200</v>
      </c>
    </row>
    <row r="121" spans="1:3" ht="71.25" customHeight="1">
      <c r="A121" s="99" t="s">
        <v>524</v>
      </c>
      <c r="B121" s="106" t="s">
        <v>525</v>
      </c>
      <c r="C121" s="101">
        <f>C122</f>
        <v>25346100</v>
      </c>
    </row>
    <row r="122" spans="1:3" ht="67.5" customHeight="1">
      <c r="A122" s="102" t="s">
        <v>526</v>
      </c>
      <c r="B122" s="103" t="s">
        <v>517</v>
      </c>
      <c r="C122" s="107">
        <v>25346100</v>
      </c>
    </row>
    <row r="123" spans="1:3" ht="97.5" customHeight="1">
      <c r="A123" s="99" t="s">
        <v>527</v>
      </c>
      <c r="B123" s="106" t="s">
        <v>528</v>
      </c>
      <c r="C123" s="101">
        <f>C124</f>
        <v>15505400</v>
      </c>
    </row>
    <row r="124" spans="1:3" ht="96.75" customHeight="1">
      <c r="A124" s="102" t="s">
        <v>529</v>
      </c>
      <c r="B124" s="103" t="s">
        <v>518</v>
      </c>
      <c r="C124" s="107">
        <v>15505400</v>
      </c>
    </row>
    <row r="125" spans="1:3" ht="30.75" customHeight="1">
      <c r="A125" s="99" t="s">
        <v>174</v>
      </c>
      <c r="B125" s="123" t="s">
        <v>175</v>
      </c>
      <c r="C125" s="101">
        <f>C126</f>
        <v>603594190</v>
      </c>
    </row>
    <row r="126" spans="1:3" ht="37.5" customHeight="1">
      <c r="A126" s="102" t="s">
        <v>176</v>
      </c>
      <c r="B126" s="103" t="s">
        <v>777</v>
      </c>
      <c r="C126" s="107">
        <f>637165900+24409300+17402000-76822500+1439490</f>
        <v>603594190</v>
      </c>
    </row>
    <row r="127" spans="1:3" ht="18.75">
      <c r="A127" s="93" t="s">
        <v>177</v>
      </c>
      <c r="B127" s="53" t="s">
        <v>178</v>
      </c>
      <c r="C127" s="94">
        <f>C128+C132+C130</f>
        <v>373820</v>
      </c>
    </row>
    <row r="128" spans="1:3" ht="72" customHeight="1">
      <c r="A128" s="99" t="s">
        <v>179</v>
      </c>
      <c r="B128" s="123" t="s">
        <v>180</v>
      </c>
      <c r="C128" s="101">
        <f>C129</f>
        <v>0</v>
      </c>
    </row>
    <row r="129" spans="1:3" ht="60">
      <c r="A129" s="102" t="s">
        <v>181</v>
      </c>
      <c r="B129" s="121" t="s">
        <v>771</v>
      </c>
      <c r="C129" s="107">
        <f>90240900-90240900</f>
        <v>0</v>
      </c>
    </row>
    <row r="130" spans="1:3" ht="86.25" customHeight="1">
      <c r="A130" s="99" t="s">
        <v>182</v>
      </c>
      <c r="B130" s="123" t="s">
        <v>183</v>
      </c>
      <c r="C130" s="101">
        <f>C131</f>
        <v>13320</v>
      </c>
    </row>
    <row r="131" spans="1:3" ht="58.5" customHeight="1">
      <c r="A131" s="102" t="s">
        <v>184</v>
      </c>
      <c r="B131" s="121" t="s">
        <v>774</v>
      </c>
      <c r="C131" s="107">
        <f>14800-1480</f>
        <v>13320</v>
      </c>
    </row>
    <row r="132" spans="1:3" ht="78.75">
      <c r="A132" s="99" t="s">
        <v>293</v>
      </c>
      <c r="B132" s="123" t="s">
        <v>294</v>
      </c>
      <c r="C132" s="111">
        <f>C133</f>
        <v>360500</v>
      </c>
    </row>
    <row r="133" spans="1:3" ht="75">
      <c r="A133" s="102" t="s">
        <v>295</v>
      </c>
      <c r="B133" s="121" t="s">
        <v>296</v>
      </c>
      <c r="C133" s="107">
        <f>767800-407300</f>
        <v>360500</v>
      </c>
    </row>
    <row r="134" spans="1:3" ht="28.5" customHeight="1">
      <c r="A134" s="225" t="s">
        <v>185</v>
      </c>
      <c r="B134" s="225"/>
      <c r="C134" s="94">
        <f>C12+C100</f>
        <v>2173192014.11</v>
      </c>
    </row>
  </sheetData>
  <sheetProtection/>
  <mergeCells count="7">
    <mergeCell ref="A134:B134"/>
    <mergeCell ref="B5:C5"/>
    <mergeCell ref="A8:C8"/>
    <mergeCell ref="B1:D1"/>
    <mergeCell ref="B2:C2"/>
    <mergeCell ref="B3:C3"/>
    <mergeCell ref="B4:C4"/>
  </mergeCells>
  <printOptions horizontalCentered="1"/>
  <pageMargins left="0.7480314960629921" right="0.15748031496062992" top="0.15748031496062992" bottom="0.2362204724409449" header="0.1968503937007874" footer="0.15748031496062992"/>
  <pageSetup fitToHeight="20" fitToWidth="1" horizontalDpi="600" verticalDpi="600" orientation="portrait" paperSize="9" r:id="rId1"/>
  <rowBreaks count="9" manualBreakCount="9">
    <brk id="19" max="255" man="1"/>
    <brk id="31" max="255" man="1"/>
    <brk id="45" max="255" man="1"/>
    <brk id="55" max="255" man="1"/>
    <brk id="63" max="255" man="1"/>
    <brk id="77" max="255" man="1"/>
    <brk id="85" max="255" man="1"/>
    <brk id="93" max="255" man="1"/>
    <brk id="11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465"/>
  <sheetViews>
    <sheetView tabSelected="1" zoomScalePageLayoutView="0" workbookViewId="0" topLeftCell="A1">
      <selection activeCell="A5" sqref="A5:IV5"/>
    </sheetView>
  </sheetViews>
  <sheetFormatPr defaultColWidth="9.00390625" defaultRowHeight="12.75"/>
  <cols>
    <col min="1" max="1" width="5.875" style="140" customWidth="1"/>
    <col min="2" max="2" width="38.75390625" style="140" customWidth="1"/>
    <col min="3" max="3" width="7.375" style="140" customWidth="1"/>
    <col min="4" max="4" width="7.625" style="140" customWidth="1"/>
    <col min="5" max="5" width="6.875" style="140" customWidth="1"/>
    <col min="6" max="6" width="6.00390625" style="140" customWidth="1"/>
    <col min="7" max="7" width="6.125" style="140" customWidth="1"/>
    <col min="8" max="8" width="5.125" style="140" customWidth="1"/>
    <col min="9" max="9" width="7.375" style="140" customWidth="1"/>
    <col min="10" max="10" width="9.00390625" style="140" customWidth="1"/>
    <col min="11" max="11" width="18.25390625" style="140" customWidth="1"/>
    <col min="12" max="12" width="20.125" style="141" customWidth="1"/>
    <col min="13" max="13" width="18.25390625" style="140" customWidth="1"/>
    <col min="14" max="14" width="14.25390625" style="141" customWidth="1"/>
    <col min="15" max="15" width="11.25390625" style="141" bestFit="1" customWidth="1"/>
    <col min="16" max="16384" width="9.125" style="140" customWidth="1"/>
  </cols>
  <sheetData>
    <row r="1" spans="3:11" ht="15.75">
      <c r="C1" s="30"/>
      <c r="D1" s="30"/>
      <c r="E1" s="30"/>
      <c r="F1" s="30"/>
      <c r="G1" s="30"/>
      <c r="H1" s="30"/>
      <c r="I1" s="30"/>
      <c r="J1" s="224" t="s">
        <v>567</v>
      </c>
      <c r="K1" s="224"/>
    </row>
    <row r="2" spans="3:11" ht="15.75">
      <c r="C2" s="30"/>
      <c r="D2" s="224" t="s">
        <v>566</v>
      </c>
      <c r="E2" s="224"/>
      <c r="F2" s="224"/>
      <c r="G2" s="224"/>
      <c r="H2" s="224"/>
      <c r="I2" s="224"/>
      <c r="J2" s="224"/>
      <c r="K2" s="224"/>
    </row>
    <row r="3" spans="3:11" ht="15.75">
      <c r="C3" s="30"/>
      <c r="D3" s="224" t="s">
        <v>384</v>
      </c>
      <c r="E3" s="224"/>
      <c r="F3" s="224"/>
      <c r="G3" s="224"/>
      <c r="H3" s="224"/>
      <c r="I3" s="224"/>
      <c r="J3" s="224"/>
      <c r="K3" s="224"/>
    </row>
    <row r="4" spans="1:11" ht="15.75">
      <c r="A4" s="224" t="s">
        <v>785</v>
      </c>
      <c r="B4" s="224"/>
      <c r="C4" s="224"/>
      <c r="D4" s="224"/>
      <c r="E4" s="224"/>
      <c r="F4" s="224"/>
      <c r="G4" s="224"/>
      <c r="H4" s="224"/>
      <c r="I4" s="224"/>
      <c r="J4" s="224"/>
      <c r="K4" s="224"/>
    </row>
    <row r="5" spans="1:11" s="215" customFormat="1" ht="15.75">
      <c r="A5" s="52"/>
      <c r="B5" s="224" t="s">
        <v>882</v>
      </c>
      <c r="C5" s="224"/>
      <c r="D5" s="224"/>
      <c r="E5" s="224"/>
      <c r="F5" s="224"/>
      <c r="G5" s="224"/>
      <c r="H5" s="224"/>
      <c r="I5" s="224"/>
      <c r="J5" s="224"/>
      <c r="K5" s="224"/>
    </row>
    <row r="6" spans="3:11" ht="15.75">
      <c r="C6" s="30"/>
      <c r="D6" s="224"/>
      <c r="E6" s="224"/>
      <c r="F6" s="224"/>
      <c r="G6" s="224"/>
      <c r="H6" s="224"/>
      <c r="I6" s="224"/>
      <c r="J6" s="224"/>
      <c r="K6" s="224"/>
    </row>
    <row r="7" spans="1:11" ht="18.75">
      <c r="A7" s="232" t="s">
        <v>568</v>
      </c>
      <c r="B7" s="232"/>
      <c r="C7" s="232"/>
      <c r="D7" s="232"/>
      <c r="E7" s="232"/>
      <c r="F7" s="232"/>
      <c r="G7" s="232"/>
      <c r="H7" s="232"/>
      <c r="I7" s="232"/>
      <c r="J7" s="232"/>
      <c r="K7" s="232"/>
    </row>
    <row r="8" spans="1:11" ht="18.75">
      <c r="A8" s="232" t="s">
        <v>569</v>
      </c>
      <c r="B8" s="232"/>
      <c r="C8" s="232"/>
      <c r="D8" s="232"/>
      <c r="E8" s="232"/>
      <c r="F8" s="232"/>
      <c r="G8" s="232"/>
      <c r="H8" s="232"/>
      <c r="I8" s="232"/>
      <c r="J8" s="232"/>
      <c r="K8" s="232"/>
    </row>
    <row r="9" spans="1:11" ht="18.75">
      <c r="A9" s="142"/>
      <c r="B9" s="142"/>
      <c r="C9" s="142"/>
      <c r="D9" s="142"/>
      <c r="E9" s="142"/>
      <c r="F9" s="142"/>
      <c r="G9" s="142"/>
      <c r="H9" s="142"/>
      <c r="I9" s="142"/>
      <c r="J9" s="142"/>
      <c r="K9" s="142"/>
    </row>
    <row r="10" ht="15.75">
      <c r="K10" s="143" t="s">
        <v>570</v>
      </c>
    </row>
    <row r="11" spans="1:11" ht="15.75">
      <c r="A11" s="144"/>
      <c r="B11" s="145"/>
      <c r="C11" s="146"/>
      <c r="D11" s="146"/>
      <c r="E11" s="146"/>
      <c r="F11" s="146"/>
      <c r="G11" s="146"/>
      <c r="H11" s="146"/>
      <c r="I11" s="146"/>
      <c r="J11" s="146"/>
      <c r="K11" s="147"/>
    </row>
    <row r="12" spans="1:11" ht="15.75">
      <c r="A12" s="227" t="s">
        <v>571</v>
      </c>
      <c r="B12" s="227" t="s">
        <v>572</v>
      </c>
      <c r="C12" s="229" t="s">
        <v>573</v>
      </c>
      <c r="D12" s="230"/>
      <c r="E12" s="230"/>
      <c r="F12" s="230"/>
      <c r="G12" s="230"/>
      <c r="H12" s="230"/>
      <c r="I12" s="230"/>
      <c r="J12" s="231"/>
      <c r="K12" s="227" t="s">
        <v>650</v>
      </c>
    </row>
    <row r="13" spans="1:11" ht="105.75" customHeight="1">
      <c r="A13" s="228"/>
      <c r="B13" s="228"/>
      <c r="C13" s="148" t="s">
        <v>574</v>
      </c>
      <c r="D13" s="148" t="s">
        <v>575</v>
      </c>
      <c r="E13" s="148" t="s">
        <v>576</v>
      </c>
      <c r="F13" s="148" t="s">
        <v>577</v>
      </c>
      <c r="G13" s="148" t="s">
        <v>578</v>
      </c>
      <c r="H13" s="148" t="s">
        <v>579</v>
      </c>
      <c r="I13" s="148" t="s">
        <v>580</v>
      </c>
      <c r="J13" s="148" t="s">
        <v>581</v>
      </c>
      <c r="K13" s="228"/>
    </row>
    <row r="14" spans="1:13" ht="32.25" customHeight="1">
      <c r="A14" s="149">
        <v>1</v>
      </c>
      <c r="B14" s="150" t="s">
        <v>582</v>
      </c>
      <c r="C14" s="151" t="s">
        <v>357</v>
      </c>
      <c r="D14" s="151" t="s">
        <v>651</v>
      </c>
      <c r="E14" s="151" t="s">
        <v>656</v>
      </c>
      <c r="F14" s="151" t="s">
        <v>681</v>
      </c>
      <c r="G14" s="151" t="s">
        <v>681</v>
      </c>
      <c r="H14" s="151" t="s">
        <v>681</v>
      </c>
      <c r="I14" s="151" t="s">
        <v>583</v>
      </c>
      <c r="J14" s="151" t="s">
        <v>584</v>
      </c>
      <c r="K14" s="152">
        <f>K15-K17</f>
        <v>0</v>
      </c>
      <c r="M14" s="152"/>
    </row>
    <row r="15" spans="1:13" ht="52.5" customHeight="1" hidden="1">
      <c r="A15" s="153" t="s">
        <v>585</v>
      </c>
      <c r="B15" s="154" t="s">
        <v>586</v>
      </c>
      <c r="C15" s="155" t="s">
        <v>357</v>
      </c>
      <c r="D15" s="155" t="s">
        <v>651</v>
      </c>
      <c r="E15" s="155" t="s">
        <v>656</v>
      </c>
      <c r="F15" s="155" t="s">
        <v>681</v>
      </c>
      <c r="G15" s="155" t="s">
        <v>681</v>
      </c>
      <c r="H15" s="155" t="s">
        <v>681</v>
      </c>
      <c r="I15" s="155" t="s">
        <v>583</v>
      </c>
      <c r="J15" s="155" t="s">
        <v>315</v>
      </c>
      <c r="K15" s="156">
        <f>K16</f>
        <v>0</v>
      </c>
      <c r="M15" s="141"/>
    </row>
    <row r="16" spans="1:13" ht="79.5" customHeight="1" hidden="1">
      <c r="A16" s="157"/>
      <c r="B16" s="154" t="s">
        <v>587</v>
      </c>
      <c r="C16" s="155" t="s">
        <v>357</v>
      </c>
      <c r="D16" s="155" t="s">
        <v>651</v>
      </c>
      <c r="E16" s="155" t="s">
        <v>656</v>
      </c>
      <c r="F16" s="155" t="s">
        <v>681</v>
      </c>
      <c r="G16" s="155" t="s">
        <v>681</v>
      </c>
      <c r="H16" s="155" t="s">
        <v>661</v>
      </c>
      <c r="I16" s="155" t="s">
        <v>583</v>
      </c>
      <c r="J16" s="155" t="s">
        <v>588</v>
      </c>
      <c r="K16" s="158">
        <v>0</v>
      </c>
      <c r="M16" s="141"/>
    </row>
    <row r="17" spans="1:13" ht="79.5" customHeight="1" hidden="1">
      <c r="A17" s="153" t="s">
        <v>589</v>
      </c>
      <c r="B17" s="154" t="s">
        <v>590</v>
      </c>
      <c r="C17" s="155" t="s">
        <v>357</v>
      </c>
      <c r="D17" s="155" t="s">
        <v>651</v>
      </c>
      <c r="E17" s="155" t="s">
        <v>656</v>
      </c>
      <c r="F17" s="155" t="s">
        <v>681</v>
      </c>
      <c r="G17" s="155" t="s">
        <v>681</v>
      </c>
      <c r="H17" s="155" t="s">
        <v>681</v>
      </c>
      <c r="I17" s="155" t="s">
        <v>583</v>
      </c>
      <c r="J17" s="155" t="s">
        <v>316</v>
      </c>
      <c r="K17" s="156">
        <f>K18</f>
        <v>0</v>
      </c>
      <c r="M17" s="141"/>
    </row>
    <row r="18" spans="1:13" ht="79.5" customHeight="1" hidden="1">
      <c r="A18" s="157"/>
      <c r="B18" s="154" t="s">
        <v>591</v>
      </c>
      <c r="C18" s="155" t="s">
        <v>357</v>
      </c>
      <c r="D18" s="155" t="s">
        <v>651</v>
      </c>
      <c r="E18" s="155" t="s">
        <v>656</v>
      </c>
      <c r="F18" s="155" t="s">
        <v>681</v>
      </c>
      <c r="G18" s="155" t="s">
        <v>681</v>
      </c>
      <c r="H18" s="155" t="s">
        <v>661</v>
      </c>
      <c r="I18" s="155" t="s">
        <v>583</v>
      </c>
      <c r="J18" s="155" t="s">
        <v>592</v>
      </c>
      <c r="K18" s="158">
        <v>0</v>
      </c>
      <c r="M18" s="141"/>
    </row>
    <row r="19" spans="1:13" ht="50.25" customHeight="1">
      <c r="A19" s="149">
        <v>2</v>
      </c>
      <c r="B19" s="150" t="s">
        <v>593</v>
      </c>
      <c r="C19" s="151" t="s">
        <v>357</v>
      </c>
      <c r="D19" s="151" t="s">
        <v>651</v>
      </c>
      <c r="E19" s="151" t="s">
        <v>658</v>
      </c>
      <c r="F19" s="151" t="s">
        <v>681</v>
      </c>
      <c r="G19" s="151" t="s">
        <v>681</v>
      </c>
      <c r="H19" s="151" t="s">
        <v>681</v>
      </c>
      <c r="I19" s="151" t="s">
        <v>583</v>
      </c>
      <c r="J19" s="151" t="s">
        <v>584</v>
      </c>
      <c r="K19" s="159">
        <f>K20</f>
        <v>-8327000</v>
      </c>
      <c r="M19" s="141"/>
    </row>
    <row r="20" spans="1:13" ht="65.25" customHeight="1">
      <c r="A20" s="160" t="s">
        <v>594</v>
      </c>
      <c r="B20" s="150" t="s">
        <v>595</v>
      </c>
      <c r="C20" s="151" t="s">
        <v>357</v>
      </c>
      <c r="D20" s="151" t="s">
        <v>651</v>
      </c>
      <c r="E20" s="151" t="s">
        <v>658</v>
      </c>
      <c r="F20" s="151" t="s">
        <v>651</v>
      </c>
      <c r="G20" s="151" t="s">
        <v>681</v>
      </c>
      <c r="H20" s="151" t="s">
        <v>681</v>
      </c>
      <c r="I20" s="151" t="s">
        <v>583</v>
      </c>
      <c r="J20" s="151" t="s">
        <v>584</v>
      </c>
      <c r="K20" s="159">
        <f>K21-K23</f>
        <v>-8327000</v>
      </c>
      <c r="M20" s="141"/>
    </row>
    <row r="21" spans="1:13" ht="75.75" customHeight="1" hidden="1">
      <c r="A21" s="153" t="s">
        <v>596</v>
      </c>
      <c r="B21" s="154" t="s">
        <v>597</v>
      </c>
      <c r="C21" s="155" t="s">
        <v>357</v>
      </c>
      <c r="D21" s="155" t="s">
        <v>651</v>
      </c>
      <c r="E21" s="155" t="s">
        <v>658</v>
      </c>
      <c r="F21" s="155" t="s">
        <v>651</v>
      </c>
      <c r="G21" s="155" t="s">
        <v>681</v>
      </c>
      <c r="H21" s="155" t="s">
        <v>681</v>
      </c>
      <c r="I21" s="155" t="s">
        <v>583</v>
      </c>
      <c r="J21" s="155" t="s">
        <v>315</v>
      </c>
      <c r="K21" s="158">
        <f>K22</f>
        <v>0</v>
      </c>
      <c r="M21" s="141"/>
    </row>
    <row r="22" spans="1:13" ht="83.25" customHeight="1" hidden="1">
      <c r="A22" s="157"/>
      <c r="B22" s="154" t="s">
        <v>598</v>
      </c>
      <c r="C22" s="155" t="s">
        <v>357</v>
      </c>
      <c r="D22" s="155" t="s">
        <v>651</v>
      </c>
      <c r="E22" s="155" t="s">
        <v>658</v>
      </c>
      <c r="F22" s="155" t="s">
        <v>651</v>
      </c>
      <c r="G22" s="155" t="s">
        <v>681</v>
      </c>
      <c r="H22" s="155" t="s">
        <v>661</v>
      </c>
      <c r="I22" s="155" t="s">
        <v>583</v>
      </c>
      <c r="J22" s="155" t="s">
        <v>588</v>
      </c>
      <c r="K22" s="158"/>
      <c r="M22" s="141"/>
    </row>
    <row r="23" spans="1:13" ht="72" customHeight="1">
      <c r="A23" s="153" t="s">
        <v>599</v>
      </c>
      <c r="B23" s="154" t="s">
        <v>600</v>
      </c>
      <c r="C23" s="155" t="s">
        <v>357</v>
      </c>
      <c r="D23" s="155" t="s">
        <v>651</v>
      </c>
      <c r="E23" s="155" t="s">
        <v>658</v>
      </c>
      <c r="F23" s="155" t="s">
        <v>651</v>
      </c>
      <c r="G23" s="155" t="s">
        <v>681</v>
      </c>
      <c r="H23" s="155" t="s">
        <v>681</v>
      </c>
      <c r="I23" s="155" t="s">
        <v>583</v>
      </c>
      <c r="J23" s="155" t="s">
        <v>316</v>
      </c>
      <c r="K23" s="156">
        <f>K24</f>
        <v>8327000</v>
      </c>
      <c r="M23" s="141"/>
    </row>
    <row r="24" spans="1:13" ht="87.75" customHeight="1">
      <c r="A24" s="157"/>
      <c r="B24" s="154" t="s">
        <v>601</v>
      </c>
      <c r="C24" s="155" t="s">
        <v>357</v>
      </c>
      <c r="D24" s="155" t="s">
        <v>651</v>
      </c>
      <c r="E24" s="155" t="s">
        <v>658</v>
      </c>
      <c r="F24" s="155" t="s">
        <v>651</v>
      </c>
      <c r="G24" s="155" t="s">
        <v>681</v>
      </c>
      <c r="H24" s="155" t="s">
        <v>661</v>
      </c>
      <c r="I24" s="155" t="s">
        <v>583</v>
      </c>
      <c r="J24" s="155" t="s">
        <v>592</v>
      </c>
      <c r="K24" s="156">
        <v>8327000</v>
      </c>
      <c r="M24" s="141"/>
    </row>
    <row r="25" spans="1:15" s="162" customFormat="1" ht="57.75" customHeight="1" hidden="1">
      <c r="A25" s="149">
        <v>3</v>
      </c>
      <c r="B25" s="150" t="s">
        <v>602</v>
      </c>
      <c r="C25" s="151" t="s">
        <v>357</v>
      </c>
      <c r="D25" s="151" t="s">
        <v>651</v>
      </c>
      <c r="E25" s="151" t="s">
        <v>652</v>
      </c>
      <c r="F25" s="151" t="s">
        <v>681</v>
      </c>
      <c r="G25" s="151" t="s">
        <v>681</v>
      </c>
      <c r="H25" s="151" t="s">
        <v>681</v>
      </c>
      <c r="I25" s="151" t="s">
        <v>583</v>
      </c>
      <c r="J25" s="151" t="s">
        <v>584</v>
      </c>
      <c r="K25" s="152">
        <f>K26</f>
        <v>0</v>
      </c>
      <c r="L25" s="161"/>
      <c r="M25" s="141"/>
      <c r="N25" s="161"/>
      <c r="O25" s="161"/>
    </row>
    <row r="26" spans="1:15" s="162" customFormat="1" ht="57.75" customHeight="1" hidden="1">
      <c r="A26" s="163" t="s">
        <v>603</v>
      </c>
      <c r="B26" s="154" t="s">
        <v>604</v>
      </c>
      <c r="C26" s="155" t="s">
        <v>357</v>
      </c>
      <c r="D26" s="155" t="s">
        <v>651</v>
      </c>
      <c r="E26" s="155" t="s">
        <v>652</v>
      </c>
      <c r="F26" s="155" t="s">
        <v>653</v>
      </c>
      <c r="G26" s="155" t="s">
        <v>681</v>
      </c>
      <c r="H26" s="155" t="s">
        <v>681</v>
      </c>
      <c r="I26" s="155" t="s">
        <v>583</v>
      </c>
      <c r="J26" s="155" t="s">
        <v>584</v>
      </c>
      <c r="K26" s="156">
        <f>K27</f>
        <v>0</v>
      </c>
      <c r="L26" s="161"/>
      <c r="M26" s="141"/>
      <c r="N26" s="161"/>
      <c r="O26" s="161"/>
    </row>
    <row r="27" spans="1:13" ht="58.5" customHeight="1" hidden="1">
      <c r="A27" s="157"/>
      <c r="B27" s="154" t="s">
        <v>605</v>
      </c>
      <c r="C27" s="155" t="s">
        <v>357</v>
      </c>
      <c r="D27" s="155" t="s">
        <v>651</v>
      </c>
      <c r="E27" s="155" t="s">
        <v>652</v>
      </c>
      <c r="F27" s="155" t="s">
        <v>653</v>
      </c>
      <c r="G27" s="155" t="s">
        <v>681</v>
      </c>
      <c r="H27" s="155" t="s">
        <v>681</v>
      </c>
      <c r="I27" s="155" t="s">
        <v>583</v>
      </c>
      <c r="J27" s="155" t="s">
        <v>317</v>
      </c>
      <c r="K27" s="156">
        <f>K28</f>
        <v>0</v>
      </c>
      <c r="M27" s="141"/>
    </row>
    <row r="28" spans="1:13" ht="67.5" customHeight="1" hidden="1">
      <c r="A28" s="157"/>
      <c r="B28" s="154" t="s">
        <v>606</v>
      </c>
      <c r="C28" s="155" t="s">
        <v>357</v>
      </c>
      <c r="D28" s="155" t="s">
        <v>651</v>
      </c>
      <c r="E28" s="155" t="s">
        <v>652</v>
      </c>
      <c r="F28" s="155" t="s">
        <v>653</v>
      </c>
      <c r="G28" s="155" t="s">
        <v>651</v>
      </c>
      <c r="H28" s="155" t="s">
        <v>681</v>
      </c>
      <c r="I28" s="155" t="s">
        <v>583</v>
      </c>
      <c r="J28" s="155" t="s">
        <v>607</v>
      </c>
      <c r="K28" s="156">
        <f>K29</f>
        <v>0</v>
      </c>
      <c r="M28" s="141"/>
    </row>
    <row r="29" spans="1:13" ht="86.25" customHeight="1" hidden="1">
      <c r="A29" s="157"/>
      <c r="B29" s="154" t="s">
        <v>608</v>
      </c>
      <c r="C29" s="155" t="s">
        <v>357</v>
      </c>
      <c r="D29" s="155" t="s">
        <v>651</v>
      </c>
      <c r="E29" s="155" t="s">
        <v>652</v>
      </c>
      <c r="F29" s="155" t="s">
        <v>653</v>
      </c>
      <c r="G29" s="155" t="s">
        <v>651</v>
      </c>
      <c r="H29" s="155" t="s">
        <v>661</v>
      </c>
      <c r="I29" s="155" t="s">
        <v>583</v>
      </c>
      <c r="J29" s="155" t="s">
        <v>607</v>
      </c>
      <c r="K29" s="156">
        <v>0</v>
      </c>
      <c r="M29" s="141"/>
    </row>
    <row r="30" spans="1:15" s="168" customFormat="1" ht="35.25" customHeight="1">
      <c r="A30" s="160" t="s">
        <v>609</v>
      </c>
      <c r="B30" s="164" t="s">
        <v>610</v>
      </c>
      <c r="C30" s="165" t="s">
        <v>357</v>
      </c>
      <c r="D30" s="165" t="s">
        <v>651</v>
      </c>
      <c r="E30" s="165" t="s">
        <v>653</v>
      </c>
      <c r="F30" s="165" t="s">
        <v>681</v>
      </c>
      <c r="G30" s="165" t="s">
        <v>681</v>
      </c>
      <c r="H30" s="165" t="s">
        <v>681</v>
      </c>
      <c r="I30" s="165" t="s">
        <v>583</v>
      </c>
      <c r="J30" s="165" t="s">
        <v>584</v>
      </c>
      <c r="K30" s="166">
        <f>K35-K31</f>
        <v>65379470.9199996</v>
      </c>
      <c r="L30" s="167"/>
      <c r="M30" s="166"/>
      <c r="N30" s="167"/>
      <c r="O30" s="167"/>
    </row>
    <row r="31" spans="1:15" s="168" customFormat="1" ht="31.5">
      <c r="A31" s="160" t="s">
        <v>603</v>
      </c>
      <c r="B31" s="164" t="s">
        <v>611</v>
      </c>
      <c r="C31" s="165" t="s">
        <v>357</v>
      </c>
      <c r="D31" s="165" t="s">
        <v>651</v>
      </c>
      <c r="E31" s="165" t="s">
        <v>653</v>
      </c>
      <c r="F31" s="165" t="s">
        <v>681</v>
      </c>
      <c r="G31" s="165" t="s">
        <v>681</v>
      </c>
      <c r="H31" s="165" t="s">
        <v>681</v>
      </c>
      <c r="I31" s="165" t="s">
        <v>583</v>
      </c>
      <c r="J31" s="165" t="s">
        <v>612</v>
      </c>
      <c r="K31" s="166">
        <f>K32</f>
        <v>2173192014.11</v>
      </c>
      <c r="L31" s="167"/>
      <c r="M31" s="141"/>
      <c r="N31" s="167"/>
      <c r="O31" s="167"/>
    </row>
    <row r="32" spans="1:15" s="168" customFormat="1" ht="31.5">
      <c r="A32" s="153"/>
      <c r="B32" s="169" t="s">
        <v>613</v>
      </c>
      <c r="C32" s="153" t="s">
        <v>357</v>
      </c>
      <c r="D32" s="153" t="s">
        <v>651</v>
      </c>
      <c r="E32" s="153" t="s">
        <v>653</v>
      </c>
      <c r="F32" s="153" t="s">
        <v>656</v>
      </c>
      <c r="G32" s="153" t="s">
        <v>681</v>
      </c>
      <c r="H32" s="153" t="s">
        <v>681</v>
      </c>
      <c r="I32" s="153" t="s">
        <v>583</v>
      </c>
      <c r="J32" s="153" t="s">
        <v>612</v>
      </c>
      <c r="K32" s="170">
        <f>K33</f>
        <v>2173192014.11</v>
      </c>
      <c r="L32" s="167"/>
      <c r="M32" s="141"/>
      <c r="N32" s="167"/>
      <c r="O32" s="167"/>
    </row>
    <row r="33" spans="1:15" s="168" customFormat="1" ht="31.5">
      <c r="A33" s="153"/>
      <c r="B33" s="169" t="s">
        <v>614</v>
      </c>
      <c r="C33" s="153" t="s">
        <v>357</v>
      </c>
      <c r="D33" s="153" t="s">
        <v>651</v>
      </c>
      <c r="E33" s="153" t="s">
        <v>653</v>
      </c>
      <c r="F33" s="153" t="s">
        <v>656</v>
      </c>
      <c r="G33" s="153" t="s">
        <v>651</v>
      </c>
      <c r="H33" s="153" t="s">
        <v>681</v>
      </c>
      <c r="I33" s="153" t="s">
        <v>583</v>
      </c>
      <c r="J33" s="153" t="s">
        <v>615</v>
      </c>
      <c r="K33" s="170">
        <f>K34</f>
        <v>2173192014.11</v>
      </c>
      <c r="L33" s="167"/>
      <c r="M33" s="141"/>
      <c r="N33" s="167"/>
      <c r="O33" s="167"/>
    </row>
    <row r="34" spans="1:15" s="168" customFormat="1" ht="47.25">
      <c r="A34" s="153"/>
      <c r="B34" s="169" t="s">
        <v>616</v>
      </c>
      <c r="C34" s="153" t="s">
        <v>357</v>
      </c>
      <c r="D34" s="153" t="s">
        <v>651</v>
      </c>
      <c r="E34" s="153" t="s">
        <v>653</v>
      </c>
      <c r="F34" s="153" t="s">
        <v>656</v>
      </c>
      <c r="G34" s="153" t="s">
        <v>651</v>
      </c>
      <c r="H34" s="153" t="s">
        <v>661</v>
      </c>
      <c r="I34" s="153" t="s">
        <v>583</v>
      </c>
      <c r="J34" s="153" t="s">
        <v>615</v>
      </c>
      <c r="K34" s="171">
        <f>K15+K21+K27+прил4!C134</f>
        <v>2173192014.11</v>
      </c>
      <c r="L34" s="167"/>
      <c r="M34" s="141"/>
      <c r="N34" s="167"/>
      <c r="O34" s="167"/>
    </row>
    <row r="35" spans="1:15" s="168" customFormat="1" ht="31.5">
      <c r="A35" s="160" t="s">
        <v>617</v>
      </c>
      <c r="B35" s="164" t="s">
        <v>618</v>
      </c>
      <c r="C35" s="165" t="s">
        <v>357</v>
      </c>
      <c r="D35" s="165" t="s">
        <v>651</v>
      </c>
      <c r="E35" s="165" t="s">
        <v>653</v>
      </c>
      <c r="F35" s="165" t="s">
        <v>681</v>
      </c>
      <c r="G35" s="165" t="s">
        <v>681</v>
      </c>
      <c r="H35" s="165" t="s">
        <v>681</v>
      </c>
      <c r="I35" s="165" t="s">
        <v>583</v>
      </c>
      <c r="J35" s="165" t="s">
        <v>317</v>
      </c>
      <c r="K35" s="166">
        <f>K36</f>
        <v>2238571485.0299997</v>
      </c>
      <c r="L35" s="167"/>
      <c r="M35" s="141"/>
      <c r="N35" s="167"/>
      <c r="O35" s="167"/>
    </row>
    <row r="36" spans="1:15" s="168" customFormat="1" ht="31.5">
      <c r="A36" s="153"/>
      <c r="B36" s="169" t="s">
        <v>619</v>
      </c>
      <c r="C36" s="153" t="s">
        <v>357</v>
      </c>
      <c r="D36" s="153" t="s">
        <v>651</v>
      </c>
      <c r="E36" s="153" t="s">
        <v>653</v>
      </c>
      <c r="F36" s="153" t="s">
        <v>656</v>
      </c>
      <c r="G36" s="153" t="s">
        <v>681</v>
      </c>
      <c r="H36" s="153" t="s">
        <v>681</v>
      </c>
      <c r="I36" s="153" t="s">
        <v>583</v>
      </c>
      <c r="J36" s="153" t="s">
        <v>317</v>
      </c>
      <c r="K36" s="170">
        <f>K37</f>
        <v>2238571485.0299997</v>
      </c>
      <c r="L36" s="167"/>
      <c r="M36" s="141"/>
      <c r="N36" s="167"/>
      <c r="O36" s="167"/>
    </row>
    <row r="37" spans="1:15" s="168" customFormat="1" ht="31.5">
      <c r="A37" s="153"/>
      <c r="B37" s="169" t="s">
        <v>620</v>
      </c>
      <c r="C37" s="153" t="s">
        <v>357</v>
      </c>
      <c r="D37" s="153" t="s">
        <v>651</v>
      </c>
      <c r="E37" s="153" t="s">
        <v>653</v>
      </c>
      <c r="F37" s="153" t="s">
        <v>656</v>
      </c>
      <c r="G37" s="153" t="s">
        <v>651</v>
      </c>
      <c r="H37" s="153" t="s">
        <v>681</v>
      </c>
      <c r="I37" s="153" t="s">
        <v>583</v>
      </c>
      <c r="J37" s="153" t="s">
        <v>621</v>
      </c>
      <c r="K37" s="170">
        <f>K38</f>
        <v>2238571485.0299997</v>
      </c>
      <c r="L37" s="167"/>
      <c r="M37" s="141"/>
      <c r="N37" s="167"/>
      <c r="O37" s="167"/>
    </row>
    <row r="38" spans="1:15" s="168" customFormat="1" ht="47.25">
      <c r="A38" s="153"/>
      <c r="B38" s="169" t="s">
        <v>622</v>
      </c>
      <c r="C38" s="153" t="s">
        <v>357</v>
      </c>
      <c r="D38" s="153" t="s">
        <v>651</v>
      </c>
      <c r="E38" s="153" t="s">
        <v>653</v>
      </c>
      <c r="F38" s="153" t="s">
        <v>656</v>
      </c>
      <c r="G38" s="153" t="s">
        <v>651</v>
      </c>
      <c r="H38" s="153" t="s">
        <v>661</v>
      </c>
      <c r="I38" s="153" t="s">
        <v>583</v>
      </c>
      <c r="J38" s="153" t="s">
        <v>621</v>
      </c>
      <c r="K38" s="170">
        <f>K24+K26+прил6!F682</f>
        <v>2238571485.0299997</v>
      </c>
      <c r="L38" s="167"/>
      <c r="M38" s="141"/>
      <c r="N38" s="167"/>
      <c r="O38" s="167"/>
    </row>
    <row r="39" spans="1:15" s="174" customFormat="1" ht="47.25" hidden="1">
      <c r="A39" s="160" t="s">
        <v>609</v>
      </c>
      <c r="B39" s="150" t="s">
        <v>602</v>
      </c>
      <c r="C39" s="160" t="s">
        <v>357</v>
      </c>
      <c r="D39" s="160" t="s">
        <v>651</v>
      </c>
      <c r="E39" s="160" t="s">
        <v>652</v>
      </c>
      <c r="F39" s="160" t="s">
        <v>681</v>
      </c>
      <c r="G39" s="160" t="s">
        <v>681</v>
      </c>
      <c r="H39" s="160" t="s">
        <v>681</v>
      </c>
      <c r="I39" s="160" t="s">
        <v>583</v>
      </c>
      <c r="J39" s="160" t="s">
        <v>584</v>
      </c>
      <c r="K39" s="172">
        <f>K40</f>
        <v>0</v>
      </c>
      <c r="L39" s="173"/>
      <c r="M39" s="141"/>
      <c r="N39" s="173"/>
      <c r="O39" s="173"/>
    </row>
    <row r="40" spans="1:15" s="174" customFormat="1" ht="47.25" hidden="1">
      <c r="A40" s="160" t="s">
        <v>603</v>
      </c>
      <c r="B40" s="150" t="s">
        <v>623</v>
      </c>
      <c r="C40" s="160" t="s">
        <v>357</v>
      </c>
      <c r="D40" s="160" t="s">
        <v>651</v>
      </c>
      <c r="E40" s="160" t="s">
        <v>652</v>
      </c>
      <c r="F40" s="160" t="s">
        <v>661</v>
      </c>
      <c r="G40" s="160" t="s">
        <v>681</v>
      </c>
      <c r="H40" s="160" t="s">
        <v>681</v>
      </c>
      <c r="I40" s="160" t="s">
        <v>583</v>
      </c>
      <c r="J40" s="160" t="s">
        <v>584</v>
      </c>
      <c r="K40" s="175">
        <f>K41</f>
        <v>0</v>
      </c>
      <c r="L40" s="173"/>
      <c r="M40" s="141"/>
      <c r="N40" s="173"/>
      <c r="O40" s="173"/>
    </row>
    <row r="41" spans="1:15" s="168" customFormat="1" ht="174" customHeight="1" hidden="1">
      <c r="A41" s="153"/>
      <c r="B41" s="169" t="s">
        <v>624</v>
      </c>
      <c r="C41" s="153" t="s">
        <v>357</v>
      </c>
      <c r="D41" s="153" t="s">
        <v>651</v>
      </c>
      <c r="E41" s="153" t="s">
        <v>652</v>
      </c>
      <c r="F41" s="153" t="s">
        <v>661</v>
      </c>
      <c r="G41" s="153" t="s">
        <v>681</v>
      </c>
      <c r="H41" s="153" t="s">
        <v>681</v>
      </c>
      <c r="I41" s="153" t="s">
        <v>583</v>
      </c>
      <c r="J41" s="153" t="s">
        <v>316</v>
      </c>
      <c r="K41" s="176">
        <f>K42</f>
        <v>0</v>
      </c>
      <c r="L41" s="167"/>
      <c r="M41" s="141"/>
      <c r="N41" s="167"/>
      <c r="O41" s="167"/>
    </row>
    <row r="42" spans="1:15" s="168" customFormat="1" ht="165.75" customHeight="1" hidden="1">
      <c r="A42" s="153"/>
      <c r="B42" s="169" t="s">
        <v>625</v>
      </c>
      <c r="C42" s="153" t="s">
        <v>357</v>
      </c>
      <c r="D42" s="153" t="s">
        <v>651</v>
      </c>
      <c r="E42" s="153" t="s">
        <v>652</v>
      </c>
      <c r="F42" s="153" t="s">
        <v>661</v>
      </c>
      <c r="G42" s="153" t="s">
        <v>681</v>
      </c>
      <c r="H42" s="153" t="s">
        <v>661</v>
      </c>
      <c r="I42" s="153" t="s">
        <v>583</v>
      </c>
      <c r="J42" s="153" t="s">
        <v>592</v>
      </c>
      <c r="K42" s="177">
        <v>0</v>
      </c>
      <c r="L42" s="167"/>
      <c r="M42" s="141"/>
      <c r="N42" s="167"/>
      <c r="O42" s="167"/>
    </row>
    <row r="43" spans="1:15" s="168" customFormat="1" ht="57.75" customHeight="1">
      <c r="A43" s="153"/>
      <c r="B43" s="178" t="s">
        <v>626</v>
      </c>
      <c r="C43" s="165" t="s">
        <v>357</v>
      </c>
      <c r="D43" s="165" t="s">
        <v>651</v>
      </c>
      <c r="E43" s="165" t="s">
        <v>681</v>
      </c>
      <c r="F43" s="165" t="s">
        <v>681</v>
      </c>
      <c r="G43" s="165" t="s">
        <v>681</v>
      </c>
      <c r="H43" s="165" t="s">
        <v>681</v>
      </c>
      <c r="I43" s="165" t="s">
        <v>583</v>
      </c>
      <c r="J43" s="165" t="s">
        <v>584</v>
      </c>
      <c r="K43" s="179">
        <f>K14+K30+K39+K19+K25</f>
        <v>57052470.9199996</v>
      </c>
      <c r="L43" s="179"/>
      <c r="M43" s="179"/>
      <c r="N43" s="167"/>
      <c r="O43" s="167"/>
    </row>
    <row r="44" spans="3:15" s="168" customFormat="1" ht="15.75">
      <c r="C44" s="180"/>
      <c r="D44" s="180"/>
      <c r="E44" s="180"/>
      <c r="F44" s="180"/>
      <c r="G44" s="180"/>
      <c r="H44" s="180"/>
      <c r="I44" s="180"/>
      <c r="J44" s="180"/>
      <c r="K44" s="181"/>
      <c r="L44" s="167"/>
      <c r="M44" s="167"/>
      <c r="N44" s="167"/>
      <c r="O44" s="167"/>
    </row>
    <row r="45" spans="3:13" ht="15.75">
      <c r="C45" s="182"/>
      <c r="D45" s="182"/>
      <c r="E45" s="182"/>
      <c r="F45" s="182"/>
      <c r="G45" s="182"/>
      <c r="H45" s="182"/>
      <c r="I45" s="182"/>
      <c r="J45" s="182"/>
      <c r="K45" s="183"/>
      <c r="M45" s="141"/>
    </row>
    <row r="46" spans="3:11" ht="15.75">
      <c r="C46" s="184"/>
      <c r="D46" s="184"/>
      <c r="E46" s="184"/>
      <c r="F46" s="184"/>
      <c r="G46" s="184"/>
      <c r="H46" s="184"/>
      <c r="I46" s="184"/>
      <c r="J46" s="182"/>
      <c r="K46" s="183"/>
    </row>
    <row r="47" spans="3:11" ht="15.75">
      <c r="C47" s="184"/>
      <c r="D47" s="184"/>
      <c r="E47" s="184"/>
      <c r="F47" s="184"/>
      <c r="G47" s="184"/>
      <c r="H47" s="184"/>
      <c r="I47" s="184"/>
      <c r="J47" s="182"/>
      <c r="K47" s="184"/>
    </row>
    <row r="48" spans="3:11" ht="15.75">
      <c r="C48" s="184"/>
      <c r="D48" s="184"/>
      <c r="E48" s="184"/>
      <c r="F48" s="184"/>
      <c r="G48" s="184"/>
      <c r="H48" s="184"/>
      <c r="I48" s="184"/>
      <c r="J48" s="182"/>
      <c r="K48" s="184"/>
    </row>
    <row r="49" spans="3:11" ht="15.75">
      <c r="C49" s="184"/>
      <c r="D49" s="184"/>
      <c r="E49" s="184"/>
      <c r="F49" s="184"/>
      <c r="G49" s="184"/>
      <c r="H49" s="184"/>
      <c r="I49" s="184"/>
      <c r="J49" s="182"/>
      <c r="K49" s="183"/>
    </row>
    <row r="50" spans="3:11" ht="15.75">
      <c r="C50" s="184"/>
      <c r="D50" s="184"/>
      <c r="E50" s="184"/>
      <c r="F50" s="184"/>
      <c r="G50" s="184"/>
      <c r="H50" s="184"/>
      <c r="I50" s="184"/>
      <c r="J50" s="182"/>
      <c r="K50" s="184"/>
    </row>
    <row r="51" spans="3:11" ht="15.75">
      <c r="C51" s="184"/>
      <c r="D51" s="184"/>
      <c r="E51" s="184"/>
      <c r="F51" s="184"/>
      <c r="G51" s="184"/>
      <c r="H51" s="184"/>
      <c r="I51" s="184"/>
      <c r="J51" s="182"/>
      <c r="K51" s="183"/>
    </row>
    <row r="52" spans="3:11" ht="15.75">
      <c r="C52" s="184"/>
      <c r="D52" s="184"/>
      <c r="E52" s="184"/>
      <c r="F52" s="184"/>
      <c r="G52" s="184"/>
      <c r="H52" s="184"/>
      <c r="I52" s="184"/>
      <c r="J52" s="182"/>
      <c r="K52" s="184"/>
    </row>
    <row r="53" spans="3:11" ht="15.75">
      <c r="C53" s="184"/>
      <c r="D53" s="184"/>
      <c r="E53" s="184"/>
      <c r="F53" s="184"/>
      <c r="G53" s="184"/>
      <c r="H53" s="184"/>
      <c r="I53" s="184"/>
      <c r="J53" s="182"/>
      <c r="K53" s="184"/>
    </row>
    <row r="54" spans="3:11" ht="15.75">
      <c r="C54" s="184"/>
      <c r="D54" s="184"/>
      <c r="E54" s="184"/>
      <c r="F54" s="184"/>
      <c r="G54" s="184"/>
      <c r="H54" s="184"/>
      <c r="I54" s="184"/>
      <c r="J54" s="182"/>
      <c r="K54" s="184"/>
    </row>
    <row r="55" spans="3:11" ht="15.75">
      <c r="C55" s="184"/>
      <c r="D55" s="184"/>
      <c r="E55" s="184"/>
      <c r="F55" s="184"/>
      <c r="G55" s="184"/>
      <c r="H55" s="184"/>
      <c r="I55" s="184"/>
      <c r="J55" s="182"/>
      <c r="K55" s="184"/>
    </row>
    <row r="56" spans="3:11" ht="15.75">
      <c r="C56" s="184"/>
      <c r="D56" s="184"/>
      <c r="E56" s="184"/>
      <c r="F56" s="184"/>
      <c r="G56" s="184"/>
      <c r="H56" s="184"/>
      <c r="I56" s="184"/>
      <c r="J56" s="182"/>
      <c r="K56" s="184"/>
    </row>
    <row r="57" spans="3:11" ht="15.75">
      <c r="C57" s="184"/>
      <c r="D57" s="184"/>
      <c r="E57" s="184"/>
      <c r="F57" s="184"/>
      <c r="G57" s="184"/>
      <c r="H57" s="184"/>
      <c r="I57" s="184"/>
      <c r="J57" s="182"/>
      <c r="K57" s="184"/>
    </row>
    <row r="58" spans="3:11" ht="15.75">
      <c r="C58" s="184"/>
      <c r="D58" s="184"/>
      <c r="E58" s="184"/>
      <c r="F58" s="184"/>
      <c r="G58" s="184"/>
      <c r="H58" s="184"/>
      <c r="I58" s="184"/>
      <c r="J58" s="182"/>
      <c r="K58" s="184"/>
    </row>
    <row r="59" spans="3:11" ht="15.75">
      <c r="C59" s="184"/>
      <c r="D59" s="184"/>
      <c r="E59" s="184"/>
      <c r="F59" s="184"/>
      <c r="G59" s="184"/>
      <c r="H59" s="184"/>
      <c r="I59" s="184"/>
      <c r="J59" s="182"/>
      <c r="K59" s="184"/>
    </row>
    <row r="60" spans="3:11" ht="15.75">
      <c r="C60" s="184"/>
      <c r="D60" s="184"/>
      <c r="E60" s="184"/>
      <c r="F60" s="184"/>
      <c r="G60" s="184"/>
      <c r="H60" s="184"/>
      <c r="I60" s="184"/>
      <c r="J60" s="182"/>
      <c r="K60" s="184"/>
    </row>
    <row r="61" spans="3:11" ht="15.75">
      <c r="C61" s="184"/>
      <c r="D61" s="184"/>
      <c r="E61" s="184"/>
      <c r="F61" s="184"/>
      <c r="G61" s="184"/>
      <c r="H61" s="184"/>
      <c r="I61" s="184"/>
      <c r="J61" s="182"/>
      <c r="K61" s="184"/>
    </row>
    <row r="62" spans="3:11" ht="15.75">
      <c r="C62" s="184"/>
      <c r="D62" s="184"/>
      <c r="E62" s="184"/>
      <c r="F62" s="184"/>
      <c r="G62" s="184"/>
      <c r="H62" s="184"/>
      <c r="I62" s="184"/>
      <c r="J62" s="182"/>
      <c r="K62" s="184"/>
    </row>
    <row r="63" spans="3:11" ht="15.75">
      <c r="C63" s="184"/>
      <c r="D63" s="184"/>
      <c r="E63" s="184"/>
      <c r="F63" s="184"/>
      <c r="G63" s="184"/>
      <c r="H63" s="184"/>
      <c r="I63" s="184"/>
      <c r="J63" s="182"/>
      <c r="K63" s="184"/>
    </row>
    <row r="64" spans="3:11" ht="15.75">
      <c r="C64" s="184"/>
      <c r="D64" s="184"/>
      <c r="E64" s="184"/>
      <c r="F64" s="184"/>
      <c r="G64" s="184"/>
      <c r="H64" s="184"/>
      <c r="I64" s="184"/>
      <c r="J64" s="182"/>
      <c r="K64" s="184"/>
    </row>
    <row r="65" spans="3:11" ht="15.75">
      <c r="C65" s="184"/>
      <c r="D65" s="184"/>
      <c r="E65" s="184"/>
      <c r="F65" s="184"/>
      <c r="G65" s="184"/>
      <c r="H65" s="184"/>
      <c r="I65" s="184"/>
      <c r="J65" s="182"/>
      <c r="K65" s="184"/>
    </row>
    <row r="66" spans="3:11" ht="15.75">
      <c r="C66" s="184"/>
      <c r="D66" s="184"/>
      <c r="E66" s="184"/>
      <c r="F66" s="184"/>
      <c r="G66" s="184"/>
      <c r="H66" s="184"/>
      <c r="I66" s="184"/>
      <c r="J66" s="182"/>
      <c r="K66" s="184"/>
    </row>
    <row r="67" spans="3:11" ht="15.75">
      <c r="C67" s="184"/>
      <c r="D67" s="184"/>
      <c r="E67" s="184"/>
      <c r="F67" s="184"/>
      <c r="G67" s="184"/>
      <c r="H67" s="184"/>
      <c r="I67" s="184"/>
      <c r="J67" s="182"/>
      <c r="K67" s="184"/>
    </row>
    <row r="68" spans="3:11" ht="15.75">
      <c r="C68" s="184"/>
      <c r="D68" s="184"/>
      <c r="E68" s="184"/>
      <c r="F68" s="184"/>
      <c r="G68" s="184"/>
      <c r="H68" s="184"/>
      <c r="I68" s="184"/>
      <c r="J68" s="182"/>
      <c r="K68" s="184"/>
    </row>
    <row r="69" spans="3:11" ht="15.75">
      <c r="C69" s="184"/>
      <c r="D69" s="184"/>
      <c r="E69" s="184"/>
      <c r="F69" s="184"/>
      <c r="G69" s="184"/>
      <c r="H69" s="184"/>
      <c r="I69" s="184"/>
      <c r="J69" s="182"/>
      <c r="K69" s="184"/>
    </row>
    <row r="70" spans="3:11" ht="15.75">
      <c r="C70" s="184"/>
      <c r="D70" s="184"/>
      <c r="E70" s="184"/>
      <c r="F70" s="184"/>
      <c r="G70" s="184"/>
      <c r="H70" s="184"/>
      <c r="I70" s="184"/>
      <c r="J70" s="182"/>
      <c r="K70" s="184"/>
    </row>
    <row r="71" spans="3:11" ht="15.75">
      <c r="C71" s="184"/>
      <c r="D71" s="184"/>
      <c r="E71" s="184"/>
      <c r="F71" s="184"/>
      <c r="G71" s="184"/>
      <c r="H71" s="184"/>
      <c r="I71" s="184"/>
      <c r="J71" s="182"/>
      <c r="K71" s="184"/>
    </row>
    <row r="72" spans="3:11" ht="15.75">
      <c r="C72" s="184"/>
      <c r="D72" s="184"/>
      <c r="E72" s="184"/>
      <c r="F72" s="184"/>
      <c r="G72" s="184"/>
      <c r="H72" s="184"/>
      <c r="I72" s="184"/>
      <c r="J72" s="182"/>
      <c r="K72" s="184"/>
    </row>
    <row r="73" spans="3:11" ht="15.75">
      <c r="C73" s="184"/>
      <c r="D73" s="184"/>
      <c r="E73" s="184"/>
      <c r="F73" s="184"/>
      <c r="G73" s="184"/>
      <c r="H73" s="184"/>
      <c r="I73" s="184"/>
      <c r="J73" s="182"/>
      <c r="K73" s="184"/>
    </row>
    <row r="74" spans="3:11" ht="15.75">
      <c r="C74" s="184"/>
      <c r="D74" s="184"/>
      <c r="E74" s="184"/>
      <c r="F74" s="184"/>
      <c r="G74" s="184"/>
      <c r="H74" s="184"/>
      <c r="I74" s="184"/>
      <c r="J74" s="182"/>
      <c r="K74" s="184"/>
    </row>
    <row r="75" spans="3:11" ht="15.75">
      <c r="C75" s="184"/>
      <c r="D75" s="184"/>
      <c r="E75" s="184"/>
      <c r="F75" s="184"/>
      <c r="G75" s="184"/>
      <c r="H75" s="184"/>
      <c r="I75" s="184"/>
      <c r="J75" s="182"/>
      <c r="K75" s="184"/>
    </row>
    <row r="76" spans="3:11" ht="15.75">
      <c r="C76" s="184"/>
      <c r="D76" s="184"/>
      <c r="E76" s="184"/>
      <c r="F76" s="184"/>
      <c r="G76" s="184"/>
      <c r="H76" s="184"/>
      <c r="I76" s="184"/>
      <c r="J76" s="182"/>
      <c r="K76" s="184"/>
    </row>
    <row r="77" spans="3:11" ht="15.75">
      <c r="C77" s="184"/>
      <c r="D77" s="184"/>
      <c r="E77" s="184"/>
      <c r="F77" s="184"/>
      <c r="G77" s="184"/>
      <c r="H77" s="184"/>
      <c r="I77" s="184"/>
      <c r="J77" s="182"/>
      <c r="K77" s="184"/>
    </row>
    <row r="78" spans="3:11" ht="15.75">
      <c r="C78" s="184"/>
      <c r="D78" s="184"/>
      <c r="E78" s="184"/>
      <c r="F78" s="184"/>
      <c r="G78" s="184"/>
      <c r="H78" s="184"/>
      <c r="I78" s="184"/>
      <c r="J78" s="182"/>
      <c r="K78" s="184"/>
    </row>
    <row r="79" spans="3:11" ht="15.75">
      <c r="C79" s="184"/>
      <c r="D79" s="184"/>
      <c r="E79" s="184"/>
      <c r="F79" s="184"/>
      <c r="G79" s="184"/>
      <c r="H79" s="184"/>
      <c r="I79" s="184"/>
      <c r="J79" s="182"/>
      <c r="K79" s="184"/>
    </row>
    <row r="80" spans="3:11" ht="15.75">
      <c r="C80" s="184"/>
      <c r="D80" s="184"/>
      <c r="E80" s="184"/>
      <c r="F80" s="184"/>
      <c r="G80" s="184"/>
      <c r="H80" s="184"/>
      <c r="I80" s="184"/>
      <c r="J80" s="182"/>
      <c r="K80" s="184"/>
    </row>
    <row r="81" spans="3:11" ht="15.75">
      <c r="C81" s="184"/>
      <c r="D81" s="184"/>
      <c r="E81" s="184"/>
      <c r="F81" s="184"/>
      <c r="G81" s="184"/>
      <c r="H81" s="184"/>
      <c r="I81" s="184"/>
      <c r="J81" s="182"/>
      <c r="K81" s="184"/>
    </row>
    <row r="82" spans="3:11" ht="15.75">
      <c r="C82" s="184"/>
      <c r="D82" s="184"/>
      <c r="E82" s="184"/>
      <c r="F82" s="184"/>
      <c r="G82" s="184"/>
      <c r="H82" s="184"/>
      <c r="I82" s="184"/>
      <c r="J82" s="182"/>
      <c r="K82" s="184"/>
    </row>
    <row r="83" spans="3:11" ht="15.75">
      <c r="C83" s="184"/>
      <c r="D83" s="184"/>
      <c r="E83" s="184"/>
      <c r="F83" s="184"/>
      <c r="G83" s="184"/>
      <c r="H83" s="184"/>
      <c r="I83" s="184"/>
      <c r="J83" s="182"/>
      <c r="K83" s="184"/>
    </row>
    <row r="84" spans="3:11" ht="15.75">
      <c r="C84" s="184"/>
      <c r="D84" s="184"/>
      <c r="E84" s="184"/>
      <c r="F84" s="184"/>
      <c r="G84" s="184"/>
      <c r="H84" s="184"/>
      <c r="I84" s="184"/>
      <c r="J84" s="182"/>
      <c r="K84" s="184"/>
    </row>
    <row r="85" spans="3:11" ht="15.75">
      <c r="C85" s="184"/>
      <c r="D85" s="184"/>
      <c r="E85" s="184"/>
      <c r="F85" s="184"/>
      <c r="G85" s="184"/>
      <c r="H85" s="184"/>
      <c r="I85" s="184"/>
      <c r="J85" s="182"/>
      <c r="K85" s="184"/>
    </row>
    <row r="86" spans="3:11" ht="15.75">
      <c r="C86" s="184"/>
      <c r="D86" s="184"/>
      <c r="E86" s="184"/>
      <c r="F86" s="184"/>
      <c r="G86" s="184"/>
      <c r="H86" s="184"/>
      <c r="I86" s="184"/>
      <c r="J86" s="182"/>
      <c r="K86" s="184"/>
    </row>
    <row r="87" spans="3:11" ht="15.75">
      <c r="C87" s="184"/>
      <c r="D87" s="184"/>
      <c r="E87" s="184"/>
      <c r="F87" s="184"/>
      <c r="G87" s="184"/>
      <c r="H87" s="184"/>
      <c r="I87" s="184"/>
      <c r="J87" s="182"/>
      <c r="K87" s="184"/>
    </row>
    <row r="88" spans="3:11" ht="15.75">
      <c r="C88" s="184"/>
      <c r="D88" s="184"/>
      <c r="E88" s="184"/>
      <c r="F88" s="184"/>
      <c r="G88" s="184"/>
      <c r="H88" s="184"/>
      <c r="I88" s="184"/>
      <c r="J88" s="182"/>
      <c r="K88" s="184"/>
    </row>
    <row r="89" spans="3:11" ht="15.75">
      <c r="C89" s="184"/>
      <c r="D89" s="184"/>
      <c r="E89" s="184"/>
      <c r="F89" s="184"/>
      <c r="G89" s="184"/>
      <c r="H89" s="184"/>
      <c r="I89" s="184"/>
      <c r="J89" s="182"/>
      <c r="K89" s="184"/>
    </row>
    <row r="90" spans="3:11" ht="15.75">
      <c r="C90" s="184"/>
      <c r="D90" s="184"/>
      <c r="E90" s="184"/>
      <c r="F90" s="184"/>
      <c r="G90" s="184"/>
      <c r="H90" s="184"/>
      <c r="I90" s="184"/>
      <c r="J90" s="182"/>
      <c r="K90" s="184"/>
    </row>
    <row r="91" spans="3:11" ht="15.75">
      <c r="C91" s="184"/>
      <c r="D91" s="184"/>
      <c r="E91" s="184"/>
      <c r="F91" s="184"/>
      <c r="G91" s="184"/>
      <c r="H91" s="184"/>
      <c r="I91" s="184"/>
      <c r="J91" s="182"/>
      <c r="K91" s="184"/>
    </row>
    <row r="92" spans="3:11" ht="15.75">
      <c r="C92" s="184"/>
      <c r="D92" s="184"/>
      <c r="E92" s="184"/>
      <c r="F92" s="184"/>
      <c r="G92" s="184"/>
      <c r="H92" s="184"/>
      <c r="I92" s="184"/>
      <c r="J92" s="182"/>
      <c r="K92" s="184"/>
    </row>
    <row r="93" spans="3:11" ht="15.75">
      <c r="C93" s="184"/>
      <c r="D93" s="184"/>
      <c r="E93" s="184"/>
      <c r="F93" s="184"/>
      <c r="G93" s="184"/>
      <c r="H93" s="184"/>
      <c r="I93" s="184"/>
      <c r="J93" s="182"/>
      <c r="K93" s="184"/>
    </row>
    <row r="94" spans="3:11" ht="15.75">
      <c r="C94" s="184"/>
      <c r="D94" s="184"/>
      <c r="E94" s="184"/>
      <c r="F94" s="184"/>
      <c r="G94" s="184"/>
      <c r="H94" s="184"/>
      <c r="I94" s="184"/>
      <c r="J94" s="182"/>
      <c r="K94" s="184"/>
    </row>
    <row r="95" spans="3:11" ht="15.75">
      <c r="C95" s="184"/>
      <c r="D95" s="184"/>
      <c r="E95" s="184"/>
      <c r="F95" s="184"/>
      <c r="G95" s="184"/>
      <c r="H95" s="184"/>
      <c r="I95" s="184"/>
      <c r="J95" s="182"/>
      <c r="K95" s="184"/>
    </row>
    <row r="96" spans="3:11" ht="15.75">
      <c r="C96" s="184"/>
      <c r="D96" s="184"/>
      <c r="E96" s="184"/>
      <c r="F96" s="184"/>
      <c r="G96" s="184"/>
      <c r="H96" s="184"/>
      <c r="I96" s="184"/>
      <c r="J96" s="182"/>
      <c r="K96" s="184"/>
    </row>
    <row r="97" spans="3:11" ht="15.75">
      <c r="C97" s="184"/>
      <c r="D97" s="184"/>
      <c r="E97" s="184"/>
      <c r="F97" s="184"/>
      <c r="G97" s="184"/>
      <c r="H97" s="184"/>
      <c r="I97" s="184"/>
      <c r="J97" s="182"/>
      <c r="K97" s="184"/>
    </row>
    <row r="98" spans="3:11" ht="15.75">
      <c r="C98" s="184"/>
      <c r="D98" s="184"/>
      <c r="E98" s="184"/>
      <c r="F98" s="184"/>
      <c r="G98" s="184"/>
      <c r="H98" s="184"/>
      <c r="I98" s="184"/>
      <c r="J98" s="182"/>
      <c r="K98" s="184"/>
    </row>
    <row r="99" spans="3:11" ht="15.75">
      <c r="C99" s="184"/>
      <c r="D99" s="184"/>
      <c r="E99" s="184"/>
      <c r="F99" s="184"/>
      <c r="G99" s="184"/>
      <c r="H99" s="184"/>
      <c r="I99" s="184"/>
      <c r="J99" s="182"/>
      <c r="K99" s="184"/>
    </row>
    <row r="100" spans="3:11" ht="15.75">
      <c r="C100" s="184"/>
      <c r="D100" s="184"/>
      <c r="E100" s="184"/>
      <c r="F100" s="184"/>
      <c r="G100" s="184"/>
      <c r="H100" s="184"/>
      <c r="I100" s="184"/>
      <c r="J100" s="182"/>
      <c r="K100" s="184"/>
    </row>
    <row r="101" spans="3:11" ht="15.75">
      <c r="C101" s="184"/>
      <c r="D101" s="184"/>
      <c r="E101" s="184"/>
      <c r="F101" s="184"/>
      <c r="G101" s="184"/>
      <c r="H101" s="184"/>
      <c r="I101" s="184"/>
      <c r="J101" s="182"/>
      <c r="K101" s="184"/>
    </row>
    <row r="102" spans="3:11" ht="15.75">
      <c r="C102" s="184"/>
      <c r="D102" s="184"/>
      <c r="E102" s="184"/>
      <c r="F102" s="184"/>
      <c r="G102" s="184"/>
      <c r="H102" s="184"/>
      <c r="I102" s="184"/>
      <c r="J102" s="182"/>
      <c r="K102" s="184"/>
    </row>
    <row r="103" spans="3:11" ht="15.75">
      <c r="C103" s="184"/>
      <c r="D103" s="184"/>
      <c r="E103" s="184"/>
      <c r="F103" s="184"/>
      <c r="G103" s="184"/>
      <c r="H103" s="184"/>
      <c r="I103" s="184"/>
      <c r="J103" s="182"/>
      <c r="K103" s="184"/>
    </row>
    <row r="104" spans="3:11" ht="15.75">
      <c r="C104" s="184"/>
      <c r="D104" s="184"/>
      <c r="E104" s="184"/>
      <c r="F104" s="184"/>
      <c r="G104" s="184"/>
      <c r="H104" s="184"/>
      <c r="I104" s="184"/>
      <c r="J104" s="182"/>
      <c r="K104" s="184"/>
    </row>
    <row r="105" spans="3:11" ht="15.75">
      <c r="C105" s="184"/>
      <c r="D105" s="184"/>
      <c r="E105" s="184"/>
      <c r="F105" s="184"/>
      <c r="G105" s="184"/>
      <c r="H105" s="184"/>
      <c r="I105" s="184"/>
      <c r="J105" s="182"/>
      <c r="K105" s="184"/>
    </row>
    <row r="106" spans="3:11" ht="15.75">
      <c r="C106" s="184"/>
      <c r="D106" s="184"/>
      <c r="E106" s="184"/>
      <c r="F106" s="184"/>
      <c r="G106" s="184"/>
      <c r="H106" s="184"/>
      <c r="I106" s="184"/>
      <c r="J106" s="182"/>
      <c r="K106" s="184"/>
    </row>
    <row r="107" spans="3:11" ht="15.75">
      <c r="C107" s="184"/>
      <c r="D107" s="184"/>
      <c r="E107" s="184"/>
      <c r="F107" s="184"/>
      <c r="G107" s="184"/>
      <c r="H107" s="184"/>
      <c r="I107" s="184"/>
      <c r="J107" s="182"/>
      <c r="K107" s="184"/>
    </row>
    <row r="108" spans="3:11" ht="15.75">
      <c r="C108" s="184"/>
      <c r="D108" s="184"/>
      <c r="E108" s="184"/>
      <c r="F108" s="184"/>
      <c r="G108" s="184"/>
      <c r="H108" s="184"/>
      <c r="I108" s="184"/>
      <c r="J108" s="182"/>
      <c r="K108" s="184"/>
    </row>
    <row r="109" spans="3:11" ht="15.75">
      <c r="C109" s="184"/>
      <c r="D109" s="184"/>
      <c r="E109" s="184"/>
      <c r="F109" s="184"/>
      <c r="G109" s="184"/>
      <c r="H109" s="184"/>
      <c r="I109" s="184"/>
      <c r="J109" s="182"/>
      <c r="K109" s="184"/>
    </row>
    <row r="110" spans="3:11" ht="15.75">
      <c r="C110" s="184"/>
      <c r="D110" s="184"/>
      <c r="E110" s="184"/>
      <c r="F110" s="184"/>
      <c r="G110" s="184"/>
      <c r="H110" s="184"/>
      <c r="I110" s="184"/>
      <c r="J110" s="182"/>
      <c r="K110" s="184"/>
    </row>
    <row r="111" spans="3:11" ht="15.75">
      <c r="C111" s="184"/>
      <c r="D111" s="184"/>
      <c r="E111" s="184"/>
      <c r="F111" s="184"/>
      <c r="G111" s="184"/>
      <c r="H111" s="184"/>
      <c r="I111" s="184"/>
      <c r="J111" s="182"/>
      <c r="K111" s="184"/>
    </row>
    <row r="112" spans="3:11" ht="15.75">
      <c r="C112" s="184"/>
      <c r="D112" s="184"/>
      <c r="E112" s="184"/>
      <c r="F112" s="184"/>
      <c r="G112" s="184"/>
      <c r="H112" s="184"/>
      <c r="I112" s="184"/>
      <c r="J112" s="182"/>
      <c r="K112" s="184"/>
    </row>
    <row r="113" spans="3:11" ht="15.75">
      <c r="C113" s="184"/>
      <c r="D113" s="184"/>
      <c r="E113" s="184"/>
      <c r="F113" s="184"/>
      <c r="G113" s="184"/>
      <c r="H113" s="184"/>
      <c r="I113" s="184"/>
      <c r="J113" s="182"/>
      <c r="K113" s="184"/>
    </row>
    <row r="114" spans="3:11" ht="15.75">
      <c r="C114" s="184"/>
      <c r="D114" s="184"/>
      <c r="E114" s="184"/>
      <c r="F114" s="184"/>
      <c r="G114" s="184"/>
      <c r="H114" s="184"/>
      <c r="I114" s="184"/>
      <c r="J114" s="182"/>
      <c r="K114" s="184"/>
    </row>
    <row r="115" spans="3:11" ht="15.75">
      <c r="C115" s="184"/>
      <c r="D115" s="184"/>
      <c r="E115" s="184"/>
      <c r="F115" s="184"/>
      <c r="G115" s="184"/>
      <c r="H115" s="184"/>
      <c r="I115" s="184"/>
      <c r="J115" s="182"/>
      <c r="K115" s="184"/>
    </row>
    <row r="116" spans="3:11" ht="15.75">
      <c r="C116" s="184"/>
      <c r="D116" s="184"/>
      <c r="E116" s="184"/>
      <c r="F116" s="184"/>
      <c r="G116" s="184"/>
      <c r="H116" s="184"/>
      <c r="I116" s="184"/>
      <c r="J116" s="182"/>
      <c r="K116" s="184"/>
    </row>
    <row r="117" spans="3:11" ht="15.75">
      <c r="C117" s="184"/>
      <c r="D117" s="184"/>
      <c r="E117" s="184"/>
      <c r="F117" s="184"/>
      <c r="G117" s="184"/>
      <c r="H117" s="184"/>
      <c r="I117" s="184"/>
      <c r="J117" s="182"/>
      <c r="K117" s="184"/>
    </row>
    <row r="118" spans="3:11" ht="15.75">
      <c r="C118" s="184"/>
      <c r="D118" s="184"/>
      <c r="E118" s="184"/>
      <c r="F118" s="184"/>
      <c r="G118" s="184"/>
      <c r="H118" s="184"/>
      <c r="I118" s="184"/>
      <c r="J118" s="182"/>
      <c r="K118" s="184"/>
    </row>
    <row r="119" spans="3:11" ht="15.75">
      <c r="C119" s="184"/>
      <c r="D119" s="184"/>
      <c r="E119" s="184"/>
      <c r="F119" s="184"/>
      <c r="G119" s="184"/>
      <c r="H119" s="184"/>
      <c r="I119" s="184"/>
      <c r="J119" s="182"/>
      <c r="K119" s="184"/>
    </row>
    <row r="120" spans="3:11" ht="15.75">
      <c r="C120" s="184"/>
      <c r="D120" s="184"/>
      <c r="E120" s="184"/>
      <c r="F120" s="184"/>
      <c r="G120" s="184"/>
      <c r="H120" s="184"/>
      <c r="I120" s="184"/>
      <c r="J120" s="182"/>
      <c r="K120" s="184"/>
    </row>
    <row r="121" spans="3:11" ht="15.75">
      <c r="C121" s="184"/>
      <c r="D121" s="184"/>
      <c r="E121" s="184"/>
      <c r="F121" s="184"/>
      <c r="G121" s="184"/>
      <c r="H121" s="184"/>
      <c r="I121" s="184"/>
      <c r="J121" s="182"/>
      <c r="K121" s="184"/>
    </row>
    <row r="122" spans="3:11" ht="15.75">
      <c r="C122" s="184"/>
      <c r="D122" s="184"/>
      <c r="E122" s="184"/>
      <c r="F122" s="184"/>
      <c r="G122" s="184"/>
      <c r="H122" s="184"/>
      <c r="I122" s="184"/>
      <c r="J122" s="182"/>
      <c r="K122" s="184"/>
    </row>
    <row r="123" spans="3:11" ht="15.75">
      <c r="C123" s="184"/>
      <c r="D123" s="184"/>
      <c r="E123" s="184"/>
      <c r="F123" s="184"/>
      <c r="G123" s="184"/>
      <c r="H123" s="184"/>
      <c r="I123" s="184"/>
      <c r="J123" s="182"/>
      <c r="K123" s="184"/>
    </row>
    <row r="124" spans="3:11" ht="15.75">
      <c r="C124" s="184"/>
      <c r="D124" s="184"/>
      <c r="E124" s="184"/>
      <c r="F124" s="184"/>
      <c r="G124" s="184"/>
      <c r="H124" s="184"/>
      <c r="I124" s="184"/>
      <c r="J124" s="182"/>
      <c r="K124" s="184"/>
    </row>
    <row r="125" spans="3:11" ht="15.75">
      <c r="C125" s="184"/>
      <c r="D125" s="184"/>
      <c r="E125" s="184"/>
      <c r="F125" s="184"/>
      <c r="G125" s="184"/>
      <c r="H125" s="184"/>
      <c r="I125" s="184"/>
      <c r="J125" s="182"/>
      <c r="K125" s="184"/>
    </row>
    <row r="126" spans="3:11" ht="15.75">
      <c r="C126" s="184"/>
      <c r="D126" s="184"/>
      <c r="E126" s="184"/>
      <c r="F126" s="184"/>
      <c r="G126" s="184"/>
      <c r="H126" s="184"/>
      <c r="I126" s="184"/>
      <c r="J126" s="182"/>
      <c r="K126" s="184"/>
    </row>
    <row r="127" spans="3:11" ht="15.75">
      <c r="C127" s="184"/>
      <c r="D127" s="184"/>
      <c r="E127" s="184"/>
      <c r="F127" s="184"/>
      <c r="G127" s="184"/>
      <c r="H127" s="184"/>
      <c r="I127" s="184"/>
      <c r="J127" s="182"/>
      <c r="K127" s="184"/>
    </row>
    <row r="128" spans="3:11" ht="15.75">
      <c r="C128" s="184"/>
      <c r="D128" s="184"/>
      <c r="E128" s="184"/>
      <c r="F128" s="184"/>
      <c r="G128" s="184"/>
      <c r="H128" s="184"/>
      <c r="I128" s="184"/>
      <c r="J128" s="182"/>
      <c r="K128" s="184"/>
    </row>
    <row r="129" spans="3:11" ht="15.75">
      <c r="C129" s="184"/>
      <c r="D129" s="184"/>
      <c r="E129" s="184"/>
      <c r="F129" s="184"/>
      <c r="G129" s="184"/>
      <c r="H129" s="184"/>
      <c r="I129" s="184"/>
      <c r="J129" s="182"/>
      <c r="K129" s="184"/>
    </row>
    <row r="130" spans="3:11" ht="15.75">
      <c r="C130" s="184"/>
      <c r="D130" s="184"/>
      <c r="E130" s="184"/>
      <c r="F130" s="184"/>
      <c r="G130" s="184"/>
      <c r="H130" s="184"/>
      <c r="I130" s="184"/>
      <c r="J130" s="182"/>
      <c r="K130" s="184"/>
    </row>
    <row r="131" spans="3:11" ht="15.75">
      <c r="C131" s="184"/>
      <c r="D131" s="184"/>
      <c r="E131" s="184"/>
      <c r="F131" s="184"/>
      <c r="G131" s="184"/>
      <c r="H131" s="184"/>
      <c r="I131" s="184"/>
      <c r="J131" s="182"/>
      <c r="K131" s="184"/>
    </row>
    <row r="132" spans="3:11" ht="15.75">
      <c r="C132" s="184"/>
      <c r="D132" s="184"/>
      <c r="E132" s="184"/>
      <c r="F132" s="184"/>
      <c r="G132" s="184"/>
      <c r="H132" s="184"/>
      <c r="I132" s="184"/>
      <c r="J132" s="182"/>
      <c r="K132" s="184"/>
    </row>
    <row r="133" spans="3:11" ht="15.75">
      <c r="C133" s="184"/>
      <c r="D133" s="184"/>
      <c r="E133" s="184"/>
      <c r="F133" s="184"/>
      <c r="G133" s="184"/>
      <c r="H133" s="184"/>
      <c r="I133" s="184"/>
      <c r="J133" s="182"/>
      <c r="K133" s="184"/>
    </row>
    <row r="134" spans="3:11" ht="15.75">
      <c r="C134" s="184"/>
      <c r="D134" s="184"/>
      <c r="E134" s="184"/>
      <c r="F134" s="184"/>
      <c r="G134" s="184"/>
      <c r="H134" s="184"/>
      <c r="I134" s="184"/>
      <c r="J134" s="182"/>
      <c r="K134" s="184"/>
    </row>
    <row r="135" spans="3:11" ht="15.75">
      <c r="C135" s="184"/>
      <c r="D135" s="184"/>
      <c r="E135" s="184"/>
      <c r="F135" s="184"/>
      <c r="G135" s="184"/>
      <c r="H135" s="184"/>
      <c r="I135" s="184"/>
      <c r="J135" s="182"/>
      <c r="K135" s="184"/>
    </row>
    <row r="136" spans="3:11" ht="15.75">
      <c r="C136" s="184"/>
      <c r="D136" s="184"/>
      <c r="E136" s="184"/>
      <c r="F136" s="184"/>
      <c r="G136" s="184"/>
      <c r="H136" s="184"/>
      <c r="I136" s="184"/>
      <c r="J136" s="182"/>
      <c r="K136" s="184"/>
    </row>
    <row r="137" spans="3:11" ht="15.75">
      <c r="C137" s="184"/>
      <c r="D137" s="184"/>
      <c r="E137" s="184"/>
      <c r="F137" s="184"/>
      <c r="G137" s="184"/>
      <c r="H137" s="184"/>
      <c r="I137" s="184"/>
      <c r="J137" s="182"/>
      <c r="K137" s="184"/>
    </row>
    <row r="138" spans="3:11" ht="15.75">
      <c r="C138" s="184"/>
      <c r="D138" s="184"/>
      <c r="E138" s="184"/>
      <c r="F138" s="184"/>
      <c r="G138" s="184"/>
      <c r="H138" s="184"/>
      <c r="I138" s="184"/>
      <c r="J138" s="182"/>
      <c r="K138" s="184"/>
    </row>
    <row r="139" spans="3:11" ht="15.75">
      <c r="C139" s="184"/>
      <c r="D139" s="184"/>
      <c r="E139" s="184"/>
      <c r="F139" s="184"/>
      <c r="G139" s="184"/>
      <c r="H139" s="184"/>
      <c r="I139" s="184"/>
      <c r="J139" s="182"/>
      <c r="K139" s="184"/>
    </row>
    <row r="140" spans="3:11" ht="15.75">
      <c r="C140" s="184"/>
      <c r="D140" s="184"/>
      <c r="E140" s="184"/>
      <c r="F140" s="184"/>
      <c r="G140" s="184"/>
      <c r="H140" s="184"/>
      <c r="I140" s="184"/>
      <c r="J140" s="182"/>
      <c r="K140" s="184"/>
    </row>
    <row r="141" spans="3:11" ht="15.75">
      <c r="C141" s="184"/>
      <c r="D141" s="184"/>
      <c r="E141" s="184"/>
      <c r="F141" s="184"/>
      <c r="G141" s="184"/>
      <c r="H141" s="184"/>
      <c r="I141" s="184"/>
      <c r="J141" s="182"/>
      <c r="K141" s="184"/>
    </row>
    <row r="142" spans="3:11" ht="15.75">
      <c r="C142" s="184"/>
      <c r="D142" s="184"/>
      <c r="E142" s="184"/>
      <c r="F142" s="184"/>
      <c r="G142" s="184"/>
      <c r="H142" s="184"/>
      <c r="I142" s="184"/>
      <c r="J142" s="182"/>
      <c r="K142" s="184"/>
    </row>
    <row r="143" spans="3:11" ht="15.75">
      <c r="C143" s="184"/>
      <c r="D143" s="184"/>
      <c r="E143" s="184"/>
      <c r="F143" s="184"/>
      <c r="G143" s="184"/>
      <c r="H143" s="184"/>
      <c r="I143" s="184"/>
      <c r="J143" s="182"/>
      <c r="K143" s="184"/>
    </row>
    <row r="144" spans="3:11" ht="15.75">
      <c r="C144" s="184"/>
      <c r="D144" s="184"/>
      <c r="E144" s="184"/>
      <c r="F144" s="184"/>
      <c r="G144" s="184"/>
      <c r="H144" s="184"/>
      <c r="I144" s="184"/>
      <c r="J144" s="182"/>
      <c r="K144" s="184"/>
    </row>
    <row r="145" spans="3:11" ht="15.75">
      <c r="C145" s="184"/>
      <c r="D145" s="184"/>
      <c r="E145" s="184"/>
      <c r="F145" s="184"/>
      <c r="G145" s="184"/>
      <c r="H145" s="184"/>
      <c r="I145" s="184"/>
      <c r="J145" s="182"/>
      <c r="K145" s="184"/>
    </row>
    <row r="146" spans="3:11" ht="15.75">
      <c r="C146" s="184"/>
      <c r="D146" s="184"/>
      <c r="E146" s="184"/>
      <c r="F146" s="184"/>
      <c r="G146" s="184"/>
      <c r="H146" s="184"/>
      <c r="I146" s="184"/>
      <c r="J146" s="182"/>
      <c r="K146" s="184"/>
    </row>
    <row r="147" spans="3:11" ht="15.75">
      <c r="C147" s="184"/>
      <c r="D147" s="184"/>
      <c r="E147" s="184"/>
      <c r="F147" s="184"/>
      <c r="G147" s="184"/>
      <c r="H147" s="184"/>
      <c r="I147" s="184"/>
      <c r="J147" s="182"/>
      <c r="K147" s="184"/>
    </row>
    <row r="148" spans="3:11" ht="15.75">
      <c r="C148" s="184"/>
      <c r="D148" s="184"/>
      <c r="E148" s="184"/>
      <c r="F148" s="184"/>
      <c r="G148" s="184"/>
      <c r="H148" s="184"/>
      <c r="I148" s="184"/>
      <c r="J148" s="182"/>
      <c r="K148" s="184"/>
    </row>
    <row r="149" spans="3:11" ht="15.75">
      <c r="C149" s="184"/>
      <c r="D149" s="184"/>
      <c r="E149" s="184"/>
      <c r="F149" s="184"/>
      <c r="G149" s="184"/>
      <c r="H149" s="184"/>
      <c r="I149" s="184"/>
      <c r="J149" s="182"/>
      <c r="K149" s="184"/>
    </row>
    <row r="150" spans="3:11" ht="15.75">
      <c r="C150" s="184"/>
      <c r="D150" s="184"/>
      <c r="E150" s="184"/>
      <c r="F150" s="184"/>
      <c r="G150" s="184"/>
      <c r="H150" s="184"/>
      <c r="I150" s="184"/>
      <c r="J150" s="182"/>
      <c r="K150" s="184"/>
    </row>
    <row r="151" spans="3:11" ht="15.75">
      <c r="C151" s="184"/>
      <c r="D151" s="184"/>
      <c r="E151" s="184"/>
      <c r="F151" s="184"/>
      <c r="G151" s="184"/>
      <c r="H151" s="184"/>
      <c r="I151" s="184"/>
      <c r="J151" s="182"/>
      <c r="K151" s="184"/>
    </row>
    <row r="152" spans="3:11" ht="15.75">
      <c r="C152" s="184"/>
      <c r="D152" s="184"/>
      <c r="E152" s="184"/>
      <c r="F152" s="184"/>
      <c r="G152" s="184"/>
      <c r="H152" s="184"/>
      <c r="I152" s="184"/>
      <c r="J152" s="182"/>
      <c r="K152" s="184"/>
    </row>
    <row r="153" spans="3:11" ht="15.75">
      <c r="C153" s="184"/>
      <c r="D153" s="184"/>
      <c r="E153" s="184"/>
      <c r="F153" s="184"/>
      <c r="G153" s="184"/>
      <c r="H153" s="184"/>
      <c r="I153" s="184"/>
      <c r="J153" s="182"/>
      <c r="K153" s="184"/>
    </row>
    <row r="154" spans="3:11" ht="15.75">
      <c r="C154" s="184"/>
      <c r="D154" s="184"/>
      <c r="E154" s="184"/>
      <c r="F154" s="184"/>
      <c r="G154" s="184"/>
      <c r="H154" s="184"/>
      <c r="I154" s="184"/>
      <c r="J154" s="182"/>
      <c r="K154" s="184"/>
    </row>
    <row r="155" spans="3:11" ht="15.75">
      <c r="C155" s="184"/>
      <c r="D155" s="184"/>
      <c r="E155" s="184"/>
      <c r="F155" s="184"/>
      <c r="G155" s="184"/>
      <c r="H155" s="184"/>
      <c r="I155" s="184"/>
      <c r="J155" s="182"/>
      <c r="K155" s="184"/>
    </row>
    <row r="156" spans="3:11" ht="15.75">
      <c r="C156" s="184"/>
      <c r="D156" s="184"/>
      <c r="E156" s="184"/>
      <c r="F156" s="184"/>
      <c r="G156" s="184"/>
      <c r="H156" s="184"/>
      <c r="I156" s="184"/>
      <c r="J156" s="182"/>
      <c r="K156" s="184"/>
    </row>
    <row r="157" spans="3:11" ht="15.75">
      <c r="C157" s="184"/>
      <c r="D157" s="184"/>
      <c r="E157" s="184"/>
      <c r="F157" s="184"/>
      <c r="G157" s="184"/>
      <c r="H157" s="184"/>
      <c r="I157" s="184"/>
      <c r="J157" s="182"/>
      <c r="K157" s="184"/>
    </row>
    <row r="158" spans="3:11" ht="15.75">
      <c r="C158" s="184"/>
      <c r="D158" s="184"/>
      <c r="E158" s="184"/>
      <c r="F158" s="184"/>
      <c r="G158" s="184"/>
      <c r="H158" s="184"/>
      <c r="I158" s="184"/>
      <c r="J158" s="182"/>
      <c r="K158" s="184"/>
    </row>
    <row r="159" spans="3:11" ht="15.75">
      <c r="C159" s="184"/>
      <c r="D159" s="184"/>
      <c r="E159" s="184"/>
      <c r="F159" s="184"/>
      <c r="G159" s="184"/>
      <c r="H159" s="184"/>
      <c r="I159" s="184"/>
      <c r="J159" s="182"/>
      <c r="K159" s="184"/>
    </row>
    <row r="160" spans="3:11" ht="15.75">
      <c r="C160" s="184"/>
      <c r="D160" s="184"/>
      <c r="E160" s="184"/>
      <c r="F160" s="184"/>
      <c r="G160" s="184"/>
      <c r="H160" s="184"/>
      <c r="I160" s="184"/>
      <c r="J160" s="182"/>
      <c r="K160" s="184"/>
    </row>
    <row r="161" spans="3:11" ht="15.75">
      <c r="C161" s="184"/>
      <c r="D161" s="184"/>
      <c r="E161" s="184"/>
      <c r="F161" s="184"/>
      <c r="G161" s="184"/>
      <c r="H161" s="184"/>
      <c r="I161" s="184"/>
      <c r="J161" s="182"/>
      <c r="K161" s="184"/>
    </row>
    <row r="162" spans="3:11" ht="15.75">
      <c r="C162" s="184"/>
      <c r="D162" s="184"/>
      <c r="E162" s="184"/>
      <c r="F162" s="184"/>
      <c r="G162" s="184"/>
      <c r="H162" s="184"/>
      <c r="I162" s="184"/>
      <c r="J162" s="182"/>
      <c r="K162" s="184"/>
    </row>
    <row r="163" spans="3:11" ht="15.75">
      <c r="C163" s="184"/>
      <c r="D163" s="184"/>
      <c r="E163" s="184"/>
      <c r="F163" s="184"/>
      <c r="G163" s="184"/>
      <c r="H163" s="184"/>
      <c r="I163" s="184"/>
      <c r="J163" s="182"/>
      <c r="K163" s="184"/>
    </row>
    <row r="164" spans="3:11" ht="15.75">
      <c r="C164" s="184"/>
      <c r="D164" s="184"/>
      <c r="E164" s="184"/>
      <c r="F164" s="184"/>
      <c r="G164" s="184"/>
      <c r="H164" s="184"/>
      <c r="I164" s="184"/>
      <c r="J164" s="182"/>
      <c r="K164" s="184"/>
    </row>
    <row r="165" spans="3:11" ht="15.75">
      <c r="C165" s="184"/>
      <c r="D165" s="184"/>
      <c r="E165" s="184"/>
      <c r="F165" s="184"/>
      <c r="G165" s="184"/>
      <c r="H165" s="184"/>
      <c r="I165" s="184"/>
      <c r="J165" s="182"/>
      <c r="K165" s="184"/>
    </row>
    <row r="166" spans="3:11" ht="15.75">
      <c r="C166" s="184"/>
      <c r="D166" s="184"/>
      <c r="E166" s="184"/>
      <c r="F166" s="184"/>
      <c r="G166" s="184"/>
      <c r="H166" s="184"/>
      <c r="I166" s="184"/>
      <c r="J166" s="182"/>
      <c r="K166" s="184"/>
    </row>
    <row r="167" spans="3:11" ht="15.75">
      <c r="C167" s="184"/>
      <c r="D167" s="184"/>
      <c r="E167" s="184"/>
      <c r="F167" s="184"/>
      <c r="G167" s="184"/>
      <c r="H167" s="184"/>
      <c r="I167" s="184"/>
      <c r="J167" s="182"/>
      <c r="K167" s="184"/>
    </row>
    <row r="168" spans="3:11" ht="15.75">
      <c r="C168" s="184"/>
      <c r="D168" s="184"/>
      <c r="E168" s="184"/>
      <c r="F168" s="184"/>
      <c r="G168" s="184"/>
      <c r="H168" s="184"/>
      <c r="I168" s="184"/>
      <c r="J168" s="182"/>
      <c r="K168" s="184"/>
    </row>
    <row r="169" spans="3:11" ht="15.75">
      <c r="C169" s="184"/>
      <c r="D169" s="184"/>
      <c r="E169" s="184"/>
      <c r="F169" s="184"/>
      <c r="G169" s="184"/>
      <c r="H169" s="184"/>
      <c r="I169" s="184"/>
      <c r="J169" s="182"/>
      <c r="K169" s="184"/>
    </row>
    <row r="170" spans="3:11" ht="15.75">
      <c r="C170" s="184"/>
      <c r="D170" s="184"/>
      <c r="E170" s="184"/>
      <c r="F170" s="184"/>
      <c r="G170" s="184"/>
      <c r="H170" s="184"/>
      <c r="I170" s="184"/>
      <c r="J170" s="182"/>
      <c r="K170" s="184"/>
    </row>
    <row r="171" spans="3:11" ht="15.75">
      <c r="C171" s="184"/>
      <c r="D171" s="184"/>
      <c r="E171" s="184"/>
      <c r="F171" s="184"/>
      <c r="G171" s="184"/>
      <c r="H171" s="184"/>
      <c r="I171" s="184"/>
      <c r="J171" s="182"/>
      <c r="K171" s="184"/>
    </row>
    <row r="172" spans="3:11" ht="15.75">
      <c r="C172" s="184"/>
      <c r="D172" s="184"/>
      <c r="E172" s="184"/>
      <c r="F172" s="184"/>
      <c r="G172" s="184"/>
      <c r="H172" s="184"/>
      <c r="I172" s="184"/>
      <c r="J172" s="182"/>
      <c r="K172" s="184"/>
    </row>
    <row r="173" spans="3:11" ht="15.75">
      <c r="C173" s="184"/>
      <c r="D173" s="184"/>
      <c r="E173" s="184"/>
      <c r="F173" s="184"/>
      <c r="G173" s="184"/>
      <c r="H173" s="184"/>
      <c r="I173" s="184"/>
      <c r="J173" s="182"/>
      <c r="K173" s="184"/>
    </row>
    <row r="174" spans="3:11" ht="15.75">
      <c r="C174" s="184"/>
      <c r="D174" s="184"/>
      <c r="E174" s="184"/>
      <c r="F174" s="184"/>
      <c r="G174" s="184"/>
      <c r="H174" s="184"/>
      <c r="I174" s="184"/>
      <c r="J174" s="182"/>
      <c r="K174" s="184"/>
    </row>
    <row r="175" spans="3:11" ht="15.75">
      <c r="C175" s="184"/>
      <c r="D175" s="184"/>
      <c r="E175" s="184"/>
      <c r="F175" s="184"/>
      <c r="G175" s="184"/>
      <c r="H175" s="184"/>
      <c r="I175" s="184"/>
      <c r="J175" s="182"/>
      <c r="K175" s="184"/>
    </row>
    <row r="176" spans="3:11" ht="15.75">
      <c r="C176" s="184"/>
      <c r="D176" s="184"/>
      <c r="E176" s="184"/>
      <c r="F176" s="184"/>
      <c r="G176" s="184"/>
      <c r="H176" s="184"/>
      <c r="I176" s="184"/>
      <c r="J176" s="182"/>
      <c r="K176" s="184"/>
    </row>
    <row r="177" spans="3:11" ht="15.75">
      <c r="C177" s="184"/>
      <c r="D177" s="184"/>
      <c r="E177" s="184"/>
      <c r="F177" s="184"/>
      <c r="G177" s="184"/>
      <c r="H177" s="184"/>
      <c r="I177" s="184"/>
      <c r="J177" s="182"/>
      <c r="K177" s="184"/>
    </row>
    <row r="178" spans="3:11" ht="15.75">
      <c r="C178" s="184"/>
      <c r="D178" s="184"/>
      <c r="E178" s="184"/>
      <c r="F178" s="184"/>
      <c r="G178" s="184"/>
      <c r="H178" s="184"/>
      <c r="I178" s="184"/>
      <c r="J178" s="182"/>
      <c r="K178" s="184"/>
    </row>
    <row r="179" spans="3:11" ht="15.75">
      <c r="C179" s="184"/>
      <c r="D179" s="184"/>
      <c r="E179" s="184"/>
      <c r="F179" s="184"/>
      <c r="G179" s="184"/>
      <c r="H179" s="184"/>
      <c r="I179" s="184"/>
      <c r="J179" s="182"/>
      <c r="K179" s="184"/>
    </row>
    <row r="180" spans="3:11" ht="15.75">
      <c r="C180" s="184"/>
      <c r="D180" s="184"/>
      <c r="E180" s="184"/>
      <c r="F180" s="184"/>
      <c r="G180" s="184"/>
      <c r="H180" s="184"/>
      <c r="I180" s="184"/>
      <c r="J180" s="182"/>
      <c r="K180" s="184"/>
    </row>
    <row r="181" spans="3:11" ht="15.75">
      <c r="C181" s="184"/>
      <c r="D181" s="184"/>
      <c r="E181" s="184"/>
      <c r="F181" s="184"/>
      <c r="G181" s="184"/>
      <c r="H181" s="184"/>
      <c r="I181" s="184"/>
      <c r="J181" s="182"/>
      <c r="K181" s="184"/>
    </row>
    <row r="182" spans="3:11" ht="15.75">
      <c r="C182" s="184"/>
      <c r="D182" s="184"/>
      <c r="E182" s="184"/>
      <c r="F182" s="184"/>
      <c r="G182" s="184"/>
      <c r="H182" s="184"/>
      <c r="I182" s="184"/>
      <c r="J182" s="182"/>
      <c r="K182" s="184"/>
    </row>
    <row r="183" spans="3:11" ht="15.75">
      <c r="C183" s="184"/>
      <c r="D183" s="184"/>
      <c r="E183" s="184"/>
      <c r="F183" s="184"/>
      <c r="G183" s="184"/>
      <c r="H183" s="184"/>
      <c r="I183" s="184"/>
      <c r="J183" s="182"/>
      <c r="K183" s="184"/>
    </row>
    <row r="184" spans="3:11" ht="15.75">
      <c r="C184" s="184"/>
      <c r="D184" s="184"/>
      <c r="E184" s="184"/>
      <c r="F184" s="184"/>
      <c r="G184" s="184"/>
      <c r="H184" s="184"/>
      <c r="I184" s="184"/>
      <c r="J184" s="182"/>
      <c r="K184" s="184"/>
    </row>
    <row r="185" spans="3:11" ht="15.75">
      <c r="C185" s="184"/>
      <c r="D185" s="184"/>
      <c r="E185" s="184"/>
      <c r="F185" s="184"/>
      <c r="G185" s="184"/>
      <c r="H185" s="184"/>
      <c r="I185" s="184"/>
      <c r="J185" s="182"/>
      <c r="K185" s="184"/>
    </row>
    <row r="186" spans="3:11" ht="15.75">
      <c r="C186" s="184"/>
      <c r="D186" s="184"/>
      <c r="E186" s="184"/>
      <c r="F186" s="184"/>
      <c r="G186" s="184"/>
      <c r="H186" s="184"/>
      <c r="I186" s="184"/>
      <c r="J186" s="182"/>
      <c r="K186" s="184"/>
    </row>
    <row r="187" spans="3:11" ht="15.75">
      <c r="C187" s="184"/>
      <c r="D187" s="184"/>
      <c r="E187" s="184"/>
      <c r="F187" s="184"/>
      <c r="G187" s="184"/>
      <c r="H187" s="184"/>
      <c r="I187" s="184"/>
      <c r="J187" s="182"/>
      <c r="K187" s="184"/>
    </row>
    <row r="188" spans="3:11" ht="15.75">
      <c r="C188" s="184"/>
      <c r="D188" s="184"/>
      <c r="E188" s="184"/>
      <c r="F188" s="184"/>
      <c r="G188" s="184"/>
      <c r="H188" s="184"/>
      <c r="I188" s="184"/>
      <c r="J188" s="182"/>
      <c r="K188" s="184"/>
    </row>
    <row r="189" spans="3:11" ht="15.75">
      <c r="C189" s="184"/>
      <c r="D189" s="184"/>
      <c r="E189" s="184"/>
      <c r="F189" s="184"/>
      <c r="G189" s="184"/>
      <c r="H189" s="184"/>
      <c r="I189" s="184"/>
      <c r="J189" s="182"/>
      <c r="K189" s="184"/>
    </row>
    <row r="190" spans="3:11" ht="15.75">
      <c r="C190" s="184"/>
      <c r="D190" s="184"/>
      <c r="E190" s="184"/>
      <c r="F190" s="184"/>
      <c r="G190" s="184"/>
      <c r="H190" s="184"/>
      <c r="I190" s="184"/>
      <c r="J190" s="182"/>
      <c r="K190" s="184"/>
    </row>
    <row r="191" spans="3:11" ht="15.75">
      <c r="C191" s="184"/>
      <c r="D191" s="184"/>
      <c r="E191" s="184"/>
      <c r="F191" s="184"/>
      <c r="G191" s="184"/>
      <c r="H191" s="184"/>
      <c r="I191" s="184"/>
      <c r="J191" s="182"/>
      <c r="K191" s="184"/>
    </row>
    <row r="192" spans="3:11" ht="15.75">
      <c r="C192" s="184"/>
      <c r="D192" s="184"/>
      <c r="E192" s="184"/>
      <c r="F192" s="184"/>
      <c r="G192" s="184"/>
      <c r="H192" s="184"/>
      <c r="I192" s="184"/>
      <c r="J192" s="182"/>
      <c r="K192" s="184"/>
    </row>
    <row r="193" spans="3:11" ht="15.75">
      <c r="C193" s="184"/>
      <c r="D193" s="184"/>
      <c r="E193" s="184"/>
      <c r="F193" s="184"/>
      <c r="G193" s="184"/>
      <c r="H193" s="184"/>
      <c r="I193" s="184"/>
      <c r="J193" s="182"/>
      <c r="K193" s="184"/>
    </row>
    <row r="194" spans="3:11" ht="15.75">
      <c r="C194" s="184"/>
      <c r="D194" s="184"/>
      <c r="E194" s="184"/>
      <c r="F194" s="184"/>
      <c r="G194" s="184"/>
      <c r="H194" s="184"/>
      <c r="I194" s="184"/>
      <c r="J194" s="182"/>
      <c r="K194" s="184"/>
    </row>
    <row r="195" spans="3:11" ht="15.75">
      <c r="C195" s="184"/>
      <c r="D195" s="184"/>
      <c r="E195" s="184"/>
      <c r="F195" s="184"/>
      <c r="G195" s="184"/>
      <c r="H195" s="184"/>
      <c r="I195" s="184"/>
      <c r="J195" s="182"/>
      <c r="K195" s="184"/>
    </row>
    <row r="196" spans="3:11" ht="15.75">
      <c r="C196" s="184"/>
      <c r="D196" s="184"/>
      <c r="E196" s="184"/>
      <c r="F196" s="184"/>
      <c r="G196" s="184"/>
      <c r="H196" s="184"/>
      <c r="I196" s="184"/>
      <c r="J196" s="182"/>
      <c r="K196" s="184"/>
    </row>
    <row r="197" spans="3:11" ht="15.75">
      <c r="C197" s="184"/>
      <c r="D197" s="184"/>
      <c r="E197" s="184"/>
      <c r="F197" s="184"/>
      <c r="G197" s="184"/>
      <c r="H197" s="184"/>
      <c r="I197" s="184"/>
      <c r="J197" s="182"/>
      <c r="K197" s="184"/>
    </row>
    <row r="198" spans="3:11" ht="15.75">
      <c r="C198" s="184"/>
      <c r="D198" s="184"/>
      <c r="E198" s="184"/>
      <c r="F198" s="184"/>
      <c r="G198" s="184"/>
      <c r="H198" s="184"/>
      <c r="I198" s="184"/>
      <c r="J198" s="182"/>
      <c r="K198" s="184"/>
    </row>
    <row r="199" spans="3:11" ht="15.75">
      <c r="C199" s="184"/>
      <c r="D199" s="184"/>
      <c r="E199" s="184"/>
      <c r="F199" s="184"/>
      <c r="G199" s="184"/>
      <c r="H199" s="184"/>
      <c r="I199" s="184"/>
      <c r="J199" s="182"/>
      <c r="K199" s="184"/>
    </row>
    <row r="200" spans="3:11" ht="15.75">
      <c r="C200" s="184"/>
      <c r="D200" s="184"/>
      <c r="E200" s="184"/>
      <c r="F200" s="184"/>
      <c r="G200" s="184"/>
      <c r="H200" s="184"/>
      <c r="I200" s="184"/>
      <c r="J200" s="182"/>
      <c r="K200" s="184"/>
    </row>
    <row r="201" spans="3:11" ht="15.75">
      <c r="C201" s="184"/>
      <c r="D201" s="184"/>
      <c r="E201" s="184"/>
      <c r="F201" s="184"/>
      <c r="G201" s="184"/>
      <c r="H201" s="184"/>
      <c r="I201" s="184"/>
      <c r="J201" s="182"/>
      <c r="K201" s="184"/>
    </row>
    <row r="202" spans="3:11" ht="15.75">
      <c r="C202" s="184"/>
      <c r="D202" s="184"/>
      <c r="E202" s="184"/>
      <c r="F202" s="184"/>
      <c r="G202" s="184"/>
      <c r="H202" s="184"/>
      <c r="I202" s="184"/>
      <c r="J202" s="182"/>
      <c r="K202" s="184"/>
    </row>
    <row r="203" spans="3:11" ht="15.75">
      <c r="C203" s="184"/>
      <c r="D203" s="184"/>
      <c r="E203" s="184"/>
      <c r="F203" s="184"/>
      <c r="G203" s="184"/>
      <c r="H203" s="184"/>
      <c r="I203" s="184"/>
      <c r="J203" s="182"/>
      <c r="K203" s="184"/>
    </row>
    <row r="204" spans="3:11" ht="15.75">
      <c r="C204" s="184"/>
      <c r="D204" s="184"/>
      <c r="E204" s="184"/>
      <c r="F204" s="184"/>
      <c r="G204" s="184"/>
      <c r="H204" s="184"/>
      <c r="I204" s="184"/>
      <c r="J204" s="182"/>
      <c r="K204" s="184"/>
    </row>
    <row r="205" spans="3:11" ht="15.75">
      <c r="C205" s="184"/>
      <c r="D205" s="184"/>
      <c r="E205" s="184"/>
      <c r="F205" s="184"/>
      <c r="G205" s="184"/>
      <c r="H205" s="184"/>
      <c r="I205" s="184"/>
      <c r="J205" s="182"/>
      <c r="K205" s="184"/>
    </row>
    <row r="206" spans="3:11" ht="15.75">
      <c r="C206" s="184"/>
      <c r="D206" s="184"/>
      <c r="E206" s="184"/>
      <c r="F206" s="184"/>
      <c r="G206" s="184"/>
      <c r="H206" s="184"/>
      <c r="I206" s="184"/>
      <c r="J206" s="182"/>
      <c r="K206" s="184"/>
    </row>
    <row r="207" spans="3:11" ht="15.75">
      <c r="C207" s="184"/>
      <c r="D207" s="184"/>
      <c r="E207" s="184"/>
      <c r="F207" s="184"/>
      <c r="G207" s="184"/>
      <c r="H207" s="184"/>
      <c r="I207" s="184"/>
      <c r="J207" s="182"/>
      <c r="K207" s="184"/>
    </row>
    <row r="208" spans="3:11" ht="15.75">
      <c r="C208" s="184"/>
      <c r="D208" s="184"/>
      <c r="E208" s="184"/>
      <c r="F208" s="184"/>
      <c r="G208" s="184"/>
      <c r="H208" s="184"/>
      <c r="I208" s="184"/>
      <c r="J208" s="182"/>
      <c r="K208" s="184"/>
    </row>
    <row r="209" spans="3:11" ht="15.75">
      <c r="C209" s="184"/>
      <c r="D209" s="184"/>
      <c r="E209" s="184"/>
      <c r="F209" s="184"/>
      <c r="G209" s="184"/>
      <c r="H209" s="184"/>
      <c r="I209" s="184"/>
      <c r="J209" s="182"/>
      <c r="K209" s="184"/>
    </row>
    <row r="210" spans="3:11" ht="15.75">
      <c r="C210" s="184"/>
      <c r="D210" s="184"/>
      <c r="E210" s="184"/>
      <c r="F210" s="184"/>
      <c r="G210" s="184"/>
      <c r="H210" s="184"/>
      <c r="I210" s="184"/>
      <c r="J210" s="182"/>
      <c r="K210" s="184"/>
    </row>
    <row r="211" spans="3:11" ht="15.75">
      <c r="C211" s="184"/>
      <c r="D211" s="184"/>
      <c r="E211" s="184"/>
      <c r="F211" s="184"/>
      <c r="G211" s="184"/>
      <c r="H211" s="184"/>
      <c r="I211" s="184"/>
      <c r="J211" s="182"/>
      <c r="K211" s="184"/>
    </row>
    <row r="212" spans="3:11" ht="15.75">
      <c r="C212" s="184"/>
      <c r="D212" s="184"/>
      <c r="E212" s="184"/>
      <c r="F212" s="184"/>
      <c r="G212" s="184"/>
      <c r="H212" s="184"/>
      <c r="I212" s="184"/>
      <c r="J212" s="182"/>
      <c r="K212" s="184"/>
    </row>
    <row r="213" spans="3:11" ht="15.75">
      <c r="C213" s="184"/>
      <c r="D213" s="184"/>
      <c r="E213" s="184"/>
      <c r="F213" s="184"/>
      <c r="G213" s="184"/>
      <c r="H213" s="184"/>
      <c r="I213" s="184"/>
      <c r="J213" s="182"/>
      <c r="K213" s="184"/>
    </row>
    <row r="214" spans="3:11" ht="15.75">
      <c r="C214" s="184"/>
      <c r="D214" s="184"/>
      <c r="E214" s="184"/>
      <c r="F214" s="184"/>
      <c r="G214" s="184"/>
      <c r="H214" s="184"/>
      <c r="I214" s="184"/>
      <c r="J214" s="182"/>
      <c r="K214" s="184"/>
    </row>
    <row r="215" spans="3:11" ht="15.75">
      <c r="C215" s="184"/>
      <c r="D215" s="184"/>
      <c r="E215" s="184"/>
      <c r="F215" s="184"/>
      <c r="G215" s="184"/>
      <c r="H215" s="184"/>
      <c r="I215" s="184"/>
      <c r="J215" s="182"/>
      <c r="K215" s="184"/>
    </row>
    <row r="216" spans="3:11" ht="15.75">
      <c r="C216" s="184"/>
      <c r="D216" s="184"/>
      <c r="E216" s="184"/>
      <c r="F216" s="184"/>
      <c r="G216" s="184"/>
      <c r="H216" s="184"/>
      <c r="I216" s="184"/>
      <c r="J216" s="182"/>
      <c r="K216" s="184"/>
    </row>
    <row r="217" spans="3:11" ht="15.75">
      <c r="C217" s="184"/>
      <c r="D217" s="184"/>
      <c r="E217" s="184"/>
      <c r="F217" s="184"/>
      <c r="G217" s="184"/>
      <c r="H217" s="184"/>
      <c r="I217" s="184"/>
      <c r="J217" s="182"/>
      <c r="K217" s="184"/>
    </row>
    <row r="218" spans="3:11" ht="15.75">
      <c r="C218" s="184"/>
      <c r="D218" s="184"/>
      <c r="E218" s="184"/>
      <c r="F218" s="184"/>
      <c r="G218" s="184"/>
      <c r="H218" s="184"/>
      <c r="I218" s="184"/>
      <c r="J218" s="182"/>
      <c r="K218" s="184"/>
    </row>
    <row r="219" spans="3:11" ht="15.75">
      <c r="C219" s="184"/>
      <c r="D219" s="184"/>
      <c r="E219" s="184"/>
      <c r="F219" s="184"/>
      <c r="G219" s="184"/>
      <c r="H219" s="184"/>
      <c r="I219" s="184"/>
      <c r="J219" s="182"/>
      <c r="K219" s="184"/>
    </row>
    <row r="220" spans="3:11" ht="15.75">
      <c r="C220" s="184"/>
      <c r="D220" s="184"/>
      <c r="E220" s="184"/>
      <c r="F220" s="184"/>
      <c r="G220" s="184"/>
      <c r="H220" s="184"/>
      <c r="I220" s="184"/>
      <c r="J220" s="182"/>
      <c r="K220" s="184"/>
    </row>
    <row r="221" spans="3:11" ht="15.75">
      <c r="C221" s="184"/>
      <c r="D221" s="184"/>
      <c r="E221" s="184"/>
      <c r="F221" s="184"/>
      <c r="G221" s="184"/>
      <c r="H221" s="184"/>
      <c r="I221" s="184"/>
      <c r="J221" s="182"/>
      <c r="K221" s="184"/>
    </row>
    <row r="222" spans="3:11" ht="15.75">
      <c r="C222" s="184"/>
      <c r="D222" s="184"/>
      <c r="E222" s="184"/>
      <c r="F222" s="184"/>
      <c r="G222" s="184"/>
      <c r="H222" s="184"/>
      <c r="I222" s="184"/>
      <c r="J222" s="182"/>
      <c r="K222" s="184"/>
    </row>
    <row r="223" spans="3:11" ht="15.75">
      <c r="C223" s="184"/>
      <c r="D223" s="184"/>
      <c r="E223" s="184"/>
      <c r="F223" s="184"/>
      <c r="G223" s="184"/>
      <c r="H223" s="184"/>
      <c r="I223" s="184"/>
      <c r="J223" s="182"/>
      <c r="K223" s="184"/>
    </row>
    <row r="224" spans="3:11" ht="15.75">
      <c r="C224" s="184"/>
      <c r="D224" s="184"/>
      <c r="E224" s="184"/>
      <c r="F224" s="184"/>
      <c r="G224" s="184"/>
      <c r="H224" s="184"/>
      <c r="I224" s="184"/>
      <c r="J224" s="182"/>
      <c r="K224" s="184"/>
    </row>
    <row r="225" spans="3:11" ht="15.75">
      <c r="C225" s="184"/>
      <c r="D225" s="184"/>
      <c r="E225" s="184"/>
      <c r="F225" s="184"/>
      <c r="G225" s="184"/>
      <c r="H225" s="184"/>
      <c r="I225" s="184"/>
      <c r="J225" s="182"/>
      <c r="K225" s="184"/>
    </row>
    <row r="226" spans="3:11" ht="15.75">
      <c r="C226" s="184"/>
      <c r="D226" s="184"/>
      <c r="E226" s="184"/>
      <c r="F226" s="184"/>
      <c r="G226" s="184"/>
      <c r="H226" s="184"/>
      <c r="I226" s="184"/>
      <c r="J226" s="182"/>
      <c r="K226" s="184"/>
    </row>
    <row r="227" spans="3:11" ht="15.75">
      <c r="C227" s="184"/>
      <c r="D227" s="184"/>
      <c r="E227" s="184"/>
      <c r="F227" s="184"/>
      <c r="G227" s="184"/>
      <c r="H227" s="184"/>
      <c r="I227" s="184"/>
      <c r="J227" s="182"/>
      <c r="K227" s="184"/>
    </row>
    <row r="228" spans="3:11" ht="15.75">
      <c r="C228" s="184"/>
      <c r="D228" s="184"/>
      <c r="E228" s="184"/>
      <c r="F228" s="184"/>
      <c r="G228" s="184"/>
      <c r="H228" s="184"/>
      <c r="I228" s="184"/>
      <c r="J228" s="182"/>
      <c r="K228" s="184"/>
    </row>
    <row r="229" spans="3:11" ht="15.75">
      <c r="C229" s="184"/>
      <c r="D229" s="184"/>
      <c r="E229" s="184"/>
      <c r="F229" s="184"/>
      <c r="G229" s="184"/>
      <c r="H229" s="184"/>
      <c r="I229" s="184"/>
      <c r="J229" s="182"/>
      <c r="K229" s="184"/>
    </row>
    <row r="230" spans="3:11" ht="15.75">
      <c r="C230" s="184"/>
      <c r="D230" s="184"/>
      <c r="E230" s="184"/>
      <c r="F230" s="184"/>
      <c r="G230" s="184"/>
      <c r="H230" s="184"/>
      <c r="I230" s="184"/>
      <c r="J230" s="182"/>
      <c r="K230" s="184"/>
    </row>
    <row r="231" spans="3:11" ht="15.75">
      <c r="C231" s="184"/>
      <c r="D231" s="184"/>
      <c r="E231" s="184"/>
      <c r="F231" s="184"/>
      <c r="G231" s="184"/>
      <c r="H231" s="184"/>
      <c r="I231" s="184"/>
      <c r="J231" s="182"/>
      <c r="K231" s="184"/>
    </row>
    <row r="232" spans="3:11" ht="15.75">
      <c r="C232" s="184"/>
      <c r="D232" s="184"/>
      <c r="E232" s="184"/>
      <c r="F232" s="184"/>
      <c r="G232" s="184"/>
      <c r="H232" s="184"/>
      <c r="I232" s="184"/>
      <c r="J232" s="182"/>
      <c r="K232" s="184"/>
    </row>
    <row r="233" spans="3:11" ht="15.75">
      <c r="C233" s="184"/>
      <c r="D233" s="184"/>
      <c r="E233" s="184"/>
      <c r="F233" s="184"/>
      <c r="G233" s="184"/>
      <c r="H233" s="184"/>
      <c r="I233" s="184"/>
      <c r="J233" s="182"/>
      <c r="K233" s="184"/>
    </row>
    <row r="234" spans="3:11" ht="15.75">
      <c r="C234" s="184"/>
      <c r="D234" s="184"/>
      <c r="E234" s="184"/>
      <c r="F234" s="184"/>
      <c r="G234" s="184"/>
      <c r="H234" s="184"/>
      <c r="I234" s="184"/>
      <c r="J234" s="182"/>
      <c r="K234" s="184"/>
    </row>
    <row r="235" spans="3:11" ht="15.75">
      <c r="C235" s="184"/>
      <c r="D235" s="184"/>
      <c r="E235" s="184"/>
      <c r="F235" s="184"/>
      <c r="G235" s="184"/>
      <c r="H235" s="184"/>
      <c r="I235" s="184"/>
      <c r="J235" s="182"/>
      <c r="K235" s="184"/>
    </row>
    <row r="236" spans="3:11" ht="15.75">
      <c r="C236" s="184"/>
      <c r="D236" s="184"/>
      <c r="E236" s="184"/>
      <c r="F236" s="184"/>
      <c r="G236" s="184"/>
      <c r="H236" s="184"/>
      <c r="I236" s="184"/>
      <c r="J236" s="182"/>
      <c r="K236" s="184"/>
    </row>
    <row r="237" spans="3:11" ht="15.75">
      <c r="C237" s="184"/>
      <c r="D237" s="184"/>
      <c r="E237" s="184"/>
      <c r="F237" s="184"/>
      <c r="G237" s="184"/>
      <c r="H237" s="184"/>
      <c r="I237" s="184"/>
      <c r="J237" s="182"/>
      <c r="K237" s="184"/>
    </row>
    <row r="238" spans="3:11" ht="15.75">
      <c r="C238" s="184"/>
      <c r="D238" s="184"/>
      <c r="E238" s="184"/>
      <c r="F238" s="184"/>
      <c r="G238" s="184"/>
      <c r="H238" s="184"/>
      <c r="I238" s="184"/>
      <c r="J238" s="182"/>
      <c r="K238" s="184"/>
    </row>
    <row r="239" spans="3:11" ht="15.75">
      <c r="C239" s="184"/>
      <c r="D239" s="184"/>
      <c r="E239" s="184"/>
      <c r="F239" s="184"/>
      <c r="G239" s="184"/>
      <c r="H239" s="184"/>
      <c r="I239" s="184"/>
      <c r="J239" s="182"/>
      <c r="K239" s="184"/>
    </row>
    <row r="240" spans="3:11" ht="15.75">
      <c r="C240" s="184"/>
      <c r="D240" s="184"/>
      <c r="E240" s="184"/>
      <c r="F240" s="184"/>
      <c r="G240" s="184"/>
      <c r="H240" s="184"/>
      <c r="I240" s="184"/>
      <c r="J240" s="182"/>
      <c r="K240" s="184"/>
    </row>
    <row r="241" spans="3:11" ht="15.75">
      <c r="C241" s="184"/>
      <c r="D241" s="184"/>
      <c r="E241" s="184"/>
      <c r="F241" s="184"/>
      <c r="G241" s="184"/>
      <c r="H241" s="184"/>
      <c r="I241" s="184"/>
      <c r="J241" s="182"/>
      <c r="K241" s="184"/>
    </row>
    <row r="242" spans="3:11" ht="15.75">
      <c r="C242" s="184"/>
      <c r="D242" s="184"/>
      <c r="E242" s="184"/>
      <c r="F242" s="184"/>
      <c r="G242" s="184"/>
      <c r="H242" s="184"/>
      <c r="I242" s="184"/>
      <c r="J242" s="182"/>
      <c r="K242" s="184"/>
    </row>
    <row r="243" spans="3:11" ht="15.75">
      <c r="C243" s="184"/>
      <c r="D243" s="184"/>
      <c r="E243" s="184"/>
      <c r="F243" s="184"/>
      <c r="G243" s="184"/>
      <c r="H243" s="184"/>
      <c r="I243" s="184"/>
      <c r="J243" s="182"/>
      <c r="K243" s="184"/>
    </row>
    <row r="244" spans="3:11" ht="15.75">
      <c r="C244" s="184"/>
      <c r="D244" s="184"/>
      <c r="E244" s="184"/>
      <c r="F244" s="184"/>
      <c r="G244" s="184"/>
      <c r="H244" s="184"/>
      <c r="I244" s="184"/>
      <c r="J244" s="182"/>
      <c r="K244" s="184"/>
    </row>
    <row r="245" spans="3:11" ht="15.75">
      <c r="C245" s="184"/>
      <c r="D245" s="184"/>
      <c r="E245" s="184"/>
      <c r="F245" s="184"/>
      <c r="G245" s="184"/>
      <c r="H245" s="184"/>
      <c r="I245" s="184"/>
      <c r="J245" s="182"/>
      <c r="K245" s="184"/>
    </row>
    <row r="246" spans="3:11" ht="15.75">
      <c r="C246" s="184"/>
      <c r="D246" s="184"/>
      <c r="E246" s="184"/>
      <c r="F246" s="184"/>
      <c r="G246" s="184"/>
      <c r="H246" s="184"/>
      <c r="I246" s="184"/>
      <c r="J246" s="182"/>
      <c r="K246" s="184"/>
    </row>
    <row r="247" spans="3:11" ht="15.75">
      <c r="C247" s="184"/>
      <c r="D247" s="184"/>
      <c r="E247" s="184"/>
      <c r="F247" s="184"/>
      <c r="G247" s="184"/>
      <c r="H247" s="184"/>
      <c r="I247" s="184"/>
      <c r="J247" s="182"/>
      <c r="K247" s="184"/>
    </row>
    <row r="248" spans="3:11" ht="15.75">
      <c r="C248" s="184"/>
      <c r="D248" s="184"/>
      <c r="E248" s="184"/>
      <c r="F248" s="184"/>
      <c r="G248" s="184"/>
      <c r="H248" s="184"/>
      <c r="I248" s="184"/>
      <c r="J248" s="182"/>
      <c r="K248" s="184"/>
    </row>
    <row r="249" spans="3:11" ht="15.75">
      <c r="C249" s="184"/>
      <c r="D249" s="184"/>
      <c r="E249" s="184"/>
      <c r="F249" s="184"/>
      <c r="G249" s="184"/>
      <c r="H249" s="184"/>
      <c r="I249" s="184"/>
      <c r="J249" s="182"/>
      <c r="K249" s="184"/>
    </row>
    <row r="250" spans="3:11" ht="15.75">
      <c r="C250" s="184"/>
      <c r="D250" s="184"/>
      <c r="E250" s="184"/>
      <c r="F250" s="184"/>
      <c r="G250" s="184"/>
      <c r="H250" s="184"/>
      <c r="I250" s="184"/>
      <c r="J250" s="182"/>
      <c r="K250" s="184"/>
    </row>
    <row r="251" spans="3:11" ht="15.75">
      <c r="C251" s="184"/>
      <c r="D251" s="184"/>
      <c r="E251" s="184"/>
      <c r="F251" s="184"/>
      <c r="G251" s="184"/>
      <c r="H251" s="184"/>
      <c r="I251" s="184"/>
      <c r="J251" s="182"/>
      <c r="K251" s="184"/>
    </row>
    <row r="252" spans="3:11" ht="15.75">
      <c r="C252" s="184"/>
      <c r="D252" s="184"/>
      <c r="E252" s="184"/>
      <c r="F252" s="184"/>
      <c r="G252" s="184"/>
      <c r="H252" s="184"/>
      <c r="I252" s="184"/>
      <c r="J252" s="182"/>
      <c r="K252" s="184"/>
    </row>
    <row r="253" spans="3:11" ht="15.75">
      <c r="C253" s="184"/>
      <c r="D253" s="184"/>
      <c r="E253" s="184"/>
      <c r="F253" s="184"/>
      <c r="G253" s="184"/>
      <c r="H253" s="184"/>
      <c r="I253" s="184"/>
      <c r="J253" s="182"/>
      <c r="K253" s="184"/>
    </row>
    <row r="254" spans="3:11" ht="15.75">
      <c r="C254" s="184"/>
      <c r="D254" s="184"/>
      <c r="E254" s="184"/>
      <c r="F254" s="184"/>
      <c r="G254" s="184"/>
      <c r="H254" s="184"/>
      <c r="I254" s="184"/>
      <c r="J254" s="182"/>
      <c r="K254" s="184"/>
    </row>
    <row r="255" spans="3:11" ht="15.75">
      <c r="C255" s="184"/>
      <c r="D255" s="184"/>
      <c r="E255" s="184"/>
      <c r="F255" s="184"/>
      <c r="G255" s="184"/>
      <c r="H255" s="184"/>
      <c r="I255" s="184"/>
      <c r="J255" s="182"/>
      <c r="K255" s="184"/>
    </row>
    <row r="256" spans="3:11" ht="15.75">
      <c r="C256" s="184"/>
      <c r="D256" s="184"/>
      <c r="E256" s="184"/>
      <c r="F256" s="184"/>
      <c r="G256" s="184"/>
      <c r="H256" s="184"/>
      <c r="I256" s="184"/>
      <c r="J256" s="182"/>
      <c r="K256" s="184"/>
    </row>
    <row r="257" spans="3:11" ht="15.75">
      <c r="C257" s="184"/>
      <c r="D257" s="184"/>
      <c r="E257" s="184"/>
      <c r="F257" s="184"/>
      <c r="G257" s="184"/>
      <c r="H257" s="184"/>
      <c r="I257" s="184"/>
      <c r="J257" s="182"/>
      <c r="K257" s="184"/>
    </row>
    <row r="258" spans="3:11" ht="15.75">
      <c r="C258" s="184"/>
      <c r="D258" s="184"/>
      <c r="E258" s="184"/>
      <c r="F258" s="184"/>
      <c r="G258" s="184"/>
      <c r="H258" s="184"/>
      <c r="I258" s="184"/>
      <c r="J258" s="182"/>
      <c r="K258" s="184"/>
    </row>
    <row r="259" spans="3:11" ht="15.75">
      <c r="C259" s="184"/>
      <c r="D259" s="184"/>
      <c r="E259" s="184"/>
      <c r="F259" s="184"/>
      <c r="G259" s="184"/>
      <c r="H259" s="184"/>
      <c r="I259" s="184"/>
      <c r="J259" s="182"/>
      <c r="K259" s="184"/>
    </row>
    <row r="260" spans="3:11" ht="15.75">
      <c r="C260" s="184"/>
      <c r="D260" s="184"/>
      <c r="E260" s="184"/>
      <c r="F260" s="184"/>
      <c r="G260" s="184"/>
      <c r="H260" s="184"/>
      <c r="I260" s="184"/>
      <c r="J260" s="182"/>
      <c r="K260" s="184"/>
    </row>
    <row r="261" spans="3:11" ht="15.75">
      <c r="C261" s="184"/>
      <c r="D261" s="184"/>
      <c r="E261" s="184"/>
      <c r="F261" s="184"/>
      <c r="G261" s="184"/>
      <c r="H261" s="184"/>
      <c r="I261" s="184"/>
      <c r="J261" s="182"/>
      <c r="K261" s="184"/>
    </row>
    <row r="262" spans="3:11" ht="15.75">
      <c r="C262" s="184"/>
      <c r="D262" s="184"/>
      <c r="E262" s="184"/>
      <c r="F262" s="184"/>
      <c r="G262" s="184"/>
      <c r="H262" s="184"/>
      <c r="I262" s="184"/>
      <c r="J262" s="182"/>
      <c r="K262" s="184"/>
    </row>
    <row r="263" spans="3:11" ht="15.75">
      <c r="C263" s="184"/>
      <c r="D263" s="184"/>
      <c r="E263" s="184"/>
      <c r="F263" s="184"/>
      <c r="G263" s="184"/>
      <c r="H263" s="184"/>
      <c r="I263" s="184"/>
      <c r="J263" s="182"/>
      <c r="K263" s="184"/>
    </row>
    <row r="264" spans="3:11" ht="15.75">
      <c r="C264" s="184"/>
      <c r="D264" s="184"/>
      <c r="E264" s="184"/>
      <c r="F264" s="184"/>
      <c r="G264" s="184"/>
      <c r="H264" s="184"/>
      <c r="I264" s="184"/>
      <c r="J264" s="182"/>
      <c r="K264" s="184"/>
    </row>
    <row r="265" spans="3:11" ht="15.75">
      <c r="C265" s="184"/>
      <c r="D265" s="184"/>
      <c r="E265" s="184"/>
      <c r="F265" s="184"/>
      <c r="G265" s="184"/>
      <c r="H265" s="184"/>
      <c r="I265" s="184"/>
      <c r="J265" s="182"/>
      <c r="K265" s="184"/>
    </row>
    <row r="266" spans="3:11" ht="15.75">
      <c r="C266" s="184"/>
      <c r="D266" s="184"/>
      <c r="E266" s="184"/>
      <c r="F266" s="184"/>
      <c r="G266" s="184"/>
      <c r="H266" s="184"/>
      <c r="I266" s="184"/>
      <c r="J266" s="182"/>
      <c r="K266" s="184"/>
    </row>
    <row r="267" spans="3:11" ht="15.75">
      <c r="C267" s="184"/>
      <c r="D267" s="184"/>
      <c r="E267" s="184"/>
      <c r="F267" s="184"/>
      <c r="G267" s="184"/>
      <c r="H267" s="184"/>
      <c r="I267" s="184"/>
      <c r="J267" s="182"/>
      <c r="K267" s="184"/>
    </row>
    <row r="268" spans="3:11" ht="15.75">
      <c r="C268" s="184"/>
      <c r="D268" s="184"/>
      <c r="E268" s="184"/>
      <c r="F268" s="184"/>
      <c r="G268" s="184"/>
      <c r="H268" s="184"/>
      <c r="I268" s="184"/>
      <c r="J268" s="182"/>
      <c r="K268" s="184"/>
    </row>
    <row r="269" spans="3:11" ht="15.75">
      <c r="C269" s="184"/>
      <c r="D269" s="184"/>
      <c r="E269" s="184"/>
      <c r="F269" s="184"/>
      <c r="G269" s="184"/>
      <c r="H269" s="184"/>
      <c r="I269" s="184"/>
      <c r="J269" s="182"/>
      <c r="K269" s="184"/>
    </row>
    <row r="270" spans="3:11" ht="15.75">
      <c r="C270" s="184"/>
      <c r="D270" s="184"/>
      <c r="E270" s="184"/>
      <c r="F270" s="184"/>
      <c r="G270" s="184"/>
      <c r="H270" s="184"/>
      <c r="I270" s="184"/>
      <c r="J270" s="182"/>
      <c r="K270" s="184"/>
    </row>
    <row r="271" spans="3:11" ht="15.75">
      <c r="C271" s="184"/>
      <c r="D271" s="184"/>
      <c r="E271" s="184"/>
      <c r="F271" s="184"/>
      <c r="G271" s="184"/>
      <c r="H271" s="184"/>
      <c r="I271" s="184"/>
      <c r="J271" s="182"/>
      <c r="K271" s="184"/>
    </row>
    <row r="272" spans="3:11" ht="15.75">
      <c r="C272" s="184"/>
      <c r="D272" s="184"/>
      <c r="E272" s="184"/>
      <c r="F272" s="184"/>
      <c r="G272" s="184"/>
      <c r="H272" s="184"/>
      <c r="I272" s="184"/>
      <c r="J272" s="182"/>
      <c r="K272" s="184"/>
    </row>
    <row r="273" spans="3:11" ht="15.75">
      <c r="C273" s="184"/>
      <c r="D273" s="184"/>
      <c r="E273" s="184"/>
      <c r="F273" s="184"/>
      <c r="G273" s="184"/>
      <c r="H273" s="184"/>
      <c r="I273" s="184"/>
      <c r="J273" s="182"/>
      <c r="K273" s="184"/>
    </row>
    <row r="274" spans="3:11" ht="15.75">
      <c r="C274" s="184"/>
      <c r="D274" s="184"/>
      <c r="E274" s="184"/>
      <c r="F274" s="184"/>
      <c r="G274" s="184"/>
      <c r="H274" s="184"/>
      <c r="I274" s="184"/>
      <c r="J274" s="182"/>
      <c r="K274" s="184"/>
    </row>
    <row r="275" spans="3:11" ht="15.75">
      <c r="C275" s="184"/>
      <c r="D275" s="184"/>
      <c r="E275" s="184"/>
      <c r="F275" s="184"/>
      <c r="G275" s="184"/>
      <c r="H275" s="184"/>
      <c r="I275" s="184"/>
      <c r="J275" s="182"/>
      <c r="K275" s="184"/>
    </row>
    <row r="276" spans="3:11" ht="15.75">
      <c r="C276" s="184"/>
      <c r="D276" s="184"/>
      <c r="E276" s="184"/>
      <c r="F276" s="184"/>
      <c r="G276" s="184"/>
      <c r="H276" s="184"/>
      <c r="I276" s="184"/>
      <c r="J276" s="182"/>
      <c r="K276" s="184"/>
    </row>
    <row r="277" spans="3:11" ht="15.75">
      <c r="C277" s="184"/>
      <c r="D277" s="184"/>
      <c r="E277" s="184"/>
      <c r="F277" s="184"/>
      <c r="G277" s="184"/>
      <c r="H277" s="184"/>
      <c r="I277" s="184"/>
      <c r="J277" s="182"/>
      <c r="K277" s="184"/>
    </row>
    <row r="278" spans="3:11" ht="15.75">
      <c r="C278" s="184"/>
      <c r="D278" s="184"/>
      <c r="E278" s="184"/>
      <c r="F278" s="184"/>
      <c r="G278" s="184"/>
      <c r="H278" s="184"/>
      <c r="I278" s="184"/>
      <c r="J278" s="182"/>
      <c r="K278" s="184"/>
    </row>
    <row r="279" spans="3:11" ht="15.75">
      <c r="C279" s="184"/>
      <c r="D279" s="184"/>
      <c r="E279" s="184"/>
      <c r="F279" s="184"/>
      <c r="G279" s="184"/>
      <c r="H279" s="184"/>
      <c r="I279" s="184"/>
      <c r="J279" s="182"/>
      <c r="K279" s="184"/>
    </row>
    <row r="280" spans="3:11" ht="15.75">
      <c r="C280" s="184"/>
      <c r="D280" s="184"/>
      <c r="E280" s="184"/>
      <c r="F280" s="184"/>
      <c r="G280" s="184"/>
      <c r="H280" s="184"/>
      <c r="I280" s="184"/>
      <c r="J280" s="182"/>
      <c r="K280" s="184"/>
    </row>
    <row r="281" spans="3:11" ht="15.75">
      <c r="C281" s="184"/>
      <c r="D281" s="184"/>
      <c r="E281" s="184"/>
      <c r="F281" s="184"/>
      <c r="G281" s="184"/>
      <c r="H281" s="184"/>
      <c r="I281" s="184"/>
      <c r="J281" s="182"/>
      <c r="K281" s="184"/>
    </row>
    <row r="282" spans="3:11" ht="15.75">
      <c r="C282" s="184"/>
      <c r="D282" s="184"/>
      <c r="E282" s="184"/>
      <c r="F282" s="184"/>
      <c r="G282" s="184"/>
      <c r="H282" s="184"/>
      <c r="I282" s="184"/>
      <c r="J282" s="182"/>
      <c r="K282" s="184"/>
    </row>
    <row r="283" spans="3:11" ht="15.75">
      <c r="C283" s="184"/>
      <c r="D283" s="184"/>
      <c r="E283" s="184"/>
      <c r="F283" s="184"/>
      <c r="G283" s="184"/>
      <c r="H283" s="184"/>
      <c r="I283" s="184"/>
      <c r="J283" s="182"/>
      <c r="K283" s="184"/>
    </row>
    <row r="284" spans="3:11" ht="15.75">
      <c r="C284" s="184"/>
      <c r="D284" s="184"/>
      <c r="E284" s="184"/>
      <c r="F284" s="184"/>
      <c r="G284" s="184"/>
      <c r="H284" s="184"/>
      <c r="I284" s="184"/>
      <c r="J284" s="182"/>
      <c r="K284" s="184"/>
    </row>
    <row r="285" spans="3:11" ht="15.75">
      <c r="C285" s="184"/>
      <c r="D285" s="184"/>
      <c r="E285" s="184"/>
      <c r="F285" s="184"/>
      <c r="G285" s="184"/>
      <c r="H285" s="184"/>
      <c r="I285" s="184"/>
      <c r="J285" s="182"/>
      <c r="K285" s="184"/>
    </row>
    <row r="286" spans="3:11" ht="15.75">
      <c r="C286" s="184"/>
      <c r="D286" s="184"/>
      <c r="E286" s="184"/>
      <c r="F286" s="184"/>
      <c r="G286" s="184"/>
      <c r="H286" s="184"/>
      <c r="I286" s="184"/>
      <c r="J286" s="182"/>
      <c r="K286" s="184"/>
    </row>
    <row r="287" spans="3:11" ht="15.75">
      <c r="C287" s="184"/>
      <c r="D287" s="184"/>
      <c r="E287" s="184"/>
      <c r="F287" s="184"/>
      <c r="G287" s="184"/>
      <c r="H287" s="184"/>
      <c r="I287" s="184"/>
      <c r="J287" s="182"/>
      <c r="K287" s="184"/>
    </row>
    <row r="288" spans="3:11" ht="15.75">
      <c r="C288" s="184"/>
      <c r="D288" s="184"/>
      <c r="E288" s="184"/>
      <c r="F288" s="184"/>
      <c r="G288" s="184"/>
      <c r="H288" s="184"/>
      <c r="I288" s="184"/>
      <c r="J288" s="182"/>
      <c r="K288" s="184"/>
    </row>
    <row r="289" spans="3:11" ht="15.75">
      <c r="C289" s="184"/>
      <c r="D289" s="184"/>
      <c r="E289" s="184"/>
      <c r="F289" s="184"/>
      <c r="G289" s="184"/>
      <c r="H289" s="184"/>
      <c r="I289" s="184"/>
      <c r="J289" s="182"/>
      <c r="K289" s="184"/>
    </row>
    <row r="290" spans="3:11" ht="15.75">
      <c r="C290" s="184"/>
      <c r="D290" s="184"/>
      <c r="E290" s="184"/>
      <c r="F290" s="184"/>
      <c r="G290" s="184"/>
      <c r="H290" s="184"/>
      <c r="I290" s="184"/>
      <c r="J290" s="182"/>
      <c r="K290" s="184"/>
    </row>
    <row r="291" spans="3:11" ht="15.75">
      <c r="C291" s="184"/>
      <c r="D291" s="184"/>
      <c r="E291" s="184"/>
      <c r="F291" s="184"/>
      <c r="G291" s="184"/>
      <c r="H291" s="184"/>
      <c r="I291" s="184"/>
      <c r="J291" s="182"/>
      <c r="K291" s="184"/>
    </row>
    <row r="292" spans="3:11" ht="15.75">
      <c r="C292" s="184"/>
      <c r="D292" s="184"/>
      <c r="E292" s="184"/>
      <c r="F292" s="184"/>
      <c r="G292" s="184"/>
      <c r="H292" s="184"/>
      <c r="I292" s="184"/>
      <c r="J292" s="182"/>
      <c r="K292" s="184"/>
    </row>
    <row r="293" spans="3:11" ht="15.75">
      <c r="C293" s="184"/>
      <c r="D293" s="184"/>
      <c r="E293" s="184"/>
      <c r="F293" s="184"/>
      <c r="G293" s="184"/>
      <c r="H293" s="184"/>
      <c r="I293" s="184"/>
      <c r="J293" s="182"/>
      <c r="K293" s="184"/>
    </row>
    <row r="294" spans="3:11" ht="15.75">
      <c r="C294" s="184"/>
      <c r="D294" s="184"/>
      <c r="E294" s="184"/>
      <c r="F294" s="184"/>
      <c r="G294" s="184"/>
      <c r="H294" s="184"/>
      <c r="I294" s="184"/>
      <c r="J294" s="182"/>
      <c r="K294" s="184"/>
    </row>
    <row r="295" spans="3:11" ht="15.75">
      <c r="C295" s="184"/>
      <c r="D295" s="184"/>
      <c r="E295" s="184"/>
      <c r="F295" s="184"/>
      <c r="G295" s="184"/>
      <c r="H295" s="184"/>
      <c r="I295" s="184"/>
      <c r="J295" s="182"/>
      <c r="K295" s="184"/>
    </row>
    <row r="296" spans="3:11" ht="15.75">
      <c r="C296" s="184"/>
      <c r="D296" s="184"/>
      <c r="E296" s="184"/>
      <c r="F296" s="184"/>
      <c r="G296" s="184"/>
      <c r="H296" s="184"/>
      <c r="I296" s="184"/>
      <c r="J296" s="182"/>
      <c r="K296" s="184"/>
    </row>
    <row r="297" spans="3:11" ht="15.75">
      <c r="C297" s="184"/>
      <c r="D297" s="184"/>
      <c r="E297" s="184"/>
      <c r="F297" s="184"/>
      <c r="G297" s="184"/>
      <c r="H297" s="184"/>
      <c r="I297" s="184"/>
      <c r="J297" s="182"/>
      <c r="K297" s="184"/>
    </row>
    <row r="298" spans="3:11" ht="15.75">
      <c r="C298" s="184"/>
      <c r="D298" s="184"/>
      <c r="E298" s="184"/>
      <c r="F298" s="184"/>
      <c r="G298" s="184"/>
      <c r="H298" s="184"/>
      <c r="I298" s="184"/>
      <c r="J298" s="182"/>
      <c r="K298" s="184"/>
    </row>
    <row r="299" spans="3:11" ht="15.75">
      <c r="C299" s="184"/>
      <c r="D299" s="184"/>
      <c r="E299" s="184"/>
      <c r="F299" s="184"/>
      <c r="G299" s="184"/>
      <c r="H299" s="184"/>
      <c r="I299" s="184"/>
      <c r="J299" s="182"/>
      <c r="K299" s="184"/>
    </row>
    <row r="300" spans="3:11" ht="15.75">
      <c r="C300" s="184"/>
      <c r="D300" s="184"/>
      <c r="E300" s="184"/>
      <c r="F300" s="184"/>
      <c r="G300" s="184"/>
      <c r="H300" s="184"/>
      <c r="I300" s="184"/>
      <c r="J300" s="182"/>
      <c r="K300" s="184"/>
    </row>
    <row r="301" spans="3:11" ht="15.75">
      <c r="C301" s="184"/>
      <c r="D301" s="184"/>
      <c r="E301" s="184"/>
      <c r="F301" s="184"/>
      <c r="G301" s="184"/>
      <c r="H301" s="184"/>
      <c r="I301" s="184"/>
      <c r="J301" s="182"/>
      <c r="K301" s="184"/>
    </row>
    <row r="302" spans="3:11" ht="15.75">
      <c r="C302" s="184"/>
      <c r="D302" s="184"/>
      <c r="E302" s="184"/>
      <c r="F302" s="184"/>
      <c r="G302" s="184"/>
      <c r="H302" s="184"/>
      <c r="I302" s="184"/>
      <c r="J302" s="182"/>
      <c r="K302" s="184"/>
    </row>
    <row r="303" spans="3:11" ht="15.75">
      <c r="C303" s="184"/>
      <c r="D303" s="184"/>
      <c r="E303" s="184"/>
      <c r="F303" s="184"/>
      <c r="G303" s="184"/>
      <c r="H303" s="184"/>
      <c r="I303" s="184"/>
      <c r="J303" s="182"/>
      <c r="K303" s="184"/>
    </row>
    <row r="304" spans="3:11" ht="15.75">
      <c r="C304" s="184"/>
      <c r="D304" s="184"/>
      <c r="E304" s="184"/>
      <c r="F304" s="184"/>
      <c r="G304" s="184"/>
      <c r="H304" s="184"/>
      <c r="I304" s="184"/>
      <c r="J304" s="182"/>
      <c r="K304" s="184"/>
    </row>
    <row r="305" spans="3:11" ht="15.75">
      <c r="C305" s="184"/>
      <c r="D305" s="184"/>
      <c r="E305" s="184"/>
      <c r="F305" s="184"/>
      <c r="G305" s="184"/>
      <c r="H305" s="184"/>
      <c r="I305" s="184"/>
      <c r="J305" s="182"/>
      <c r="K305" s="184"/>
    </row>
    <row r="306" spans="3:11" ht="15.75">
      <c r="C306" s="184"/>
      <c r="D306" s="184"/>
      <c r="E306" s="184"/>
      <c r="F306" s="184"/>
      <c r="G306" s="184"/>
      <c r="H306" s="184"/>
      <c r="I306" s="184"/>
      <c r="J306" s="182"/>
      <c r="K306" s="184"/>
    </row>
    <row r="307" spans="3:11" ht="15.75">
      <c r="C307" s="184"/>
      <c r="D307" s="184"/>
      <c r="E307" s="184"/>
      <c r="F307" s="184"/>
      <c r="G307" s="184"/>
      <c r="H307" s="184"/>
      <c r="I307" s="184"/>
      <c r="J307" s="182"/>
      <c r="K307" s="184"/>
    </row>
    <row r="308" ht="15.75">
      <c r="J308" s="182"/>
    </row>
    <row r="309" ht="15.75">
      <c r="J309" s="182"/>
    </row>
    <row r="310" ht="15.75">
      <c r="J310" s="182"/>
    </row>
    <row r="311" ht="15.75">
      <c r="J311" s="182"/>
    </row>
    <row r="312" ht="15.75">
      <c r="J312" s="182"/>
    </row>
    <row r="313" ht="15.75">
      <c r="J313" s="182"/>
    </row>
    <row r="314" ht="15.75">
      <c r="J314" s="182"/>
    </row>
    <row r="315" ht="15.75">
      <c r="J315" s="182"/>
    </row>
    <row r="316" ht="15.75">
      <c r="J316" s="182"/>
    </row>
    <row r="317" ht="15.75">
      <c r="J317" s="182"/>
    </row>
    <row r="318" ht="15.75">
      <c r="J318" s="182"/>
    </row>
    <row r="319" ht="15.75">
      <c r="J319" s="182"/>
    </row>
    <row r="320" ht="15.75">
      <c r="J320" s="182"/>
    </row>
    <row r="321" ht="15.75">
      <c r="J321" s="182"/>
    </row>
    <row r="322" ht="15.75">
      <c r="J322" s="182"/>
    </row>
    <row r="323" ht="15.75">
      <c r="J323" s="182"/>
    </row>
    <row r="324" ht="15.75">
      <c r="J324" s="182"/>
    </row>
    <row r="325" ht="15.75">
      <c r="J325" s="182"/>
    </row>
    <row r="326" ht="15.75">
      <c r="J326" s="182"/>
    </row>
    <row r="327" ht="15.75">
      <c r="J327" s="182"/>
    </row>
    <row r="328" ht="15.75">
      <c r="J328" s="182"/>
    </row>
    <row r="329" ht="15.75">
      <c r="J329" s="182"/>
    </row>
    <row r="330" ht="15.75">
      <c r="J330" s="182"/>
    </row>
    <row r="331" ht="15.75">
      <c r="J331" s="182"/>
    </row>
    <row r="332" ht="15.75">
      <c r="J332" s="182"/>
    </row>
    <row r="333" ht="15.75">
      <c r="J333" s="182"/>
    </row>
    <row r="334" ht="15.75">
      <c r="J334" s="182"/>
    </row>
    <row r="335" ht="15.75">
      <c r="J335" s="182"/>
    </row>
    <row r="336" ht="15.75">
      <c r="J336" s="182"/>
    </row>
    <row r="337" ht="15.75">
      <c r="J337" s="182"/>
    </row>
    <row r="338" ht="15.75">
      <c r="J338" s="182"/>
    </row>
    <row r="339" ht="15.75">
      <c r="J339" s="182"/>
    </row>
    <row r="340" ht="15.75">
      <c r="J340" s="182"/>
    </row>
    <row r="341" ht="15.75">
      <c r="J341" s="182"/>
    </row>
    <row r="342" ht="15.75">
      <c r="J342" s="182"/>
    </row>
    <row r="343" ht="15.75">
      <c r="J343" s="182"/>
    </row>
    <row r="344" ht="15.75">
      <c r="J344" s="182"/>
    </row>
    <row r="345" ht="15.75">
      <c r="J345" s="182"/>
    </row>
    <row r="346" ht="15.75">
      <c r="J346" s="182"/>
    </row>
    <row r="347" ht="15.75">
      <c r="J347" s="182"/>
    </row>
    <row r="348" ht="15.75">
      <c r="J348" s="182"/>
    </row>
    <row r="349" ht="15.75">
      <c r="J349" s="182"/>
    </row>
    <row r="350" ht="15.75">
      <c r="J350" s="182"/>
    </row>
    <row r="351" ht="15.75">
      <c r="J351" s="182"/>
    </row>
    <row r="352" ht="15.75">
      <c r="J352" s="182"/>
    </row>
    <row r="353" ht="15.75">
      <c r="J353" s="182"/>
    </row>
    <row r="354" ht="15.75">
      <c r="J354" s="182"/>
    </row>
    <row r="355" ht="15.75">
      <c r="J355" s="182"/>
    </row>
    <row r="356" ht="15.75">
      <c r="J356" s="182"/>
    </row>
    <row r="357" ht="15.75">
      <c r="J357" s="182"/>
    </row>
    <row r="358" ht="15.75">
      <c r="J358" s="182"/>
    </row>
    <row r="359" ht="15.75">
      <c r="J359" s="182"/>
    </row>
    <row r="360" ht="15.75">
      <c r="J360" s="182"/>
    </row>
    <row r="361" ht="15.75">
      <c r="J361" s="182"/>
    </row>
    <row r="362" ht="15.75">
      <c r="J362" s="182"/>
    </row>
    <row r="363" ht="15.75">
      <c r="J363" s="182"/>
    </row>
    <row r="364" ht="15.75">
      <c r="J364" s="182"/>
    </row>
    <row r="365" ht="15.75">
      <c r="J365" s="182"/>
    </row>
    <row r="366" ht="15.75">
      <c r="J366" s="182"/>
    </row>
    <row r="367" ht="15.75">
      <c r="J367" s="182"/>
    </row>
    <row r="368" ht="15.75">
      <c r="J368" s="182"/>
    </row>
    <row r="369" ht="15.75">
      <c r="J369" s="182"/>
    </row>
    <row r="370" ht="15.75">
      <c r="J370" s="182"/>
    </row>
    <row r="371" ht="15.75">
      <c r="J371" s="182"/>
    </row>
    <row r="372" ht="15.75">
      <c r="J372" s="182"/>
    </row>
    <row r="373" ht="15.75">
      <c r="J373" s="182"/>
    </row>
    <row r="374" ht="15.75">
      <c r="J374" s="182"/>
    </row>
    <row r="375" ht="15.75">
      <c r="J375" s="182"/>
    </row>
    <row r="376" ht="15.75">
      <c r="J376" s="182"/>
    </row>
    <row r="377" ht="15.75">
      <c r="J377" s="182"/>
    </row>
    <row r="378" ht="15.75">
      <c r="J378" s="182"/>
    </row>
    <row r="379" ht="15.75">
      <c r="J379" s="182"/>
    </row>
    <row r="380" ht="15.75">
      <c r="J380" s="182"/>
    </row>
    <row r="381" ht="15.75">
      <c r="J381" s="182"/>
    </row>
    <row r="382" ht="15.75">
      <c r="J382" s="182"/>
    </row>
    <row r="383" ht="15.75">
      <c r="J383" s="182"/>
    </row>
    <row r="384" ht="15.75">
      <c r="J384" s="182"/>
    </row>
    <row r="385" ht="15.75">
      <c r="J385" s="182"/>
    </row>
    <row r="386" ht="15.75">
      <c r="J386" s="182"/>
    </row>
    <row r="387" ht="15.75">
      <c r="J387" s="182"/>
    </row>
    <row r="388" ht="15.75">
      <c r="J388" s="182"/>
    </row>
    <row r="389" ht="15.75">
      <c r="J389" s="182"/>
    </row>
    <row r="390" ht="15.75">
      <c r="J390" s="182"/>
    </row>
    <row r="391" ht="15.75">
      <c r="J391" s="182"/>
    </row>
    <row r="392" ht="15.75">
      <c r="J392" s="182"/>
    </row>
    <row r="393" ht="15.75">
      <c r="J393" s="182"/>
    </row>
    <row r="394" ht="15.75">
      <c r="J394" s="182"/>
    </row>
    <row r="395" ht="15.75">
      <c r="J395" s="182"/>
    </row>
    <row r="396" ht="15.75">
      <c r="J396" s="182"/>
    </row>
    <row r="397" ht="15.75">
      <c r="J397" s="182"/>
    </row>
    <row r="398" ht="15.75">
      <c r="J398" s="182"/>
    </row>
    <row r="399" ht="15.75">
      <c r="J399" s="182"/>
    </row>
    <row r="400" ht="15.75">
      <c r="J400" s="182"/>
    </row>
    <row r="401" ht="15.75">
      <c r="J401" s="182"/>
    </row>
    <row r="402" ht="15.75">
      <c r="J402" s="182"/>
    </row>
    <row r="403" ht="15.75">
      <c r="J403" s="182"/>
    </row>
    <row r="404" ht="15.75">
      <c r="J404" s="182"/>
    </row>
    <row r="405" ht="15.75">
      <c r="J405" s="182"/>
    </row>
    <row r="406" ht="15.75">
      <c r="J406" s="182"/>
    </row>
    <row r="407" ht="15.75">
      <c r="J407" s="182"/>
    </row>
    <row r="408" ht="15.75">
      <c r="J408" s="182"/>
    </row>
    <row r="409" ht="15.75">
      <c r="J409" s="182"/>
    </row>
    <row r="410" ht="15.75">
      <c r="J410" s="182"/>
    </row>
    <row r="411" ht="15.75">
      <c r="J411" s="182"/>
    </row>
    <row r="412" ht="15.75">
      <c r="J412" s="182"/>
    </row>
    <row r="413" ht="15.75">
      <c r="J413" s="182"/>
    </row>
    <row r="414" ht="15.75">
      <c r="J414" s="182"/>
    </row>
    <row r="415" ht="15.75">
      <c r="J415" s="182"/>
    </row>
    <row r="416" ht="15.75">
      <c r="J416" s="182"/>
    </row>
    <row r="417" ht="15.75">
      <c r="J417" s="182"/>
    </row>
    <row r="418" ht="15.75">
      <c r="J418" s="182"/>
    </row>
    <row r="419" ht="15.75">
      <c r="J419" s="182"/>
    </row>
    <row r="420" ht="15.75">
      <c r="J420" s="182"/>
    </row>
    <row r="421" ht="15.75">
      <c r="J421" s="182"/>
    </row>
    <row r="422" ht="15.75">
      <c r="J422" s="182"/>
    </row>
    <row r="423" ht="15.75">
      <c r="J423" s="182"/>
    </row>
    <row r="424" ht="15.75">
      <c r="J424" s="182"/>
    </row>
    <row r="425" ht="15.75">
      <c r="J425" s="182"/>
    </row>
    <row r="426" ht="15.75">
      <c r="J426" s="182"/>
    </row>
    <row r="427" ht="15.75">
      <c r="J427" s="182"/>
    </row>
    <row r="428" ht="15.75">
      <c r="J428" s="182"/>
    </row>
    <row r="429" ht="15.75">
      <c r="J429" s="182"/>
    </row>
    <row r="430" ht="15.75">
      <c r="J430" s="182"/>
    </row>
    <row r="431" ht="15.75">
      <c r="J431" s="182"/>
    </row>
    <row r="432" ht="15.75">
      <c r="J432" s="182"/>
    </row>
    <row r="433" ht="15.75">
      <c r="J433" s="182"/>
    </row>
    <row r="434" ht="15.75">
      <c r="J434" s="182"/>
    </row>
    <row r="435" ht="15.75">
      <c r="J435" s="182"/>
    </row>
    <row r="436" ht="15.75">
      <c r="J436" s="182"/>
    </row>
    <row r="437" ht="15.75">
      <c r="J437" s="182"/>
    </row>
    <row r="438" ht="15.75">
      <c r="J438" s="182"/>
    </row>
    <row r="439" ht="15.75">
      <c r="J439" s="182"/>
    </row>
    <row r="440" ht="15.75">
      <c r="J440" s="182"/>
    </row>
    <row r="441" ht="15.75">
      <c r="J441" s="182"/>
    </row>
    <row r="442" ht="15.75">
      <c r="J442" s="182"/>
    </row>
    <row r="443" ht="15.75">
      <c r="J443" s="182"/>
    </row>
    <row r="444" ht="15.75">
      <c r="J444" s="182"/>
    </row>
    <row r="445" ht="15.75">
      <c r="J445" s="182"/>
    </row>
    <row r="446" ht="15.75">
      <c r="J446" s="182"/>
    </row>
    <row r="447" ht="15.75">
      <c r="J447" s="182"/>
    </row>
    <row r="448" ht="15.75">
      <c r="J448" s="182"/>
    </row>
    <row r="449" ht="15.75">
      <c r="J449" s="182"/>
    </row>
    <row r="450" ht="15.75">
      <c r="J450" s="182"/>
    </row>
    <row r="451" ht="15.75">
      <c r="J451" s="182"/>
    </row>
    <row r="452" ht="15.75">
      <c r="J452" s="182"/>
    </row>
    <row r="453" ht="15.75">
      <c r="J453" s="182"/>
    </row>
    <row r="454" ht="15.75">
      <c r="J454" s="182"/>
    </row>
    <row r="455" ht="15.75">
      <c r="J455" s="182"/>
    </row>
    <row r="456" ht="15.75">
      <c r="J456" s="182"/>
    </row>
    <row r="457" ht="15.75">
      <c r="J457" s="182"/>
    </row>
    <row r="458" ht="15.75">
      <c r="J458" s="182"/>
    </row>
    <row r="459" ht="15.75">
      <c r="J459" s="182"/>
    </row>
    <row r="460" ht="15.75">
      <c r="J460" s="182"/>
    </row>
    <row r="461" ht="15.75">
      <c r="J461" s="182"/>
    </row>
    <row r="462" ht="15.75">
      <c r="J462" s="182"/>
    </row>
    <row r="463" ht="15.75">
      <c r="J463" s="182"/>
    </row>
    <row r="464" ht="15.75">
      <c r="J464" s="182"/>
    </row>
    <row r="465" ht="15.75">
      <c r="J465" s="182"/>
    </row>
  </sheetData>
  <sheetProtection/>
  <mergeCells count="12">
    <mergeCell ref="J1:K1"/>
    <mergeCell ref="D2:K2"/>
    <mergeCell ref="D3:K3"/>
    <mergeCell ref="D6:K6"/>
    <mergeCell ref="A7:K7"/>
    <mergeCell ref="A8:K8"/>
    <mergeCell ref="A4:K4"/>
    <mergeCell ref="B5:K5"/>
    <mergeCell ref="A12:A13"/>
    <mergeCell ref="B12:B13"/>
    <mergeCell ref="C12:J12"/>
    <mergeCell ref="K12:K13"/>
  </mergeCells>
  <printOptions horizontalCentered="1"/>
  <pageMargins left="0.7874015748031497" right="0.3937007874015748" top="0.7874015748031497" bottom="0.5905511811023623" header="0.5118110236220472" footer="0.5118110236220472"/>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M913"/>
  <sheetViews>
    <sheetView zoomScalePageLayoutView="0" workbookViewId="0" topLeftCell="A1">
      <selection activeCell="L8" sqref="L8"/>
    </sheetView>
  </sheetViews>
  <sheetFormatPr defaultColWidth="9.00390625" defaultRowHeight="12.75"/>
  <cols>
    <col min="1" max="1" width="35.125" style="12" customWidth="1"/>
    <col min="2" max="2" width="6.875" style="12" customWidth="1"/>
    <col min="3" max="3" width="8.875" style="12" customWidth="1"/>
    <col min="4" max="4" width="12.25390625" style="12" customWidth="1"/>
    <col min="5" max="5" width="10.125" style="12" customWidth="1"/>
    <col min="6" max="6" width="19.75390625" style="26" customWidth="1"/>
    <col min="7" max="7" width="21.00390625" style="26" customWidth="1"/>
    <col min="8" max="8" width="0" style="12" hidden="1" customWidth="1"/>
    <col min="9" max="9" width="22.75390625" style="12" hidden="1" customWidth="1"/>
    <col min="10" max="10" width="11.125" style="12" hidden="1" customWidth="1"/>
    <col min="11" max="12" width="9.125" style="12" customWidth="1"/>
    <col min="13" max="13" width="17.625" style="12" customWidth="1"/>
    <col min="14" max="16384" width="9.125" style="12" customWidth="1"/>
  </cols>
  <sheetData>
    <row r="1" spans="2:7" ht="15.75">
      <c r="B1" s="30"/>
      <c r="C1" s="30"/>
      <c r="D1" s="30"/>
      <c r="E1" s="30"/>
      <c r="F1" s="224" t="s">
        <v>646</v>
      </c>
      <c r="G1" s="224"/>
    </row>
    <row r="2" spans="2:7" ht="15.75">
      <c r="B2" s="30"/>
      <c r="C2" s="224" t="s">
        <v>566</v>
      </c>
      <c r="D2" s="224"/>
      <c r="E2" s="224"/>
      <c r="F2" s="224"/>
      <c r="G2" s="224"/>
    </row>
    <row r="3" spans="2:7" ht="15.75" customHeight="1">
      <c r="B3" s="30"/>
      <c r="C3" s="30"/>
      <c r="D3" s="238" t="s">
        <v>384</v>
      </c>
      <c r="E3" s="224"/>
      <c r="F3" s="224"/>
      <c r="G3" s="224"/>
    </row>
    <row r="4" spans="1:8" ht="15.75" customHeight="1">
      <c r="A4" s="224" t="s">
        <v>785</v>
      </c>
      <c r="B4" s="224"/>
      <c r="C4" s="224"/>
      <c r="D4" s="224"/>
      <c r="E4" s="224"/>
      <c r="F4" s="224"/>
      <c r="G4" s="224"/>
      <c r="H4" s="224"/>
    </row>
    <row r="5" spans="1:8" ht="15.75" customHeight="1">
      <c r="A5" s="224" t="s">
        <v>884</v>
      </c>
      <c r="B5" s="224"/>
      <c r="C5" s="224"/>
      <c r="D5" s="224"/>
      <c r="E5" s="224"/>
      <c r="F5" s="224"/>
      <c r="G5" s="224"/>
      <c r="H5" s="224"/>
    </row>
    <row r="6" spans="1:7" ht="64.5" customHeight="1">
      <c r="A6" s="236" t="s">
        <v>143</v>
      </c>
      <c r="B6" s="237"/>
      <c r="C6" s="237"/>
      <c r="D6" s="237"/>
      <c r="E6" s="237"/>
      <c r="F6" s="237"/>
      <c r="G6" s="237"/>
    </row>
    <row r="7" spans="6:7" ht="15.75">
      <c r="F7" s="41"/>
      <c r="G7" s="41" t="s">
        <v>682</v>
      </c>
    </row>
    <row r="8" spans="1:7" ht="110.25">
      <c r="A8" s="15" t="s">
        <v>649</v>
      </c>
      <c r="B8" s="15" t="s">
        <v>684</v>
      </c>
      <c r="C8" s="15" t="s">
        <v>667</v>
      </c>
      <c r="D8" s="15" t="s">
        <v>669</v>
      </c>
      <c r="E8" s="15" t="s">
        <v>668</v>
      </c>
      <c r="F8" s="40" t="s">
        <v>650</v>
      </c>
      <c r="G8" s="15" t="s">
        <v>309</v>
      </c>
    </row>
    <row r="9" spans="1:7" ht="15.75">
      <c r="A9" s="15">
        <v>1</v>
      </c>
      <c r="B9" s="15">
        <v>2</v>
      </c>
      <c r="C9" s="15">
        <v>3</v>
      </c>
      <c r="D9" s="15">
        <v>4</v>
      </c>
      <c r="E9" s="15">
        <v>5</v>
      </c>
      <c r="F9" s="42">
        <v>6</v>
      </c>
      <c r="G9" s="42">
        <v>7</v>
      </c>
    </row>
    <row r="10" spans="1:7" s="43" customFormat="1" ht="28.5" customHeight="1">
      <c r="A10" s="1" t="s">
        <v>670</v>
      </c>
      <c r="B10" s="2" t="s">
        <v>651</v>
      </c>
      <c r="C10" s="2"/>
      <c r="D10" s="9"/>
      <c r="E10" s="9"/>
      <c r="F10" s="32">
        <f>F11+F20+F37+F113+F117+F100</f>
        <v>180159818.11</v>
      </c>
      <c r="G10" s="32">
        <f>G11+G20+G37+G113+G117+G100</f>
        <v>1425500</v>
      </c>
    </row>
    <row r="11" spans="1:7" s="43" customFormat="1" ht="77.25" customHeight="1">
      <c r="A11" s="1" t="s">
        <v>362</v>
      </c>
      <c r="B11" s="2" t="s">
        <v>651</v>
      </c>
      <c r="C11" s="2" t="s">
        <v>656</v>
      </c>
      <c r="D11" s="2"/>
      <c r="E11" s="2"/>
      <c r="F11" s="83">
        <f>F12</f>
        <v>2307438.4699999997</v>
      </c>
      <c r="G11" s="83"/>
    </row>
    <row r="12" spans="1:7" s="43" customFormat="1" ht="20.25">
      <c r="A12" s="27" t="s">
        <v>699</v>
      </c>
      <c r="B12" s="4" t="s">
        <v>651</v>
      </c>
      <c r="C12" s="4" t="s">
        <v>656</v>
      </c>
      <c r="D12" s="4" t="s">
        <v>700</v>
      </c>
      <c r="E12" s="4"/>
      <c r="F12" s="29">
        <f>F13+F18+F15</f>
        <v>2307438.4699999997</v>
      </c>
      <c r="G12" s="29"/>
    </row>
    <row r="13" spans="1:7" s="43" customFormat="1" ht="47.25">
      <c r="A13" s="3" t="s">
        <v>233</v>
      </c>
      <c r="B13" s="4" t="s">
        <v>651</v>
      </c>
      <c r="C13" s="4" t="s">
        <v>656</v>
      </c>
      <c r="D13" s="4" t="s">
        <v>234</v>
      </c>
      <c r="E13" s="4"/>
      <c r="F13" s="29">
        <f>F14</f>
        <v>2143261.26</v>
      </c>
      <c r="G13" s="29"/>
    </row>
    <row r="14" spans="1:7" s="43" customFormat="1" ht="141" customHeight="1">
      <c r="A14" s="3" t="s">
        <v>701</v>
      </c>
      <c r="B14" s="4" t="s">
        <v>651</v>
      </c>
      <c r="C14" s="4" t="s">
        <v>656</v>
      </c>
      <c r="D14" s="4" t="s">
        <v>234</v>
      </c>
      <c r="E14" s="4" t="s">
        <v>312</v>
      </c>
      <c r="F14" s="29">
        <f>прил7!G16</f>
        <v>2143261.26</v>
      </c>
      <c r="G14" s="29"/>
    </row>
    <row r="15" spans="1:7" s="43" customFormat="1" ht="54.75" customHeight="1">
      <c r="A15" s="3" t="s">
        <v>47</v>
      </c>
      <c r="B15" s="4" t="s">
        <v>651</v>
      </c>
      <c r="C15" s="4" t="s">
        <v>656</v>
      </c>
      <c r="D15" s="4" t="s">
        <v>48</v>
      </c>
      <c r="E15" s="4"/>
      <c r="F15" s="29">
        <f>F16+F17</f>
        <v>119177.21</v>
      </c>
      <c r="G15" s="29"/>
    </row>
    <row r="16" spans="1:7" s="43" customFormat="1" ht="141" customHeight="1">
      <c r="A16" s="3" t="s">
        <v>701</v>
      </c>
      <c r="B16" s="4" t="s">
        <v>651</v>
      </c>
      <c r="C16" s="4" t="s">
        <v>656</v>
      </c>
      <c r="D16" s="4" t="s">
        <v>48</v>
      </c>
      <c r="E16" s="4" t="s">
        <v>312</v>
      </c>
      <c r="F16" s="29">
        <f>прил7!G18</f>
        <v>62801</v>
      </c>
      <c r="G16" s="29"/>
    </row>
    <row r="17" spans="1:7" s="43" customFormat="1" ht="66.75" customHeight="1">
      <c r="A17" s="3" t="s">
        <v>702</v>
      </c>
      <c r="B17" s="4" t="s">
        <v>651</v>
      </c>
      <c r="C17" s="4" t="s">
        <v>656</v>
      </c>
      <c r="D17" s="4" t="s">
        <v>48</v>
      </c>
      <c r="E17" s="4" t="s">
        <v>313</v>
      </c>
      <c r="F17" s="29">
        <f>прил7!G19</f>
        <v>56376.21000000001</v>
      </c>
      <c r="G17" s="29"/>
    </row>
    <row r="18" spans="1:7" s="43" customFormat="1" ht="141" customHeight="1">
      <c r="A18" s="3" t="s">
        <v>235</v>
      </c>
      <c r="B18" s="4" t="s">
        <v>651</v>
      </c>
      <c r="C18" s="4" t="s">
        <v>656</v>
      </c>
      <c r="D18" s="4" t="s">
        <v>236</v>
      </c>
      <c r="E18" s="4"/>
      <c r="F18" s="29">
        <f>F19</f>
        <v>45000</v>
      </c>
      <c r="G18" s="29"/>
    </row>
    <row r="19" spans="1:7" s="43" customFormat="1" ht="141" customHeight="1">
      <c r="A19" s="3" t="s">
        <v>701</v>
      </c>
      <c r="B19" s="4" t="s">
        <v>651</v>
      </c>
      <c r="C19" s="4" t="s">
        <v>656</v>
      </c>
      <c r="D19" s="4" t="s">
        <v>236</v>
      </c>
      <c r="E19" s="4" t="s">
        <v>312</v>
      </c>
      <c r="F19" s="29">
        <f>прил7!G21</f>
        <v>45000</v>
      </c>
      <c r="G19" s="29"/>
    </row>
    <row r="20" spans="1:7" s="43" customFormat="1" ht="94.5">
      <c r="A20" s="1" t="s">
        <v>318</v>
      </c>
      <c r="B20" s="2" t="s">
        <v>651</v>
      </c>
      <c r="C20" s="2" t="s">
        <v>658</v>
      </c>
      <c r="D20" s="2"/>
      <c r="E20" s="2"/>
      <c r="F20" s="33">
        <f>F21</f>
        <v>5582081.010000001</v>
      </c>
      <c r="G20" s="33"/>
    </row>
    <row r="21" spans="1:7" s="43" customFormat="1" ht="20.25">
      <c r="A21" s="27" t="s">
        <v>699</v>
      </c>
      <c r="B21" s="4" t="s">
        <v>651</v>
      </c>
      <c r="C21" s="4" t="s">
        <v>658</v>
      </c>
      <c r="D21" s="4" t="s">
        <v>700</v>
      </c>
      <c r="E21" s="4"/>
      <c r="F21" s="29">
        <f>F22+F27+F29+F35+F24+F32</f>
        <v>5582081.010000001</v>
      </c>
      <c r="G21" s="29"/>
    </row>
    <row r="22" spans="1:7" s="16" customFormat="1" ht="63">
      <c r="A22" s="3" t="s">
        <v>237</v>
      </c>
      <c r="B22" s="4" t="s">
        <v>651</v>
      </c>
      <c r="C22" s="4" t="s">
        <v>658</v>
      </c>
      <c r="D22" s="4" t="s">
        <v>238</v>
      </c>
      <c r="E22" s="4"/>
      <c r="F22" s="29">
        <f>F23</f>
        <v>1576145.02</v>
      </c>
      <c r="G22" s="33"/>
    </row>
    <row r="23" spans="1:7" ht="126">
      <c r="A23" s="3" t="s">
        <v>701</v>
      </c>
      <c r="B23" s="4" t="s">
        <v>651</v>
      </c>
      <c r="C23" s="4" t="s">
        <v>658</v>
      </c>
      <c r="D23" s="4" t="s">
        <v>238</v>
      </c>
      <c r="E23" s="4" t="s">
        <v>312</v>
      </c>
      <c r="F23" s="29">
        <f>прил7!G24</f>
        <v>1576145.02</v>
      </c>
      <c r="G23" s="29"/>
    </row>
    <row r="24" spans="1:7" ht="63">
      <c r="A24" s="3" t="s">
        <v>49</v>
      </c>
      <c r="B24" s="4" t="s">
        <v>651</v>
      </c>
      <c r="C24" s="4" t="s">
        <v>658</v>
      </c>
      <c r="D24" s="4" t="s">
        <v>50</v>
      </c>
      <c r="E24" s="4"/>
      <c r="F24" s="29">
        <f>F25+F26</f>
        <v>19272.33</v>
      </c>
      <c r="G24" s="29"/>
    </row>
    <row r="25" spans="1:7" ht="126">
      <c r="A25" s="3" t="s">
        <v>701</v>
      </c>
      <c r="B25" s="4" t="s">
        <v>651</v>
      </c>
      <c r="C25" s="4" t="s">
        <v>658</v>
      </c>
      <c r="D25" s="4" t="s">
        <v>50</v>
      </c>
      <c r="E25" s="4" t="s">
        <v>312</v>
      </c>
      <c r="F25" s="29">
        <f>прил7!G27</f>
        <v>7772.33</v>
      </c>
      <c r="G25" s="29"/>
    </row>
    <row r="26" spans="1:7" ht="47.25">
      <c r="A26" s="3" t="s">
        <v>702</v>
      </c>
      <c r="B26" s="4" t="s">
        <v>651</v>
      </c>
      <c r="C26" s="4" t="s">
        <v>658</v>
      </c>
      <c r="D26" s="4" t="s">
        <v>50</v>
      </c>
      <c r="E26" s="4" t="s">
        <v>313</v>
      </c>
      <c r="F26" s="29">
        <f>прил7!G28</f>
        <v>11500</v>
      </c>
      <c r="G26" s="29"/>
    </row>
    <row r="27" spans="1:7" ht="47.25">
      <c r="A27" s="3" t="s">
        <v>239</v>
      </c>
      <c r="B27" s="4" t="s">
        <v>651</v>
      </c>
      <c r="C27" s="4" t="s">
        <v>658</v>
      </c>
      <c r="D27" s="4" t="s">
        <v>240</v>
      </c>
      <c r="E27" s="4"/>
      <c r="F27" s="29">
        <f>F28</f>
        <v>3299831.5900000003</v>
      </c>
      <c r="G27" s="29"/>
    </row>
    <row r="28" spans="1:7" ht="126">
      <c r="A28" s="3" t="s">
        <v>701</v>
      </c>
      <c r="B28" s="4" t="s">
        <v>651</v>
      </c>
      <c r="C28" s="4" t="s">
        <v>658</v>
      </c>
      <c r="D28" s="4" t="s">
        <v>240</v>
      </c>
      <c r="E28" s="4" t="s">
        <v>312</v>
      </c>
      <c r="F28" s="29">
        <f>прил7!G30</f>
        <v>3299831.5900000003</v>
      </c>
      <c r="G28" s="33"/>
    </row>
    <row r="29" spans="1:7" ht="47.25">
      <c r="A29" s="3" t="s">
        <v>241</v>
      </c>
      <c r="B29" s="4" t="s">
        <v>651</v>
      </c>
      <c r="C29" s="4" t="s">
        <v>658</v>
      </c>
      <c r="D29" s="4" t="s">
        <v>242</v>
      </c>
      <c r="E29" s="4"/>
      <c r="F29" s="29">
        <f>F30+F31</f>
        <v>97928.95</v>
      </c>
      <c r="G29" s="29"/>
    </row>
    <row r="30" spans="1:7" ht="126">
      <c r="A30" s="3" t="s">
        <v>701</v>
      </c>
      <c r="B30" s="4" t="s">
        <v>651</v>
      </c>
      <c r="C30" s="4" t="s">
        <v>658</v>
      </c>
      <c r="D30" s="4" t="s">
        <v>242</v>
      </c>
      <c r="E30" s="4" t="s">
        <v>312</v>
      </c>
      <c r="F30" s="29">
        <f>прил7!G32</f>
        <v>69900</v>
      </c>
      <c r="G30" s="29"/>
    </row>
    <row r="31" spans="1:7" ht="47.25">
      <c r="A31" s="3" t="s">
        <v>702</v>
      </c>
      <c r="B31" s="4" t="s">
        <v>651</v>
      </c>
      <c r="C31" s="4" t="s">
        <v>658</v>
      </c>
      <c r="D31" s="4" t="s">
        <v>242</v>
      </c>
      <c r="E31" s="4" t="s">
        <v>313</v>
      </c>
      <c r="F31" s="29">
        <f>прил7!G33</f>
        <v>28028.949999999997</v>
      </c>
      <c r="G31" s="29"/>
    </row>
    <row r="32" spans="1:7" ht="220.5">
      <c r="A32" s="3" t="s">
        <v>696</v>
      </c>
      <c r="B32" s="4" t="s">
        <v>651</v>
      </c>
      <c r="C32" s="4" t="s">
        <v>658</v>
      </c>
      <c r="D32" s="4" t="s">
        <v>779</v>
      </c>
      <c r="E32" s="4"/>
      <c r="F32" s="29">
        <f>F34+F33</f>
        <v>465803.12</v>
      </c>
      <c r="G32" s="29"/>
    </row>
    <row r="33" spans="1:7" ht="126">
      <c r="A33" s="3" t="s">
        <v>701</v>
      </c>
      <c r="B33" s="4" t="s">
        <v>651</v>
      </c>
      <c r="C33" s="4" t="s">
        <v>658</v>
      </c>
      <c r="D33" s="4" t="s">
        <v>779</v>
      </c>
      <c r="E33" s="4" t="s">
        <v>312</v>
      </c>
      <c r="F33" s="29">
        <f>прил7!G35</f>
        <v>150387.57</v>
      </c>
      <c r="G33" s="29"/>
    </row>
    <row r="34" spans="1:7" ht="31.5">
      <c r="A34" s="3" t="s">
        <v>560</v>
      </c>
      <c r="B34" s="4" t="s">
        <v>651</v>
      </c>
      <c r="C34" s="4" t="s">
        <v>658</v>
      </c>
      <c r="D34" s="4" t="s">
        <v>779</v>
      </c>
      <c r="E34" s="4" t="s">
        <v>561</v>
      </c>
      <c r="F34" s="29">
        <f>прил7!G36</f>
        <v>315415.55</v>
      </c>
      <c r="G34" s="29"/>
    </row>
    <row r="35" spans="1:7" ht="110.25">
      <c r="A35" s="3" t="s">
        <v>235</v>
      </c>
      <c r="B35" s="4" t="s">
        <v>651</v>
      </c>
      <c r="C35" s="4" t="s">
        <v>658</v>
      </c>
      <c r="D35" s="4" t="s">
        <v>236</v>
      </c>
      <c r="E35" s="4"/>
      <c r="F35" s="29">
        <f>F36</f>
        <v>123100</v>
      </c>
      <c r="G35" s="29"/>
    </row>
    <row r="36" spans="1:7" ht="126">
      <c r="A36" s="3" t="s">
        <v>245</v>
      </c>
      <c r="B36" s="4" t="s">
        <v>651</v>
      </c>
      <c r="C36" s="4" t="s">
        <v>658</v>
      </c>
      <c r="D36" s="4" t="s">
        <v>236</v>
      </c>
      <c r="E36" s="4" t="s">
        <v>312</v>
      </c>
      <c r="F36" s="29">
        <f>прил7!G38</f>
        <v>123100</v>
      </c>
      <c r="G36" s="29"/>
    </row>
    <row r="37" spans="1:7" ht="126">
      <c r="A37" s="1" t="s">
        <v>306</v>
      </c>
      <c r="B37" s="2" t="s">
        <v>651</v>
      </c>
      <c r="C37" s="2" t="s">
        <v>661</v>
      </c>
      <c r="D37" s="2"/>
      <c r="E37" s="2"/>
      <c r="F37" s="33">
        <f>F64+F55+F38</f>
        <v>73681733.16</v>
      </c>
      <c r="G37" s="33"/>
    </row>
    <row r="38" spans="1:7" ht="47.25">
      <c r="A38" s="3" t="s">
        <v>539</v>
      </c>
      <c r="B38" s="4" t="s">
        <v>651</v>
      </c>
      <c r="C38" s="4" t="s">
        <v>661</v>
      </c>
      <c r="D38" s="4" t="s">
        <v>724</v>
      </c>
      <c r="E38" s="2"/>
      <c r="F38" s="29">
        <f>F39</f>
        <v>13168598.840000002</v>
      </c>
      <c r="G38" s="33"/>
    </row>
    <row r="39" spans="1:7" ht="63">
      <c r="A39" s="21" t="s">
        <v>759</v>
      </c>
      <c r="B39" s="4" t="s">
        <v>651</v>
      </c>
      <c r="C39" s="4" t="s">
        <v>661</v>
      </c>
      <c r="D39" s="4" t="s">
        <v>760</v>
      </c>
      <c r="E39" s="4"/>
      <c r="F39" s="29">
        <f>F40+F42+F45+F53+F49+F47</f>
        <v>13168598.840000002</v>
      </c>
      <c r="G39" s="33"/>
    </row>
    <row r="40" spans="1:7" ht="47.25">
      <c r="A40" s="21" t="s">
        <v>239</v>
      </c>
      <c r="B40" s="4" t="s">
        <v>651</v>
      </c>
      <c r="C40" s="4" t="s">
        <v>661</v>
      </c>
      <c r="D40" s="4" t="s">
        <v>266</v>
      </c>
      <c r="E40" s="4"/>
      <c r="F40" s="29">
        <f>F41</f>
        <v>10884631.57</v>
      </c>
      <c r="G40" s="33"/>
    </row>
    <row r="41" spans="1:7" ht="126">
      <c r="A41" s="21" t="s">
        <v>245</v>
      </c>
      <c r="B41" s="4" t="s">
        <v>651</v>
      </c>
      <c r="C41" s="4" t="s">
        <v>661</v>
      </c>
      <c r="D41" s="4" t="s">
        <v>266</v>
      </c>
      <c r="E41" s="4" t="s">
        <v>312</v>
      </c>
      <c r="F41" s="29">
        <f>прил7!G502</f>
        <v>10884631.57</v>
      </c>
      <c r="G41" s="33"/>
    </row>
    <row r="42" spans="1:7" ht="47.25">
      <c r="A42" s="21" t="s">
        <v>241</v>
      </c>
      <c r="B42" s="4" t="s">
        <v>651</v>
      </c>
      <c r="C42" s="4" t="s">
        <v>661</v>
      </c>
      <c r="D42" s="4" t="s">
        <v>267</v>
      </c>
      <c r="E42" s="4"/>
      <c r="F42" s="29">
        <f>F43+F44</f>
        <v>390942.3900000001</v>
      </c>
      <c r="G42" s="33"/>
    </row>
    <row r="43" spans="1:7" ht="126">
      <c r="A43" s="21" t="s">
        <v>245</v>
      </c>
      <c r="B43" s="4" t="s">
        <v>651</v>
      </c>
      <c r="C43" s="4" t="s">
        <v>661</v>
      </c>
      <c r="D43" s="4" t="s">
        <v>267</v>
      </c>
      <c r="E43" s="4" t="s">
        <v>312</v>
      </c>
      <c r="F43" s="29">
        <f>прил7!G504</f>
        <v>855</v>
      </c>
      <c r="G43" s="33"/>
    </row>
    <row r="44" spans="1:7" ht="47.25">
      <c r="A44" s="21" t="s">
        <v>702</v>
      </c>
      <c r="B44" s="4" t="s">
        <v>651</v>
      </c>
      <c r="C44" s="4" t="s">
        <v>661</v>
      </c>
      <c r="D44" s="4" t="s">
        <v>267</v>
      </c>
      <c r="E44" s="4" t="s">
        <v>313</v>
      </c>
      <c r="F44" s="29">
        <f>прил7!G505</f>
        <v>390087.3900000001</v>
      </c>
      <c r="G44" s="33"/>
    </row>
    <row r="45" spans="1:7" ht="126">
      <c r="A45" s="21" t="s">
        <v>265</v>
      </c>
      <c r="B45" s="4" t="s">
        <v>651</v>
      </c>
      <c r="C45" s="4" t="s">
        <v>661</v>
      </c>
      <c r="D45" s="4" t="s">
        <v>268</v>
      </c>
      <c r="E45" s="4"/>
      <c r="F45" s="29">
        <f>F46</f>
        <v>183476.15000000002</v>
      </c>
      <c r="G45" s="33"/>
    </row>
    <row r="46" spans="1:7" ht="126">
      <c r="A46" s="21" t="s">
        <v>245</v>
      </c>
      <c r="B46" s="4" t="s">
        <v>651</v>
      </c>
      <c r="C46" s="4" t="s">
        <v>661</v>
      </c>
      <c r="D46" s="4" t="s">
        <v>268</v>
      </c>
      <c r="E46" s="4" t="s">
        <v>312</v>
      </c>
      <c r="F46" s="29">
        <f>прил7!G507</f>
        <v>183476.15000000002</v>
      </c>
      <c r="G46" s="33"/>
    </row>
    <row r="47" spans="1:7" ht="78.75">
      <c r="A47" s="21" t="s">
        <v>530</v>
      </c>
      <c r="B47" s="4" t="s">
        <v>651</v>
      </c>
      <c r="C47" s="4" t="s">
        <v>661</v>
      </c>
      <c r="D47" s="4" t="s">
        <v>12</v>
      </c>
      <c r="E47" s="4"/>
      <c r="F47" s="29">
        <f>F48</f>
        <v>398069.57</v>
      </c>
      <c r="G47" s="33"/>
    </row>
    <row r="48" spans="1:7" ht="126">
      <c r="A48" s="21" t="s">
        <v>245</v>
      </c>
      <c r="B48" s="4" t="s">
        <v>651</v>
      </c>
      <c r="C48" s="4" t="s">
        <v>661</v>
      </c>
      <c r="D48" s="4" t="s">
        <v>12</v>
      </c>
      <c r="E48" s="4" t="s">
        <v>312</v>
      </c>
      <c r="F48" s="29">
        <f>прил7!G509</f>
        <v>398069.57</v>
      </c>
      <c r="G48" s="33"/>
    </row>
    <row r="49" spans="1:7" ht="141.75">
      <c r="A49" s="21" t="s">
        <v>72</v>
      </c>
      <c r="B49" s="235" t="s">
        <v>651</v>
      </c>
      <c r="C49" s="235" t="s">
        <v>661</v>
      </c>
      <c r="D49" s="235" t="s">
        <v>73</v>
      </c>
      <c r="E49" s="235"/>
      <c r="F49" s="233">
        <f>F51+F52</f>
        <v>980780.1599999999</v>
      </c>
      <c r="G49" s="234"/>
    </row>
    <row r="50" spans="1:7" ht="78.75">
      <c r="A50" s="21" t="s">
        <v>71</v>
      </c>
      <c r="B50" s="235"/>
      <c r="C50" s="235"/>
      <c r="D50" s="235"/>
      <c r="E50" s="235"/>
      <c r="F50" s="233"/>
      <c r="G50" s="234"/>
    </row>
    <row r="51" spans="1:7" ht="126">
      <c r="A51" s="21" t="s">
        <v>245</v>
      </c>
      <c r="B51" s="4" t="s">
        <v>651</v>
      </c>
      <c r="C51" s="4" t="s">
        <v>661</v>
      </c>
      <c r="D51" s="4" t="s">
        <v>73</v>
      </c>
      <c r="E51" s="4" t="s">
        <v>312</v>
      </c>
      <c r="F51" s="29">
        <f>прил7!G512</f>
        <v>348198.41</v>
      </c>
      <c r="G51" s="33"/>
    </row>
    <row r="52" spans="1:7" ht="31.5">
      <c r="A52" s="60" t="s">
        <v>560</v>
      </c>
      <c r="B52" s="4" t="s">
        <v>651</v>
      </c>
      <c r="C52" s="4" t="s">
        <v>661</v>
      </c>
      <c r="D52" s="4" t="s">
        <v>73</v>
      </c>
      <c r="E52" s="4" t="s">
        <v>561</v>
      </c>
      <c r="F52" s="29">
        <f>прил7!G513</f>
        <v>632581.75</v>
      </c>
      <c r="G52" s="33"/>
    </row>
    <row r="53" spans="1:7" ht="110.25">
      <c r="A53" s="21" t="s">
        <v>235</v>
      </c>
      <c r="B53" s="4" t="s">
        <v>651</v>
      </c>
      <c r="C53" s="4" t="s">
        <v>661</v>
      </c>
      <c r="D53" s="4" t="s">
        <v>269</v>
      </c>
      <c r="E53" s="4"/>
      <c r="F53" s="29">
        <f>F54</f>
        <v>330699</v>
      </c>
      <c r="G53" s="33"/>
    </row>
    <row r="54" spans="1:7" ht="126">
      <c r="A54" s="21" t="s">
        <v>245</v>
      </c>
      <c r="B54" s="4" t="s">
        <v>651</v>
      </c>
      <c r="C54" s="4" t="s">
        <v>661</v>
      </c>
      <c r="D54" s="4" t="s">
        <v>269</v>
      </c>
      <c r="E54" s="4" t="s">
        <v>312</v>
      </c>
      <c r="F54" s="29">
        <f>прил7!G515</f>
        <v>330699</v>
      </c>
      <c r="G54" s="33"/>
    </row>
    <row r="55" spans="1:7" ht="110.25">
      <c r="A55" s="60" t="s">
        <v>540</v>
      </c>
      <c r="B55" s="4" t="s">
        <v>651</v>
      </c>
      <c r="C55" s="4" t="s">
        <v>661</v>
      </c>
      <c r="D55" s="4" t="s">
        <v>301</v>
      </c>
      <c r="E55" s="4"/>
      <c r="F55" s="29">
        <f>F56</f>
        <v>10938767.49</v>
      </c>
      <c r="G55" s="33"/>
    </row>
    <row r="56" spans="1:7" ht="47.25">
      <c r="A56" s="60" t="s">
        <v>392</v>
      </c>
      <c r="B56" s="4" t="s">
        <v>651</v>
      </c>
      <c r="C56" s="4" t="s">
        <v>661</v>
      </c>
      <c r="D56" s="4" t="s">
        <v>393</v>
      </c>
      <c r="E56" s="4"/>
      <c r="F56" s="29">
        <f>F57+F59+F62</f>
        <v>10938767.49</v>
      </c>
      <c r="G56" s="33"/>
    </row>
    <row r="57" spans="1:7" ht="47.25">
      <c r="A57" s="60" t="s">
        <v>239</v>
      </c>
      <c r="B57" s="4" t="s">
        <v>651</v>
      </c>
      <c r="C57" s="4" t="s">
        <v>661</v>
      </c>
      <c r="D57" s="4" t="s">
        <v>261</v>
      </c>
      <c r="E57" s="4"/>
      <c r="F57" s="29">
        <f>F58</f>
        <v>10309258.6</v>
      </c>
      <c r="G57" s="33"/>
    </row>
    <row r="58" spans="1:7" ht="126">
      <c r="A58" s="60" t="s">
        <v>262</v>
      </c>
      <c r="B58" s="4" t="s">
        <v>651</v>
      </c>
      <c r="C58" s="4" t="s">
        <v>661</v>
      </c>
      <c r="D58" s="4" t="s">
        <v>261</v>
      </c>
      <c r="E58" s="4" t="s">
        <v>312</v>
      </c>
      <c r="F58" s="29">
        <f>прил7!G465</f>
        <v>10309258.6</v>
      </c>
      <c r="G58" s="33"/>
    </row>
    <row r="59" spans="1:7" ht="47.25">
      <c r="A59" s="60" t="s">
        <v>241</v>
      </c>
      <c r="B59" s="4" t="s">
        <v>651</v>
      </c>
      <c r="C59" s="4" t="s">
        <v>661</v>
      </c>
      <c r="D59" s="4" t="s">
        <v>263</v>
      </c>
      <c r="E59" s="4"/>
      <c r="F59" s="29">
        <f>F60+F61</f>
        <v>255936.89</v>
      </c>
      <c r="G59" s="33"/>
    </row>
    <row r="60" spans="1:7" ht="126">
      <c r="A60" s="60" t="s">
        <v>245</v>
      </c>
      <c r="B60" s="4" t="s">
        <v>651</v>
      </c>
      <c r="C60" s="4" t="s">
        <v>661</v>
      </c>
      <c r="D60" s="4" t="s">
        <v>263</v>
      </c>
      <c r="E60" s="4" t="s">
        <v>312</v>
      </c>
      <c r="F60" s="29">
        <f>прил7!G467</f>
        <v>9340</v>
      </c>
      <c r="G60" s="33"/>
    </row>
    <row r="61" spans="1:7" ht="47.25">
      <c r="A61" s="60" t="s">
        <v>702</v>
      </c>
      <c r="B61" s="4" t="s">
        <v>651</v>
      </c>
      <c r="C61" s="4" t="s">
        <v>661</v>
      </c>
      <c r="D61" s="4" t="s">
        <v>263</v>
      </c>
      <c r="E61" s="4" t="s">
        <v>313</v>
      </c>
      <c r="F61" s="29">
        <f>прил7!G468</f>
        <v>246596.89</v>
      </c>
      <c r="G61" s="33"/>
    </row>
    <row r="62" spans="1:7" ht="110.25">
      <c r="A62" s="3" t="s">
        <v>235</v>
      </c>
      <c r="B62" s="4" t="s">
        <v>651</v>
      </c>
      <c r="C62" s="4" t="s">
        <v>661</v>
      </c>
      <c r="D62" s="4" t="s">
        <v>264</v>
      </c>
      <c r="E62" s="4"/>
      <c r="F62" s="29">
        <f>F63</f>
        <v>373572</v>
      </c>
      <c r="G62" s="33"/>
    </row>
    <row r="63" spans="1:7" ht="126">
      <c r="A63" s="3" t="s">
        <v>245</v>
      </c>
      <c r="B63" s="4" t="s">
        <v>651</v>
      </c>
      <c r="C63" s="4" t="s">
        <v>661</v>
      </c>
      <c r="D63" s="4" t="s">
        <v>264</v>
      </c>
      <c r="E63" s="4" t="s">
        <v>312</v>
      </c>
      <c r="F63" s="29">
        <f>прил7!G470</f>
        <v>373572</v>
      </c>
      <c r="G63" s="33"/>
    </row>
    <row r="64" spans="1:7" s="16" customFormat="1" ht="63">
      <c r="A64" s="27" t="s">
        <v>541</v>
      </c>
      <c r="B64" s="4" t="s">
        <v>651</v>
      </c>
      <c r="C64" s="4" t="s">
        <v>661</v>
      </c>
      <c r="D64" s="4" t="s">
        <v>708</v>
      </c>
      <c r="E64" s="4"/>
      <c r="F64" s="29">
        <f>F65+F80+F88</f>
        <v>49574366.82999999</v>
      </c>
      <c r="G64" s="33"/>
    </row>
    <row r="65" spans="1:7" s="16" customFormat="1" ht="47.25">
      <c r="A65" s="27" t="s">
        <v>709</v>
      </c>
      <c r="B65" s="4" t="s">
        <v>651</v>
      </c>
      <c r="C65" s="4" t="s">
        <v>661</v>
      </c>
      <c r="D65" s="4" t="s">
        <v>710</v>
      </c>
      <c r="E65" s="4"/>
      <c r="F65" s="29">
        <f>F66+F71+F73+F78+F68+F76</f>
        <v>29829964.249999996</v>
      </c>
      <c r="G65" s="29"/>
    </row>
    <row r="66" spans="1:7" s="16" customFormat="1" ht="47.25">
      <c r="A66" s="27" t="s">
        <v>246</v>
      </c>
      <c r="B66" s="4" t="s">
        <v>651</v>
      </c>
      <c r="C66" s="4" t="s">
        <v>661</v>
      </c>
      <c r="D66" s="4" t="s">
        <v>247</v>
      </c>
      <c r="E66" s="4"/>
      <c r="F66" s="29">
        <f>F67</f>
        <v>1996972.0599999998</v>
      </c>
      <c r="G66" s="29"/>
    </row>
    <row r="67" spans="1:7" ht="126">
      <c r="A67" s="27" t="s">
        <v>245</v>
      </c>
      <c r="B67" s="4" t="s">
        <v>651</v>
      </c>
      <c r="C67" s="4" t="s">
        <v>661</v>
      </c>
      <c r="D67" s="4" t="s">
        <v>247</v>
      </c>
      <c r="E67" s="4" t="s">
        <v>312</v>
      </c>
      <c r="F67" s="29">
        <f>прил7!G60</f>
        <v>1996972.0599999998</v>
      </c>
      <c r="G67" s="29"/>
    </row>
    <row r="68" spans="1:7" ht="31.5">
      <c r="A68" s="27" t="s">
        <v>51</v>
      </c>
      <c r="B68" s="4" t="s">
        <v>651</v>
      </c>
      <c r="C68" s="4" t="s">
        <v>661</v>
      </c>
      <c r="D68" s="4" t="s">
        <v>52</v>
      </c>
      <c r="E68" s="4"/>
      <c r="F68" s="29">
        <f>F69+F70</f>
        <v>145000</v>
      </c>
      <c r="G68" s="29"/>
    </row>
    <row r="69" spans="1:7" ht="126">
      <c r="A69" s="27" t="s">
        <v>245</v>
      </c>
      <c r="B69" s="4" t="s">
        <v>651</v>
      </c>
      <c r="C69" s="4" t="s">
        <v>661</v>
      </c>
      <c r="D69" s="4" t="s">
        <v>52</v>
      </c>
      <c r="E69" s="4" t="s">
        <v>312</v>
      </c>
      <c r="F69" s="29">
        <f>прил7!G62</f>
        <v>49000</v>
      </c>
      <c r="G69" s="29"/>
    </row>
    <row r="70" spans="1:7" ht="47.25">
      <c r="A70" s="27" t="s">
        <v>702</v>
      </c>
      <c r="B70" s="4" t="s">
        <v>651</v>
      </c>
      <c r="C70" s="4" t="s">
        <v>661</v>
      </c>
      <c r="D70" s="4" t="s">
        <v>52</v>
      </c>
      <c r="E70" s="4" t="s">
        <v>313</v>
      </c>
      <c r="F70" s="29">
        <f>прил7!G63</f>
        <v>96000.00000000001</v>
      </c>
      <c r="G70" s="29"/>
    </row>
    <row r="71" spans="1:7" ht="47.25">
      <c r="A71" s="27" t="s">
        <v>239</v>
      </c>
      <c r="B71" s="4" t="s">
        <v>651</v>
      </c>
      <c r="C71" s="4" t="s">
        <v>661</v>
      </c>
      <c r="D71" s="4" t="s">
        <v>248</v>
      </c>
      <c r="E71" s="4"/>
      <c r="F71" s="29">
        <f>F72</f>
        <v>26036818.86</v>
      </c>
      <c r="G71" s="29"/>
    </row>
    <row r="72" spans="1:7" ht="126">
      <c r="A72" s="27" t="s">
        <v>245</v>
      </c>
      <c r="B72" s="4" t="s">
        <v>651</v>
      </c>
      <c r="C72" s="4" t="s">
        <v>661</v>
      </c>
      <c r="D72" s="4" t="s">
        <v>248</v>
      </c>
      <c r="E72" s="4" t="s">
        <v>312</v>
      </c>
      <c r="F72" s="29">
        <f>прил7!G65</f>
        <v>26036818.86</v>
      </c>
      <c r="G72" s="29"/>
    </row>
    <row r="73" spans="1:7" ht="47.25">
      <c r="A73" s="27" t="s">
        <v>241</v>
      </c>
      <c r="B73" s="4" t="s">
        <v>651</v>
      </c>
      <c r="C73" s="4" t="s">
        <v>661</v>
      </c>
      <c r="D73" s="4" t="s">
        <v>249</v>
      </c>
      <c r="E73" s="4"/>
      <c r="F73" s="29">
        <f>F74+F75</f>
        <v>922048</v>
      </c>
      <c r="G73" s="29"/>
    </row>
    <row r="74" spans="1:7" ht="126">
      <c r="A74" s="27" t="s">
        <v>245</v>
      </c>
      <c r="B74" s="4" t="s">
        <v>651</v>
      </c>
      <c r="C74" s="4" t="s">
        <v>661</v>
      </c>
      <c r="D74" s="4" t="s">
        <v>249</v>
      </c>
      <c r="E74" s="4" t="s">
        <v>312</v>
      </c>
      <c r="F74" s="29">
        <f>прил7!G67</f>
        <v>122860</v>
      </c>
      <c r="G74" s="29"/>
    </row>
    <row r="75" spans="1:7" ht="47.25">
      <c r="A75" s="27" t="s">
        <v>702</v>
      </c>
      <c r="B75" s="4" t="s">
        <v>651</v>
      </c>
      <c r="C75" s="4" t="s">
        <v>661</v>
      </c>
      <c r="D75" s="4" t="s">
        <v>249</v>
      </c>
      <c r="E75" s="4" t="s">
        <v>313</v>
      </c>
      <c r="F75" s="29">
        <f>прил7!G68</f>
        <v>799188</v>
      </c>
      <c r="G75" s="29"/>
    </row>
    <row r="76" spans="1:7" ht="78.75">
      <c r="A76" s="27" t="s">
        <v>530</v>
      </c>
      <c r="B76" s="4" t="s">
        <v>651</v>
      </c>
      <c r="C76" s="4" t="s">
        <v>661</v>
      </c>
      <c r="D76" s="4" t="s">
        <v>531</v>
      </c>
      <c r="E76" s="4"/>
      <c r="F76" s="29">
        <f>F77</f>
        <v>316455.33</v>
      </c>
      <c r="G76" s="29"/>
    </row>
    <row r="77" spans="1:7" ht="126">
      <c r="A77" s="27" t="s">
        <v>245</v>
      </c>
      <c r="B77" s="4" t="s">
        <v>651</v>
      </c>
      <c r="C77" s="4" t="s">
        <v>661</v>
      </c>
      <c r="D77" s="4" t="s">
        <v>531</v>
      </c>
      <c r="E77" s="4" t="s">
        <v>312</v>
      </c>
      <c r="F77" s="29">
        <f>прил7!G70</f>
        <v>316455.33</v>
      </c>
      <c r="G77" s="29"/>
    </row>
    <row r="78" spans="1:7" ht="110.25">
      <c r="A78" s="27" t="s">
        <v>235</v>
      </c>
      <c r="B78" s="4" t="s">
        <v>651</v>
      </c>
      <c r="C78" s="4" t="s">
        <v>661</v>
      </c>
      <c r="D78" s="4" t="s">
        <v>250</v>
      </c>
      <c r="E78" s="4"/>
      <c r="F78" s="29">
        <f>F79</f>
        <v>412670</v>
      </c>
      <c r="G78" s="29"/>
    </row>
    <row r="79" spans="1:7" ht="126">
      <c r="A79" s="27" t="s">
        <v>245</v>
      </c>
      <c r="B79" s="4" t="s">
        <v>651</v>
      </c>
      <c r="C79" s="4" t="s">
        <v>661</v>
      </c>
      <c r="D79" s="4" t="s">
        <v>250</v>
      </c>
      <c r="E79" s="4" t="s">
        <v>312</v>
      </c>
      <c r="F79" s="29">
        <f>прил7!G72</f>
        <v>412670</v>
      </c>
      <c r="G79" s="29"/>
    </row>
    <row r="80" spans="1:7" ht="78.75">
      <c r="A80" s="27" t="s">
        <v>376</v>
      </c>
      <c r="B80" s="4" t="s">
        <v>651</v>
      </c>
      <c r="C80" s="4" t="s">
        <v>661</v>
      </c>
      <c r="D80" s="4" t="s">
        <v>389</v>
      </c>
      <c r="E80" s="4"/>
      <c r="F80" s="29">
        <f>F81+F83+F86</f>
        <v>12045933.32</v>
      </c>
      <c r="G80" s="29"/>
    </row>
    <row r="81" spans="1:7" ht="47.25">
      <c r="A81" s="27" t="s">
        <v>239</v>
      </c>
      <c r="B81" s="4" t="s">
        <v>651</v>
      </c>
      <c r="C81" s="4" t="s">
        <v>661</v>
      </c>
      <c r="D81" s="4" t="s">
        <v>255</v>
      </c>
      <c r="E81" s="4"/>
      <c r="F81" s="29">
        <f>F82</f>
        <v>11114980.94</v>
      </c>
      <c r="G81" s="29"/>
    </row>
    <row r="82" spans="1:7" ht="126">
      <c r="A82" s="27" t="s">
        <v>245</v>
      </c>
      <c r="B82" s="4" t="s">
        <v>651</v>
      </c>
      <c r="C82" s="4" t="s">
        <v>661</v>
      </c>
      <c r="D82" s="4" t="s">
        <v>255</v>
      </c>
      <c r="E82" s="4" t="s">
        <v>312</v>
      </c>
      <c r="F82" s="29">
        <f>прил7!G214</f>
        <v>11114980.94</v>
      </c>
      <c r="G82" s="29"/>
    </row>
    <row r="83" spans="1:7" ht="47.25">
      <c r="A83" s="27" t="s">
        <v>241</v>
      </c>
      <c r="B83" s="4" t="s">
        <v>651</v>
      </c>
      <c r="C83" s="4" t="s">
        <v>661</v>
      </c>
      <c r="D83" s="4" t="s">
        <v>256</v>
      </c>
      <c r="E83" s="4"/>
      <c r="F83" s="29">
        <f>F84+F85</f>
        <v>673603.38</v>
      </c>
      <c r="G83" s="29"/>
    </row>
    <row r="84" spans="1:7" ht="126">
      <c r="A84" s="27" t="s">
        <v>245</v>
      </c>
      <c r="B84" s="4" t="s">
        <v>651</v>
      </c>
      <c r="C84" s="4" t="s">
        <v>661</v>
      </c>
      <c r="D84" s="4" t="s">
        <v>256</v>
      </c>
      <c r="E84" s="4" t="s">
        <v>312</v>
      </c>
      <c r="F84" s="29">
        <f>прил7!G216</f>
        <v>5250</v>
      </c>
      <c r="G84" s="29"/>
    </row>
    <row r="85" spans="1:7" ht="47.25">
      <c r="A85" s="27" t="s">
        <v>702</v>
      </c>
      <c r="B85" s="4" t="s">
        <v>651</v>
      </c>
      <c r="C85" s="4" t="s">
        <v>661</v>
      </c>
      <c r="D85" s="4" t="s">
        <v>256</v>
      </c>
      <c r="E85" s="4" t="s">
        <v>313</v>
      </c>
      <c r="F85" s="29">
        <f>прил7!G217</f>
        <v>668353.38</v>
      </c>
      <c r="G85" s="29"/>
    </row>
    <row r="86" spans="1:7" ht="110.25">
      <c r="A86" s="27" t="s">
        <v>235</v>
      </c>
      <c r="B86" s="4" t="s">
        <v>651</v>
      </c>
      <c r="C86" s="4" t="s">
        <v>661</v>
      </c>
      <c r="D86" s="4" t="s">
        <v>257</v>
      </c>
      <c r="E86" s="4"/>
      <c r="F86" s="29">
        <f>F87</f>
        <v>257349</v>
      </c>
      <c r="G86" s="29"/>
    </row>
    <row r="87" spans="1:7" ht="126">
      <c r="A87" s="27" t="s">
        <v>245</v>
      </c>
      <c r="B87" s="4" t="s">
        <v>651</v>
      </c>
      <c r="C87" s="4" t="s">
        <v>661</v>
      </c>
      <c r="D87" s="4" t="s">
        <v>257</v>
      </c>
      <c r="E87" s="4" t="s">
        <v>312</v>
      </c>
      <c r="F87" s="29">
        <f>прил7!G219</f>
        <v>257349</v>
      </c>
      <c r="G87" s="29"/>
    </row>
    <row r="88" spans="1:7" ht="78.75">
      <c r="A88" s="21" t="s">
        <v>451</v>
      </c>
      <c r="B88" s="4" t="s">
        <v>651</v>
      </c>
      <c r="C88" s="4" t="s">
        <v>661</v>
      </c>
      <c r="D88" s="4" t="s">
        <v>452</v>
      </c>
      <c r="E88" s="4"/>
      <c r="F88" s="29">
        <f>F89+F91+F94</f>
        <v>7698469.26</v>
      </c>
      <c r="G88" s="29"/>
    </row>
    <row r="89" spans="1:7" ht="47.25">
      <c r="A89" s="21" t="s">
        <v>239</v>
      </c>
      <c r="B89" s="4" t="s">
        <v>651</v>
      </c>
      <c r="C89" s="4" t="s">
        <v>661</v>
      </c>
      <c r="D89" s="4" t="s">
        <v>270</v>
      </c>
      <c r="E89" s="4"/>
      <c r="F89" s="29">
        <f>F90</f>
        <v>7074817.4799999995</v>
      </c>
      <c r="G89" s="29"/>
    </row>
    <row r="90" spans="1:7" ht="126">
      <c r="A90" s="21" t="s">
        <v>245</v>
      </c>
      <c r="B90" s="4" t="s">
        <v>651</v>
      </c>
      <c r="C90" s="4" t="s">
        <v>661</v>
      </c>
      <c r="D90" s="4" t="s">
        <v>270</v>
      </c>
      <c r="E90" s="4" t="s">
        <v>312</v>
      </c>
      <c r="F90" s="29">
        <f>прил7!G672</f>
        <v>7074817.4799999995</v>
      </c>
      <c r="G90" s="29"/>
    </row>
    <row r="91" spans="1:7" ht="47.25">
      <c r="A91" s="21" t="s">
        <v>241</v>
      </c>
      <c r="B91" s="4" t="s">
        <v>651</v>
      </c>
      <c r="C91" s="4" t="s">
        <v>661</v>
      </c>
      <c r="D91" s="4" t="s">
        <v>271</v>
      </c>
      <c r="E91" s="4"/>
      <c r="F91" s="29">
        <f>F92+F93</f>
        <v>473651.77999999997</v>
      </c>
      <c r="G91" s="29"/>
    </row>
    <row r="92" spans="1:7" ht="126">
      <c r="A92" s="21" t="s">
        <v>245</v>
      </c>
      <c r="B92" s="4" t="s">
        <v>651</v>
      </c>
      <c r="C92" s="4" t="s">
        <v>661</v>
      </c>
      <c r="D92" s="4" t="s">
        <v>271</v>
      </c>
      <c r="E92" s="4" t="s">
        <v>312</v>
      </c>
      <c r="F92" s="29">
        <f>прил7!G674</f>
        <v>54047.95</v>
      </c>
      <c r="G92" s="29"/>
    </row>
    <row r="93" spans="1:7" ht="47.25">
      <c r="A93" s="21" t="s">
        <v>702</v>
      </c>
      <c r="B93" s="4" t="s">
        <v>651</v>
      </c>
      <c r="C93" s="4" t="s">
        <v>661</v>
      </c>
      <c r="D93" s="4" t="s">
        <v>271</v>
      </c>
      <c r="E93" s="4" t="s">
        <v>313</v>
      </c>
      <c r="F93" s="29">
        <f>прил7!G675</f>
        <v>419603.82999999996</v>
      </c>
      <c r="G93" s="29"/>
    </row>
    <row r="94" spans="1:7" ht="110.25">
      <c r="A94" s="21" t="s">
        <v>235</v>
      </c>
      <c r="B94" s="4" t="s">
        <v>651</v>
      </c>
      <c r="C94" s="4" t="s">
        <v>661</v>
      </c>
      <c r="D94" s="4" t="s">
        <v>272</v>
      </c>
      <c r="E94" s="4"/>
      <c r="F94" s="29">
        <f>F95</f>
        <v>150000</v>
      </c>
      <c r="G94" s="29"/>
    </row>
    <row r="95" spans="1:7" ht="126">
      <c r="A95" s="21" t="s">
        <v>245</v>
      </c>
      <c r="B95" s="4" t="s">
        <v>651</v>
      </c>
      <c r="C95" s="4" t="s">
        <v>661</v>
      </c>
      <c r="D95" s="4" t="s">
        <v>272</v>
      </c>
      <c r="E95" s="4" t="s">
        <v>312</v>
      </c>
      <c r="F95" s="29">
        <f>прил7!G677</f>
        <v>150000</v>
      </c>
      <c r="G95" s="29"/>
    </row>
    <row r="96" spans="1:7" ht="15.75" hidden="1">
      <c r="A96" s="13" t="s">
        <v>534</v>
      </c>
      <c r="B96" s="5" t="s">
        <v>651</v>
      </c>
      <c r="C96" s="5" t="s">
        <v>653</v>
      </c>
      <c r="D96" s="5"/>
      <c r="E96" s="5"/>
      <c r="F96" s="28">
        <f aca="true" t="shared" si="0" ref="F96:G98">F97</f>
        <v>0</v>
      </c>
      <c r="G96" s="28">
        <f t="shared" si="0"/>
        <v>0</v>
      </c>
    </row>
    <row r="97" spans="1:7" ht="24" customHeight="1" hidden="1">
      <c r="A97" s="3" t="s">
        <v>711</v>
      </c>
      <c r="B97" s="4" t="s">
        <v>651</v>
      </c>
      <c r="C97" s="4" t="s">
        <v>653</v>
      </c>
      <c r="D97" s="4" t="s">
        <v>700</v>
      </c>
      <c r="E97" s="4"/>
      <c r="F97" s="29">
        <f t="shared" si="0"/>
        <v>0</v>
      </c>
      <c r="G97" s="29">
        <f t="shared" si="0"/>
        <v>0</v>
      </c>
    </row>
    <row r="98" spans="1:7" ht="94.5" hidden="1">
      <c r="A98" s="3" t="s">
        <v>535</v>
      </c>
      <c r="B98" s="4" t="s">
        <v>651</v>
      </c>
      <c r="C98" s="4" t="s">
        <v>653</v>
      </c>
      <c r="D98" s="4" t="s">
        <v>536</v>
      </c>
      <c r="E98" s="4"/>
      <c r="F98" s="29">
        <f t="shared" si="0"/>
        <v>0</v>
      </c>
      <c r="G98" s="29">
        <f t="shared" si="0"/>
        <v>0</v>
      </c>
    </row>
    <row r="99" spans="1:7" ht="47.25" hidden="1">
      <c r="A99" s="6" t="s">
        <v>702</v>
      </c>
      <c r="B99" s="7" t="s">
        <v>651</v>
      </c>
      <c r="C99" s="7" t="s">
        <v>653</v>
      </c>
      <c r="D99" s="7" t="s">
        <v>536</v>
      </c>
      <c r="E99" s="7" t="s">
        <v>313</v>
      </c>
      <c r="F99" s="31"/>
      <c r="G99" s="31">
        <f>F99</f>
        <v>0</v>
      </c>
    </row>
    <row r="100" spans="1:7" ht="78.75">
      <c r="A100" s="1" t="s">
        <v>697</v>
      </c>
      <c r="B100" s="2" t="s">
        <v>651</v>
      </c>
      <c r="C100" s="2" t="s">
        <v>652</v>
      </c>
      <c r="D100" s="2"/>
      <c r="E100" s="2"/>
      <c r="F100" s="33">
        <f>F101</f>
        <v>3479304.8200000003</v>
      </c>
      <c r="G100" s="29"/>
    </row>
    <row r="101" spans="1:7" ht="15.75">
      <c r="A101" s="27" t="s">
        <v>699</v>
      </c>
      <c r="B101" s="4" t="s">
        <v>651</v>
      </c>
      <c r="C101" s="4" t="s">
        <v>652</v>
      </c>
      <c r="D101" s="4" t="s">
        <v>700</v>
      </c>
      <c r="E101" s="4"/>
      <c r="F101" s="29">
        <f>F102+F106+F108+F111+F104</f>
        <v>3479304.8200000003</v>
      </c>
      <c r="G101" s="29"/>
    </row>
    <row r="102" spans="1:7" ht="63">
      <c r="A102" s="27" t="s">
        <v>273</v>
      </c>
      <c r="B102" s="4" t="s">
        <v>651</v>
      </c>
      <c r="C102" s="4" t="s">
        <v>652</v>
      </c>
      <c r="D102" s="4" t="s">
        <v>274</v>
      </c>
      <c r="E102" s="4"/>
      <c r="F102" s="29">
        <f>F103</f>
        <v>1248234.08</v>
      </c>
      <c r="G102" s="29"/>
    </row>
    <row r="103" spans="1:7" ht="126">
      <c r="A103" s="27" t="s">
        <v>245</v>
      </c>
      <c r="B103" s="4" t="s">
        <v>651</v>
      </c>
      <c r="C103" s="4" t="s">
        <v>652</v>
      </c>
      <c r="D103" s="4" t="s">
        <v>274</v>
      </c>
      <c r="E103" s="4" t="s">
        <v>312</v>
      </c>
      <c r="F103" s="29">
        <f>прил7!G825</f>
        <v>1248234.08</v>
      </c>
      <c r="G103" s="29"/>
    </row>
    <row r="104" spans="1:7" ht="75" customHeight="1">
      <c r="A104" s="27" t="s">
        <v>58</v>
      </c>
      <c r="B104" s="4" t="s">
        <v>651</v>
      </c>
      <c r="C104" s="4" t="s">
        <v>652</v>
      </c>
      <c r="D104" s="4" t="s">
        <v>59</v>
      </c>
      <c r="E104" s="4"/>
      <c r="F104" s="29">
        <f>F105</f>
        <v>86099.9</v>
      </c>
      <c r="G104" s="29"/>
    </row>
    <row r="105" spans="1:7" ht="57.75" customHeight="1">
      <c r="A105" s="27" t="s">
        <v>702</v>
      </c>
      <c r="B105" s="4" t="s">
        <v>651</v>
      </c>
      <c r="C105" s="4" t="s">
        <v>652</v>
      </c>
      <c r="D105" s="4" t="s">
        <v>59</v>
      </c>
      <c r="E105" s="4" t="s">
        <v>313</v>
      </c>
      <c r="F105" s="29">
        <f>прил7!G827</f>
        <v>86099.9</v>
      </c>
      <c r="G105" s="29"/>
    </row>
    <row r="106" spans="1:7" ht="47.25">
      <c r="A106" s="27" t="s">
        <v>239</v>
      </c>
      <c r="B106" s="4" t="s">
        <v>651</v>
      </c>
      <c r="C106" s="4" t="s">
        <v>652</v>
      </c>
      <c r="D106" s="4" t="s">
        <v>240</v>
      </c>
      <c r="E106" s="4"/>
      <c r="F106" s="29">
        <f>F107</f>
        <v>1986148.24</v>
      </c>
      <c r="G106" s="29"/>
    </row>
    <row r="107" spans="1:7" ht="126">
      <c r="A107" s="27" t="s">
        <v>245</v>
      </c>
      <c r="B107" s="4" t="s">
        <v>651</v>
      </c>
      <c r="C107" s="4" t="s">
        <v>652</v>
      </c>
      <c r="D107" s="4" t="s">
        <v>240</v>
      </c>
      <c r="E107" s="4" t="s">
        <v>312</v>
      </c>
      <c r="F107" s="29">
        <f>прил7!G829</f>
        <v>1986148.24</v>
      </c>
      <c r="G107" s="29"/>
    </row>
    <row r="108" spans="1:7" ht="47.25">
      <c r="A108" s="27" t="s">
        <v>241</v>
      </c>
      <c r="B108" s="4" t="s">
        <v>651</v>
      </c>
      <c r="C108" s="4" t="s">
        <v>652</v>
      </c>
      <c r="D108" s="4" t="s">
        <v>242</v>
      </c>
      <c r="E108" s="4"/>
      <c r="F108" s="29">
        <f>F109+F110</f>
        <v>44422.6</v>
      </c>
      <c r="G108" s="29"/>
    </row>
    <row r="109" spans="1:7" ht="126" hidden="1">
      <c r="A109" s="27" t="s">
        <v>245</v>
      </c>
      <c r="B109" s="4" t="s">
        <v>651</v>
      </c>
      <c r="C109" s="4" t="s">
        <v>652</v>
      </c>
      <c r="D109" s="4" t="s">
        <v>242</v>
      </c>
      <c r="E109" s="4" t="s">
        <v>312</v>
      </c>
      <c r="F109" s="29">
        <f>прил7!G831</f>
        <v>0</v>
      </c>
      <c r="G109" s="29"/>
    </row>
    <row r="110" spans="1:7" ht="47.25">
      <c r="A110" s="27" t="s">
        <v>702</v>
      </c>
      <c r="B110" s="4" t="s">
        <v>651</v>
      </c>
      <c r="C110" s="4" t="s">
        <v>652</v>
      </c>
      <c r="D110" s="4" t="s">
        <v>242</v>
      </c>
      <c r="E110" s="4" t="s">
        <v>313</v>
      </c>
      <c r="F110" s="29">
        <f>прил7!G832</f>
        <v>44422.6</v>
      </c>
      <c r="G110" s="29"/>
    </row>
    <row r="111" spans="1:7" ht="114" customHeight="1">
      <c r="A111" s="3" t="s">
        <v>235</v>
      </c>
      <c r="B111" s="4" t="s">
        <v>651</v>
      </c>
      <c r="C111" s="4" t="s">
        <v>652</v>
      </c>
      <c r="D111" s="4" t="s">
        <v>236</v>
      </c>
      <c r="E111" s="4"/>
      <c r="F111" s="29">
        <f>F112</f>
        <v>114400</v>
      </c>
      <c r="G111" s="29"/>
    </row>
    <row r="112" spans="1:7" ht="153.75" customHeight="1">
      <c r="A112" s="3" t="s">
        <v>245</v>
      </c>
      <c r="B112" s="4" t="s">
        <v>651</v>
      </c>
      <c r="C112" s="4" t="s">
        <v>652</v>
      </c>
      <c r="D112" s="4" t="s">
        <v>236</v>
      </c>
      <c r="E112" s="4" t="s">
        <v>312</v>
      </c>
      <c r="F112" s="29">
        <f>прил7!G834</f>
        <v>114400</v>
      </c>
      <c r="G112" s="29"/>
    </row>
    <row r="113" spans="1:7" ht="22.5" customHeight="1">
      <c r="A113" s="13" t="s">
        <v>679</v>
      </c>
      <c r="B113" s="5" t="s">
        <v>651</v>
      </c>
      <c r="C113" s="5" t="s">
        <v>458</v>
      </c>
      <c r="D113" s="5"/>
      <c r="E113" s="5"/>
      <c r="F113" s="28">
        <f>F114</f>
        <v>414000</v>
      </c>
      <c r="G113" s="28"/>
    </row>
    <row r="114" spans="1:7" ht="31.5" customHeight="1">
      <c r="A114" s="3" t="s">
        <v>699</v>
      </c>
      <c r="B114" s="4" t="s">
        <v>651</v>
      </c>
      <c r="C114" s="4" t="s">
        <v>458</v>
      </c>
      <c r="D114" s="4" t="s">
        <v>700</v>
      </c>
      <c r="E114" s="4"/>
      <c r="F114" s="29">
        <f>F115</f>
        <v>414000</v>
      </c>
      <c r="G114" s="29"/>
    </row>
    <row r="115" spans="1:7" ht="31.5" customHeight="1">
      <c r="A115" s="3" t="s">
        <v>712</v>
      </c>
      <c r="B115" s="4" t="s">
        <v>651</v>
      </c>
      <c r="C115" s="4" t="s">
        <v>458</v>
      </c>
      <c r="D115" s="4" t="s">
        <v>783</v>
      </c>
      <c r="E115" s="4"/>
      <c r="F115" s="29">
        <f>F116</f>
        <v>414000</v>
      </c>
      <c r="G115" s="29"/>
    </row>
    <row r="116" spans="1:7" ht="31.5" customHeight="1">
      <c r="A116" s="3" t="s">
        <v>556</v>
      </c>
      <c r="B116" s="4" t="s">
        <v>651</v>
      </c>
      <c r="C116" s="4" t="s">
        <v>458</v>
      </c>
      <c r="D116" s="4" t="s">
        <v>783</v>
      </c>
      <c r="E116" s="4" t="s">
        <v>316</v>
      </c>
      <c r="F116" s="29">
        <f>прил7!G471</f>
        <v>414000</v>
      </c>
      <c r="G116" s="29"/>
    </row>
    <row r="117" spans="1:7" ht="31.5">
      <c r="A117" s="13" t="s">
        <v>680</v>
      </c>
      <c r="B117" s="5" t="s">
        <v>651</v>
      </c>
      <c r="C117" s="5" t="s">
        <v>310</v>
      </c>
      <c r="D117" s="23"/>
      <c r="E117" s="23"/>
      <c r="F117" s="28">
        <f>F118+F149+F125+F199+F129+F145+F161+F142+F135</f>
        <v>94695260.65</v>
      </c>
      <c r="G117" s="28">
        <f>G118+G149+G125+G199+G129+G145+G161+G142+G135</f>
        <v>1425500</v>
      </c>
    </row>
    <row r="118" spans="1:7" ht="78.75">
      <c r="A118" s="3" t="s">
        <v>542</v>
      </c>
      <c r="B118" s="4" t="s">
        <v>651</v>
      </c>
      <c r="C118" s="4" t="s">
        <v>310</v>
      </c>
      <c r="D118" s="4" t="s">
        <v>718</v>
      </c>
      <c r="E118" s="4"/>
      <c r="F118" s="29">
        <f>F121+F123+F119</f>
        <v>1824343.3399999999</v>
      </c>
      <c r="G118" s="29"/>
    </row>
    <row r="119" spans="1:7" ht="47.25">
      <c r="A119" s="3" t="s">
        <v>512</v>
      </c>
      <c r="B119" s="4" t="s">
        <v>651</v>
      </c>
      <c r="C119" s="4" t="s">
        <v>310</v>
      </c>
      <c r="D119" s="4" t="s">
        <v>399</v>
      </c>
      <c r="E119" s="4"/>
      <c r="F119" s="29">
        <f>F120</f>
        <v>854343.34</v>
      </c>
      <c r="G119" s="29"/>
    </row>
    <row r="120" spans="1:7" ht="47.25">
      <c r="A120" s="3" t="s">
        <v>702</v>
      </c>
      <c r="B120" s="4" t="s">
        <v>651</v>
      </c>
      <c r="C120" s="4" t="s">
        <v>310</v>
      </c>
      <c r="D120" s="4" t="s">
        <v>399</v>
      </c>
      <c r="E120" s="4" t="s">
        <v>313</v>
      </c>
      <c r="F120" s="29">
        <f>прил7!G229</f>
        <v>854343.34</v>
      </c>
      <c r="G120" s="29"/>
    </row>
    <row r="121" spans="1:7" ht="31.5">
      <c r="A121" s="3" t="s">
        <v>719</v>
      </c>
      <c r="B121" s="4" t="s">
        <v>651</v>
      </c>
      <c r="C121" s="4" t="s">
        <v>310</v>
      </c>
      <c r="D121" s="4" t="s">
        <v>720</v>
      </c>
      <c r="E121" s="4"/>
      <c r="F121" s="29">
        <f>F122</f>
        <v>670000</v>
      </c>
      <c r="G121" s="29"/>
    </row>
    <row r="122" spans="1:7" s="16" customFormat="1" ht="31.5">
      <c r="A122" s="3" t="s">
        <v>560</v>
      </c>
      <c r="B122" s="4" t="s">
        <v>651</v>
      </c>
      <c r="C122" s="4" t="s">
        <v>310</v>
      </c>
      <c r="D122" s="4" t="s">
        <v>720</v>
      </c>
      <c r="E122" s="4" t="s">
        <v>561</v>
      </c>
      <c r="F122" s="29">
        <f>прил7!G94</f>
        <v>670000</v>
      </c>
      <c r="G122" s="29"/>
    </row>
    <row r="123" spans="1:7" ht="47.25">
      <c r="A123" s="3" t="s">
        <v>721</v>
      </c>
      <c r="B123" s="4" t="s">
        <v>651</v>
      </c>
      <c r="C123" s="4" t="s">
        <v>310</v>
      </c>
      <c r="D123" s="4" t="s">
        <v>722</v>
      </c>
      <c r="E123" s="4"/>
      <c r="F123" s="29">
        <f>F124</f>
        <v>300000</v>
      </c>
      <c r="G123" s="29"/>
    </row>
    <row r="124" spans="1:7" ht="63">
      <c r="A124" s="60" t="s">
        <v>723</v>
      </c>
      <c r="B124" s="4" t="s">
        <v>651</v>
      </c>
      <c r="C124" s="4" t="s">
        <v>310</v>
      </c>
      <c r="D124" s="4" t="s">
        <v>722</v>
      </c>
      <c r="E124" s="4" t="s">
        <v>317</v>
      </c>
      <c r="F124" s="29">
        <f>прил7!G96</f>
        <v>300000</v>
      </c>
      <c r="G124" s="29"/>
    </row>
    <row r="125" spans="1:7" ht="78.75">
      <c r="A125" s="27" t="s">
        <v>543</v>
      </c>
      <c r="B125" s="4" t="s">
        <v>651</v>
      </c>
      <c r="C125" s="4" t="s">
        <v>310</v>
      </c>
      <c r="D125" s="4" t="s">
        <v>735</v>
      </c>
      <c r="E125" s="4"/>
      <c r="F125" s="29">
        <f>F126</f>
        <v>5000</v>
      </c>
      <c r="G125" s="29"/>
    </row>
    <row r="126" spans="1:7" ht="15.75">
      <c r="A126" s="60" t="s">
        <v>448</v>
      </c>
      <c r="B126" s="4" t="s">
        <v>651</v>
      </c>
      <c r="C126" s="4" t="s">
        <v>310</v>
      </c>
      <c r="D126" s="4" t="s">
        <v>449</v>
      </c>
      <c r="E126" s="4"/>
      <c r="F126" s="29">
        <f>F127</f>
        <v>5000</v>
      </c>
      <c r="G126" s="29"/>
    </row>
    <row r="127" spans="1:7" ht="31.5">
      <c r="A127" s="3" t="s">
        <v>719</v>
      </c>
      <c r="B127" s="4" t="s">
        <v>651</v>
      </c>
      <c r="C127" s="4" t="s">
        <v>310</v>
      </c>
      <c r="D127" s="4" t="s">
        <v>450</v>
      </c>
      <c r="E127" s="4"/>
      <c r="F127" s="29">
        <f>F128</f>
        <v>5000</v>
      </c>
      <c r="G127" s="29"/>
    </row>
    <row r="128" spans="1:7" ht="47.25">
      <c r="A128" s="3" t="s">
        <v>702</v>
      </c>
      <c r="B128" s="4" t="s">
        <v>651</v>
      </c>
      <c r="C128" s="4" t="s">
        <v>310</v>
      </c>
      <c r="D128" s="4" t="s">
        <v>450</v>
      </c>
      <c r="E128" s="4" t="s">
        <v>313</v>
      </c>
      <c r="F128" s="29">
        <f>прил7!G100</f>
        <v>5000</v>
      </c>
      <c r="G128" s="29"/>
    </row>
    <row r="129" spans="1:7" ht="78.75" hidden="1">
      <c r="A129" s="3" t="s">
        <v>544</v>
      </c>
      <c r="B129" s="4" t="s">
        <v>651</v>
      </c>
      <c r="C129" s="4" t="s">
        <v>310</v>
      </c>
      <c r="D129" s="4" t="s">
        <v>341</v>
      </c>
      <c r="E129" s="2"/>
      <c r="F129" s="29">
        <f>F130</f>
        <v>0</v>
      </c>
      <c r="G129" s="29"/>
    </row>
    <row r="130" spans="1:7" ht="63" hidden="1">
      <c r="A130" s="3" t="s">
        <v>431</v>
      </c>
      <c r="B130" s="4" t="s">
        <v>651</v>
      </c>
      <c r="C130" s="4" t="s">
        <v>310</v>
      </c>
      <c r="D130" s="4" t="s">
        <v>432</v>
      </c>
      <c r="E130" s="4"/>
      <c r="F130" s="29">
        <f>F131+F133</f>
        <v>0</v>
      </c>
      <c r="G130" s="29"/>
    </row>
    <row r="131" spans="1:7" ht="47.25" hidden="1">
      <c r="A131" s="3" t="s">
        <v>512</v>
      </c>
      <c r="B131" s="4" t="s">
        <v>651</v>
      </c>
      <c r="C131" s="4" t="s">
        <v>310</v>
      </c>
      <c r="D131" s="4" t="s">
        <v>433</v>
      </c>
      <c r="E131" s="4"/>
      <c r="F131" s="29">
        <f>F132</f>
        <v>0</v>
      </c>
      <c r="G131" s="29"/>
    </row>
    <row r="132" spans="1:7" ht="47.25" hidden="1">
      <c r="A132" s="3" t="s">
        <v>702</v>
      </c>
      <c r="B132" s="4" t="s">
        <v>651</v>
      </c>
      <c r="C132" s="4" t="s">
        <v>310</v>
      </c>
      <c r="D132" s="4" t="s">
        <v>433</v>
      </c>
      <c r="E132" s="4" t="s">
        <v>313</v>
      </c>
      <c r="F132" s="29">
        <f>прил7!G224</f>
        <v>0</v>
      </c>
      <c r="G132" s="29"/>
    </row>
    <row r="133" spans="1:7" ht="31.5" hidden="1">
      <c r="A133" s="3" t="s">
        <v>719</v>
      </c>
      <c r="B133" s="4" t="s">
        <v>651</v>
      </c>
      <c r="C133" s="4" t="s">
        <v>310</v>
      </c>
      <c r="D133" s="4" t="s">
        <v>434</v>
      </c>
      <c r="E133" s="4"/>
      <c r="F133" s="29">
        <f>F134</f>
        <v>0</v>
      </c>
      <c r="G133" s="29"/>
    </row>
    <row r="134" spans="1:7" ht="47.25" hidden="1">
      <c r="A134" s="3" t="s">
        <v>702</v>
      </c>
      <c r="B134" s="4" t="s">
        <v>651</v>
      </c>
      <c r="C134" s="4" t="s">
        <v>310</v>
      </c>
      <c r="D134" s="4" t="s">
        <v>434</v>
      </c>
      <c r="E134" s="4" t="s">
        <v>313</v>
      </c>
      <c r="F134" s="29">
        <f>прил7!G226</f>
        <v>0</v>
      </c>
      <c r="G134" s="29"/>
    </row>
    <row r="135" spans="1:7" ht="78.75">
      <c r="A135" s="3" t="s">
        <v>545</v>
      </c>
      <c r="B135" s="4" t="s">
        <v>651</v>
      </c>
      <c r="C135" s="4" t="s">
        <v>310</v>
      </c>
      <c r="D135" s="4" t="s">
        <v>406</v>
      </c>
      <c r="E135" s="4"/>
      <c r="F135" s="29">
        <f>F136+F139</f>
        <v>4160753</v>
      </c>
      <c r="G135" s="29"/>
    </row>
    <row r="136" spans="1:7" ht="63">
      <c r="A136" s="3" t="s">
        <v>407</v>
      </c>
      <c r="B136" s="4" t="s">
        <v>651</v>
      </c>
      <c r="C136" s="4" t="s">
        <v>310</v>
      </c>
      <c r="D136" s="4" t="s">
        <v>408</v>
      </c>
      <c r="E136" s="4"/>
      <c r="F136" s="29">
        <f>F137</f>
        <v>3000000</v>
      </c>
      <c r="G136" s="29"/>
    </row>
    <row r="137" spans="1:7" ht="31.5">
      <c r="A137" s="3" t="s">
        <v>719</v>
      </c>
      <c r="B137" s="4" t="s">
        <v>651</v>
      </c>
      <c r="C137" s="4" t="s">
        <v>310</v>
      </c>
      <c r="D137" s="4" t="s">
        <v>537</v>
      </c>
      <c r="E137" s="4"/>
      <c r="F137" s="29">
        <f>F138</f>
        <v>3000000</v>
      </c>
      <c r="G137" s="29"/>
    </row>
    <row r="138" spans="1:7" ht="47.25">
      <c r="A138" s="3" t="s">
        <v>702</v>
      </c>
      <c r="B138" s="4" t="s">
        <v>651</v>
      </c>
      <c r="C138" s="4" t="s">
        <v>310</v>
      </c>
      <c r="D138" s="4" t="s">
        <v>537</v>
      </c>
      <c r="E138" s="4" t="s">
        <v>313</v>
      </c>
      <c r="F138" s="29">
        <f>прил7!G233</f>
        <v>3000000</v>
      </c>
      <c r="G138" s="29"/>
    </row>
    <row r="139" spans="1:7" ht="78.75">
      <c r="A139" s="3" t="s">
        <v>411</v>
      </c>
      <c r="B139" s="4" t="s">
        <v>651</v>
      </c>
      <c r="C139" s="4" t="s">
        <v>310</v>
      </c>
      <c r="D139" s="4" t="s">
        <v>412</v>
      </c>
      <c r="E139" s="4"/>
      <c r="F139" s="29">
        <f>F140</f>
        <v>1160753</v>
      </c>
      <c r="G139" s="29"/>
    </row>
    <row r="140" spans="1:7" ht="47.25" customHeight="1">
      <c r="A140" s="3" t="s">
        <v>719</v>
      </c>
      <c r="B140" s="4" t="s">
        <v>651</v>
      </c>
      <c r="C140" s="4" t="s">
        <v>310</v>
      </c>
      <c r="D140" s="4" t="s">
        <v>413</v>
      </c>
      <c r="E140" s="4"/>
      <c r="F140" s="29">
        <f>F141</f>
        <v>1160753</v>
      </c>
      <c r="G140" s="29"/>
    </row>
    <row r="141" spans="1:7" ht="47.25">
      <c r="A141" s="3" t="s">
        <v>702</v>
      </c>
      <c r="B141" s="4" t="s">
        <v>651</v>
      </c>
      <c r="C141" s="4" t="s">
        <v>310</v>
      </c>
      <c r="D141" s="4" t="s">
        <v>413</v>
      </c>
      <c r="E141" s="4" t="s">
        <v>313</v>
      </c>
      <c r="F141" s="29">
        <f>прил7!G236</f>
        <v>1160753</v>
      </c>
      <c r="G141" s="29"/>
    </row>
    <row r="142" spans="1:7" ht="63" hidden="1">
      <c r="A142" s="3" t="s">
        <v>546</v>
      </c>
      <c r="B142" s="4" t="s">
        <v>651</v>
      </c>
      <c r="C142" s="4" t="s">
        <v>310</v>
      </c>
      <c r="D142" s="4" t="s">
        <v>363</v>
      </c>
      <c r="E142" s="4"/>
      <c r="F142" s="29">
        <f>F143</f>
        <v>0</v>
      </c>
      <c r="G142" s="29"/>
    </row>
    <row r="143" spans="1:7" ht="47.25" hidden="1">
      <c r="A143" s="3" t="s">
        <v>512</v>
      </c>
      <c r="B143" s="4" t="s">
        <v>651</v>
      </c>
      <c r="C143" s="4" t="s">
        <v>310</v>
      </c>
      <c r="D143" s="4" t="s">
        <v>364</v>
      </c>
      <c r="E143" s="4"/>
      <c r="F143" s="29">
        <f>F144</f>
        <v>0</v>
      </c>
      <c r="G143" s="29"/>
    </row>
    <row r="144" spans="1:7" ht="47.25" hidden="1">
      <c r="A144" s="3" t="s">
        <v>702</v>
      </c>
      <c r="B144" s="4" t="s">
        <v>651</v>
      </c>
      <c r="C144" s="4" t="s">
        <v>310</v>
      </c>
      <c r="D144" s="4" t="s">
        <v>364</v>
      </c>
      <c r="E144" s="4" t="s">
        <v>313</v>
      </c>
      <c r="F144" s="29">
        <f>прил7!G239</f>
        <v>0</v>
      </c>
      <c r="G144" s="29"/>
    </row>
    <row r="145" spans="1:7" ht="94.5">
      <c r="A145" s="3" t="s">
        <v>547</v>
      </c>
      <c r="B145" s="4" t="s">
        <v>651</v>
      </c>
      <c r="C145" s="4" t="s">
        <v>310</v>
      </c>
      <c r="D145" s="4" t="s">
        <v>299</v>
      </c>
      <c r="E145" s="4"/>
      <c r="F145" s="29">
        <f>F146</f>
        <v>160235</v>
      </c>
      <c r="G145" s="29"/>
    </row>
    <row r="146" spans="1:7" ht="31.5">
      <c r="A146" s="3" t="s">
        <v>719</v>
      </c>
      <c r="B146" s="4" t="s">
        <v>651</v>
      </c>
      <c r="C146" s="4" t="s">
        <v>310</v>
      </c>
      <c r="D146" s="4" t="s">
        <v>300</v>
      </c>
      <c r="E146" s="4"/>
      <c r="F146" s="29">
        <f>F147+F148</f>
        <v>160235</v>
      </c>
      <c r="G146" s="29"/>
    </row>
    <row r="147" spans="1:7" ht="47.25">
      <c r="A147" s="3" t="s">
        <v>702</v>
      </c>
      <c r="B147" s="4" t="s">
        <v>651</v>
      </c>
      <c r="C147" s="4" t="s">
        <v>310</v>
      </c>
      <c r="D147" s="4" t="s">
        <v>300</v>
      </c>
      <c r="E147" s="4" t="s">
        <v>313</v>
      </c>
      <c r="F147" s="29">
        <f>прил7!G242+прил7!G103</f>
        <v>107600</v>
      </c>
      <c r="G147" s="29"/>
    </row>
    <row r="148" spans="1:7" ht="31.5" customHeight="1">
      <c r="A148" s="3" t="s">
        <v>556</v>
      </c>
      <c r="B148" s="4" t="s">
        <v>651</v>
      </c>
      <c r="C148" s="4" t="s">
        <v>310</v>
      </c>
      <c r="D148" s="4" t="s">
        <v>300</v>
      </c>
      <c r="E148" s="4" t="s">
        <v>316</v>
      </c>
      <c r="F148" s="29">
        <f>прил7!G243</f>
        <v>52635</v>
      </c>
      <c r="G148" s="29"/>
    </row>
    <row r="149" spans="1:7" ht="47.25">
      <c r="A149" s="3" t="s">
        <v>548</v>
      </c>
      <c r="B149" s="4" t="s">
        <v>651</v>
      </c>
      <c r="C149" s="4" t="s">
        <v>310</v>
      </c>
      <c r="D149" s="4" t="s">
        <v>703</v>
      </c>
      <c r="E149" s="4"/>
      <c r="F149" s="29">
        <f>F150</f>
        <v>22514879.14</v>
      </c>
      <c r="G149" s="29">
        <f>G150</f>
        <v>360500</v>
      </c>
    </row>
    <row r="150" spans="1:7" ht="94.5">
      <c r="A150" s="60" t="s">
        <v>730</v>
      </c>
      <c r="B150" s="4" t="s">
        <v>651</v>
      </c>
      <c r="C150" s="4" t="s">
        <v>310</v>
      </c>
      <c r="D150" s="4" t="s">
        <v>731</v>
      </c>
      <c r="E150" s="4"/>
      <c r="F150" s="29">
        <f>F157+F151+F155+F153+F159</f>
        <v>22514879.14</v>
      </c>
      <c r="G150" s="29">
        <f>G157+G151+G155+G153+G159</f>
        <v>360500</v>
      </c>
    </row>
    <row r="151" spans="1:7" ht="110.25">
      <c r="A151" s="3" t="s">
        <v>493</v>
      </c>
      <c r="B151" s="4" t="s">
        <v>651</v>
      </c>
      <c r="C151" s="4" t="s">
        <v>310</v>
      </c>
      <c r="D151" s="4" t="s">
        <v>374</v>
      </c>
      <c r="E151" s="4"/>
      <c r="F151" s="29">
        <f>F152</f>
        <v>19531569.14</v>
      </c>
      <c r="G151" s="29"/>
    </row>
    <row r="152" spans="1:7" ht="77.25" customHeight="1">
      <c r="A152" s="3" t="s">
        <v>723</v>
      </c>
      <c r="B152" s="4" t="s">
        <v>651</v>
      </c>
      <c r="C152" s="4" t="s">
        <v>310</v>
      </c>
      <c r="D152" s="4" t="s">
        <v>374</v>
      </c>
      <c r="E152" s="4" t="s">
        <v>317</v>
      </c>
      <c r="F152" s="29">
        <f>прил7!G107</f>
        <v>19531569.14</v>
      </c>
      <c r="G152" s="29"/>
    </row>
    <row r="153" spans="1:7" ht="31.5" hidden="1">
      <c r="A153" s="3" t="s">
        <v>719</v>
      </c>
      <c r="B153" s="4" t="s">
        <v>651</v>
      </c>
      <c r="C153" s="4" t="s">
        <v>310</v>
      </c>
      <c r="D153" s="4" t="s">
        <v>418</v>
      </c>
      <c r="E153" s="4"/>
      <c r="F153" s="29">
        <f>F154</f>
        <v>0</v>
      </c>
      <c r="G153" s="29"/>
    </row>
    <row r="154" spans="1:7" ht="47.25" hidden="1">
      <c r="A154" s="3" t="s">
        <v>702</v>
      </c>
      <c r="B154" s="4" t="s">
        <v>651</v>
      </c>
      <c r="C154" s="4" t="s">
        <v>310</v>
      </c>
      <c r="D154" s="4" t="s">
        <v>418</v>
      </c>
      <c r="E154" s="4" t="s">
        <v>313</v>
      </c>
      <c r="F154" s="29">
        <f>прил7!G249</f>
        <v>0</v>
      </c>
      <c r="G154" s="29"/>
    </row>
    <row r="155" spans="1:7" ht="47.25">
      <c r="A155" s="3" t="s">
        <v>512</v>
      </c>
      <c r="B155" s="4" t="s">
        <v>651</v>
      </c>
      <c r="C155" s="4" t="s">
        <v>310</v>
      </c>
      <c r="D155" s="4" t="s">
        <v>53</v>
      </c>
      <c r="E155" s="4"/>
      <c r="F155" s="29">
        <f>F156</f>
        <v>2622810</v>
      </c>
      <c r="G155" s="29"/>
    </row>
    <row r="156" spans="1:7" ht="47.25">
      <c r="A156" s="3" t="s">
        <v>702</v>
      </c>
      <c r="B156" s="4" t="s">
        <v>651</v>
      </c>
      <c r="C156" s="4" t="s">
        <v>310</v>
      </c>
      <c r="D156" s="4" t="s">
        <v>53</v>
      </c>
      <c r="E156" s="4" t="s">
        <v>313</v>
      </c>
      <c r="F156" s="29">
        <f>прил7!G250</f>
        <v>2622810</v>
      </c>
      <c r="G156" s="29"/>
    </row>
    <row r="157" spans="1:7" ht="47.25" hidden="1">
      <c r="A157" s="60" t="s">
        <v>732</v>
      </c>
      <c r="B157" s="4" t="s">
        <v>651</v>
      </c>
      <c r="C157" s="4" t="s">
        <v>310</v>
      </c>
      <c r="D157" s="4" t="s">
        <v>733</v>
      </c>
      <c r="E157" s="4"/>
      <c r="F157" s="29">
        <f>F158</f>
        <v>0</v>
      </c>
      <c r="G157" s="29">
        <f>G158</f>
        <v>0</v>
      </c>
    </row>
    <row r="158" spans="1:7" ht="47.25" hidden="1">
      <c r="A158" s="3" t="s">
        <v>702</v>
      </c>
      <c r="B158" s="4" t="s">
        <v>651</v>
      </c>
      <c r="C158" s="4" t="s">
        <v>310</v>
      </c>
      <c r="D158" s="4" t="s">
        <v>733</v>
      </c>
      <c r="E158" s="4" t="s">
        <v>313</v>
      </c>
      <c r="F158" s="29">
        <f>прил7!G253</f>
        <v>0</v>
      </c>
      <c r="G158" s="29">
        <f>F158</f>
        <v>0</v>
      </c>
    </row>
    <row r="159" spans="1:7" ht="47.25">
      <c r="A159" s="3" t="s">
        <v>732</v>
      </c>
      <c r="B159" s="4" t="s">
        <v>651</v>
      </c>
      <c r="C159" s="4" t="s">
        <v>310</v>
      </c>
      <c r="D159" s="4" t="s">
        <v>780</v>
      </c>
      <c r="E159" s="4"/>
      <c r="F159" s="29">
        <f>F160</f>
        <v>360500</v>
      </c>
      <c r="G159" s="29">
        <f>G160</f>
        <v>360500</v>
      </c>
    </row>
    <row r="160" spans="1:7" ht="47.25">
      <c r="A160" s="3" t="s">
        <v>702</v>
      </c>
      <c r="B160" s="4" t="s">
        <v>651</v>
      </c>
      <c r="C160" s="4" t="s">
        <v>310</v>
      </c>
      <c r="D160" s="4" t="s">
        <v>780</v>
      </c>
      <c r="E160" s="4" t="s">
        <v>313</v>
      </c>
      <c r="F160" s="29">
        <f>прил7!G255</f>
        <v>360500</v>
      </c>
      <c r="G160" s="29">
        <f>F160</f>
        <v>360500</v>
      </c>
    </row>
    <row r="161" spans="1:7" ht="63">
      <c r="A161" s="27" t="s">
        <v>541</v>
      </c>
      <c r="B161" s="4" t="s">
        <v>651</v>
      </c>
      <c r="C161" s="4" t="s">
        <v>310</v>
      </c>
      <c r="D161" s="4" t="s">
        <v>708</v>
      </c>
      <c r="E161" s="4"/>
      <c r="F161" s="29">
        <f>F162+F173+F186+F168+F179+F195</f>
        <v>62190605.46000001</v>
      </c>
      <c r="G161" s="29">
        <f>G162+G173+G186+G168+G179</f>
        <v>1065000</v>
      </c>
    </row>
    <row r="162" spans="1:7" ht="47.25">
      <c r="A162" s="27" t="s">
        <v>709</v>
      </c>
      <c r="B162" s="4" t="s">
        <v>651</v>
      </c>
      <c r="C162" s="4" t="s">
        <v>310</v>
      </c>
      <c r="D162" s="4" t="s">
        <v>710</v>
      </c>
      <c r="E162" s="4"/>
      <c r="F162" s="29">
        <f>F163+F165</f>
        <v>1065000</v>
      </c>
      <c r="G162" s="29">
        <f>G163+G165</f>
        <v>1065000</v>
      </c>
    </row>
    <row r="163" spans="1:7" ht="220.5">
      <c r="A163" s="3" t="s">
        <v>324</v>
      </c>
      <c r="B163" s="4" t="s">
        <v>651</v>
      </c>
      <c r="C163" s="4" t="s">
        <v>310</v>
      </c>
      <c r="D163" s="4" t="s">
        <v>714</v>
      </c>
      <c r="E163" s="4"/>
      <c r="F163" s="29">
        <f>F164</f>
        <v>6000</v>
      </c>
      <c r="G163" s="29">
        <f>G164</f>
        <v>6000</v>
      </c>
    </row>
    <row r="164" spans="1:7" ht="47.25">
      <c r="A164" s="3" t="s">
        <v>702</v>
      </c>
      <c r="B164" s="4" t="s">
        <v>651</v>
      </c>
      <c r="C164" s="4" t="s">
        <v>310</v>
      </c>
      <c r="D164" s="4" t="s">
        <v>714</v>
      </c>
      <c r="E164" s="4" t="s">
        <v>313</v>
      </c>
      <c r="F164" s="29">
        <f>прил7!G111</f>
        <v>6000</v>
      </c>
      <c r="G164" s="29">
        <f>F164</f>
        <v>6000</v>
      </c>
    </row>
    <row r="165" spans="1:7" ht="47.25">
      <c r="A165" s="3" t="s">
        <v>715</v>
      </c>
      <c r="B165" s="4" t="s">
        <v>651</v>
      </c>
      <c r="C165" s="4" t="s">
        <v>310</v>
      </c>
      <c r="D165" s="4" t="s">
        <v>716</v>
      </c>
      <c r="E165" s="4"/>
      <c r="F165" s="29">
        <f>F166+F167</f>
        <v>1059000</v>
      </c>
      <c r="G165" s="29">
        <f>G166+G167</f>
        <v>1059000</v>
      </c>
    </row>
    <row r="166" spans="1:7" ht="126">
      <c r="A166" s="3" t="s">
        <v>701</v>
      </c>
      <c r="B166" s="4" t="s">
        <v>651</v>
      </c>
      <c r="C166" s="4" t="s">
        <v>310</v>
      </c>
      <c r="D166" s="4" t="s">
        <v>716</v>
      </c>
      <c r="E166" s="4" t="s">
        <v>312</v>
      </c>
      <c r="F166" s="29">
        <f>прил7!G113</f>
        <v>879260</v>
      </c>
      <c r="G166" s="29">
        <f>F166</f>
        <v>879260</v>
      </c>
    </row>
    <row r="167" spans="1:7" ht="47.25">
      <c r="A167" s="3" t="s">
        <v>702</v>
      </c>
      <c r="B167" s="4" t="s">
        <v>651</v>
      </c>
      <c r="C167" s="4" t="s">
        <v>310</v>
      </c>
      <c r="D167" s="4" t="s">
        <v>716</v>
      </c>
      <c r="E167" s="4" t="s">
        <v>313</v>
      </c>
      <c r="F167" s="29">
        <f>прил7!G114</f>
        <v>179740</v>
      </c>
      <c r="G167" s="29">
        <f>F167</f>
        <v>179740</v>
      </c>
    </row>
    <row r="168" spans="1:7" ht="78.75">
      <c r="A168" s="27" t="s">
        <v>376</v>
      </c>
      <c r="B168" s="4" t="s">
        <v>651</v>
      </c>
      <c r="C168" s="4" t="s">
        <v>310</v>
      </c>
      <c r="D168" s="4" t="s">
        <v>389</v>
      </c>
      <c r="E168" s="4"/>
      <c r="F168" s="29">
        <f>F169+F171</f>
        <v>739103.95</v>
      </c>
      <c r="G168" s="29"/>
    </row>
    <row r="169" spans="1:7" ht="63">
      <c r="A169" s="27" t="s">
        <v>648</v>
      </c>
      <c r="B169" s="4" t="s">
        <v>651</v>
      </c>
      <c r="C169" s="4" t="s">
        <v>310</v>
      </c>
      <c r="D169" s="4" t="s">
        <v>388</v>
      </c>
      <c r="E169" s="4"/>
      <c r="F169" s="29">
        <f>F170</f>
        <v>663103.95</v>
      </c>
      <c r="G169" s="29"/>
    </row>
    <row r="170" spans="1:7" ht="47.25">
      <c r="A170" s="3" t="s">
        <v>702</v>
      </c>
      <c r="B170" s="4" t="s">
        <v>651</v>
      </c>
      <c r="C170" s="4" t="s">
        <v>310</v>
      </c>
      <c r="D170" s="4" t="s">
        <v>388</v>
      </c>
      <c r="E170" s="4" t="s">
        <v>313</v>
      </c>
      <c r="F170" s="29">
        <f>прил7!G259</f>
        <v>663103.95</v>
      </c>
      <c r="G170" s="29"/>
    </row>
    <row r="171" spans="1:7" ht="31.5">
      <c r="A171" s="3" t="s">
        <v>719</v>
      </c>
      <c r="B171" s="4" t="s">
        <v>651</v>
      </c>
      <c r="C171" s="4" t="s">
        <v>310</v>
      </c>
      <c r="D171" s="4" t="s">
        <v>54</v>
      </c>
      <c r="E171" s="4"/>
      <c r="F171" s="29">
        <f>F172</f>
        <v>76000</v>
      </c>
      <c r="G171" s="29"/>
    </row>
    <row r="172" spans="1:7" ht="47.25">
      <c r="A172" s="3" t="s">
        <v>702</v>
      </c>
      <c r="B172" s="4" t="s">
        <v>651</v>
      </c>
      <c r="C172" s="4" t="s">
        <v>310</v>
      </c>
      <c r="D172" s="4" t="s">
        <v>54</v>
      </c>
      <c r="E172" s="4" t="s">
        <v>313</v>
      </c>
      <c r="F172" s="29">
        <f>прил7!G261</f>
        <v>76000</v>
      </c>
      <c r="G172" s="29"/>
    </row>
    <row r="173" spans="1:7" ht="31.5">
      <c r="A173" s="3" t="s">
        <v>377</v>
      </c>
      <c r="B173" s="4" t="s">
        <v>651</v>
      </c>
      <c r="C173" s="4" t="s">
        <v>310</v>
      </c>
      <c r="D173" s="4" t="s">
        <v>378</v>
      </c>
      <c r="E173" s="4"/>
      <c r="F173" s="29">
        <f>F174+F177</f>
        <v>6468977.5</v>
      </c>
      <c r="G173" s="29"/>
    </row>
    <row r="174" spans="1:7" ht="110.25">
      <c r="A174" s="3" t="s">
        <v>493</v>
      </c>
      <c r="B174" s="4" t="s">
        <v>651</v>
      </c>
      <c r="C174" s="4" t="s">
        <v>310</v>
      </c>
      <c r="D174" s="4" t="s">
        <v>379</v>
      </c>
      <c r="E174" s="4"/>
      <c r="F174" s="29">
        <f>F175+F176</f>
        <v>6356350</v>
      </c>
      <c r="G174" s="29"/>
    </row>
    <row r="175" spans="1:7" ht="126">
      <c r="A175" s="3" t="s">
        <v>701</v>
      </c>
      <c r="B175" s="4" t="s">
        <v>651</v>
      </c>
      <c r="C175" s="4" t="s">
        <v>310</v>
      </c>
      <c r="D175" s="4" t="s">
        <v>379</v>
      </c>
      <c r="E175" s="4" t="s">
        <v>312</v>
      </c>
      <c r="F175" s="29">
        <f>прил7!G117</f>
        <v>5111061.5</v>
      </c>
      <c r="G175" s="29"/>
    </row>
    <row r="176" spans="1:7" ht="47.25">
      <c r="A176" s="3" t="s">
        <v>702</v>
      </c>
      <c r="B176" s="4" t="s">
        <v>651</v>
      </c>
      <c r="C176" s="4" t="s">
        <v>310</v>
      </c>
      <c r="D176" s="4" t="s">
        <v>379</v>
      </c>
      <c r="E176" s="4" t="s">
        <v>313</v>
      </c>
      <c r="F176" s="29">
        <f>прил7!G118</f>
        <v>1245288.5</v>
      </c>
      <c r="G176" s="29"/>
    </row>
    <row r="177" spans="1:7" ht="110.25">
      <c r="A177" s="3" t="s">
        <v>235</v>
      </c>
      <c r="B177" s="4" t="s">
        <v>651</v>
      </c>
      <c r="C177" s="4" t="s">
        <v>310</v>
      </c>
      <c r="D177" s="4" t="s">
        <v>251</v>
      </c>
      <c r="E177" s="4"/>
      <c r="F177" s="29">
        <f>F178</f>
        <v>112627.5</v>
      </c>
      <c r="G177" s="29"/>
    </row>
    <row r="178" spans="1:7" ht="126">
      <c r="A178" s="3" t="s">
        <v>245</v>
      </c>
      <c r="B178" s="4" t="s">
        <v>651</v>
      </c>
      <c r="C178" s="4" t="s">
        <v>310</v>
      </c>
      <c r="D178" s="4" t="s">
        <v>251</v>
      </c>
      <c r="E178" s="4" t="s">
        <v>312</v>
      </c>
      <c r="F178" s="29">
        <f>прил7!G120</f>
        <v>112627.5</v>
      </c>
      <c r="G178" s="29"/>
    </row>
    <row r="179" spans="1:7" ht="78.75">
      <c r="A179" s="3" t="s">
        <v>338</v>
      </c>
      <c r="B179" s="4" t="s">
        <v>651</v>
      </c>
      <c r="C179" s="4" t="s">
        <v>310</v>
      </c>
      <c r="D179" s="4" t="s">
        <v>339</v>
      </c>
      <c r="E179" s="4"/>
      <c r="F179" s="29">
        <f>F180+F184</f>
        <v>20943614</v>
      </c>
      <c r="G179" s="29"/>
    </row>
    <row r="180" spans="1:7" ht="110.25">
      <c r="A180" s="3" t="s">
        <v>493</v>
      </c>
      <c r="B180" s="4" t="s">
        <v>651</v>
      </c>
      <c r="C180" s="4" t="s">
        <v>310</v>
      </c>
      <c r="D180" s="4" t="s">
        <v>380</v>
      </c>
      <c r="E180" s="4"/>
      <c r="F180" s="29">
        <f>F181+F182+F183</f>
        <v>20687114</v>
      </c>
      <c r="G180" s="29"/>
    </row>
    <row r="181" spans="1:7" ht="126">
      <c r="A181" s="3" t="s">
        <v>701</v>
      </c>
      <c r="B181" s="4" t="s">
        <v>651</v>
      </c>
      <c r="C181" s="4" t="s">
        <v>310</v>
      </c>
      <c r="D181" s="4" t="s">
        <v>380</v>
      </c>
      <c r="E181" s="4" t="s">
        <v>312</v>
      </c>
      <c r="F181" s="29">
        <f>прил7!G264</f>
        <v>19243314</v>
      </c>
      <c r="G181" s="29"/>
    </row>
    <row r="182" spans="1:7" ht="47.25">
      <c r="A182" s="3" t="s">
        <v>702</v>
      </c>
      <c r="B182" s="4" t="s">
        <v>651</v>
      </c>
      <c r="C182" s="4" t="s">
        <v>310</v>
      </c>
      <c r="D182" s="4" t="s">
        <v>380</v>
      </c>
      <c r="E182" s="4" t="s">
        <v>313</v>
      </c>
      <c r="F182" s="29">
        <f>прил7!G265</f>
        <v>1440800</v>
      </c>
      <c r="G182" s="29"/>
    </row>
    <row r="183" spans="1:7" ht="15.75">
      <c r="A183" s="3" t="s">
        <v>556</v>
      </c>
      <c r="B183" s="4" t="s">
        <v>651</v>
      </c>
      <c r="C183" s="4" t="s">
        <v>310</v>
      </c>
      <c r="D183" s="4" t="s">
        <v>380</v>
      </c>
      <c r="E183" s="4" t="s">
        <v>316</v>
      </c>
      <c r="F183" s="29">
        <f>прил7!G266</f>
        <v>3000</v>
      </c>
      <c r="G183" s="29"/>
    </row>
    <row r="184" spans="1:7" ht="110.25">
      <c r="A184" s="3" t="s">
        <v>235</v>
      </c>
      <c r="B184" s="4" t="s">
        <v>651</v>
      </c>
      <c r="C184" s="4" t="s">
        <v>310</v>
      </c>
      <c r="D184" s="4" t="s">
        <v>258</v>
      </c>
      <c r="E184" s="4"/>
      <c r="F184" s="29">
        <f>F185</f>
        <v>256500</v>
      </c>
      <c r="G184" s="29"/>
    </row>
    <row r="185" spans="1:7" ht="126">
      <c r="A185" s="3" t="s">
        <v>245</v>
      </c>
      <c r="B185" s="4" t="s">
        <v>651</v>
      </c>
      <c r="C185" s="4" t="s">
        <v>310</v>
      </c>
      <c r="D185" s="4" t="s">
        <v>258</v>
      </c>
      <c r="E185" s="4" t="s">
        <v>312</v>
      </c>
      <c r="F185" s="29">
        <f>прил7!G268</f>
        <v>256500</v>
      </c>
      <c r="G185" s="29"/>
    </row>
    <row r="186" spans="1:7" ht="47.25">
      <c r="A186" s="3" t="s">
        <v>381</v>
      </c>
      <c r="B186" s="4" t="s">
        <v>651</v>
      </c>
      <c r="C186" s="4" t="s">
        <v>310</v>
      </c>
      <c r="D186" s="4" t="s">
        <v>382</v>
      </c>
      <c r="E186" s="4"/>
      <c r="F186" s="29">
        <f>F187+F193+F191</f>
        <v>32259990.020000003</v>
      </c>
      <c r="G186" s="29"/>
    </row>
    <row r="187" spans="1:7" ht="110.25">
      <c r="A187" s="3" t="s">
        <v>493</v>
      </c>
      <c r="B187" s="4" t="s">
        <v>651</v>
      </c>
      <c r="C187" s="4" t="s">
        <v>310</v>
      </c>
      <c r="D187" s="4" t="s">
        <v>383</v>
      </c>
      <c r="E187" s="4"/>
      <c r="F187" s="29">
        <f>F188+F189+F190</f>
        <v>31578287.520000003</v>
      </c>
      <c r="G187" s="29"/>
    </row>
    <row r="188" spans="1:7" ht="126">
      <c r="A188" s="3" t="s">
        <v>701</v>
      </c>
      <c r="B188" s="4" t="s">
        <v>651</v>
      </c>
      <c r="C188" s="4" t="s">
        <v>310</v>
      </c>
      <c r="D188" s="4" t="s">
        <v>383</v>
      </c>
      <c r="E188" s="4" t="s">
        <v>312</v>
      </c>
      <c r="F188" s="29">
        <f>прил7!G123</f>
        <v>17811457.5</v>
      </c>
      <c r="G188" s="29"/>
    </row>
    <row r="189" spans="1:7" ht="47.25">
      <c r="A189" s="3" t="s">
        <v>702</v>
      </c>
      <c r="B189" s="4" t="s">
        <v>651</v>
      </c>
      <c r="C189" s="4" t="s">
        <v>310</v>
      </c>
      <c r="D189" s="4" t="s">
        <v>383</v>
      </c>
      <c r="E189" s="4" t="s">
        <v>313</v>
      </c>
      <c r="F189" s="74">
        <f>прил7!G124</f>
        <v>13592112.520000001</v>
      </c>
      <c r="G189" s="29"/>
    </row>
    <row r="190" spans="1:7" ht="15.75">
      <c r="A190" s="3" t="s">
        <v>556</v>
      </c>
      <c r="B190" s="4" t="s">
        <v>651</v>
      </c>
      <c r="C190" s="4" t="s">
        <v>310</v>
      </c>
      <c r="D190" s="4" t="s">
        <v>383</v>
      </c>
      <c r="E190" s="61">
        <v>800</v>
      </c>
      <c r="F190" s="74">
        <f>прил7!G125</f>
        <v>174717.5</v>
      </c>
      <c r="G190" s="29"/>
    </row>
    <row r="191" spans="1:7" ht="31.5">
      <c r="A191" s="3" t="s">
        <v>719</v>
      </c>
      <c r="B191" s="4" t="s">
        <v>651</v>
      </c>
      <c r="C191" s="4" t="s">
        <v>310</v>
      </c>
      <c r="D191" s="4" t="s">
        <v>278</v>
      </c>
      <c r="E191" s="61"/>
      <c r="F191" s="74">
        <f>F192</f>
        <v>222000</v>
      </c>
      <c r="G191" s="29"/>
    </row>
    <row r="192" spans="1:7" ht="47.25">
      <c r="A192" s="3" t="s">
        <v>702</v>
      </c>
      <c r="B192" s="4" t="s">
        <v>651</v>
      </c>
      <c r="C192" s="4" t="s">
        <v>310</v>
      </c>
      <c r="D192" s="4" t="s">
        <v>278</v>
      </c>
      <c r="E192" s="61">
        <v>200</v>
      </c>
      <c r="F192" s="74">
        <f>прил7!G43</f>
        <v>222000</v>
      </c>
      <c r="G192" s="29"/>
    </row>
    <row r="193" spans="1:7" ht="110.25">
      <c r="A193" s="3" t="s">
        <v>235</v>
      </c>
      <c r="B193" s="4" t="s">
        <v>651</v>
      </c>
      <c r="C193" s="4" t="s">
        <v>310</v>
      </c>
      <c r="D193" s="4" t="s">
        <v>252</v>
      </c>
      <c r="E193" s="4"/>
      <c r="F193" s="74">
        <f>F194</f>
        <v>459702.5</v>
      </c>
      <c r="G193" s="29"/>
    </row>
    <row r="194" spans="1:7" ht="126">
      <c r="A194" s="3" t="s">
        <v>245</v>
      </c>
      <c r="B194" s="4" t="s">
        <v>651</v>
      </c>
      <c r="C194" s="4" t="s">
        <v>310</v>
      </c>
      <c r="D194" s="4" t="s">
        <v>252</v>
      </c>
      <c r="E194" s="4" t="s">
        <v>312</v>
      </c>
      <c r="F194" s="74">
        <f>прил7!G127</f>
        <v>459702.5</v>
      </c>
      <c r="G194" s="29"/>
    </row>
    <row r="195" spans="1:7" ht="47.25">
      <c r="A195" s="3" t="s">
        <v>419</v>
      </c>
      <c r="B195" s="4" t="s">
        <v>651</v>
      </c>
      <c r="C195" s="4" t="s">
        <v>310</v>
      </c>
      <c r="D195" s="4" t="s">
        <v>420</v>
      </c>
      <c r="E195" s="61"/>
      <c r="F195" s="29">
        <f>F196</f>
        <v>713919.99</v>
      </c>
      <c r="G195" s="29"/>
    </row>
    <row r="196" spans="1:7" ht="31.5">
      <c r="A196" s="3" t="s">
        <v>719</v>
      </c>
      <c r="B196" s="4" t="s">
        <v>651</v>
      </c>
      <c r="C196" s="4" t="s">
        <v>310</v>
      </c>
      <c r="D196" s="4" t="s">
        <v>421</v>
      </c>
      <c r="E196" s="61"/>
      <c r="F196" s="29">
        <f>F197+F198</f>
        <v>713919.99</v>
      </c>
      <c r="G196" s="29"/>
    </row>
    <row r="197" spans="1:7" ht="126">
      <c r="A197" s="3" t="s">
        <v>245</v>
      </c>
      <c r="B197" s="4" t="s">
        <v>651</v>
      </c>
      <c r="C197" s="4" t="s">
        <v>310</v>
      </c>
      <c r="D197" s="4" t="s">
        <v>421</v>
      </c>
      <c r="E197" s="61">
        <v>100</v>
      </c>
      <c r="F197" s="29">
        <f>прил7!G46+прил7!G130+прил7!G520+прил7!G839+прил7!G682+прил7!G479</f>
        <v>123560</v>
      </c>
      <c r="G197" s="29"/>
    </row>
    <row r="198" spans="1:7" ht="47.25">
      <c r="A198" s="3" t="s">
        <v>702</v>
      </c>
      <c r="B198" s="4" t="s">
        <v>651</v>
      </c>
      <c r="C198" s="4" t="s">
        <v>310</v>
      </c>
      <c r="D198" s="4" t="s">
        <v>421</v>
      </c>
      <c r="E198" s="61">
        <v>200</v>
      </c>
      <c r="F198" s="29">
        <f>прил7!G840+прил7!G683+прил7!G521+прил7!G480+прил7!G271+прил7!G131+прил7!G47</f>
        <v>590359.99</v>
      </c>
      <c r="G198" s="29"/>
    </row>
    <row r="199" spans="1:7" ht="25.5" customHeight="1">
      <c r="A199" s="3" t="s">
        <v>699</v>
      </c>
      <c r="B199" s="4" t="s">
        <v>651</v>
      </c>
      <c r="C199" s="4" t="s">
        <v>310</v>
      </c>
      <c r="D199" s="4" t="s">
        <v>700</v>
      </c>
      <c r="E199" s="4"/>
      <c r="F199" s="74">
        <f>F202+F205+F200</f>
        <v>3839444.71</v>
      </c>
      <c r="G199" s="29"/>
    </row>
    <row r="200" spans="1:7" ht="58.5" customHeight="1">
      <c r="A200" s="3" t="s">
        <v>512</v>
      </c>
      <c r="B200" s="4" t="s">
        <v>651</v>
      </c>
      <c r="C200" s="4" t="s">
        <v>310</v>
      </c>
      <c r="D200" s="4" t="s">
        <v>552</v>
      </c>
      <c r="E200" s="4"/>
      <c r="F200" s="74">
        <f>F201</f>
        <v>1500000</v>
      </c>
      <c r="G200" s="29"/>
    </row>
    <row r="201" spans="1:7" ht="63" customHeight="1">
      <c r="A201" s="3" t="s">
        <v>702</v>
      </c>
      <c r="B201" s="4" t="s">
        <v>651</v>
      </c>
      <c r="C201" s="4" t="s">
        <v>310</v>
      </c>
      <c r="D201" s="4" t="s">
        <v>552</v>
      </c>
      <c r="E201" s="4" t="s">
        <v>313</v>
      </c>
      <c r="F201" s="74">
        <f>прил7!G282</f>
        <v>1500000</v>
      </c>
      <c r="G201" s="29"/>
    </row>
    <row r="202" spans="1:7" ht="31.5">
      <c r="A202" s="49" t="s">
        <v>687</v>
      </c>
      <c r="B202" s="4" t="s">
        <v>651</v>
      </c>
      <c r="C202" s="4" t="s">
        <v>310</v>
      </c>
      <c r="D202" s="4" t="s">
        <v>717</v>
      </c>
      <c r="E202" s="4"/>
      <c r="F202" s="29">
        <f>F203+F204</f>
        <v>438890</v>
      </c>
      <c r="G202" s="29"/>
    </row>
    <row r="203" spans="1:7" ht="44.25" customHeight="1">
      <c r="A203" s="73" t="s">
        <v>702</v>
      </c>
      <c r="B203" s="4" t="s">
        <v>651</v>
      </c>
      <c r="C203" s="4" t="s">
        <v>310</v>
      </c>
      <c r="D203" s="4" t="s">
        <v>717</v>
      </c>
      <c r="E203" s="4" t="s">
        <v>313</v>
      </c>
      <c r="F203" s="29">
        <f>прил7!G134</f>
        <v>0</v>
      </c>
      <c r="G203" s="29"/>
    </row>
    <row r="204" spans="1:7" ht="24" customHeight="1">
      <c r="A204" s="73" t="s">
        <v>556</v>
      </c>
      <c r="B204" s="4" t="s">
        <v>651</v>
      </c>
      <c r="C204" s="4" t="s">
        <v>310</v>
      </c>
      <c r="D204" s="4" t="s">
        <v>717</v>
      </c>
      <c r="E204" s="61">
        <v>800</v>
      </c>
      <c r="F204" s="29">
        <f>прил7!G135</f>
        <v>438890</v>
      </c>
      <c r="G204" s="29"/>
    </row>
    <row r="205" spans="1:7" ht="47.25">
      <c r="A205" s="3" t="s">
        <v>215</v>
      </c>
      <c r="B205" s="4" t="s">
        <v>651</v>
      </c>
      <c r="C205" s="4" t="s">
        <v>310</v>
      </c>
      <c r="D205" s="4" t="s">
        <v>216</v>
      </c>
      <c r="E205" s="61"/>
      <c r="F205" s="29">
        <f>F206+F207</f>
        <v>1900554.71</v>
      </c>
      <c r="G205" s="29"/>
    </row>
    <row r="206" spans="1:7" ht="47.25">
      <c r="A206" s="3" t="s">
        <v>702</v>
      </c>
      <c r="B206" s="4" t="s">
        <v>651</v>
      </c>
      <c r="C206" s="4" t="s">
        <v>310</v>
      </c>
      <c r="D206" s="4" t="s">
        <v>216</v>
      </c>
      <c r="E206" s="4" t="s">
        <v>313</v>
      </c>
      <c r="F206" s="29">
        <f>прил7!G137+прил7!G482+прил7!G284</f>
        <v>1474443.89</v>
      </c>
      <c r="G206" s="29"/>
    </row>
    <row r="207" spans="1:7" ht="35.25" customHeight="1">
      <c r="A207" s="3" t="s">
        <v>556</v>
      </c>
      <c r="B207" s="4" t="s">
        <v>651</v>
      </c>
      <c r="C207" s="4" t="s">
        <v>310</v>
      </c>
      <c r="D207" s="4" t="s">
        <v>216</v>
      </c>
      <c r="E207" s="61">
        <v>800</v>
      </c>
      <c r="F207" s="29">
        <f>прил7!G138+прил7!G483+прил7!G285</f>
        <v>426110.82</v>
      </c>
      <c r="G207" s="29"/>
    </row>
    <row r="208" spans="1:7" ht="75">
      <c r="A208" s="76" t="s">
        <v>671</v>
      </c>
      <c r="B208" s="9" t="s">
        <v>658</v>
      </c>
      <c r="C208" s="9"/>
      <c r="D208" s="9"/>
      <c r="E208" s="75"/>
      <c r="F208" s="33">
        <f>F209+F215+F236</f>
        <v>41038118.07</v>
      </c>
      <c r="G208" s="33">
        <f>G209+G215+G236</f>
        <v>1748200</v>
      </c>
    </row>
    <row r="209" spans="1:7" ht="18.75">
      <c r="A209" s="8" t="s">
        <v>311</v>
      </c>
      <c r="B209" s="9" t="s">
        <v>658</v>
      </c>
      <c r="C209" s="9" t="s">
        <v>661</v>
      </c>
      <c r="D209" s="9"/>
      <c r="E209" s="4"/>
      <c r="F209" s="33">
        <f aca="true" t="shared" si="1" ref="F209:G211">F210</f>
        <v>1748200</v>
      </c>
      <c r="G209" s="33">
        <f t="shared" si="1"/>
        <v>1748200</v>
      </c>
    </row>
    <row r="210" spans="1:7" ht="63">
      <c r="A210" s="27" t="s">
        <v>541</v>
      </c>
      <c r="B210" s="4" t="s">
        <v>658</v>
      </c>
      <c r="C210" s="4" t="s">
        <v>661</v>
      </c>
      <c r="D210" s="4" t="s">
        <v>708</v>
      </c>
      <c r="E210" s="4"/>
      <c r="F210" s="29">
        <f t="shared" si="1"/>
        <v>1748200</v>
      </c>
      <c r="G210" s="29">
        <f t="shared" si="1"/>
        <v>1748200</v>
      </c>
    </row>
    <row r="211" spans="1:7" ht="47.25">
      <c r="A211" s="27" t="s">
        <v>709</v>
      </c>
      <c r="B211" s="4" t="s">
        <v>658</v>
      </c>
      <c r="C211" s="4" t="s">
        <v>661</v>
      </c>
      <c r="D211" s="4" t="s">
        <v>710</v>
      </c>
      <c r="E211" s="4"/>
      <c r="F211" s="29">
        <f t="shared" si="1"/>
        <v>1748200</v>
      </c>
      <c r="G211" s="29">
        <f t="shared" si="1"/>
        <v>1748200</v>
      </c>
    </row>
    <row r="212" spans="1:7" ht="31.5">
      <c r="A212" s="3" t="s">
        <v>782</v>
      </c>
      <c r="B212" s="4" t="s">
        <v>658</v>
      </c>
      <c r="C212" s="4" t="s">
        <v>661</v>
      </c>
      <c r="D212" s="4" t="s">
        <v>391</v>
      </c>
      <c r="E212" s="4"/>
      <c r="F212" s="29">
        <f>F213+F214</f>
        <v>1748200</v>
      </c>
      <c r="G212" s="29">
        <f>G213+G214</f>
        <v>1748200</v>
      </c>
    </row>
    <row r="213" spans="1:7" ht="126">
      <c r="A213" s="3" t="s">
        <v>701</v>
      </c>
      <c r="B213" s="4" t="s">
        <v>658</v>
      </c>
      <c r="C213" s="4" t="s">
        <v>661</v>
      </c>
      <c r="D213" s="4" t="s">
        <v>391</v>
      </c>
      <c r="E213" s="4" t="s">
        <v>312</v>
      </c>
      <c r="F213" s="29">
        <f>прил7!G144</f>
        <v>1707390</v>
      </c>
      <c r="G213" s="29">
        <f>F213</f>
        <v>1707390</v>
      </c>
    </row>
    <row r="214" spans="1:7" ht="47.25">
      <c r="A214" s="3" t="s">
        <v>702</v>
      </c>
      <c r="B214" s="4" t="s">
        <v>658</v>
      </c>
      <c r="C214" s="4" t="s">
        <v>661</v>
      </c>
      <c r="D214" s="4" t="s">
        <v>391</v>
      </c>
      <c r="E214" s="4" t="s">
        <v>313</v>
      </c>
      <c r="F214" s="29">
        <f>прил7!G145</f>
        <v>40810</v>
      </c>
      <c r="G214" s="29">
        <f>F214</f>
        <v>40810</v>
      </c>
    </row>
    <row r="215" spans="1:7" ht="78.75">
      <c r="A215" s="1" t="s">
        <v>350</v>
      </c>
      <c r="B215" s="2" t="s">
        <v>658</v>
      </c>
      <c r="C215" s="2" t="s">
        <v>657</v>
      </c>
      <c r="D215" s="2"/>
      <c r="E215" s="2"/>
      <c r="F215" s="33">
        <f>F216+F230+F233</f>
        <v>39289918.07</v>
      </c>
      <c r="G215" s="33">
        <f>G216+G230+G233</f>
        <v>0</v>
      </c>
    </row>
    <row r="216" spans="1:7" ht="78.75">
      <c r="A216" s="3" t="s">
        <v>545</v>
      </c>
      <c r="B216" s="4" t="s">
        <v>658</v>
      </c>
      <c r="C216" s="4" t="s">
        <v>657</v>
      </c>
      <c r="D216" s="4" t="s">
        <v>406</v>
      </c>
      <c r="E216" s="4"/>
      <c r="F216" s="29">
        <f>F217</f>
        <v>39289918.07</v>
      </c>
      <c r="G216" s="29"/>
    </row>
    <row r="217" spans="1:7" ht="78.75">
      <c r="A217" s="3" t="s">
        <v>414</v>
      </c>
      <c r="B217" s="4" t="s">
        <v>658</v>
      </c>
      <c r="C217" s="4" t="s">
        <v>657</v>
      </c>
      <c r="D217" s="4" t="s">
        <v>415</v>
      </c>
      <c r="E217" s="4"/>
      <c r="F217" s="29">
        <f>F218+F226+F228+F222+F224</f>
        <v>39289918.07</v>
      </c>
      <c r="G217" s="29"/>
    </row>
    <row r="218" spans="1:7" ht="110.25">
      <c r="A218" s="3" t="s">
        <v>493</v>
      </c>
      <c r="B218" s="4" t="s">
        <v>658</v>
      </c>
      <c r="C218" s="4" t="s">
        <v>657</v>
      </c>
      <c r="D218" s="4" t="s">
        <v>416</v>
      </c>
      <c r="E218" s="4"/>
      <c r="F218" s="29">
        <f>F219+F220+F221</f>
        <v>34520705.29</v>
      </c>
      <c r="G218" s="29"/>
    </row>
    <row r="219" spans="1:7" ht="126">
      <c r="A219" s="3" t="s">
        <v>701</v>
      </c>
      <c r="B219" s="4" t="s">
        <v>658</v>
      </c>
      <c r="C219" s="4" t="s">
        <v>657</v>
      </c>
      <c r="D219" s="4" t="s">
        <v>416</v>
      </c>
      <c r="E219" s="4" t="s">
        <v>312</v>
      </c>
      <c r="F219" s="29">
        <f>прил7!G150</f>
        <v>29442991.499999996</v>
      </c>
      <c r="G219" s="29"/>
    </row>
    <row r="220" spans="1:7" ht="47.25">
      <c r="A220" s="3" t="s">
        <v>702</v>
      </c>
      <c r="B220" s="4" t="s">
        <v>658</v>
      </c>
      <c r="C220" s="4" t="s">
        <v>657</v>
      </c>
      <c r="D220" s="4" t="s">
        <v>416</v>
      </c>
      <c r="E220" s="4" t="s">
        <v>313</v>
      </c>
      <c r="F220" s="29">
        <f>прил7!G151</f>
        <v>5055987.29</v>
      </c>
      <c r="G220" s="29"/>
    </row>
    <row r="221" spans="1:7" ht="36" customHeight="1">
      <c r="A221" s="3" t="s">
        <v>556</v>
      </c>
      <c r="B221" s="4" t="s">
        <v>658</v>
      </c>
      <c r="C221" s="4" t="s">
        <v>657</v>
      </c>
      <c r="D221" s="4" t="s">
        <v>416</v>
      </c>
      <c r="E221" s="4" t="s">
        <v>316</v>
      </c>
      <c r="F221" s="29">
        <f>прил7!G152</f>
        <v>21726.5</v>
      </c>
      <c r="G221" s="29"/>
    </row>
    <row r="222" spans="1:7" ht="110.25">
      <c r="A222" s="3" t="s">
        <v>235</v>
      </c>
      <c r="B222" s="4" t="s">
        <v>658</v>
      </c>
      <c r="C222" s="4" t="s">
        <v>657</v>
      </c>
      <c r="D222" s="4" t="s">
        <v>253</v>
      </c>
      <c r="E222" s="4"/>
      <c r="F222" s="29">
        <f>F223</f>
        <v>688510</v>
      </c>
      <c r="G222" s="29"/>
    </row>
    <row r="223" spans="1:7" ht="126">
      <c r="A223" s="3" t="s">
        <v>245</v>
      </c>
      <c r="B223" s="4" t="s">
        <v>658</v>
      </c>
      <c r="C223" s="4" t="s">
        <v>657</v>
      </c>
      <c r="D223" s="4" t="s">
        <v>253</v>
      </c>
      <c r="E223" s="4" t="s">
        <v>312</v>
      </c>
      <c r="F223" s="29">
        <f>прил7!G154</f>
        <v>688510</v>
      </c>
      <c r="G223" s="29"/>
    </row>
    <row r="224" spans="1:7" ht="47.25">
      <c r="A224" s="3" t="s">
        <v>512</v>
      </c>
      <c r="B224" s="4" t="s">
        <v>658</v>
      </c>
      <c r="C224" s="4" t="s">
        <v>657</v>
      </c>
      <c r="D224" s="4" t="s">
        <v>279</v>
      </c>
      <c r="E224" s="4"/>
      <c r="F224" s="29">
        <f>F225</f>
        <v>2523559.5700000003</v>
      </c>
      <c r="G224" s="29"/>
    </row>
    <row r="225" spans="1:7" ht="47.25">
      <c r="A225" s="3" t="s">
        <v>702</v>
      </c>
      <c r="B225" s="4" t="s">
        <v>658</v>
      </c>
      <c r="C225" s="4" t="s">
        <v>657</v>
      </c>
      <c r="D225" s="4" t="s">
        <v>279</v>
      </c>
      <c r="E225" s="4" t="s">
        <v>313</v>
      </c>
      <c r="F225" s="29">
        <f>прил7!G291</f>
        <v>2523559.5700000003</v>
      </c>
      <c r="G225" s="29"/>
    </row>
    <row r="226" spans="1:7" ht="31.5">
      <c r="A226" s="3" t="s">
        <v>719</v>
      </c>
      <c r="B226" s="4" t="s">
        <v>658</v>
      </c>
      <c r="C226" s="4" t="s">
        <v>657</v>
      </c>
      <c r="D226" s="4" t="s">
        <v>417</v>
      </c>
      <c r="E226" s="4"/>
      <c r="F226" s="29">
        <f>F227</f>
        <v>1557143.21</v>
      </c>
      <c r="G226" s="29"/>
    </row>
    <row r="227" spans="1:7" ht="47.25">
      <c r="A227" s="3" t="s">
        <v>702</v>
      </c>
      <c r="B227" s="4" t="s">
        <v>658</v>
      </c>
      <c r="C227" s="4" t="s">
        <v>657</v>
      </c>
      <c r="D227" s="4" t="s">
        <v>417</v>
      </c>
      <c r="E227" s="4" t="s">
        <v>313</v>
      </c>
      <c r="F227" s="29">
        <f>прил7!G158</f>
        <v>1557143.21</v>
      </c>
      <c r="G227" s="29"/>
    </row>
    <row r="228" spans="1:7" ht="63" hidden="1">
      <c r="A228" s="3" t="s">
        <v>506</v>
      </c>
      <c r="B228" s="4" t="s">
        <v>658</v>
      </c>
      <c r="C228" s="4" t="s">
        <v>657</v>
      </c>
      <c r="D228" s="4" t="s">
        <v>422</v>
      </c>
      <c r="E228" s="4"/>
      <c r="F228" s="29">
        <f>F229</f>
        <v>0</v>
      </c>
      <c r="G228" s="29"/>
    </row>
    <row r="229" spans="1:7" ht="47.25" hidden="1">
      <c r="A229" s="3" t="s">
        <v>189</v>
      </c>
      <c r="B229" s="4" t="s">
        <v>658</v>
      </c>
      <c r="C229" s="4" t="s">
        <v>657</v>
      </c>
      <c r="D229" s="4" t="s">
        <v>422</v>
      </c>
      <c r="E229" s="4" t="s">
        <v>693</v>
      </c>
      <c r="F229" s="29">
        <f>прил7!G160</f>
        <v>0</v>
      </c>
      <c r="G229" s="29"/>
    </row>
    <row r="230" spans="1:7" ht="27" customHeight="1" hidden="1">
      <c r="A230" s="27" t="s">
        <v>699</v>
      </c>
      <c r="B230" s="4" t="s">
        <v>658</v>
      </c>
      <c r="C230" s="4" t="s">
        <v>657</v>
      </c>
      <c r="D230" s="4" t="s">
        <v>700</v>
      </c>
      <c r="E230" s="4"/>
      <c r="F230" s="29">
        <f>F231</f>
        <v>0</v>
      </c>
      <c r="G230" s="29"/>
    </row>
    <row r="231" spans="1:7" ht="31.5" hidden="1">
      <c r="A231" s="3" t="s">
        <v>712</v>
      </c>
      <c r="B231" s="4" t="s">
        <v>658</v>
      </c>
      <c r="C231" s="4" t="s">
        <v>657</v>
      </c>
      <c r="D231" s="4" t="s">
        <v>713</v>
      </c>
      <c r="E231" s="4"/>
      <c r="F231" s="29">
        <f>F232</f>
        <v>0</v>
      </c>
      <c r="G231" s="29"/>
    </row>
    <row r="232" spans="1:7" ht="47.25" hidden="1">
      <c r="A232" s="3" t="s">
        <v>702</v>
      </c>
      <c r="B232" s="4" t="s">
        <v>658</v>
      </c>
      <c r="C232" s="4" t="s">
        <v>657</v>
      </c>
      <c r="D232" s="4" t="s">
        <v>713</v>
      </c>
      <c r="E232" s="4" t="s">
        <v>313</v>
      </c>
      <c r="F232" s="29">
        <f>прил7!G276</f>
        <v>0</v>
      </c>
      <c r="G232" s="29"/>
    </row>
    <row r="233" spans="1:7" ht="31.5" hidden="1">
      <c r="A233" s="3" t="s">
        <v>290</v>
      </c>
      <c r="B233" s="4" t="s">
        <v>658</v>
      </c>
      <c r="C233" s="4" t="s">
        <v>657</v>
      </c>
      <c r="D233" s="4" t="s">
        <v>291</v>
      </c>
      <c r="E233" s="4"/>
      <c r="F233" s="29">
        <f>F234</f>
        <v>0</v>
      </c>
      <c r="G233" s="29">
        <f>G234</f>
        <v>0</v>
      </c>
    </row>
    <row r="234" spans="1:7" ht="31.5" hidden="1">
      <c r="A234" s="3" t="s">
        <v>288</v>
      </c>
      <c r="B234" s="4" t="s">
        <v>658</v>
      </c>
      <c r="C234" s="4" t="s">
        <v>657</v>
      </c>
      <c r="D234" s="4" t="s">
        <v>289</v>
      </c>
      <c r="E234" s="4"/>
      <c r="F234" s="29">
        <f>F235</f>
        <v>0</v>
      </c>
      <c r="G234" s="29">
        <f>G235</f>
        <v>0</v>
      </c>
    </row>
    <row r="235" spans="1:7" ht="47.25" hidden="1">
      <c r="A235" s="3" t="s">
        <v>702</v>
      </c>
      <c r="B235" s="4" t="s">
        <v>658</v>
      </c>
      <c r="C235" s="4" t="s">
        <v>657</v>
      </c>
      <c r="D235" s="4" t="s">
        <v>289</v>
      </c>
      <c r="E235" s="4" t="s">
        <v>313</v>
      </c>
      <c r="F235" s="29">
        <f>прил7!G279</f>
        <v>0</v>
      </c>
      <c r="G235" s="29">
        <f>F235</f>
        <v>0</v>
      </c>
    </row>
    <row r="236" spans="1:7" ht="63" hidden="1">
      <c r="A236" s="1" t="s">
        <v>685</v>
      </c>
      <c r="B236" s="2" t="s">
        <v>658</v>
      </c>
      <c r="C236" s="2" t="s">
        <v>563</v>
      </c>
      <c r="D236" s="2"/>
      <c r="E236" s="2"/>
      <c r="F236" s="33">
        <f>F237</f>
        <v>0</v>
      </c>
      <c r="G236" s="29"/>
    </row>
    <row r="237" spans="1:7" ht="78.75" hidden="1">
      <c r="A237" s="3" t="s">
        <v>545</v>
      </c>
      <c r="B237" s="4" t="s">
        <v>658</v>
      </c>
      <c r="C237" s="4" t="s">
        <v>563</v>
      </c>
      <c r="D237" s="4" t="s">
        <v>406</v>
      </c>
      <c r="E237" s="4"/>
      <c r="F237" s="29">
        <f>F238</f>
        <v>0</v>
      </c>
      <c r="G237" s="29"/>
    </row>
    <row r="238" spans="1:7" ht="63" hidden="1">
      <c r="A238" s="3" t="s">
        <v>407</v>
      </c>
      <c r="B238" s="4" t="s">
        <v>658</v>
      </c>
      <c r="C238" s="4" t="s">
        <v>563</v>
      </c>
      <c r="D238" s="4" t="s">
        <v>408</v>
      </c>
      <c r="E238" s="4"/>
      <c r="F238" s="29">
        <f>F239</f>
        <v>0</v>
      </c>
      <c r="G238" s="29"/>
    </row>
    <row r="239" spans="1:7" ht="47.25" hidden="1">
      <c r="A239" s="3" t="s">
        <v>409</v>
      </c>
      <c r="B239" s="4" t="s">
        <v>658</v>
      </c>
      <c r="C239" s="4" t="s">
        <v>563</v>
      </c>
      <c r="D239" s="4" t="s">
        <v>410</v>
      </c>
      <c r="E239" s="4"/>
      <c r="F239" s="29">
        <f>F240</f>
        <v>0</v>
      </c>
      <c r="G239" s="29"/>
    </row>
    <row r="240" spans="1:7" ht="75" customHeight="1" hidden="1">
      <c r="A240" s="3" t="s">
        <v>723</v>
      </c>
      <c r="B240" s="4" t="s">
        <v>658</v>
      </c>
      <c r="C240" s="4" t="s">
        <v>563</v>
      </c>
      <c r="D240" s="4" t="s">
        <v>410</v>
      </c>
      <c r="E240" s="4" t="s">
        <v>317</v>
      </c>
      <c r="F240" s="29">
        <f>прил7!G527</f>
        <v>0</v>
      </c>
      <c r="G240" s="29"/>
    </row>
    <row r="241" spans="1:7" ht="18.75">
      <c r="A241" s="10" t="s">
        <v>672</v>
      </c>
      <c r="B241" s="11" t="s">
        <v>661</v>
      </c>
      <c r="C241" s="56"/>
      <c r="D241" s="23"/>
      <c r="E241" s="23"/>
      <c r="F241" s="28">
        <f>F270+F249+F284+F256+F242</f>
        <v>168526567.92000002</v>
      </c>
      <c r="G241" s="28">
        <f>G270+G249+G284+G256+G242</f>
        <v>2195290</v>
      </c>
    </row>
    <row r="242" spans="1:7" ht="31.5">
      <c r="A242" s="1" t="s">
        <v>635</v>
      </c>
      <c r="B242" s="2" t="s">
        <v>661</v>
      </c>
      <c r="C242" s="2" t="s">
        <v>653</v>
      </c>
      <c r="D242" s="2"/>
      <c r="E242" s="2"/>
      <c r="F242" s="33">
        <f>F243</f>
        <v>1439490</v>
      </c>
      <c r="G242" s="33">
        <f>G243</f>
        <v>1439490</v>
      </c>
    </row>
    <row r="243" spans="1:7" ht="78.75">
      <c r="A243" s="3" t="s">
        <v>549</v>
      </c>
      <c r="B243" s="4" t="s">
        <v>661</v>
      </c>
      <c r="C243" s="4" t="s">
        <v>653</v>
      </c>
      <c r="D243" s="4" t="s">
        <v>328</v>
      </c>
      <c r="E243" s="2"/>
      <c r="F243" s="29">
        <f>F244</f>
        <v>1439490</v>
      </c>
      <c r="G243" s="29">
        <f>G244</f>
        <v>1439490</v>
      </c>
    </row>
    <row r="244" spans="1:7" ht="63">
      <c r="A244" s="3" t="s">
        <v>211</v>
      </c>
      <c r="B244" s="4" t="s">
        <v>661</v>
      </c>
      <c r="C244" s="4" t="s">
        <v>653</v>
      </c>
      <c r="D244" s="4" t="s">
        <v>212</v>
      </c>
      <c r="E244" s="2"/>
      <c r="F244" s="29">
        <f>F245+F247</f>
        <v>1439490</v>
      </c>
      <c r="G244" s="29">
        <f>G245+G247</f>
        <v>1439490</v>
      </c>
    </row>
    <row r="245" spans="1:7" ht="63">
      <c r="A245" s="3" t="s">
        <v>636</v>
      </c>
      <c r="B245" s="4" t="s">
        <v>661</v>
      </c>
      <c r="C245" s="4" t="s">
        <v>653</v>
      </c>
      <c r="D245" s="4" t="s">
        <v>637</v>
      </c>
      <c r="E245" s="4"/>
      <c r="F245" s="29">
        <f>F246</f>
        <v>1421870</v>
      </c>
      <c r="G245" s="29">
        <f>G246</f>
        <v>1421870</v>
      </c>
    </row>
    <row r="246" spans="1:7" ht="47.25">
      <c r="A246" s="3" t="s">
        <v>702</v>
      </c>
      <c r="B246" s="4" t="s">
        <v>661</v>
      </c>
      <c r="C246" s="4" t="s">
        <v>653</v>
      </c>
      <c r="D246" s="4" t="s">
        <v>637</v>
      </c>
      <c r="E246" s="4" t="s">
        <v>313</v>
      </c>
      <c r="F246" s="29">
        <f>прил7!G297</f>
        <v>1421870</v>
      </c>
      <c r="G246" s="29">
        <f>F246</f>
        <v>1421870</v>
      </c>
    </row>
    <row r="247" spans="1:7" ht="63">
      <c r="A247" s="3" t="s">
        <v>641</v>
      </c>
      <c r="B247" s="4" t="s">
        <v>661</v>
      </c>
      <c r="C247" s="4" t="s">
        <v>653</v>
      </c>
      <c r="D247" s="4" t="s">
        <v>642</v>
      </c>
      <c r="E247" s="4"/>
      <c r="F247" s="29">
        <f>F248</f>
        <v>17620</v>
      </c>
      <c r="G247" s="29">
        <f>F247</f>
        <v>17620</v>
      </c>
    </row>
    <row r="248" spans="1:7" ht="126">
      <c r="A248" s="27" t="s">
        <v>245</v>
      </c>
      <c r="B248" s="4" t="s">
        <v>661</v>
      </c>
      <c r="C248" s="4" t="s">
        <v>653</v>
      </c>
      <c r="D248" s="4" t="s">
        <v>642</v>
      </c>
      <c r="E248" s="4" t="s">
        <v>312</v>
      </c>
      <c r="F248" s="29">
        <f>прил7!G299</f>
        <v>17620</v>
      </c>
      <c r="G248" s="29">
        <f>F248</f>
        <v>17620</v>
      </c>
    </row>
    <row r="249" spans="1:7" ht="15.75">
      <c r="A249" s="20" t="s">
        <v>673</v>
      </c>
      <c r="B249" s="2" t="s">
        <v>661</v>
      </c>
      <c r="C249" s="2" t="s">
        <v>655</v>
      </c>
      <c r="D249" s="4"/>
      <c r="E249" s="4"/>
      <c r="F249" s="33">
        <f aca="true" t="shared" si="2" ref="F249:G254">F250</f>
        <v>29752915.67</v>
      </c>
      <c r="G249" s="33">
        <f t="shared" si="2"/>
        <v>687100</v>
      </c>
    </row>
    <row r="250" spans="1:7" ht="78.75">
      <c r="A250" s="3" t="s">
        <v>549</v>
      </c>
      <c r="B250" s="4" t="s">
        <v>661</v>
      </c>
      <c r="C250" s="4" t="s">
        <v>655</v>
      </c>
      <c r="D250" s="4" t="s">
        <v>328</v>
      </c>
      <c r="E250" s="4"/>
      <c r="F250" s="29">
        <f t="shared" si="2"/>
        <v>29752915.67</v>
      </c>
      <c r="G250" s="29">
        <f t="shared" si="2"/>
        <v>687100</v>
      </c>
    </row>
    <row r="251" spans="1:7" ht="47.25">
      <c r="A251" s="3" t="s">
        <v>329</v>
      </c>
      <c r="B251" s="4" t="s">
        <v>661</v>
      </c>
      <c r="C251" s="4" t="s">
        <v>655</v>
      </c>
      <c r="D251" s="4" t="s">
        <v>330</v>
      </c>
      <c r="E251" s="4"/>
      <c r="F251" s="29">
        <f>F254+F252</f>
        <v>29752915.67</v>
      </c>
      <c r="G251" s="29">
        <f>G254</f>
        <v>687100</v>
      </c>
    </row>
    <row r="252" spans="1:7" ht="63">
      <c r="A252" s="3" t="s">
        <v>508</v>
      </c>
      <c r="B252" s="4" t="s">
        <v>661</v>
      </c>
      <c r="C252" s="4" t="s">
        <v>655</v>
      </c>
      <c r="D252" s="4" t="s">
        <v>509</v>
      </c>
      <c r="E252" s="4"/>
      <c r="F252" s="29">
        <f>F253</f>
        <v>29065815.67</v>
      </c>
      <c r="G252" s="29"/>
    </row>
    <row r="253" spans="1:7" ht="15.75">
      <c r="A253" s="3" t="s">
        <v>556</v>
      </c>
      <c r="B253" s="4" t="s">
        <v>661</v>
      </c>
      <c r="C253" s="4" t="s">
        <v>655</v>
      </c>
      <c r="D253" s="4" t="s">
        <v>509</v>
      </c>
      <c r="E253" s="4" t="s">
        <v>316</v>
      </c>
      <c r="F253" s="29">
        <f>прил7!G166</f>
        <v>29065815.67</v>
      </c>
      <c r="G253" s="29"/>
    </row>
    <row r="254" spans="1:7" ht="157.5">
      <c r="A254" s="3" t="s">
        <v>331</v>
      </c>
      <c r="B254" s="4" t="s">
        <v>661</v>
      </c>
      <c r="C254" s="4" t="s">
        <v>655</v>
      </c>
      <c r="D254" s="4" t="s">
        <v>332</v>
      </c>
      <c r="E254" s="4"/>
      <c r="F254" s="29">
        <f t="shared" si="2"/>
        <v>687100</v>
      </c>
      <c r="G254" s="29">
        <f t="shared" si="2"/>
        <v>687100</v>
      </c>
    </row>
    <row r="255" spans="1:7" ht="15.75">
      <c r="A255" s="3" t="s">
        <v>556</v>
      </c>
      <c r="B255" s="4" t="s">
        <v>661</v>
      </c>
      <c r="C255" s="4" t="s">
        <v>655</v>
      </c>
      <c r="D255" s="4" t="s">
        <v>332</v>
      </c>
      <c r="E255" s="4" t="s">
        <v>316</v>
      </c>
      <c r="F255" s="29">
        <f>прил7!G168</f>
        <v>687100</v>
      </c>
      <c r="G255" s="29">
        <f>F255</f>
        <v>687100</v>
      </c>
    </row>
    <row r="256" spans="1:13" ht="31.5">
      <c r="A256" s="13" t="s">
        <v>555</v>
      </c>
      <c r="B256" s="5" t="s">
        <v>661</v>
      </c>
      <c r="C256" s="5" t="s">
        <v>657</v>
      </c>
      <c r="D256" s="23"/>
      <c r="E256" s="23"/>
      <c r="F256" s="28">
        <f>F261+F257</f>
        <v>102286506.88000001</v>
      </c>
      <c r="G256" s="28">
        <f>G261</f>
        <v>0</v>
      </c>
      <c r="M256" s="212"/>
    </row>
    <row r="257" spans="1:7" ht="78.75">
      <c r="A257" s="3" t="s">
        <v>545</v>
      </c>
      <c r="B257" s="4" t="s">
        <v>661</v>
      </c>
      <c r="C257" s="4" t="s">
        <v>657</v>
      </c>
      <c r="D257" s="4" t="s">
        <v>406</v>
      </c>
      <c r="E257" s="4"/>
      <c r="F257" s="29">
        <f>F258</f>
        <v>6651616.779999999</v>
      </c>
      <c r="G257" s="33"/>
    </row>
    <row r="258" spans="1:7" ht="78.75">
      <c r="A258" s="3" t="s">
        <v>411</v>
      </c>
      <c r="B258" s="4" t="s">
        <v>661</v>
      </c>
      <c r="C258" s="4" t="s">
        <v>657</v>
      </c>
      <c r="D258" s="4" t="s">
        <v>412</v>
      </c>
      <c r="E258" s="4"/>
      <c r="F258" s="29">
        <f>F259</f>
        <v>6651616.779999999</v>
      </c>
      <c r="G258" s="33"/>
    </row>
    <row r="259" spans="1:7" ht="31.5">
      <c r="A259" s="3" t="s">
        <v>719</v>
      </c>
      <c r="B259" s="4" t="s">
        <v>661</v>
      </c>
      <c r="C259" s="4" t="s">
        <v>657</v>
      </c>
      <c r="D259" s="4" t="s">
        <v>413</v>
      </c>
      <c r="E259" s="4"/>
      <c r="F259" s="29">
        <f>F260</f>
        <v>6651616.779999999</v>
      </c>
      <c r="G259" s="33"/>
    </row>
    <row r="260" spans="1:7" ht="47.25">
      <c r="A260" s="3" t="s">
        <v>702</v>
      </c>
      <c r="B260" s="4" t="s">
        <v>661</v>
      </c>
      <c r="C260" s="4" t="s">
        <v>657</v>
      </c>
      <c r="D260" s="4" t="s">
        <v>413</v>
      </c>
      <c r="E260" s="4" t="s">
        <v>313</v>
      </c>
      <c r="F260" s="29">
        <f>прил7!G304</f>
        <v>6651616.779999999</v>
      </c>
      <c r="G260" s="33"/>
    </row>
    <row r="261" spans="1:7" ht="63">
      <c r="A261" s="3" t="s">
        <v>550</v>
      </c>
      <c r="B261" s="4" t="s">
        <v>661</v>
      </c>
      <c r="C261" s="4" t="s">
        <v>657</v>
      </c>
      <c r="D261" s="4" t="s">
        <v>400</v>
      </c>
      <c r="E261" s="4"/>
      <c r="F261" s="29">
        <f>F262+F264+F266+F268</f>
        <v>95634890.10000001</v>
      </c>
      <c r="G261" s="29">
        <f>G262+G264+G266+G268</f>
        <v>0</v>
      </c>
    </row>
    <row r="262" spans="1:7" ht="47.25">
      <c r="A262" s="3" t="s">
        <v>401</v>
      </c>
      <c r="B262" s="4" t="s">
        <v>661</v>
      </c>
      <c r="C262" s="4" t="s">
        <v>657</v>
      </c>
      <c r="D262" s="4" t="s">
        <v>402</v>
      </c>
      <c r="E262" s="4"/>
      <c r="F262" s="29">
        <f>F263</f>
        <v>2307949</v>
      </c>
      <c r="G262" s="29"/>
    </row>
    <row r="263" spans="1:7" ht="47.25">
      <c r="A263" s="3" t="s">
        <v>702</v>
      </c>
      <c r="B263" s="4" t="s">
        <v>661</v>
      </c>
      <c r="C263" s="4" t="s">
        <v>657</v>
      </c>
      <c r="D263" s="4" t="s">
        <v>402</v>
      </c>
      <c r="E263" s="4" t="s">
        <v>313</v>
      </c>
      <c r="F263" s="29">
        <f>прил7!G307</f>
        <v>2307949</v>
      </c>
      <c r="G263" s="29"/>
    </row>
    <row r="264" spans="1:7" ht="78.75">
      <c r="A264" s="3" t="s">
        <v>403</v>
      </c>
      <c r="B264" s="4" t="s">
        <v>661</v>
      </c>
      <c r="C264" s="4" t="s">
        <v>657</v>
      </c>
      <c r="D264" s="4" t="s">
        <v>404</v>
      </c>
      <c r="E264" s="4"/>
      <c r="F264" s="29">
        <f>F265</f>
        <v>89288352.08000001</v>
      </c>
      <c r="G264" s="29"/>
    </row>
    <row r="265" spans="1:7" ht="47.25">
      <c r="A265" s="3" t="s">
        <v>702</v>
      </c>
      <c r="B265" s="4" t="s">
        <v>661</v>
      </c>
      <c r="C265" s="4" t="s">
        <v>657</v>
      </c>
      <c r="D265" s="4" t="s">
        <v>404</v>
      </c>
      <c r="E265" s="4" t="s">
        <v>313</v>
      </c>
      <c r="F265" s="29">
        <f>прил7!G309</f>
        <v>89288352.08000001</v>
      </c>
      <c r="G265" s="29"/>
    </row>
    <row r="266" spans="1:7" ht="31.5">
      <c r="A266" s="3" t="s">
        <v>719</v>
      </c>
      <c r="B266" s="4" t="s">
        <v>661</v>
      </c>
      <c r="C266" s="4" t="s">
        <v>657</v>
      </c>
      <c r="D266" s="4" t="s">
        <v>405</v>
      </c>
      <c r="E266" s="4"/>
      <c r="F266" s="29">
        <f>F267</f>
        <v>4038589.02</v>
      </c>
      <c r="G266" s="29"/>
    </row>
    <row r="267" spans="1:7" ht="47.25">
      <c r="A267" s="3" t="s">
        <v>702</v>
      </c>
      <c r="B267" s="4" t="s">
        <v>661</v>
      </c>
      <c r="C267" s="4" t="s">
        <v>657</v>
      </c>
      <c r="D267" s="4" t="s">
        <v>405</v>
      </c>
      <c r="E267" s="4" t="s">
        <v>313</v>
      </c>
      <c r="F267" s="29">
        <f>прил7!G311</f>
        <v>4038589.02</v>
      </c>
      <c r="G267" s="29"/>
    </row>
    <row r="268" spans="1:7" ht="78.75" hidden="1">
      <c r="A268" s="3" t="s">
        <v>282</v>
      </c>
      <c r="B268" s="4" t="s">
        <v>661</v>
      </c>
      <c r="C268" s="4" t="s">
        <v>657</v>
      </c>
      <c r="D268" s="4" t="s">
        <v>283</v>
      </c>
      <c r="E268" s="4"/>
      <c r="F268" s="29">
        <f>F269</f>
        <v>0</v>
      </c>
      <c r="G268" s="29">
        <f>G269</f>
        <v>0</v>
      </c>
    </row>
    <row r="269" spans="1:7" ht="47.25" hidden="1">
      <c r="A269" s="3" t="s">
        <v>702</v>
      </c>
      <c r="B269" s="4" t="s">
        <v>661</v>
      </c>
      <c r="C269" s="4" t="s">
        <v>657</v>
      </c>
      <c r="D269" s="4" t="s">
        <v>283</v>
      </c>
      <c r="E269" s="4" t="s">
        <v>313</v>
      </c>
      <c r="F269" s="29">
        <f>прил7!G313</f>
        <v>0</v>
      </c>
      <c r="G269" s="29">
        <f>F269</f>
        <v>0</v>
      </c>
    </row>
    <row r="270" spans="1:7" ht="24" customHeight="1">
      <c r="A270" s="1" t="s">
        <v>304</v>
      </c>
      <c r="B270" s="2" t="s">
        <v>661</v>
      </c>
      <c r="C270" s="2" t="s">
        <v>659</v>
      </c>
      <c r="D270" s="2"/>
      <c r="E270" s="2"/>
      <c r="F270" s="33">
        <f>F271</f>
        <v>24331634.87</v>
      </c>
      <c r="G270" s="33">
        <f>G271</f>
        <v>11400</v>
      </c>
    </row>
    <row r="271" spans="1:7" ht="47.25">
      <c r="A271" s="3" t="s">
        <v>548</v>
      </c>
      <c r="B271" s="4" t="s">
        <v>661</v>
      </c>
      <c r="C271" s="4" t="s">
        <v>659</v>
      </c>
      <c r="D271" s="4" t="s">
        <v>703</v>
      </c>
      <c r="E271" s="4"/>
      <c r="F271" s="29">
        <f>F278+F272</f>
        <v>24331634.87</v>
      </c>
      <c r="G271" s="29">
        <f>G278</f>
        <v>11400</v>
      </c>
    </row>
    <row r="272" spans="1:7" ht="63">
      <c r="A272" s="3" t="s">
        <v>368</v>
      </c>
      <c r="B272" s="4" t="s">
        <v>661</v>
      </c>
      <c r="C272" s="4" t="s">
        <v>659</v>
      </c>
      <c r="D272" s="4" t="s">
        <v>369</v>
      </c>
      <c r="E272" s="4"/>
      <c r="F272" s="29">
        <f>F273+F276</f>
        <v>9457233.05</v>
      </c>
      <c r="G272" s="29"/>
    </row>
    <row r="273" spans="1:7" ht="110.25">
      <c r="A273" s="3" t="s">
        <v>493</v>
      </c>
      <c r="B273" s="4" t="s">
        <v>661</v>
      </c>
      <c r="C273" s="4" t="s">
        <v>659</v>
      </c>
      <c r="D273" s="4" t="s">
        <v>370</v>
      </c>
      <c r="E273" s="4"/>
      <c r="F273" s="29">
        <f>F274+F275</f>
        <v>9150223.05</v>
      </c>
      <c r="G273" s="29"/>
    </row>
    <row r="274" spans="1:7" ht="126">
      <c r="A274" s="3" t="s">
        <v>701</v>
      </c>
      <c r="B274" s="4" t="s">
        <v>661</v>
      </c>
      <c r="C274" s="4" t="s">
        <v>659</v>
      </c>
      <c r="D274" s="4" t="s">
        <v>370</v>
      </c>
      <c r="E274" s="4" t="s">
        <v>312</v>
      </c>
      <c r="F274" s="29">
        <f>прил7!G173</f>
        <v>9068343.05</v>
      </c>
      <c r="G274" s="29"/>
    </row>
    <row r="275" spans="1:7" ht="47.25">
      <c r="A275" s="3" t="s">
        <v>702</v>
      </c>
      <c r="B275" s="4" t="s">
        <v>661</v>
      </c>
      <c r="C275" s="4" t="s">
        <v>659</v>
      </c>
      <c r="D275" s="4" t="s">
        <v>370</v>
      </c>
      <c r="E275" s="4" t="s">
        <v>313</v>
      </c>
      <c r="F275" s="29">
        <f>прил7!G174</f>
        <v>81880</v>
      </c>
      <c r="G275" s="29"/>
    </row>
    <row r="276" spans="1:7" ht="110.25">
      <c r="A276" s="3" t="s">
        <v>235</v>
      </c>
      <c r="B276" s="4" t="s">
        <v>661</v>
      </c>
      <c r="C276" s="4" t="s">
        <v>659</v>
      </c>
      <c r="D276" s="4" t="s">
        <v>254</v>
      </c>
      <c r="E276" s="4"/>
      <c r="F276" s="29">
        <f>F277</f>
        <v>307010</v>
      </c>
      <c r="G276" s="29"/>
    </row>
    <row r="277" spans="1:7" ht="135" customHeight="1">
      <c r="A277" s="3" t="s">
        <v>701</v>
      </c>
      <c r="B277" s="4" t="s">
        <v>661</v>
      </c>
      <c r="C277" s="4" t="s">
        <v>659</v>
      </c>
      <c r="D277" s="4" t="s">
        <v>254</v>
      </c>
      <c r="E277" s="4" t="s">
        <v>312</v>
      </c>
      <c r="F277" s="29">
        <f>прил7!G176</f>
        <v>307010</v>
      </c>
      <c r="G277" s="29"/>
    </row>
    <row r="278" spans="1:7" ht="63">
      <c r="A278" s="3" t="s">
        <v>704</v>
      </c>
      <c r="B278" s="4" t="s">
        <v>661</v>
      </c>
      <c r="C278" s="4" t="s">
        <v>659</v>
      </c>
      <c r="D278" s="4" t="s">
        <v>705</v>
      </c>
      <c r="E278" s="4"/>
      <c r="F278" s="29">
        <f>F282+F279</f>
        <v>14874401.82</v>
      </c>
      <c r="G278" s="29">
        <f>G282</f>
        <v>11400</v>
      </c>
    </row>
    <row r="279" spans="1:7" ht="47.25">
      <c r="A279" s="3" t="s">
        <v>706</v>
      </c>
      <c r="B279" s="4" t="s">
        <v>661</v>
      </c>
      <c r="C279" s="4" t="s">
        <v>659</v>
      </c>
      <c r="D279" s="4" t="s">
        <v>707</v>
      </c>
      <c r="E279" s="4"/>
      <c r="F279" s="29">
        <f>F280+F281</f>
        <v>14863001.82</v>
      </c>
      <c r="G279" s="29"/>
    </row>
    <row r="280" spans="1:7" ht="47.25">
      <c r="A280" s="3" t="s">
        <v>702</v>
      </c>
      <c r="B280" s="4" t="s">
        <v>661</v>
      </c>
      <c r="C280" s="4" t="s">
        <v>659</v>
      </c>
      <c r="D280" s="4" t="s">
        <v>707</v>
      </c>
      <c r="E280" s="4" t="s">
        <v>313</v>
      </c>
      <c r="F280" s="29">
        <f>прил7!G179+прил7!G318+прил7!G489+прил7!G533+прил7!G689+прил7!G846+прил7!G53</f>
        <v>6063928.569999999</v>
      </c>
      <c r="G280" s="29"/>
    </row>
    <row r="281" spans="1:7" ht="63">
      <c r="A281" s="3" t="s">
        <v>723</v>
      </c>
      <c r="B281" s="4" t="s">
        <v>661</v>
      </c>
      <c r="C281" s="4" t="s">
        <v>659</v>
      </c>
      <c r="D281" s="4" t="s">
        <v>707</v>
      </c>
      <c r="E281" s="4" t="s">
        <v>317</v>
      </c>
      <c r="F281" s="29">
        <f>прил7!G534+прил7!G690+прил7!G180</f>
        <v>8799073.25</v>
      </c>
      <c r="G281" s="29"/>
    </row>
    <row r="282" spans="1:7" ht="126">
      <c r="A282" s="3" t="s">
        <v>728</v>
      </c>
      <c r="B282" s="4" t="s">
        <v>661</v>
      </c>
      <c r="C282" s="4" t="s">
        <v>659</v>
      </c>
      <c r="D282" s="4" t="s">
        <v>729</v>
      </c>
      <c r="E282" s="4"/>
      <c r="F282" s="29">
        <f>F283</f>
        <v>11400</v>
      </c>
      <c r="G282" s="29">
        <f>G283</f>
        <v>11400</v>
      </c>
    </row>
    <row r="283" spans="1:7" ht="47.25">
      <c r="A283" s="3" t="s">
        <v>702</v>
      </c>
      <c r="B283" s="4" t="s">
        <v>661</v>
      </c>
      <c r="C283" s="4" t="s">
        <v>659</v>
      </c>
      <c r="D283" s="4" t="s">
        <v>729</v>
      </c>
      <c r="E283" s="4" t="s">
        <v>313</v>
      </c>
      <c r="F283" s="29">
        <f>прил7!G182</f>
        <v>11400</v>
      </c>
      <c r="G283" s="29">
        <f>F283</f>
        <v>11400</v>
      </c>
    </row>
    <row r="284" spans="1:7" ht="31.5">
      <c r="A284" s="1" t="s">
        <v>674</v>
      </c>
      <c r="B284" s="2" t="s">
        <v>661</v>
      </c>
      <c r="C284" s="2" t="s">
        <v>307</v>
      </c>
      <c r="D284" s="4"/>
      <c r="E284" s="4"/>
      <c r="F284" s="33">
        <f>F288+F285+F302</f>
        <v>10716020.5</v>
      </c>
      <c r="G284" s="33">
        <f>G288+G285</f>
        <v>57300</v>
      </c>
    </row>
    <row r="285" spans="1:7" ht="63" hidden="1">
      <c r="A285" s="3" t="s">
        <v>546</v>
      </c>
      <c r="B285" s="4" t="s">
        <v>661</v>
      </c>
      <c r="C285" s="4" t="s">
        <v>307</v>
      </c>
      <c r="D285" s="4" t="s">
        <v>363</v>
      </c>
      <c r="E285" s="4"/>
      <c r="F285" s="29">
        <f>F286</f>
        <v>0</v>
      </c>
      <c r="G285" s="33"/>
    </row>
    <row r="286" spans="1:7" ht="47.25" hidden="1">
      <c r="A286" s="3" t="s">
        <v>512</v>
      </c>
      <c r="B286" s="4" t="s">
        <v>661</v>
      </c>
      <c r="C286" s="4" t="s">
        <v>307</v>
      </c>
      <c r="D286" s="4" t="s">
        <v>364</v>
      </c>
      <c r="E286" s="4"/>
      <c r="F286" s="29">
        <f>F287</f>
        <v>0</v>
      </c>
      <c r="G286" s="33"/>
    </row>
    <row r="287" spans="1:7" ht="47.25" hidden="1">
      <c r="A287" s="3" t="s">
        <v>702</v>
      </c>
      <c r="B287" s="4" t="s">
        <v>661</v>
      </c>
      <c r="C287" s="4" t="s">
        <v>307</v>
      </c>
      <c r="D287" s="4" t="s">
        <v>364</v>
      </c>
      <c r="E287" s="4" t="s">
        <v>313</v>
      </c>
      <c r="F287" s="29">
        <f>прил7!G322</f>
        <v>0</v>
      </c>
      <c r="G287" s="33"/>
    </row>
    <row r="288" spans="1:7" ht="63">
      <c r="A288" s="27" t="s">
        <v>541</v>
      </c>
      <c r="B288" s="4" t="s">
        <v>661</v>
      </c>
      <c r="C288" s="4" t="s">
        <v>307</v>
      </c>
      <c r="D288" s="4" t="s">
        <v>708</v>
      </c>
      <c r="E288" s="4"/>
      <c r="F288" s="29">
        <f>F289+F292+F295</f>
        <v>10630020.5</v>
      </c>
      <c r="G288" s="29">
        <f>G289+G292+G295</f>
        <v>57300</v>
      </c>
    </row>
    <row r="289" spans="1:7" ht="47.25">
      <c r="A289" s="27" t="s">
        <v>709</v>
      </c>
      <c r="B289" s="4" t="s">
        <v>661</v>
      </c>
      <c r="C289" s="4" t="s">
        <v>307</v>
      </c>
      <c r="D289" s="4" t="s">
        <v>710</v>
      </c>
      <c r="E289" s="4"/>
      <c r="F289" s="29">
        <f>F290</f>
        <v>57300</v>
      </c>
      <c r="G289" s="29">
        <f>G290</f>
        <v>57300</v>
      </c>
    </row>
    <row r="290" spans="1:7" ht="157.5">
      <c r="A290" s="3" t="s">
        <v>553</v>
      </c>
      <c r="B290" s="4" t="s">
        <v>661</v>
      </c>
      <c r="C290" s="4" t="s">
        <v>307</v>
      </c>
      <c r="D290" s="4" t="s">
        <v>337</v>
      </c>
      <c r="E290" s="4"/>
      <c r="F290" s="29">
        <f>F291</f>
        <v>57300</v>
      </c>
      <c r="G290" s="29">
        <f>G291</f>
        <v>57300</v>
      </c>
    </row>
    <row r="291" spans="1:7" ht="126">
      <c r="A291" s="3" t="s">
        <v>701</v>
      </c>
      <c r="B291" s="4" t="s">
        <v>661</v>
      </c>
      <c r="C291" s="4" t="s">
        <v>307</v>
      </c>
      <c r="D291" s="4" t="s">
        <v>337</v>
      </c>
      <c r="E291" s="4" t="s">
        <v>312</v>
      </c>
      <c r="F291" s="29">
        <f>прил7!G187</f>
        <v>57300</v>
      </c>
      <c r="G291" s="29">
        <f>F291</f>
        <v>57300</v>
      </c>
    </row>
    <row r="292" spans="1:7" ht="78.75">
      <c r="A292" s="27" t="s">
        <v>376</v>
      </c>
      <c r="B292" s="4" t="s">
        <v>661</v>
      </c>
      <c r="C292" s="4" t="s">
        <v>307</v>
      </c>
      <c r="D292" s="4" t="s">
        <v>389</v>
      </c>
      <c r="E292" s="4"/>
      <c r="F292" s="29">
        <f>F293</f>
        <v>1200000</v>
      </c>
      <c r="G292" s="29"/>
    </row>
    <row r="293" spans="1:7" ht="31.5">
      <c r="A293" s="27" t="s">
        <v>453</v>
      </c>
      <c r="B293" s="4" t="s">
        <v>661</v>
      </c>
      <c r="C293" s="4" t="s">
        <v>307</v>
      </c>
      <c r="D293" s="4" t="s">
        <v>390</v>
      </c>
      <c r="E293" s="4"/>
      <c r="F293" s="29">
        <f>F294</f>
        <v>1200000</v>
      </c>
      <c r="G293" s="29"/>
    </row>
    <row r="294" spans="1:7" ht="47.25">
      <c r="A294" s="3" t="s">
        <v>702</v>
      </c>
      <c r="B294" s="4" t="s">
        <v>661</v>
      </c>
      <c r="C294" s="4" t="s">
        <v>307</v>
      </c>
      <c r="D294" s="4" t="s">
        <v>390</v>
      </c>
      <c r="E294" s="4" t="s">
        <v>313</v>
      </c>
      <c r="F294" s="29">
        <f>прил7!G326</f>
        <v>1200000</v>
      </c>
      <c r="G294" s="29"/>
    </row>
    <row r="295" spans="1:7" ht="94.5">
      <c r="A295" s="3" t="s">
        <v>385</v>
      </c>
      <c r="B295" s="4" t="s">
        <v>661</v>
      </c>
      <c r="C295" s="4" t="s">
        <v>307</v>
      </c>
      <c r="D295" s="4" t="s">
        <v>386</v>
      </c>
      <c r="E295" s="4"/>
      <c r="F295" s="29">
        <f>F296+F300</f>
        <v>9372720.5</v>
      </c>
      <c r="G295" s="29"/>
    </row>
    <row r="296" spans="1:7" ht="110.25">
      <c r="A296" s="3" t="s">
        <v>209</v>
      </c>
      <c r="B296" s="4" t="s">
        <v>661</v>
      </c>
      <c r="C296" s="4" t="s">
        <v>307</v>
      </c>
      <c r="D296" s="4" t="s">
        <v>387</v>
      </c>
      <c r="E296" s="4"/>
      <c r="F296" s="29">
        <f>F297+F298+F299</f>
        <v>9204890</v>
      </c>
      <c r="G296" s="29"/>
    </row>
    <row r="297" spans="1:7" ht="126">
      <c r="A297" s="3" t="s">
        <v>701</v>
      </c>
      <c r="B297" s="4" t="s">
        <v>661</v>
      </c>
      <c r="C297" s="4" t="s">
        <v>307</v>
      </c>
      <c r="D297" s="4" t="s">
        <v>387</v>
      </c>
      <c r="E297" s="4" t="s">
        <v>312</v>
      </c>
      <c r="F297" s="29">
        <f>прил7!G329</f>
        <v>8525401</v>
      </c>
      <c r="G297" s="29"/>
    </row>
    <row r="298" spans="1:7" ht="47.25">
      <c r="A298" s="3" t="s">
        <v>702</v>
      </c>
      <c r="B298" s="4" t="s">
        <v>661</v>
      </c>
      <c r="C298" s="4" t="s">
        <v>307</v>
      </c>
      <c r="D298" s="4" t="s">
        <v>387</v>
      </c>
      <c r="E298" s="4" t="s">
        <v>313</v>
      </c>
      <c r="F298" s="29">
        <f>прил7!G330</f>
        <v>541307.19</v>
      </c>
      <c r="G298" s="29"/>
    </row>
    <row r="299" spans="1:7" ht="22.5" customHeight="1">
      <c r="A299" s="3" t="s">
        <v>556</v>
      </c>
      <c r="B299" s="4" t="s">
        <v>661</v>
      </c>
      <c r="C299" s="4" t="s">
        <v>307</v>
      </c>
      <c r="D299" s="4" t="s">
        <v>387</v>
      </c>
      <c r="E299" s="4" t="s">
        <v>316</v>
      </c>
      <c r="F299" s="29">
        <f>прил7!G331</f>
        <v>138181.81</v>
      </c>
      <c r="G299" s="29"/>
    </row>
    <row r="300" spans="1:7" ht="110.25">
      <c r="A300" s="3" t="s">
        <v>235</v>
      </c>
      <c r="B300" s="4" t="s">
        <v>661</v>
      </c>
      <c r="C300" s="4" t="s">
        <v>307</v>
      </c>
      <c r="D300" s="4" t="s">
        <v>259</v>
      </c>
      <c r="E300" s="4"/>
      <c r="F300" s="29">
        <f>F301</f>
        <v>167830.5</v>
      </c>
      <c r="G300" s="29"/>
    </row>
    <row r="301" spans="1:7" ht="126">
      <c r="A301" s="3" t="s">
        <v>245</v>
      </c>
      <c r="B301" s="4" t="s">
        <v>661</v>
      </c>
      <c r="C301" s="4" t="s">
        <v>307</v>
      </c>
      <c r="D301" s="4" t="s">
        <v>259</v>
      </c>
      <c r="E301" s="4" t="s">
        <v>312</v>
      </c>
      <c r="F301" s="29">
        <f>прил7!G333</f>
        <v>167830.5</v>
      </c>
      <c r="G301" s="29"/>
    </row>
    <row r="302" spans="1:7" ht="15.75">
      <c r="A302" s="3" t="s">
        <v>699</v>
      </c>
      <c r="B302" s="4" t="s">
        <v>661</v>
      </c>
      <c r="C302" s="4" t="s">
        <v>307</v>
      </c>
      <c r="D302" s="4" t="s">
        <v>700</v>
      </c>
      <c r="E302" s="4"/>
      <c r="F302" s="29">
        <f>F303</f>
        <v>86000</v>
      </c>
      <c r="G302" s="29"/>
    </row>
    <row r="303" spans="1:7" ht="31.5">
      <c r="A303" s="3" t="s">
        <v>712</v>
      </c>
      <c r="B303" s="4" t="s">
        <v>661</v>
      </c>
      <c r="C303" s="4" t="s">
        <v>307</v>
      </c>
      <c r="D303" s="4" t="s">
        <v>783</v>
      </c>
      <c r="E303" s="4"/>
      <c r="F303" s="29">
        <f>F304</f>
        <v>86000</v>
      </c>
      <c r="G303" s="29"/>
    </row>
    <row r="304" spans="1:7" ht="47.25">
      <c r="A304" s="3" t="s">
        <v>702</v>
      </c>
      <c r="B304" s="4" t="s">
        <v>661</v>
      </c>
      <c r="C304" s="4" t="s">
        <v>307</v>
      </c>
      <c r="D304" s="4" t="s">
        <v>783</v>
      </c>
      <c r="E304" s="4" t="s">
        <v>313</v>
      </c>
      <c r="F304" s="29">
        <f>прил7!G336</f>
        <v>86000</v>
      </c>
      <c r="G304" s="29"/>
    </row>
    <row r="305" spans="1:7" ht="37.5">
      <c r="A305" s="10" t="s">
        <v>660</v>
      </c>
      <c r="B305" s="11" t="s">
        <v>653</v>
      </c>
      <c r="C305" s="23"/>
      <c r="D305" s="23"/>
      <c r="E305" s="23"/>
      <c r="F305" s="28">
        <f>F353+F306+F322+F334</f>
        <v>107402198.91000001</v>
      </c>
      <c r="G305" s="28">
        <f>G353+G306+G322+G334</f>
        <v>0</v>
      </c>
    </row>
    <row r="306" spans="1:7" ht="15.75">
      <c r="A306" s="1" t="s">
        <v>666</v>
      </c>
      <c r="B306" s="2" t="s">
        <v>653</v>
      </c>
      <c r="C306" s="2" t="s">
        <v>651</v>
      </c>
      <c r="D306" s="2"/>
      <c r="E306" s="2"/>
      <c r="F306" s="33">
        <f>F307+F313</f>
        <v>25051409.7</v>
      </c>
      <c r="G306" s="33">
        <f>G313</f>
        <v>0</v>
      </c>
    </row>
    <row r="307" spans="1:7" ht="78.75">
      <c r="A307" s="3" t="s">
        <v>549</v>
      </c>
      <c r="B307" s="4" t="s">
        <v>653</v>
      </c>
      <c r="C307" s="4" t="s">
        <v>651</v>
      </c>
      <c r="D307" s="4" t="s">
        <v>328</v>
      </c>
      <c r="E307" s="4"/>
      <c r="F307" s="29">
        <f>F308</f>
        <v>24330500.7</v>
      </c>
      <c r="G307" s="29"/>
    </row>
    <row r="308" spans="1:7" ht="47.25">
      <c r="A308" s="3" t="s">
        <v>510</v>
      </c>
      <c r="B308" s="4" t="s">
        <v>653</v>
      </c>
      <c r="C308" s="4" t="s">
        <v>651</v>
      </c>
      <c r="D308" s="4" t="s">
        <v>511</v>
      </c>
      <c r="E308" s="4"/>
      <c r="F308" s="29">
        <f>F309+F311</f>
        <v>24330500.7</v>
      </c>
      <c r="G308" s="29"/>
    </row>
    <row r="309" spans="1:7" ht="47.25">
      <c r="A309" s="3" t="s">
        <v>512</v>
      </c>
      <c r="B309" s="4" t="s">
        <v>653</v>
      </c>
      <c r="C309" s="4" t="s">
        <v>651</v>
      </c>
      <c r="D309" s="4" t="s">
        <v>513</v>
      </c>
      <c r="E309" s="4"/>
      <c r="F309" s="29">
        <f>F310</f>
        <v>3285175.55</v>
      </c>
      <c r="G309" s="29"/>
    </row>
    <row r="310" spans="1:7" ht="47.25">
      <c r="A310" s="3" t="s">
        <v>702</v>
      </c>
      <c r="B310" s="4" t="s">
        <v>653</v>
      </c>
      <c r="C310" s="4" t="s">
        <v>651</v>
      </c>
      <c r="D310" s="4" t="s">
        <v>513</v>
      </c>
      <c r="E310" s="4" t="s">
        <v>313</v>
      </c>
      <c r="F310" s="29">
        <f>прил7!G342</f>
        <v>3285175.55</v>
      </c>
      <c r="G310" s="29"/>
    </row>
    <row r="311" spans="1:7" ht="63">
      <c r="A311" s="138" t="s">
        <v>244</v>
      </c>
      <c r="B311" s="4" t="s">
        <v>653</v>
      </c>
      <c r="C311" s="4" t="s">
        <v>651</v>
      </c>
      <c r="D311" s="4" t="s">
        <v>243</v>
      </c>
      <c r="E311" s="4"/>
      <c r="F311" s="29">
        <f>F312</f>
        <v>21045325.15</v>
      </c>
      <c r="G311" s="29"/>
    </row>
    <row r="312" spans="1:7" ht="47.25">
      <c r="A312" s="3" t="s">
        <v>702</v>
      </c>
      <c r="B312" s="4" t="s">
        <v>653</v>
      </c>
      <c r="C312" s="4" t="s">
        <v>651</v>
      </c>
      <c r="D312" s="4" t="s">
        <v>243</v>
      </c>
      <c r="E312" s="4" t="s">
        <v>313</v>
      </c>
      <c r="F312" s="29">
        <f>прил7!G344</f>
        <v>21045325.15</v>
      </c>
      <c r="G312" s="29"/>
    </row>
    <row r="313" spans="1:7" ht="63">
      <c r="A313" s="3" t="s">
        <v>546</v>
      </c>
      <c r="B313" s="4" t="s">
        <v>653</v>
      </c>
      <c r="C313" s="4" t="s">
        <v>651</v>
      </c>
      <c r="D313" s="4" t="s">
        <v>363</v>
      </c>
      <c r="E313" s="4"/>
      <c r="F313" s="29">
        <f>F314+F316+F318+F320</f>
        <v>720909</v>
      </c>
      <c r="G313" s="29">
        <f>G318+G320</f>
        <v>0</v>
      </c>
    </row>
    <row r="314" spans="1:7" ht="31.5">
      <c r="A314" s="3" t="s">
        <v>719</v>
      </c>
      <c r="B314" s="4" t="s">
        <v>653</v>
      </c>
      <c r="C314" s="4" t="s">
        <v>651</v>
      </c>
      <c r="D314" s="4" t="s">
        <v>365</v>
      </c>
      <c r="E314" s="4"/>
      <c r="F314" s="29">
        <f>F315</f>
        <v>720909</v>
      </c>
      <c r="G314" s="29"/>
    </row>
    <row r="315" spans="1:7" ht="47.25">
      <c r="A315" s="3" t="s">
        <v>702</v>
      </c>
      <c r="B315" s="4" t="s">
        <v>653</v>
      </c>
      <c r="C315" s="4" t="s">
        <v>651</v>
      </c>
      <c r="D315" s="4" t="s">
        <v>365</v>
      </c>
      <c r="E315" s="4" t="s">
        <v>313</v>
      </c>
      <c r="F315" s="29">
        <f>прил7!G349</f>
        <v>720909</v>
      </c>
      <c r="G315" s="29"/>
    </row>
    <row r="316" spans="1:7" ht="63" hidden="1">
      <c r="A316" s="3" t="s">
        <v>366</v>
      </c>
      <c r="B316" s="4" t="s">
        <v>653</v>
      </c>
      <c r="C316" s="4" t="s">
        <v>651</v>
      </c>
      <c r="D316" s="4" t="s">
        <v>367</v>
      </c>
      <c r="E316" s="4"/>
      <c r="F316" s="29">
        <f>F317</f>
        <v>0</v>
      </c>
      <c r="G316" s="29"/>
    </row>
    <row r="317" spans="1:7" ht="31.5" hidden="1">
      <c r="A317" s="3" t="s">
        <v>560</v>
      </c>
      <c r="B317" s="4" t="s">
        <v>653</v>
      </c>
      <c r="C317" s="4" t="s">
        <v>651</v>
      </c>
      <c r="D317" s="4" t="s">
        <v>367</v>
      </c>
      <c r="E317" s="4" t="s">
        <v>561</v>
      </c>
      <c r="F317" s="29">
        <f>прил7!G351</f>
        <v>0</v>
      </c>
      <c r="G317" s="29"/>
    </row>
    <row r="318" spans="1:7" ht="119.25" customHeight="1" hidden="1">
      <c r="A318" s="3" t="s">
        <v>480</v>
      </c>
      <c r="B318" s="4" t="s">
        <v>653</v>
      </c>
      <c r="C318" s="4" t="s">
        <v>651</v>
      </c>
      <c r="D318" s="4" t="s">
        <v>481</v>
      </c>
      <c r="E318" s="4"/>
      <c r="F318" s="29">
        <f>F319</f>
        <v>0</v>
      </c>
      <c r="G318" s="29">
        <f>G319</f>
        <v>0</v>
      </c>
    </row>
    <row r="319" spans="1:7" ht="31.5" hidden="1">
      <c r="A319" s="3" t="s">
        <v>560</v>
      </c>
      <c r="B319" s="4" t="s">
        <v>653</v>
      </c>
      <c r="C319" s="4" t="s">
        <v>651</v>
      </c>
      <c r="D319" s="4" t="s">
        <v>481</v>
      </c>
      <c r="E319" s="4" t="s">
        <v>561</v>
      </c>
      <c r="F319" s="29">
        <f>прил7!G353</f>
        <v>0</v>
      </c>
      <c r="G319" s="29">
        <f>F319</f>
        <v>0</v>
      </c>
    </row>
    <row r="320" spans="1:7" ht="110.25" hidden="1">
      <c r="A320" s="3" t="s">
        <v>485</v>
      </c>
      <c r="B320" s="4" t="s">
        <v>653</v>
      </c>
      <c r="C320" s="4" t="s">
        <v>651</v>
      </c>
      <c r="D320" s="4" t="s">
        <v>486</v>
      </c>
      <c r="E320" s="4"/>
      <c r="F320" s="29">
        <f>F321</f>
        <v>0</v>
      </c>
      <c r="G320" s="29">
        <f>G321</f>
        <v>0</v>
      </c>
    </row>
    <row r="321" spans="1:7" ht="47.25" hidden="1">
      <c r="A321" s="3" t="s">
        <v>702</v>
      </c>
      <c r="B321" s="4" t="s">
        <v>653</v>
      </c>
      <c r="C321" s="4" t="s">
        <v>651</v>
      </c>
      <c r="D321" s="4" t="s">
        <v>486</v>
      </c>
      <c r="E321" s="4" t="s">
        <v>313</v>
      </c>
      <c r="F321" s="29">
        <f>прил7!G355</f>
        <v>0</v>
      </c>
      <c r="G321" s="29">
        <f>F321</f>
        <v>0</v>
      </c>
    </row>
    <row r="322" spans="1:7" ht="15.75">
      <c r="A322" s="1" t="s">
        <v>305</v>
      </c>
      <c r="B322" s="2" t="s">
        <v>653</v>
      </c>
      <c r="C322" s="2" t="s">
        <v>656</v>
      </c>
      <c r="D322" s="2"/>
      <c r="E322" s="2"/>
      <c r="F322" s="33">
        <f>F323</f>
        <v>23746044.81</v>
      </c>
      <c r="G322" s="29"/>
    </row>
    <row r="323" spans="1:7" ht="78.75">
      <c r="A323" s="3" t="s">
        <v>549</v>
      </c>
      <c r="B323" s="4" t="s">
        <v>653</v>
      </c>
      <c r="C323" s="4" t="s">
        <v>656</v>
      </c>
      <c r="D323" s="4" t="s">
        <v>328</v>
      </c>
      <c r="E323" s="4"/>
      <c r="F323" s="29">
        <f>F324+F329</f>
        <v>23746044.81</v>
      </c>
      <c r="G323" s="29"/>
    </row>
    <row r="324" spans="1:7" ht="78.75">
      <c r="A324" s="3" t="s">
        <v>202</v>
      </c>
      <c r="B324" s="4" t="s">
        <v>653</v>
      </c>
      <c r="C324" s="4" t="s">
        <v>656</v>
      </c>
      <c r="D324" s="4" t="s">
        <v>203</v>
      </c>
      <c r="E324" s="4"/>
      <c r="F324" s="29">
        <f>F325+F327</f>
        <v>1171757.21</v>
      </c>
      <c r="G324" s="29"/>
    </row>
    <row r="325" spans="1:7" ht="47.25">
      <c r="A325" s="3" t="s">
        <v>514</v>
      </c>
      <c r="B325" s="4" t="s">
        <v>653</v>
      </c>
      <c r="C325" s="4" t="s">
        <v>656</v>
      </c>
      <c r="D325" s="4" t="s">
        <v>515</v>
      </c>
      <c r="E325" s="4"/>
      <c r="F325" s="29">
        <f>F326</f>
        <v>1171757.21</v>
      </c>
      <c r="G325" s="29"/>
    </row>
    <row r="326" spans="1:7" ht="47.25">
      <c r="A326" s="3" t="s">
        <v>702</v>
      </c>
      <c r="B326" s="4" t="s">
        <v>653</v>
      </c>
      <c r="C326" s="4" t="s">
        <v>656</v>
      </c>
      <c r="D326" s="4" t="s">
        <v>515</v>
      </c>
      <c r="E326" s="4" t="s">
        <v>313</v>
      </c>
      <c r="F326" s="29">
        <f>прил7!G360</f>
        <v>1171757.21</v>
      </c>
      <c r="G326" s="29"/>
    </row>
    <row r="327" spans="1:7" ht="31.5" hidden="1">
      <c r="A327" s="3" t="s">
        <v>719</v>
      </c>
      <c r="B327" s="4" t="s">
        <v>653</v>
      </c>
      <c r="C327" s="4" t="s">
        <v>656</v>
      </c>
      <c r="D327" s="4" t="s">
        <v>231</v>
      </c>
      <c r="E327" s="4"/>
      <c r="F327" s="29">
        <f>F328</f>
        <v>0</v>
      </c>
      <c r="G327" s="29"/>
    </row>
    <row r="328" spans="1:7" ht="47.25" hidden="1">
      <c r="A328" s="3" t="s">
        <v>702</v>
      </c>
      <c r="B328" s="4" t="s">
        <v>653</v>
      </c>
      <c r="C328" s="4" t="s">
        <v>656</v>
      </c>
      <c r="D328" s="4" t="s">
        <v>231</v>
      </c>
      <c r="E328" s="4" t="s">
        <v>313</v>
      </c>
      <c r="F328" s="29">
        <f>прил7!G362</f>
        <v>0</v>
      </c>
      <c r="G328" s="29"/>
    </row>
    <row r="329" spans="1:7" ht="78.75">
      <c r="A329" s="3" t="s">
        <v>204</v>
      </c>
      <c r="B329" s="4" t="s">
        <v>653</v>
      </c>
      <c r="C329" s="4" t="s">
        <v>656</v>
      </c>
      <c r="D329" s="4" t="s">
        <v>205</v>
      </c>
      <c r="E329" s="4"/>
      <c r="F329" s="29">
        <f>F330+F332</f>
        <v>22574287.599999998</v>
      </c>
      <c r="G329" s="29"/>
    </row>
    <row r="330" spans="1:7" ht="31.5">
      <c r="A330" s="3" t="s">
        <v>719</v>
      </c>
      <c r="B330" s="4" t="s">
        <v>653</v>
      </c>
      <c r="C330" s="4" t="s">
        <v>656</v>
      </c>
      <c r="D330" s="4" t="s">
        <v>206</v>
      </c>
      <c r="E330" s="4"/>
      <c r="F330" s="29">
        <f>F331</f>
        <v>840463.6599999999</v>
      </c>
      <c r="G330" s="29"/>
    </row>
    <row r="331" spans="1:7" ht="47.25">
      <c r="A331" s="3" t="s">
        <v>702</v>
      </c>
      <c r="B331" s="4" t="s">
        <v>653</v>
      </c>
      <c r="C331" s="4" t="s">
        <v>656</v>
      </c>
      <c r="D331" s="4" t="s">
        <v>206</v>
      </c>
      <c r="E331" s="4" t="s">
        <v>313</v>
      </c>
      <c r="F331" s="29">
        <f>прил7!G365</f>
        <v>840463.6599999999</v>
      </c>
      <c r="G331" s="29"/>
    </row>
    <row r="332" spans="1:7" ht="47.25">
      <c r="A332" s="3" t="s">
        <v>207</v>
      </c>
      <c r="B332" s="4" t="s">
        <v>653</v>
      </c>
      <c r="C332" s="4" t="s">
        <v>656</v>
      </c>
      <c r="D332" s="4" t="s">
        <v>208</v>
      </c>
      <c r="E332" s="4"/>
      <c r="F332" s="29">
        <f>F333</f>
        <v>21733823.939999998</v>
      </c>
      <c r="G332" s="29"/>
    </row>
    <row r="333" spans="1:7" ht="15.75">
      <c r="A333" s="3" t="s">
        <v>556</v>
      </c>
      <c r="B333" s="4" t="s">
        <v>653</v>
      </c>
      <c r="C333" s="4" t="s">
        <v>656</v>
      </c>
      <c r="D333" s="4" t="s">
        <v>208</v>
      </c>
      <c r="E333" s="4" t="s">
        <v>316</v>
      </c>
      <c r="F333" s="29">
        <f>прил7!G367</f>
        <v>21733823.939999998</v>
      </c>
      <c r="G333" s="29"/>
    </row>
    <row r="334" spans="1:7" ht="15.75">
      <c r="A334" s="1" t="s">
        <v>564</v>
      </c>
      <c r="B334" s="2" t="s">
        <v>653</v>
      </c>
      <c r="C334" s="2" t="s">
        <v>658</v>
      </c>
      <c r="D334" s="2"/>
      <c r="E334" s="2"/>
      <c r="F334" s="33">
        <f>F335</f>
        <v>37585189.400000006</v>
      </c>
      <c r="G334" s="33">
        <f>G335</f>
        <v>0</v>
      </c>
    </row>
    <row r="335" spans="1:7" ht="78.75">
      <c r="A335" s="3" t="s">
        <v>549</v>
      </c>
      <c r="B335" s="4" t="s">
        <v>653</v>
      </c>
      <c r="C335" s="4" t="s">
        <v>658</v>
      </c>
      <c r="D335" s="4" t="s">
        <v>328</v>
      </c>
      <c r="E335" s="4"/>
      <c r="F335" s="29">
        <f>F336</f>
        <v>37585189.400000006</v>
      </c>
      <c r="G335" s="29">
        <f>G336</f>
        <v>0</v>
      </c>
    </row>
    <row r="336" spans="1:7" ht="63">
      <c r="A336" s="3" t="s">
        <v>211</v>
      </c>
      <c r="B336" s="4" t="s">
        <v>653</v>
      </c>
      <c r="C336" s="4" t="s">
        <v>658</v>
      </c>
      <c r="D336" s="4" t="s">
        <v>212</v>
      </c>
      <c r="E336" s="4"/>
      <c r="F336" s="29">
        <f>F337+F339+F341+F343+F345+F347+F349+F351</f>
        <v>37585189.400000006</v>
      </c>
      <c r="G336" s="29">
        <f>G337+G339+G341+G343+G345+G347+G349+G351</f>
        <v>0</v>
      </c>
    </row>
    <row r="337" spans="1:7" ht="63">
      <c r="A337" s="3" t="s">
        <v>213</v>
      </c>
      <c r="B337" s="4" t="s">
        <v>653</v>
      </c>
      <c r="C337" s="4" t="s">
        <v>658</v>
      </c>
      <c r="D337" s="4" t="s">
        <v>214</v>
      </c>
      <c r="E337" s="4"/>
      <c r="F337" s="29">
        <f>F338</f>
        <v>20204816.5</v>
      </c>
      <c r="G337" s="29"/>
    </row>
    <row r="338" spans="1:7" ht="47.25">
      <c r="A338" s="3" t="s">
        <v>702</v>
      </c>
      <c r="B338" s="4" t="s">
        <v>653</v>
      </c>
      <c r="C338" s="4" t="s">
        <v>658</v>
      </c>
      <c r="D338" s="4" t="s">
        <v>214</v>
      </c>
      <c r="E338" s="4" t="s">
        <v>313</v>
      </c>
      <c r="F338" s="29">
        <f>прил7!G372</f>
        <v>20204816.5</v>
      </c>
      <c r="G338" s="33"/>
    </row>
    <row r="339" spans="1:7" ht="63">
      <c r="A339" s="3" t="s">
        <v>217</v>
      </c>
      <c r="B339" s="4" t="s">
        <v>653</v>
      </c>
      <c r="C339" s="4" t="s">
        <v>658</v>
      </c>
      <c r="D339" s="4" t="s">
        <v>218</v>
      </c>
      <c r="E339" s="4"/>
      <c r="F339" s="29">
        <f>F340</f>
        <v>13207055.48</v>
      </c>
      <c r="G339" s="29"/>
    </row>
    <row r="340" spans="1:7" ht="47.25">
      <c r="A340" s="3" t="s">
        <v>702</v>
      </c>
      <c r="B340" s="4" t="s">
        <v>653</v>
      </c>
      <c r="C340" s="4" t="s">
        <v>658</v>
      </c>
      <c r="D340" s="4" t="s">
        <v>218</v>
      </c>
      <c r="E340" s="4" t="s">
        <v>313</v>
      </c>
      <c r="F340" s="29">
        <f>прил7!G374</f>
        <v>13207055.48</v>
      </c>
      <c r="G340" s="29"/>
    </row>
    <row r="341" spans="1:7" ht="47.25">
      <c r="A341" s="3" t="s">
        <v>219</v>
      </c>
      <c r="B341" s="4" t="s">
        <v>653</v>
      </c>
      <c r="C341" s="4" t="s">
        <v>658</v>
      </c>
      <c r="D341" s="4" t="s">
        <v>220</v>
      </c>
      <c r="E341" s="4"/>
      <c r="F341" s="29">
        <f>F342</f>
        <v>680500</v>
      </c>
      <c r="G341" s="29"/>
    </row>
    <row r="342" spans="1:7" ht="47.25">
      <c r="A342" s="3" t="s">
        <v>702</v>
      </c>
      <c r="B342" s="4" t="s">
        <v>653</v>
      </c>
      <c r="C342" s="4" t="s">
        <v>658</v>
      </c>
      <c r="D342" s="4" t="s">
        <v>220</v>
      </c>
      <c r="E342" s="4" t="s">
        <v>313</v>
      </c>
      <c r="F342" s="29">
        <f>прил7!G376</f>
        <v>680500</v>
      </c>
      <c r="G342" s="29"/>
    </row>
    <row r="343" spans="1:7" ht="47.25" hidden="1">
      <c r="A343" s="3" t="s">
        <v>512</v>
      </c>
      <c r="B343" s="4" t="s">
        <v>653</v>
      </c>
      <c r="C343" s="4" t="s">
        <v>658</v>
      </c>
      <c r="D343" s="4" t="s">
        <v>221</v>
      </c>
      <c r="E343" s="4"/>
      <c r="F343" s="29">
        <f>F344</f>
        <v>0</v>
      </c>
      <c r="G343" s="29"/>
    </row>
    <row r="344" spans="1:7" ht="47.25" hidden="1">
      <c r="A344" s="3" t="s">
        <v>702</v>
      </c>
      <c r="B344" s="4" t="s">
        <v>653</v>
      </c>
      <c r="C344" s="4" t="s">
        <v>658</v>
      </c>
      <c r="D344" s="4" t="s">
        <v>221</v>
      </c>
      <c r="E344" s="4" t="s">
        <v>313</v>
      </c>
      <c r="F344" s="29">
        <f>прил7!G378</f>
        <v>0</v>
      </c>
      <c r="G344" s="29"/>
    </row>
    <row r="345" spans="1:7" ht="47.25" hidden="1">
      <c r="A345" s="3" t="s">
        <v>514</v>
      </c>
      <c r="B345" s="4" t="s">
        <v>653</v>
      </c>
      <c r="C345" s="4" t="s">
        <v>658</v>
      </c>
      <c r="D345" s="4" t="s">
        <v>222</v>
      </c>
      <c r="E345" s="4"/>
      <c r="F345" s="29">
        <f>F346</f>
        <v>0</v>
      </c>
      <c r="G345" s="29"/>
    </row>
    <row r="346" spans="1:7" ht="47.25" hidden="1">
      <c r="A346" s="3" t="s">
        <v>702</v>
      </c>
      <c r="B346" s="4" t="s">
        <v>653</v>
      </c>
      <c r="C346" s="4" t="s">
        <v>658</v>
      </c>
      <c r="D346" s="4" t="s">
        <v>222</v>
      </c>
      <c r="E346" s="4" t="s">
        <v>313</v>
      </c>
      <c r="F346" s="29">
        <f>прил7!G380</f>
        <v>0</v>
      </c>
      <c r="G346" s="29"/>
    </row>
    <row r="347" spans="1:7" ht="31.5">
      <c r="A347" s="3" t="s">
        <v>719</v>
      </c>
      <c r="B347" s="4" t="s">
        <v>653</v>
      </c>
      <c r="C347" s="4" t="s">
        <v>658</v>
      </c>
      <c r="D347" s="4" t="s">
        <v>223</v>
      </c>
      <c r="E347" s="4"/>
      <c r="F347" s="29">
        <f>F348</f>
        <v>3492817.42</v>
      </c>
      <c r="G347" s="29"/>
    </row>
    <row r="348" spans="1:7" ht="47.25">
      <c r="A348" s="3" t="s">
        <v>702</v>
      </c>
      <c r="B348" s="4" t="s">
        <v>653</v>
      </c>
      <c r="C348" s="4" t="s">
        <v>658</v>
      </c>
      <c r="D348" s="4" t="s">
        <v>223</v>
      </c>
      <c r="E348" s="4" t="s">
        <v>313</v>
      </c>
      <c r="F348" s="29">
        <f>прил7!G382</f>
        <v>3492817.42</v>
      </c>
      <c r="G348" s="29"/>
    </row>
    <row r="349" spans="1:7" ht="136.5" customHeight="1">
      <c r="A349" s="3" t="s">
        <v>533</v>
      </c>
      <c r="B349" s="4" t="s">
        <v>653</v>
      </c>
      <c r="C349" s="4" t="s">
        <v>658</v>
      </c>
      <c r="D349" s="4" t="s">
        <v>532</v>
      </c>
      <c r="E349" s="4"/>
      <c r="F349" s="29">
        <f>F350</f>
        <v>0</v>
      </c>
      <c r="G349" s="29">
        <f>F349</f>
        <v>0</v>
      </c>
    </row>
    <row r="350" spans="1:7" ht="72" customHeight="1">
      <c r="A350" s="3" t="s">
        <v>702</v>
      </c>
      <c r="B350" s="4" t="s">
        <v>653</v>
      </c>
      <c r="C350" s="4" t="s">
        <v>658</v>
      </c>
      <c r="D350" s="4" t="s">
        <v>532</v>
      </c>
      <c r="E350" s="4" t="s">
        <v>313</v>
      </c>
      <c r="F350" s="29">
        <f>прил7!G384</f>
        <v>0</v>
      </c>
      <c r="G350" s="29">
        <f>F350</f>
        <v>0</v>
      </c>
    </row>
    <row r="351" spans="1:7" ht="110.25" hidden="1">
      <c r="A351" s="3" t="s">
        <v>226</v>
      </c>
      <c r="B351" s="4" t="s">
        <v>653</v>
      </c>
      <c r="C351" s="4" t="s">
        <v>658</v>
      </c>
      <c r="D351" s="4" t="s">
        <v>227</v>
      </c>
      <c r="E351" s="4"/>
      <c r="F351" s="29">
        <f>F352</f>
        <v>0</v>
      </c>
      <c r="G351" s="29"/>
    </row>
    <row r="352" spans="1:7" ht="15.75" hidden="1">
      <c r="A352" s="3" t="s">
        <v>556</v>
      </c>
      <c r="B352" s="4" t="s">
        <v>653</v>
      </c>
      <c r="C352" s="4" t="s">
        <v>658</v>
      </c>
      <c r="D352" s="4" t="s">
        <v>227</v>
      </c>
      <c r="E352" s="4" t="s">
        <v>316</v>
      </c>
      <c r="F352" s="29">
        <f>прил7!G388</f>
        <v>0</v>
      </c>
      <c r="G352" s="29"/>
    </row>
    <row r="353" spans="1:7" ht="47.25">
      <c r="A353" s="1" t="s">
        <v>678</v>
      </c>
      <c r="B353" s="2" t="s">
        <v>653</v>
      </c>
      <c r="C353" s="2" t="s">
        <v>653</v>
      </c>
      <c r="D353" s="4"/>
      <c r="E353" s="4"/>
      <c r="F353" s="33">
        <f>F365+F354</f>
        <v>21019555</v>
      </c>
      <c r="G353" s="33">
        <f>G365</f>
        <v>0</v>
      </c>
    </row>
    <row r="354" spans="1:7" ht="78.75">
      <c r="A354" s="3" t="s">
        <v>549</v>
      </c>
      <c r="B354" s="4" t="s">
        <v>653</v>
      </c>
      <c r="C354" s="4" t="s">
        <v>653</v>
      </c>
      <c r="D354" s="4" t="s">
        <v>328</v>
      </c>
      <c r="E354" s="4"/>
      <c r="F354" s="29">
        <f>F355+F358</f>
        <v>21019555</v>
      </c>
      <c r="G354" s="29"/>
    </row>
    <row r="355" spans="1:7" ht="78.75">
      <c r="A355" s="3" t="s">
        <v>204</v>
      </c>
      <c r="B355" s="4" t="s">
        <v>653</v>
      </c>
      <c r="C355" s="4" t="s">
        <v>653</v>
      </c>
      <c r="D355" s="4" t="s">
        <v>205</v>
      </c>
      <c r="E355" s="4"/>
      <c r="F355" s="29">
        <f>F356</f>
        <v>5574039.5</v>
      </c>
      <c r="G355" s="29"/>
    </row>
    <row r="356" spans="1:7" ht="110.25">
      <c r="A356" s="3" t="s">
        <v>209</v>
      </c>
      <c r="B356" s="4" t="s">
        <v>653</v>
      </c>
      <c r="C356" s="4" t="s">
        <v>653</v>
      </c>
      <c r="D356" s="4" t="s">
        <v>210</v>
      </c>
      <c r="E356" s="4"/>
      <c r="F356" s="29">
        <f>F357</f>
        <v>5574039.5</v>
      </c>
      <c r="G356" s="29"/>
    </row>
    <row r="357" spans="1:7" ht="63">
      <c r="A357" s="3" t="s">
        <v>723</v>
      </c>
      <c r="B357" s="4" t="s">
        <v>653</v>
      </c>
      <c r="C357" s="4" t="s">
        <v>653</v>
      </c>
      <c r="D357" s="4" t="s">
        <v>210</v>
      </c>
      <c r="E357" s="4" t="s">
        <v>317</v>
      </c>
      <c r="F357" s="29">
        <f>прил7!G393</f>
        <v>5574039.5</v>
      </c>
      <c r="G357" s="29"/>
    </row>
    <row r="358" spans="1:7" ht="63">
      <c r="A358" s="3" t="s">
        <v>228</v>
      </c>
      <c r="B358" s="4" t="s">
        <v>653</v>
      </c>
      <c r="C358" s="4" t="s">
        <v>653</v>
      </c>
      <c r="D358" s="4" t="s">
        <v>229</v>
      </c>
      <c r="E358" s="4"/>
      <c r="F358" s="29">
        <f>F359+F363</f>
        <v>15445515.5</v>
      </c>
      <c r="G358" s="29"/>
    </row>
    <row r="359" spans="1:7" ht="110.25">
      <c r="A359" s="3" t="s">
        <v>493</v>
      </c>
      <c r="B359" s="4" t="s">
        <v>653</v>
      </c>
      <c r="C359" s="4" t="s">
        <v>653</v>
      </c>
      <c r="D359" s="4" t="s">
        <v>230</v>
      </c>
      <c r="E359" s="4"/>
      <c r="F359" s="29">
        <f>F360+F361+F362</f>
        <v>15303015.5</v>
      </c>
      <c r="G359" s="29"/>
    </row>
    <row r="360" spans="1:7" ht="126">
      <c r="A360" s="3" t="s">
        <v>701</v>
      </c>
      <c r="B360" s="4" t="s">
        <v>653</v>
      </c>
      <c r="C360" s="4" t="s">
        <v>653</v>
      </c>
      <c r="D360" s="4" t="s">
        <v>230</v>
      </c>
      <c r="E360" s="4" t="s">
        <v>312</v>
      </c>
      <c r="F360" s="29">
        <f>прил7!G396</f>
        <v>13567698.61</v>
      </c>
      <c r="G360" s="29"/>
    </row>
    <row r="361" spans="1:7" ht="54" customHeight="1">
      <c r="A361" s="3" t="s">
        <v>702</v>
      </c>
      <c r="B361" s="4" t="s">
        <v>653</v>
      </c>
      <c r="C361" s="4" t="s">
        <v>653</v>
      </c>
      <c r="D361" s="4" t="s">
        <v>230</v>
      </c>
      <c r="E361" s="4" t="s">
        <v>313</v>
      </c>
      <c r="F361" s="29">
        <f>прил7!G397</f>
        <v>737290.5</v>
      </c>
      <c r="G361" s="29"/>
    </row>
    <row r="362" spans="1:7" ht="47.25" customHeight="1">
      <c r="A362" s="3" t="s">
        <v>556</v>
      </c>
      <c r="B362" s="4" t="s">
        <v>653</v>
      </c>
      <c r="C362" s="4" t="s">
        <v>653</v>
      </c>
      <c r="D362" s="4" t="s">
        <v>230</v>
      </c>
      <c r="E362" s="4" t="s">
        <v>316</v>
      </c>
      <c r="F362" s="29">
        <f>прил7!G398</f>
        <v>998026.39</v>
      </c>
      <c r="G362" s="29"/>
    </row>
    <row r="363" spans="1:7" ht="110.25">
      <c r="A363" s="3" t="s">
        <v>235</v>
      </c>
      <c r="B363" s="4" t="s">
        <v>653</v>
      </c>
      <c r="C363" s="4" t="s">
        <v>653</v>
      </c>
      <c r="D363" s="4" t="s">
        <v>260</v>
      </c>
      <c r="E363" s="4"/>
      <c r="F363" s="29">
        <f>F364</f>
        <v>142500</v>
      </c>
      <c r="G363" s="29"/>
    </row>
    <row r="364" spans="1:7" ht="126">
      <c r="A364" s="3" t="s">
        <v>245</v>
      </c>
      <c r="B364" s="4" t="s">
        <v>653</v>
      </c>
      <c r="C364" s="4" t="s">
        <v>653</v>
      </c>
      <c r="D364" s="4" t="s">
        <v>260</v>
      </c>
      <c r="E364" s="4" t="s">
        <v>312</v>
      </c>
      <c r="F364" s="29">
        <f>прил7!G400</f>
        <v>142500</v>
      </c>
      <c r="G364" s="29"/>
    </row>
    <row r="365" spans="1:7" ht="63">
      <c r="A365" s="27" t="s">
        <v>541</v>
      </c>
      <c r="B365" s="4" t="s">
        <v>653</v>
      </c>
      <c r="C365" s="4" t="s">
        <v>653</v>
      </c>
      <c r="D365" s="4" t="s">
        <v>708</v>
      </c>
      <c r="E365" s="4"/>
      <c r="F365" s="29">
        <f aca="true" t="shared" si="3" ref="F365:G367">F366</f>
        <v>0</v>
      </c>
      <c r="G365" s="29">
        <f t="shared" si="3"/>
        <v>0</v>
      </c>
    </row>
    <row r="366" spans="1:7" ht="78.75">
      <c r="A366" s="3" t="s">
        <v>338</v>
      </c>
      <c r="B366" s="4" t="s">
        <v>653</v>
      </c>
      <c r="C366" s="4" t="s">
        <v>653</v>
      </c>
      <c r="D366" s="4" t="s">
        <v>339</v>
      </c>
      <c r="E366" s="4"/>
      <c r="F366" s="29">
        <f t="shared" si="3"/>
        <v>0</v>
      </c>
      <c r="G366" s="29">
        <f t="shared" si="3"/>
        <v>0</v>
      </c>
    </row>
    <row r="367" spans="1:7" ht="47.25">
      <c r="A367" s="3" t="s">
        <v>795</v>
      </c>
      <c r="B367" s="4" t="s">
        <v>653</v>
      </c>
      <c r="C367" s="4" t="s">
        <v>653</v>
      </c>
      <c r="D367" s="4" t="s">
        <v>340</v>
      </c>
      <c r="E367" s="4"/>
      <c r="F367" s="29">
        <f t="shared" si="3"/>
        <v>0</v>
      </c>
      <c r="G367" s="29">
        <f t="shared" si="3"/>
        <v>0</v>
      </c>
    </row>
    <row r="368" spans="1:7" ht="47.25">
      <c r="A368" s="6" t="s">
        <v>189</v>
      </c>
      <c r="B368" s="7" t="s">
        <v>653</v>
      </c>
      <c r="C368" s="7" t="s">
        <v>653</v>
      </c>
      <c r="D368" s="7" t="s">
        <v>340</v>
      </c>
      <c r="E368" s="7" t="s">
        <v>693</v>
      </c>
      <c r="F368" s="31">
        <f>прил7!G404</f>
        <v>0</v>
      </c>
      <c r="G368" s="31">
        <f>F368</f>
        <v>0</v>
      </c>
    </row>
    <row r="369" spans="1:7" ht="15.75">
      <c r="A369" s="13" t="s">
        <v>319</v>
      </c>
      <c r="B369" s="5" t="s">
        <v>652</v>
      </c>
      <c r="C369" s="5"/>
      <c r="D369" s="5"/>
      <c r="E369" s="5"/>
      <c r="F369" s="28">
        <f>F374+F370</f>
        <v>17200000</v>
      </c>
      <c r="G369" s="33">
        <f>G370</f>
        <v>0</v>
      </c>
    </row>
    <row r="370" spans="1:7" ht="47.25" hidden="1">
      <c r="A370" s="1" t="s">
        <v>482</v>
      </c>
      <c r="B370" s="2" t="s">
        <v>652</v>
      </c>
      <c r="C370" s="2" t="s">
        <v>658</v>
      </c>
      <c r="D370" s="2"/>
      <c r="E370" s="2"/>
      <c r="F370" s="33">
        <f>F371</f>
        <v>0</v>
      </c>
      <c r="G370" s="33">
        <f>G371</f>
        <v>0</v>
      </c>
    </row>
    <row r="371" spans="1:7" ht="63" hidden="1">
      <c r="A371" s="3" t="s">
        <v>551</v>
      </c>
      <c r="B371" s="4" t="s">
        <v>652</v>
      </c>
      <c r="C371" s="4" t="s">
        <v>658</v>
      </c>
      <c r="D371" s="4" t="s">
        <v>298</v>
      </c>
      <c r="E371" s="2"/>
      <c r="F371" s="29">
        <f>F372</f>
        <v>0</v>
      </c>
      <c r="G371" s="29">
        <f>G372</f>
        <v>0</v>
      </c>
    </row>
    <row r="372" spans="1:7" ht="141.75" hidden="1">
      <c r="A372" s="3" t="s">
        <v>483</v>
      </c>
      <c r="B372" s="4" t="s">
        <v>652</v>
      </c>
      <c r="C372" s="4" t="s">
        <v>658</v>
      </c>
      <c r="D372" s="4" t="s">
        <v>484</v>
      </c>
      <c r="E372" s="4"/>
      <c r="F372" s="29">
        <f>F373</f>
        <v>0</v>
      </c>
      <c r="G372" s="29">
        <f>G373</f>
        <v>0</v>
      </c>
    </row>
    <row r="373" spans="1:7" ht="47.25" hidden="1">
      <c r="A373" s="3" t="s">
        <v>702</v>
      </c>
      <c r="B373" s="4" t="s">
        <v>652</v>
      </c>
      <c r="C373" s="4" t="s">
        <v>658</v>
      </c>
      <c r="D373" s="4" t="s">
        <v>484</v>
      </c>
      <c r="E373" s="4" t="s">
        <v>313</v>
      </c>
      <c r="F373" s="29">
        <f>прил7!G409</f>
        <v>0</v>
      </c>
      <c r="G373" s="29">
        <f>F373</f>
        <v>0</v>
      </c>
    </row>
    <row r="374" spans="1:7" ht="31.5">
      <c r="A374" s="1" t="s">
        <v>320</v>
      </c>
      <c r="B374" s="2" t="s">
        <v>652</v>
      </c>
      <c r="C374" s="2" t="s">
        <v>653</v>
      </c>
      <c r="D374" s="2"/>
      <c r="E374" s="2"/>
      <c r="F374" s="33">
        <f>F375</f>
        <v>17200000</v>
      </c>
      <c r="G374" s="29"/>
    </row>
    <row r="375" spans="1:7" ht="63">
      <c r="A375" s="3" t="s">
        <v>551</v>
      </c>
      <c r="B375" s="4" t="s">
        <v>652</v>
      </c>
      <c r="C375" s="4" t="s">
        <v>653</v>
      </c>
      <c r="D375" s="4" t="s">
        <v>298</v>
      </c>
      <c r="E375" s="4"/>
      <c r="F375" s="29">
        <f>F376</f>
        <v>17200000</v>
      </c>
      <c r="G375" s="29"/>
    </row>
    <row r="376" spans="1:7" ht="63">
      <c r="A376" s="213" t="s">
        <v>506</v>
      </c>
      <c r="B376" s="4" t="s">
        <v>652</v>
      </c>
      <c r="C376" s="4" t="s">
        <v>653</v>
      </c>
      <c r="D376" s="214" t="s">
        <v>880</v>
      </c>
      <c r="E376" s="4"/>
      <c r="F376" s="29">
        <f>F377</f>
        <v>17200000</v>
      </c>
      <c r="G376" s="29"/>
    </row>
    <row r="377" spans="1:7" ht="47.25">
      <c r="A377" s="3" t="s">
        <v>189</v>
      </c>
      <c r="B377" s="7" t="s">
        <v>652</v>
      </c>
      <c r="C377" s="7" t="s">
        <v>653</v>
      </c>
      <c r="D377" s="214" t="s">
        <v>880</v>
      </c>
      <c r="E377" s="7" t="s">
        <v>693</v>
      </c>
      <c r="F377" s="31">
        <f>прил7!G413</f>
        <v>17200000</v>
      </c>
      <c r="G377" s="31"/>
    </row>
    <row r="378" spans="1:7" ht="15.75">
      <c r="A378" s="13" t="s">
        <v>662</v>
      </c>
      <c r="B378" s="5" t="s">
        <v>654</v>
      </c>
      <c r="C378" s="5"/>
      <c r="D378" s="5"/>
      <c r="E378" s="5"/>
      <c r="F378" s="28">
        <f>F379+F405+F455+F486</f>
        <v>1471930742.07</v>
      </c>
      <c r="G378" s="28">
        <f>G379+G405+G455+G486</f>
        <v>650723272</v>
      </c>
    </row>
    <row r="379" spans="1:7" ht="15.75">
      <c r="A379" s="1" t="s">
        <v>663</v>
      </c>
      <c r="B379" s="2" t="s">
        <v>654</v>
      </c>
      <c r="C379" s="2" t="s">
        <v>651</v>
      </c>
      <c r="D379" s="2"/>
      <c r="E379" s="4"/>
      <c r="F379" s="33">
        <f>F380+F401</f>
        <v>620611496.3199999</v>
      </c>
      <c r="G379" s="33">
        <f>G380</f>
        <v>325180989</v>
      </c>
    </row>
    <row r="380" spans="1:7" ht="47.25">
      <c r="A380" s="3" t="s">
        <v>539</v>
      </c>
      <c r="B380" s="4" t="s">
        <v>654</v>
      </c>
      <c r="C380" s="4" t="s">
        <v>651</v>
      </c>
      <c r="D380" s="4" t="s">
        <v>724</v>
      </c>
      <c r="E380" s="4"/>
      <c r="F380" s="29">
        <f>F392+F381</f>
        <v>620506625.8199999</v>
      </c>
      <c r="G380" s="29">
        <f>G392+G381+G401</f>
        <v>325180989</v>
      </c>
    </row>
    <row r="381" spans="1:7" ht="47.25">
      <c r="A381" s="3" t="s">
        <v>745</v>
      </c>
      <c r="B381" s="4" t="s">
        <v>654</v>
      </c>
      <c r="C381" s="4" t="s">
        <v>651</v>
      </c>
      <c r="D381" s="4" t="s">
        <v>746</v>
      </c>
      <c r="E381" s="4"/>
      <c r="F381" s="29">
        <f>F390+F386+F388+F382+F384</f>
        <v>455298585.52</v>
      </c>
      <c r="G381" s="29">
        <f>G390+G386+G388+G382+G384</f>
        <v>276466589</v>
      </c>
    </row>
    <row r="382" spans="1:7" ht="110.25">
      <c r="A382" s="3" t="s">
        <v>493</v>
      </c>
      <c r="B382" s="4" t="s">
        <v>654</v>
      </c>
      <c r="C382" s="4" t="s">
        <v>651</v>
      </c>
      <c r="D382" s="4" t="s">
        <v>494</v>
      </c>
      <c r="E382" s="4"/>
      <c r="F382" s="29">
        <f>F383</f>
        <v>178831996.52</v>
      </c>
      <c r="G382" s="29"/>
    </row>
    <row r="383" spans="1:7" ht="63">
      <c r="A383" s="3" t="s">
        <v>723</v>
      </c>
      <c r="B383" s="4" t="s">
        <v>654</v>
      </c>
      <c r="C383" s="4" t="s">
        <v>651</v>
      </c>
      <c r="D383" s="4" t="s">
        <v>494</v>
      </c>
      <c r="E383" s="4" t="s">
        <v>317</v>
      </c>
      <c r="F383" s="29">
        <f>прил7!G540</f>
        <v>178831996.52</v>
      </c>
      <c r="G383" s="29"/>
    </row>
    <row r="384" spans="1:7" ht="141.75">
      <c r="A384" s="3" t="s">
        <v>765</v>
      </c>
      <c r="B384" s="4" t="s">
        <v>654</v>
      </c>
      <c r="C384" s="4" t="s">
        <v>651</v>
      </c>
      <c r="D384" s="4" t="s">
        <v>751</v>
      </c>
      <c r="E384" s="4"/>
      <c r="F384" s="29">
        <f>F385</f>
        <v>924600</v>
      </c>
      <c r="G384" s="29">
        <f>G385</f>
        <v>924600</v>
      </c>
    </row>
    <row r="385" spans="1:7" ht="63">
      <c r="A385" s="3" t="s">
        <v>723</v>
      </c>
      <c r="B385" s="4" t="s">
        <v>654</v>
      </c>
      <c r="C385" s="4" t="s">
        <v>651</v>
      </c>
      <c r="D385" s="4" t="s">
        <v>751</v>
      </c>
      <c r="E385" s="4" t="s">
        <v>317</v>
      </c>
      <c r="F385" s="29">
        <f>прил7!G542</f>
        <v>924600</v>
      </c>
      <c r="G385" s="29">
        <f>F385</f>
        <v>924600</v>
      </c>
    </row>
    <row r="386" spans="1:7" ht="141.75">
      <c r="A386" s="3" t="s">
        <v>349</v>
      </c>
      <c r="B386" s="4" t="s">
        <v>654</v>
      </c>
      <c r="C386" s="4" t="s">
        <v>651</v>
      </c>
      <c r="D386" s="4" t="s">
        <v>466</v>
      </c>
      <c r="E386" s="4"/>
      <c r="F386" s="29">
        <f>F387</f>
        <v>573289</v>
      </c>
      <c r="G386" s="29">
        <f>G387</f>
        <v>573289</v>
      </c>
    </row>
    <row r="387" spans="1:7" ht="63">
      <c r="A387" s="3" t="s">
        <v>723</v>
      </c>
      <c r="B387" s="4" t="s">
        <v>654</v>
      </c>
      <c r="C387" s="4" t="s">
        <v>651</v>
      </c>
      <c r="D387" s="4" t="s">
        <v>466</v>
      </c>
      <c r="E387" s="4" t="s">
        <v>317</v>
      </c>
      <c r="F387" s="29">
        <f>прил7!G544</f>
        <v>573289</v>
      </c>
      <c r="G387" s="29">
        <f>F387</f>
        <v>573289</v>
      </c>
    </row>
    <row r="388" spans="1:7" ht="126" hidden="1">
      <c r="A388" s="3" t="s">
        <v>698</v>
      </c>
      <c r="B388" s="4" t="s">
        <v>654</v>
      </c>
      <c r="C388" s="4" t="s">
        <v>651</v>
      </c>
      <c r="D388" s="4" t="s">
        <v>472</v>
      </c>
      <c r="E388" s="4"/>
      <c r="F388" s="29">
        <f>F389</f>
        <v>0</v>
      </c>
      <c r="G388" s="29">
        <f>G389</f>
        <v>0</v>
      </c>
    </row>
    <row r="389" spans="1:7" ht="63" hidden="1">
      <c r="A389" s="3" t="s">
        <v>723</v>
      </c>
      <c r="B389" s="4" t="s">
        <v>654</v>
      </c>
      <c r="C389" s="4" t="s">
        <v>651</v>
      </c>
      <c r="D389" s="4" t="s">
        <v>472</v>
      </c>
      <c r="E389" s="4" t="s">
        <v>317</v>
      </c>
      <c r="F389" s="29">
        <f>прил7!G546</f>
        <v>0</v>
      </c>
      <c r="G389" s="29">
        <f>F389</f>
        <v>0</v>
      </c>
    </row>
    <row r="390" spans="1:7" ht="94.5">
      <c r="A390" s="3" t="s">
        <v>747</v>
      </c>
      <c r="B390" s="4" t="s">
        <v>654</v>
      </c>
      <c r="C390" s="4" t="s">
        <v>651</v>
      </c>
      <c r="D390" s="4" t="s">
        <v>748</v>
      </c>
      <c r="E390" s="4"/>
      <c r="F390" s="29">
        <f>F391</f>
        <v>274968700</v>
      </c>
      <c r="G390" s="29">
        <f>G391</f>
        <v>274968700</v>
      </c>
    </row>
    <row r="391" spans="1:7" ht="63">
      <c r="A391" s="3" t="s">
        <v>723</v>
      </c>
      <c r="B391" s="4" t="s">
        <v>654</v>
      </c>
      <c r="C391" s="4" t="s">
        <v>651</v>
      </c>
      <c r="D391" s="4" t="s">
        <v>748</v>
      </c>
      <c r="E391" s="4" t="s">
        <v>317</v>
      </c>
      <c r="F391" s="29">
        <f>прил7!G548</f>
        <v>274968700</v>
      </c>
      <c r="G391" s="29">
        <f>F391</f>
        <v>274968700</v>
      </c>
    </row>
    <row r="392" spans="1:7" ht="63">
      <c r="A392" s="3" t="s">
        <v>347</v>
      </c>
      <c r="B392" s="4" t="s">
        <v>654</v>
      </c>
      <c r="C392" s="4" t="s">
        <v>651</v>
      </c>
      <c r="D392" s="4" t="s">
        <v>348</v>
      </c>
      <c r="E392" s="4"/>
      <c r="F392" s="29">
        <f>F399+F397+F393+F395</f>
        <v>165208040.3</v>
      </c>
      <c r="G392" s="29">
        <f>G399+G397+G393</f>
        <v>48714400</v>
      </c>
    </row>
    <row r="393" spans="1:7" ht="47.25">
      <c r="A393" s="3" t="s">
        <v>512</v>
      </c>
      <c r="B393" s="4" t="s">
        <v>654</v>
      </c>
      <c r="C393" s="4" t="s">
        <v>651</v>
      </c>
      <c r="D393" s="4" t="s">
        <v>460</v>
      </c>
      <c r="E393" s="4"/>
      <c r="F393" s="29">
        <f>F394</f>
        <v>4575436.62</v>
      </c>
      <c r="G393" s="29"/>
    </row>
    <row r="394" spans="1:7" ht="63">
      <c r="A394" s="3" t="s">
        <v>723</v>
      </c>
      <c r="B394" s="4" t="s">
        <v>654</v>
      </c>
      <c r="C394" s="4" t="s">
        <v>651</v>
      </c>
      <c r="D394" s="4" t="s">
        <v>460</v>
      </c>
      <c r="E394" s="4" t="s">
        <v>317</v>
      </c>
      <c r="F394" s="29">
        <f>прил7!G551</f>
        <v>4575436.62</v>
      </c>
      <c r="G394" s="29"/>
    </row>
    <row r="395" spans="1:7" ht="47.25">
      <c r="A395" s="3" t="s">
        <v>706</v>
      </c>
      <c r="B395" s="4" t="s">
        <v>654</v>
      </c>
      <c r="C395" s="4" t="s">
        <v>651</v>
      </c>
      <c r="D395" s="4" t="s">
        <v>232</v>
      </c>
      <c r="E395" s="4"/>
      <c r="F395" s="29">
        <f>F396</f>
        <v>9442710.68</v>
      </c>
      <c r="G395" s="29"/>
    </row>
    <row r="396" spans="1:7" ht="63">
      <c r="A396" s="3" t="s">
        <v>723</v>
      </c>
      <c r="B396" s="4" t="s">
        <v>654</v>
      </c>
      <c r="C396" s="4" t="s">
        <v>651</v>
      </c>
      <c r="D396" s="4" t="s">
        <v>232</v>
      </c>
      <c r="E396" s="4" t="s">
        <v>317</v>
      </c>
      <c r="F396" s="29">
        <f>прил7!G553</f>
        <v>9442710.68</v>
      </c>
      <c r="G396" s="29"/>
    </row>
    <row r="397" spans="1:7" ht="74.25" customHeight="1">
      <c r="A397" s="3" t="s">
        <v>506</v>
      </c>
      <c r="B397" s="4" t="s">
        <v>654</v>
      </c>
      <c r="C397" s="4" t="s">
        <v>651</v>
      </c>
      <c r="D397" s="4" t="s">
        <v>507</v>
      </c>
      <c r="E397" s="4"/>
      <c r="F397" s="29">
        <f>F398</f>
        <v>102475493.00000001</v>
      </c>
      <c r="G397" s="29"/>
    </row>
    <row r="398" spans="1:7" ht="78" customHeight="1">
      <c r="A398" s="3" t="s">
        <v>189</v>
      </c>
      <c r="B398" s="4" t="s">
        <v>654</v>
      </c>
      <c r="C398" s="4" t="s">
        <v>651</v>
      </c>
      <c r="D398" s="4" t="s">
        <v>507</v>
      </c>
      <c r="E398" s="4" t="s">
        <v>693</v>
      </c>
      <c r="F398" s="29">
        <f>прил7!G419</f>
        <v>102475493.00000001</v>
      </c>
      <c r="G398" s="29"/>
    </row>
    <row r="399" spans="1:7" ht="48" customHeight="1">
      <c r="A399" s="3" t="s">
        <v>284</v>
      </c>
      <c r="B399" s="4" t="s">
        <v>654</v>
      </c>
      <c r="C399" s="4" t="s">
        <v>651</v>
      </c>
      <c r="D399" s="4" t="s">
        <v>285</v>
      </c>
      <c r="E399" s="4"/>
      <c r="F399" s="29">
        <f>F400</f>
        <v>48714400</v>
      </c>
      <c r="G399" s="29">
        <f>G400</f>
        <v>48714400</v>
      </c>
    </row>
    <row r="400" spans="1:7" ht="59.25" customHeight="1">
      <c r="A400" s="3" t="s">
        <v>189</v>
      </c>
      <c r="B400" s="4" t="s">
        <v>654</v>
      </c>
      <c r="C400" s="4" t="s">
        <v>651</v>
      </c>
      <c r="D400" s="4" t="s">
        <v>285</v>
      </c>
      <c r="E400" s="4" t="s">
        <v>693</v>
      </c>
      <c r="F400" s="29">
        <f>прил7!G421</f>
        <v>48714400</v>
      </c>
      <c r="G400" s="29">
        <f>F400</f>
        <v>48714400</v>
      </c>
    </row>
    <row r="401" spans="1:7" ht="78.75">
      <c r="A401" s="3" t="s">
        <v>545</v>
      </c>
      <c r="B401" s="4" t="s">
        <v>654</v>
      </c>
      <c r="C401" s="4" t="s">
        <v>651</v>
      </c>
      <c r="D401" s="4" t="s">
        <v>406</v>
      </c>
      <c r="E401" s="4"/>
      <c r="F401" s="29">
        <f>F402</f>
        <v>104870.5</v>
      </c>
      <c r="G401" s="29"/>
    </row>
    <row r="402" spans="1:7" ht="78.75">
      <c r="A402" s="3" t="s">
        <v>411</v>
      </c>
      <c r="B402" s="4" t="s">
        <v>654</v>
      </c>
      <c r="C402" s="4" t="s">
        <v>651</v>
      </c>
      <c r="D402" s="4" t="s">
        <v>412</v>
      </c>
      <c r="E402" s="4"/>
      <c r="F402" s="29">
        <f>F403</f>
        <v>104870.5</v>
      </c>
      <c r="G402" s="29"/>
    </row>
    <row r="403" spans="1:7" ht="31.5">
      <c r="A403" s="3" t="s">
        <v>719</v>
      </c>
      <c r="B403" s="4" t="s">
        <v>654</v>
      </c>
      <c r="C403" s="4" t="s">
        <v>651</v>
      </c>
      <c r="D403" s="4" t="s">
        <v>413</v>
      </c>
      <c r="E403" s="4"/>
      <c r="F403" s="29">
        <f>F404</f>
        <v>104870.5</v>
      </c>
      <c r="G403" s="29"/>
    </row>
    <row r="404" spans="1:7" ht="69.75" customHeight="1">
      <c r="A404" s="3" t="s">
        <v>723</v>
      </c>
      <c r="B404" s="4" t="s">
        <v>654</v>
      </c>
      <c r="C404" s="4" t="s">
        <v>651</v>
      </c>
      <c r="D404" s="4" t="s">
        <v>413</v>
      </c>
      <c r="E404" s="4" t="s">
        <v>317</v>
      </c>
      <c r="F404" s="29">
        <f>прил7!G557</f>
        <v>104870.5</v>
      </c>
      <c r="G404" s="29"/>
    </row>
    <row r="405" spans="1:7" ht="15.75">
      <c r="A405" s="13" t="s">
        <v>664</v>
      </c>
      <c r="B405" s="5" t="s">
        <v>654</v>
      </c>
      <c r="C405" s="5" t="s">
        <v>656</v>
      </c>
      <c r="D405" s="23"/>
      <c r="E405" s="23"/>
      <c r="F405" s="28">
        <f>F406+F435+F446</f>
        <v>752778193.75</v>
      </c>
      <c r="G405" s="28">
        <f>G406+G435+G446</f>
        <v>306825979</v>
      </c>
    </row>
    <row r="406" spans="1:7" ht="47.25">
      <c r="A406" s="3" t="s">
        <v>539</v>
      </c>
      <c r="B406" s="4" t="s">
        <v>654</v>
      </c>
      <c r="C406" s="4" t="s">
        <v>656</v>
      </c>
      <c r="D406" s="4" t="s">
        <v>724</v>
      </c>
      <c r="E406" s="4"/>
      <c r="F406" s="29">
        <f>F407+F418</f>
        <v>695548963.53</v>
      </c>
      <c r="G406" s="29">
        <f>G407+G418</f>
        <v>306613109</v>
      </c>
    </row>
    <row r="407" spans="1:7" ht="63">
      <c r="A407" s="3" t="s">
        <v>742</v>
      </c>
      <c r="B407" s="4" t="s">
        <v>654</v>
      </c>
      <c r="C407" s="4" t="s">
        <v>656</v>
      </c>
      <c r="D407" s="4" t="s">
        <v>743</v>
      </c>
      <c r="E407" s="4"/>
      <c r="F407" s="29">
        <f>F414+F412+F416+F408+F410</f>
        <v>589811168.65</v>
      </c>
      <c r="G407" s="29">
        <f>G414+G412+G416+G408+G410</f>
        <v>301807009</v>
      </c>
    </row>
    <row r="408" spans="1:7" ht="110.25">
      <c r="A408" s="3" t="s">
        <v>493</v>
      </c>
      <c r="B408" s="4" t="s">
        <v>654</v>
      </c>
      <c r="C408" s="4" t="s">
        <v>656</v>
      </c>
      <c r="D408" s="4" t="s">
        <v>495</v>
      </c>
      <c r="E408" s="4"/>
      <c r="F408" s="29">
        <f>F409</f>
        <v>288004159.65</v>
      </c>
      <c r="G408" s="29"/>
    </row>
    <row r="409" spans="1:7" ht="63">
      <c r="A409" s="3" t="s">
        <v>723</v>
      </c>
      <c r="B409" s="4" t="s">
        <v>654</v>
      </c>
      <c r="C409" s="4" t="s">
        <v>656</v>
      </c>
      <c r="D409" s="4" t="s">
        <v>495</v>
      </c>
      <c r="E409" s="4" t="s">
        <v>317</v>
      </c>
      <c r="F409" s="29">
        <f>прил7!G562</f>
        <v>288004159.65</v>
      </c>
      <c r="G409" s="29"/>
    </row>
    <row r="410" spans="1:7" ht="141.75">
      <c r="A410" s="3" t="s">
        <v>765</v>
      </c>
      <c r="B410" s="4" t="s">
        <v>654</v>
      </c>
      <c r="C410" s="4" t="s">
        <v>656</v>
      </c>
      <c r="D410" s="4" t="s">
        <v>752</v>
      </c>
      <c r="E410" s="4"/>
      <c r="F410" s="29">
        <f>F411</f>
        <v>2376010</v>
      </c>
      <c r="G410" s="29">
        <f>G411</f>
        <v>2376010</v>
      </c>
    </row>
    <row r="411" spans="1:7" ht="63">
      <c r="A411" s="3" t="s">
        <v>723</v>
      </c>
      <c r="B411" s="4" t="s">
        <v>654</v>
      </c>
      <c r="C411" s="4" t="s">
        <v>656</v>
      </c>
      <c r="D411" s="4" t="s">
        <v>752</v>
      </c>
      <c r="E411" s="4" t="s">
        <v>317</v>
      </c>
      <c r="F411" s="29">
        <f>прил7!G564</f>
        <v>2376010</v>
      </c>
      <c r="G411" s="29">
        <f>F411</f>
        <v>2376010</v>
      </c>
    </row>
    <row r="412" spans="1:7" ht="141.75">
      <c r="A412" s="3" t="s">
        <v>349</v>
      </c>
      <c r="B412" s="4" t="s">
        <v>654</v>
      </c>
      <c r="C412" s="4" t="s">
        <v>656</v>
      </c>
      <c r="D412" s="4" t="s">
        <v>467</v>
      </c>
      <c r="E412" s="4"/>
      <c r="F412" s="29">
        <f>F413</f>
        <v>460299</v>
      </c>
      <c r="G412" s="29">
        <f>G413</f>
        <v>460299</v>
      </c>
    </row>
    <row r="413" spans="1:7" ht="63">
      <c r="A413" s="3" t="s">
        <v>723</v>
      </c>
      <c r="B413" s="4" t="s">
        <v>654</v>
      </c>
      <c r="C413" s="4" t="s">
        <v>656</v>
      </c>
      <c r="D413" s="4" t="s">
        <v>467</v>
      </c>
      <c r="E413" s="4" t="s">
        <v>317</v>
      </c>
      <c r="F413" s="29">
        <f>прил7!G566</f>
        <v>460299</v>
      </c>
      <c r="G413" s="29">
        <f>F413</f>
        <v>460299</v>
      </c>
    </row>
    <row r="414" spans="1:7" ht="94.5">
      <c r="A414" s="3" t="s">
        <v>323</v>
      </c>
      <c r="B414" s="4" t="s">
        <v>654</v>
      </c>
      <c r="C414" s="4" t="s">
        <v>656</v>
      </c>
      <c r="D414" s="4" t="s">
        <v>744</v>
      </c>
      <c r="E414" s="4"/>
      <c r="F414" s="29">
        <f>F415</f>
        <v>298970700</v>
      </c>
      <c r="G414" s="29">
        <f>G415</f>
        <v>298970700</v>
      </c>
    </row>
    <row r="415" spans="1:7" ht="63">
      <c r="A415" s="3" t="s">
        <v>723</v>
      </c>
      <c r="B415" s="4" t="s">
        <v>654</v>
      </c>
      <c r="C415" s="4" t="s">
        <v>656</v>
      </c>
      <c r="D415" s="4" t="s">
        <v>744</v>
      </c>
      <c r="E415" s="4" t="s">
        <v>317</v>
      </c>
      <c r="F415" s="29">
        <f>прил7!G568</f>
        <v>298970700</v>
      </c>
      <c r="G415" s="29">
        <f>F415</f>
        <v>298970700</v>
      </c>
    </row>
    <row r="416" spans="1:7" ht="126" hidden="1">
      <c r="A416" s="3" t="s">
        <v>698</v>
      </c>
      <c r="B416" s="4" t="s">
        <v>654</v>
      </c>
      <c r="C416" s="4" t="s">
        <v>656</v>
      </c>
      <c r="D416" s="4" t="s">
        <v>473</v>
      </c>
      <c r="E416" s="4"/>
      <c r="F416" s="29">
        <f>F417</f>
        <v>0</v>
      </c>
      <c r="G416" s="29">
        <f>G417</f>
        <v>0</v>
      </c>
    </row>
    <row r="417" spans="1:7" ht="63" hidden="1">
      <c r="A417" s="3" t="s">
        <v>723</v>
      </c>
      <c r="B417" s="4" t="s">
        <v>654</v>
      </c>
      <c r="C417" s="4" t="s">
        <v>656</v>
      </c>
      <c r="D417" s="4" t="s">
        <v>473</v>
      </c>
      <c r="E417" s="4" t="s">
        <v>317</v>
      </c>
      <c r="F417" s="29">
        <f>прил7!G570</f>
        <v>0</v>
      </c>
      <c r="G417" s="29">
        <f>F417</f>
        <v>0</v>
      </c>
    </row>
    <row r="418" spans="1:7" ht="63">
      <c r="A418" s="3" t="s">
        <v>347</v>
      </c>
      <c r="B418" s="4" t="s">
        <v>654</v>
      </c>
      <c r="C418" s="4" t="s">
        <v>656</v>
      </c>
      <c r="D418" s="4" t="s">
        <v>348</v>
      </c>
      <c r="E418" s="4"/>
      <c r="F418" s="29">
        <f>F419+F421+F423+F426+F433</f>
        <v>105737794.88</v>
      </c>
      <c r="G418" s="29">
        <f>G419+G421+G423+G426+G433</f>
        <v>4806100</v>
      </c>
    </row>
    <row r="419" spans="1:7" ht="58.5" customHeight="1">
      <c r="A419" s="3" t="s">
        <v>512</v>
      </c>
      <c r="B419" s="4" t="s">
        <v>654</v>
      </c>
      <c r="C419" s="4" t="s">
        <v>656</v>
      </c>
      <c r="D419" s="4" t="s">
        <v>460</v>
      </c>
      <c r="E419" s="4"/>
      <c r="F419" s="29">
        <f>F420</f>
        <v>8774563.38</v>
      </c>
      <c r="G419" s="29"/>
    </row>
    <row r="420" spans="1:7" ht="71.25" customHeight="1">
      <c r="A420" s="3" t="s">
        <v>723</v>
      </c>
      <c r="B420" s="4" t="s">
        <v>654</v>
      </c>
      <c r="C420" s="4" t="s">
        <v>656</v>
      </c>
      <c r="D420" s="4" t="s">
        <v>460</v>
      </c>
      <c r="E420" s="4" t="s">
        <v>317</v>
      </c>
      <c r="F420" s="29">
        <f>прил7!G573</f>
        <v>8774563.38</v>
      </c>
      <c r="G420" s="29"/>
    </row>
    <row r="421" spans="1:7" ht="71.25" customHeight="1">
      <c r="A421" s="3" t="s">
        <v>719</v>
      </c>
      <c r="B421" s="4" t="s">
        <v>654</v>
      </c>
      <c r="C421" s="4" t="s">
        <v>656</v>
      </c>
      <c r="D421" s="4" t="s">
        <v>232</v>
      </c>
      <c r="E421" s="4"/>
      <c r="F421" s="29">
        <f>F422</f>
        <v>6935251.5</v>
      </c>
      <c r="G421" s="29"/>
    </row>
    <row r="422" spans="1:7" ht="71.25" customHeight="1">
      <c r="A422" s="3" t="s">
        <v>723</v>
      </c>
      <c r="B422" s="4" t="s">
        <v>654</v>
      </c>
      <c r="C422" s="4" t="s">
        <v>656</v>
      </c>
      <c r="D422" s="4" t="s">
        <v>232</v>
      </c>
      <c r="E422" s="4" t="s">
        <v>317</v>
      </c>
      <c r="F422" s="29">
        <f>прил7!G575</f>
        <v>6935251.5</v>
      </c>
      <c r="G422" s="29"/>
    </row>
    <row r="423" spans="1:7" ht="63">
      <c r="A423" s="3" t="s">
        <v>506</v>
      </c>
      <c r="B423" s="4" t="s">
        <v>654</v>
      </c>
      <c r="C423" s="4" t="s">
        <v>656</v>
      </c>
      <c r="D423" s="4" t="s">
        <v>507</v>
      </c>
      <c r="E423" s="4"/>
      <c r="F423" s="29">
        <f>F425+F424</f>
        <v>85221880</v>
      </c>
      <c r="G423" s="29"/>
    </row>
    <row r="424" spans="1:7" ht="47.25">
      <c r="A424" s="3" t="s">
        <v>702</v>
      </c>
      <c r="B424" s="4" t="s">
        <v>654</v>
      </c>
      <c r="C424" s="4" t="s">
        <v>656</v>
      </c>
      <c r="D424" s="4" t="s">
        <v>507</v>
      </c>
      <c r="E424" s="4" t="s">
        <v>313</v>
      </c>
      <c r="F424" s="29">
        <f>прил7!G426</f>
        <v>6126765.91</v>
      </c>
      <c r="G424" s="29"/>
    </row>
    <row r="425" spans="1:7" ht="47.25">
      <c r="A425" s="3" t="s">
        <v>189</v>
      </c>
      <c r="B425" s="4" t="s">
        <v>654</v>
      </c>
      <c r="C425" s="4" t="s">
        <v>656</v>
      </c>
      <c r="D425" s="4" t="s">
        <v>507</v>
      </c>
      <c r="E425" s="4" t="s">
        <v>693</v>
      </c>
      <c r="F425" s="29">
        <f>прил7!G427</f>
        <v>79095114.09</v>
      </c>
      <c r="G425" s="29"/>
    </row>
    <row r="426" spans="1:7" ht="90.75" customHeight="1" hidden="1">
      <c r="A426" s="3" t="s">
        <v>277</v>
      </c>
      <c r="B426" s="4" t="s">
        <v>654</v>
      </c>
      <c r="C426" s="4" t="s">
        <v>656</v>
      </c>
      <c r="D426" s="4" t="s">
        <v>276</v>
      </c>
      <c r="E426" s="4"/>
      <c r="F426" s="29">
        <f>F427</f>
        <v>0</v>
      </c>
      <c r="G426" s="29">
        <f>G427</f>
        <v>0</v>
      </c>
    </row>
    <row r="427" spans="1:7" ht="86.25" customHeight="1" hidden="1">
      <c r="A427" s="3" t="s">
        <v>189</v>
      </c>
      <c r="B427" s="4" t="s">
        <v>654</v>
      </c>
      <c r="C427" s="4" t="s">
        <v>656</v>
      </c>
      <c r="D427" s="4" t="s">
        <v>276</v>
      </c>
      <c r="E427" s="4" t="s">
        <v>693</v>
      </c>
      <c r="F427" s="29">
        <f>прил7!G429</f>
        <v>0</v>
      </c>
      <c r="G427" s="29">
        <f>F427</f>
        <v>0</v>
      </c>
    </row>
    <row r="428" spans="1:7" ht="78.75" hidden="1">
      <c r="A428" s="3" t="s">
        <v>542</v>
      </c>
      <c r="B428" s="4" t="s">
        <v>654</v>
      </c>
      <c r="C428" s="4" t="s">
        <v>656</v>
      </c>
      <c r="D428" s="4" t="s">
        <v>718</v>
      </c>
      <c r="E428" s="4"/>
      <c r="F428" s="29" t="e">
        <f>F429+F431</f>
        <v>#REF!</v>
      </c>
      <c r="G428" s="29" t="e">
        <f>G429+G431</f>
        <v>#REF!</v>
      </c>
    </row>
    <row r="429" spans="1:7" ht="47.25" hidden="1">
      <c r="A429" s="3" t="s">
        <v>512</v>
      </c>
      <c r="B429" s="4" t="s">
        <v>654</v>
      </c>
      <c r="C429" s="4" t="s">
        <v>656</v>
      </c>
      <c r="D429" s="4" t="s">
        <v>399</v>
      </c>
      <c r="E429" s="4"/>
      <c r="F429" s="29">
        <f>F430</f>
        <v>76342</v>
      </c>
      <c r="G429" s="29"/>
    </row>
    <row r="430" spans="1:7" ht="63" hidden="1">
      <c r="A430" s="3" t="s">
        <v>723</v>
      </c>
      <c r="B430" s="4" t="s">
        <v>654</v>
      </c>
      <c r="C430" s="4" t="s">
        <v>656</v>
      </c>
      <c r="D430" s="4" t="s">
        <v>399</v>
      </c>
      <c r="E430" s="4" t="s">
        <v>317</v>
      </c>
      <c r="F430" s="29">
        <f>прил7!G580+прил7!G695</f>
        <v>76342</v>
      </c>
      <c r="G430" s="29"/>
    </row>
    <row r="431" spans="1:7" ht="63" hidden="1">
      <c r="A431" s="3" t="s">
        <v>280</v>
      </c>
      <c r="B431" s="4" t="s">
        <v>654</v>
      </c>
      <c r="C431" s="4" t="s">
        <v>656</v>
      </c>
      <c r="D431" s="4" t="s">
        <v>281</v>
      </c>
      <c r="E431" s="4"/>
      <c r="F431" s="29" t="e">
        <f>F432</f>
        <v>#REF!</v>
      </c>
      <c r="G431" s="29" t="e">
        <f>G432</f>
        <v>#REF!</v>
      </c>
    </row>
    <row r="432" spans="1:7" ht="63" hidden="1">
      <c r="A432" s="3" t="s">
        <v>723</v>
      </c>
      <c r="B432" s="4" t="s">
        <v>654</v>
      </c>
      <c r="C432" s="4" t="s">
        <v>656</v>
      </c>
      <c r="D432" s="4" t="s">
        <v>281</v>
      </c>
      <c r="E432" s="4" t="s">
        <v>317</v>
      </c>
      <c r="F432" s="29" t="e">
        <f>прил7!#REF!+прил7!G697</f>
        <v>#REF!</v>
      </c>
      <c r="G432" s="29" t="e">
        <f>F432</f>
        <v>#REF!</v>
      </c>
    </row>
    <row r="433" spans="1:7" ht="94.5">
      <c r="A433" s="3" t="s">
        <v>638</v>
      </c>
      <c r="B433" s="4" t="s">
        <v>654</v>
      </c>
      <c r="C433" s="4" t="s">
        <v>656</v>
      </c>
      <c r="D433" s="4" t="s">
        <v>639</v>
      </c>
      <c r="E433" s="4"/>
      <c r="F433" s="29">
        <f>F434</f>
        <v>4806100</v>
      </c>
      <c r="G433" s="29">
        <f>G434</f>
        <v>4806100</v>
      </c>
    </row>
    <row r="434" spans="1:7" ht="63">
      <c r="A434" s="3" t="s">
        <v>723</v>
      </c>
      <c r="B434" s="4" t="s">
        <v>654</v>
      </c>
      <c r="C434" s="4" t="s">
        <v>656</v>
      </c>
      <c r="D434" s="4" t="s">
        <v>639</v>
      </c>
      <c r="E434" s="4" t="s">
        <v>317</v>
      </c>
      <c r="F434" s="29">
        <f>прил7!G577</f>
        <v>4806100</v>
      </c>
      <c r="G434" s="29">
        <f>F434</f>
        <v>4806100</v>
      </c>
    </row>
    <row r="435" spans="1:7" ht="78.75">
      <c r="A435" s="3" t="s">
        <v>544</v>
      </c>
      <c r="B435" s="4" t="s">
        <v>654</v>
      </c>
      <c r="C435" s="4" t="s">
        <v>656</v>
      </c>
      <c r="D435" s="4" t="s">
        <v>341</v>
      </c>
      <c r="E435" s="4"/>
      <c r="F435" s="29">
        <f>F436+F443</f>
        <v>57152888.22</v>
      </c>
      <c r="G435" s="29">
        <f>G436+G443</f>
        <v>212870</v>
      </c>
    </row>
    <row r="436" spans="1:7" ht="63">
      <c r="A436" s="3" t="s">
        <v>468</v>
      </c>
      <c r="B436" s="4" t="s">
        <v>654</v>
      </c>
      <c r="C436" s="4" t="s">
        <v>656</v>
      </c>
      <c r="D436" s="4" t="s">
        <v>469</v>
      </c>
      <c r="E436" s="4"/>
      <c r="F436" s="29">
        <f>F437+F439+F441</f>
        <v>57152888.22</v>
      </c>
      <c r="G436" s="29">
        <f>G437+G439+G441</f>
        <v>212870</v>
      </c>
    </row>
    <row r="437" spans="1:7" ht="110.25">
      <c r="A437" s="3" t="s">
        <v>493</v>
      </c>
      <c r="B437" s="4" t="s">
        <v>654</v>
      </c>
      <c r="C437" s="4" t="s">
        <v>656</v>
      </c>
      <c r="D437" s="4" t="s">
        <v>426</v>
      </c>
      <c r="E437" s="4"/>
      <c r="F437" s="29">
        <f>F438</f>
        <v>56940018.22</v>
      </c>
      <c r="G437" s="29"/>
    </row>
    <row r="438" spans="1:7" ht="63">
      <c r="A438" s="3" t="s">
        <v>723</v>
      </c>
      <c r="B438" s="4" t="s">
        <v>654</v>
      </c>
      <c r="C438" s="4" t="s">
        <v>656</v>
      </c>
      <c r="D438" s="4" t="s">
        <v>426</v>
      </c>
      <c r="E438" s="4" t="s">
        <v>317</v>
      </c>
      <c r="F438" s="29">
        <f>прил7!G701</f>
        <v>56940018.22</v>
      </c>
      <c r="G438" s="29"/>
    </row>
    <row r="439" spans="1:7" ht="45" customHeight="1" hidden="1">
      <c r="A439" s="3" t="s">
        <v>719</v>
      </c>
      <c r="B439" s="4" t="s">
        <v>654</v>
      </c>
      <c r="C439" s="4" t="s">
        <v>656</v>
      </c>
      <c r="D439" s="4" t="s">
        <v>425</v>
      </c>
      <c r="E439" s="4"/>
      <c r="F439" s="29">
        <f>F440</f>
        <v>0</v>
      </c>
      <c r="G439" s="29"/>
    </row>
    <row r="440" spans="1:7" ht="73.5" customHeight="1" hidden="1">
      <c r="A440" s="3" t="s">
        <v>723</v>
      </c>
      <c r="B440" s="4" t="s">
        <v>654</v>
      </c>
      <c r="C440" s="4" t="s">
        <v>656</v>
      </c>
      <c r="D440" s="4" t="s">
        <v>425</v>
      </c>
      <c r="E440" s="4" t="s">
        <v>317</v>
      </c>
      <c r="F440" s="29">
        <f>прил7!G703</f>
        <v>0</v>
      </c>
      <c r="G440" s="29"/>
    </row>
    <row r="441" spans="1:7" ht="163.5" customHeight="1">
      <c r="A441" s="3" t="s">
        <v>765</v>
      </c>
      <c r="B441" s="4" t="s">
        <v>654</v>
      </c>
      <c r="C441" s="4" t="s">
        <v>656</v>
      </c>
      <c r="D441" s="4" t="s">
        <v>753</v>
      </c>
      <c r="E441" s="4"/>
      <c r="F441" s="29">
        <f>F442</f>
        <v>212870</v>
      </c>
      <c r="G441" s="29">
        <f>G442</f>
        <v>212870</v>
      </c>
    </row>
    <row r="442" spans="1:7" ht="73.5" customHeight="1">
      <c r="A442" s="3" t="s">
        <v>723</v>
      </c>
      <c r="B442" s="4" t="s">
        <v>654</v>
      </c>
      <c r="C442" s="4" t="s">
        <v>656</v>
      </c>
      <c r="D442" s="4" t="s">
        <v>753</v>
      </c>
      <c r="E442" s="4" t="s">
        <v>317</v>
      </c>
      <c r="F442" s="29">
        <f>прил7!G705</f>
        <v>212870</v>
      </c>
      <c r="G442" s="29">
        <f>F442</f>
        <v>212870</v>
      </c>
    </row>
    <row r="443" spans="1:7" ht="78.75" hidden="1">
      <c r="A443" s="3" t="s">
        <v>435</v>
      </c>
      <c r="B443" s="4" t="s">
        <v>654</v>
      </c>
      <c r="C443" s="4" t="s">
        <v>656</v>
      </c>
      <c r="D443" s="4" t="s">
        <v>436</v>
      </c>
      <c r="E443" s="4"/>
      <c r="F443" s="29">
        <f>F444</f>
        <v>0</v>
      </c>
      <c r="G443" s="29"/>
    </row>
    <row r="444" spans="1:7" ht="31.5" hidden="1">
      <c r="A444" s="3" t="s">
        <v>719</v>
      </c>
      <c r="B444" s="4" t="s">
        <v>654</v>
      </c>
      <c r="C444" s="4" t="s">
        <v>656</v>
      </c>
      <c r="D444" s="4" t="s">
        <v>438</v>
      </c>
      <c r="E444" s="4"/>
      <c r="F444" s="29">
        <f>F445</f>
        <v>0</v>
      </c>
      <c r="G444" s="29"/>
    </row>
    <row r="445" spans="1:7" ht="63" hidden="1">
      <c r="A445" s="3" t="s">
        <v>723</v>
      </c>
      <c r="B445" s="4" t="s">
        <v>654</v>
      </c>
      <c r="C445" s="4" t="s">
        <v>656</v>
      </c>
      <c r="D445" s="4" t="s">
        <v>438</v>
      </c>
      <c r="E445" s="4" t="s">
        <v>317</v>
      </c>
      <c r="F445" s="29">
        <f>прил7!G708</f>
        <v>0</v>
      </c>
      <c r="G445" s="29"/>
    </row>
    <row r="446" spans="1:7" ht="78.75">
      <c r="A446" s="3" t="s">
        <v>545</v>
      </c>
      <c r="B446" s="4" t="s">
        <v>654</v>
      </c>
      <c r="C446" s="4" t="s">
        <v>656</v>
      </c>
      <c r="D446" s="4" t="s">
        <v>406</v>
      </c>
      <c r="E446" s="4"/>
      <c r="F446" s="29">
        <f>F447</f>
        <v>76342</v>
      </c>
      <c r="G446" s="29"/>
    </row>
    <row r="447" spans="1:7" ht="78.75">
      <c r="A447" s="3" t="s">
        <v>411</v>
      </c>
      <c r="B447" s="4" t="s">
        <v>654</v>
      </c>
      <c r="C447" s="4" t="s">
        <v>656</v>
      </c>
      <c r="D447" s="4" t="s">
        <v>412</v>
      </c>
      <c r="E447" s="4"/>
      <c r="F447" s="29">
        <f>F448</f>
        <v>76342</v>
      </c>
      <c r="G447" s="29"/>
    </row>
    <row r="448" spans="1:7" ht="31.5">
      <c r="A448" s="3" t="s">
        <v>719</v>
      </c>
      <c r="B448" s="4" t="s">
        <v>654</v>
      </c>
      <c r="C448" s="4" t="s">
        <v>656</v>
      </c>
      <c r="D448" s="4" t="s">
        <v>413</v>
      </c>
      <c r="E448" s="4"/>
      <c r="F448" s="29">
        <f>F449</f>
        <v>76342</v>
      </c>
      <c r="G448" s="29"/>
    </row>
    <row r="449" spans="1:7" ht="63">
      <c r="A449" s="3" t="s">
        <v>723</v>
      </c>
      <c r="B449" s="4" t="s">
        <v>654</v>
      </c>
      <c r="C449" s="4" t="s">
        <v>656</v>
      </c>
      <c r="D449" s="4" t="s">
        <v>413</v>
      </c>
      <c r="E449" s="4" t="s">
        <v>317</v>
      </c>
      <c r="F449" s="29">
        <f>прил7!G581</f>
        <v>76342</v>
      </c>
      <c r="G449" s="29"/>
    </row>
    <row r="450" spans="1:7" ht="63" hidden="1">
      <c r="A450" s="3" t="s">
        <v>546</v>
      </c>
      <c r="B450" s="4" t="s">
        <v>654</v>
      </c>
      <c r="C450" s="4" t="s">
        <v>656</v>
      </c>
      <c r="D450" s="4" t="s">
        <v>363</v>
      </c>
      <c r="E450" s="4"/>
      <c r="F450" s="29">
        <f>F451+F453</f>
        <v>0</v>
      </c>
      <c r="G450" s="29"/>
    </row>
    <row r="451" spans="1:7" ht="47.25" hidden="1">
      <c r="A451" s="3" t="s">
        <v>512</v>
      </c>
      <c r="B451" s="4" t="s">
        <v>654</v>
      </c>
      <c r="C451" s="4" t="s">
        <v>656</v>
      </c>
      <c r="D451" s="4" t="s">
        <v>364</v>
      </c>
      <c r="E451" s="4"/>
      <c r="F451" s="29">
        <f>F452</f>
        <v>0</v>
      </c>
      <c r="G451" s="29"/>
    </row>
    <row r="452" spans="1:7" ht="63" hidden="1">
      <c r="A452" s="3" t="s">
        <v>723</v>
      </c>
      <c r="B452" s="4" t="s">
        <v>654</v>
      </c>
      <c r="C452" s="4" t="s">
        <v>656</v>
      </c>
      <c r="D452" s="4" t="s">
        <v>364</v>
      </c>
      <c r="E452" s="4" t="s">
        <v>317</v>
      </c>
      <c r="F452" s="29">
        <f>прил7!G711</f>
        <v>0</v>
      </c>
      <c r="G452" s="29"/>
    </row>
    <row r="453" spans="1:7" ht="31.5" hidden="1">
      <c r="A453" s="3" t="s">
        <v>719</v>
      </c>
      <c r="B453" s="4" t="s">
        <v>654</v>
      </c>
      <c r="C453" s="4" t="s">
        <v>656</v>
      </c>
      <c r="D453" s="4" t="s">
        <v>365</v>
      </c>
      <c r="E453" s="4"/>
      <c r="F453" s="29">
        <f>F454</f>
        <v>0</v>
      </c>
      <c r="G453" s="29"/>
    </row>
    <row r="454" spans="1:7" ht="63" hidden="1">
      <c r="A454" s="3" t="s">
        <v>723</v>
      </c>
      <c r="B454" s="4" t="s">
        <v>654</v>
      </c>
      <c r="C454" s="4" t="s">
        <v>656</v>
      </c>
      <c r="D454" s="4" t="s">
        <v>365</v>
      </c>
      <c r="E454" s="4" t="s">
        <v>317</v>
      </c>
      <c r="F454" s="29">
        <f>прил7!G713</f>
        <v>0</v>
      </c>
      <c r="G454" s="29"/>
    </row>
    <row r="455" spans="1:7" ht="31.5">
      <c r="A455" s="13" t="s">
        <v>351</v>
      </c>
      <c r="B455" s="5" t="s">
        <v>654</v>
      </c>
      <c r="C455" s="5" t="s">
        <v>654</v>
      </c>
      <c r="D455" s="23"/>
      <c r="E455" s="23"/>
      <c r="F455" s="28">
        <f>F456+F462+F475+F479</f>
        <v>27835167.41</v>
      </c>
      <c r="G455" s="28">
        <f>G456+G462+G475+G479</f>
        <v>2824004</v>
      </c>
    </row>
    <row r="456" spans="1:7" ht="47.25">
      <c r="A456" s="3" t="s">
        <v>539</v>
      </c>
      <c r="B456" s="4" t="s">
        <v>654</v>
      </c>
      <c r="C456" s="4" t="s">
        <v>654</v>
      </c>
      <c r="D456" s="4" t="s">
        <v>724</v>
      </c>
      <c r="E456" s="4"/>
      <c r="F456" s="29">
        <f>F457</f>
        <v>12256484.96</v>
      </c>
      <c r="G456" s="29">
        <f aca="true" t="shared" si="4" ref="F456:G458">G457</f>
        <v>2824004</v>
      </c>
    </row>
    <row r="457" spans="1:7" ht="63">
      <c r="A457" s="3" t="s">
        <v>503</v>
      </c>
      <c r="B457" s="4" t="s">
        <v>654</v>
      </c>
      <c r="C457" s="4" t="s">
        <v>654</v>
      </c>
      <c r="D457" s="4" t="s">
        <v>504</v>
      </c>
      <c r="E457" s="4"/>
      <c r="F457" s="29">
        <f>F458+F460</f>
        <v>12256484.96</v>
      </c>
      <c r="G457" s="29">
        <f>G458+G460</f>
        <v>2824004</v>
      </c>
    </row>
    <row r="458" spans="1:7" ht="94.5">
      <c r="A458" s="3" t="s">
        <v>559</v>
      </c>
      <c r="B458" s="4" t="s">
        <v>654</v>
      </c>
      <c r="C458" s="4" t="s">
        <v>654</v>
      </c>
      <c r="D458" s="4" t="s">
        <v>736</v>
      </c>
      <c r="E458" s="4"/>
      <c r="F458" s="29">
        <f t="shared" si="4"/>
        <v>2824004</v>
      </c>
      <c r="G458" s="29">
        <f t="shared" si="4"/>
        <v>2824004</v>
      </c>
    </row>
    <row r="459" spans="1:7" ht="63">
      <c r="A459" s="3" t="s">
        <v>723</v>
      </c>
      <c r="B459" s="4" t="s">
        <v>654</v>
      </c>
      <c r="C459" s="4" t="s">
        <v>654</v>
      </c>
      <c r="D459" s="4" t="s">
        <v>736</v>
      </c>
      <c r="E459" s="4" t="s">
        <v>317</v>
      </c>
      <c r="F459" s="29">
        <f>прил7!G586</f>
        <v>2824004</v>
      </c>
      <c r="G459" s="29">
        <f>F459</f>
        <v>2824004</v>
      </c>
    </row>
    <row r="460" spans="1:7" ht="31.5">
      <c r="A460" s="3" t="s">
        <v>719</v>
      </c>
      <c r="B460" s="4" t="s">
        <v>654</v>
      </c>
      <c r="C460" s="4" t="s">
        <v>654</v>
      </c>
      <c r="D460" s="4" t="s">
        <v>505</v>
      </c>
      <c r="E460" s="4"/>
      <c r="F460" s="29">
        <f>F461</f>
        <v>9432480.96</v>
      </c>
      <c r="G460" s="29"/>
    </row>
    <row r="461" spans="1:7" ht="63">
      <c r="A461" s="3" t="s">
        <v>723</v>
      </c>
      <c r="B461" s="4" t="s">
        <v>654</v>
      </c>
      <c r="C461" s="4" t="s">
        <v>654</v>
      </c>
      <c r="D461" s="4" t="s">
        <v>505</v>
      </c>
      <c r="E461" s="4" t="s">
        <v>317</v>
      </c>
      <c r="F461" s="29">
        <f>прил7!G588</f>
        <v>9432480.96</v>
      </c>
      <c r="G461" s="29"/>
    </row>
    <row r="462" spans="1:7" ht="78.75">
      <c r="A462" s="3" t="s">
        <v>543</v>
      </c>
      <c r="B462" s="4" t="s">
        <v>654</v>
      </c>
      <c r="C462" s="4" t="s">
        <v>654</v>
      </c>
      <c r="D462" s="4" t="s">
        <v>735</v>
      </c>
      <c r="E462" s="2"/>
      <c r="F462" s="29">
        <f>F463+F469+F472</f>
        <v>15578682.45</v>
      </c>
      <c r="G462" s="29"/>
    </row>
    <row r="463" spans="1:7" ht="31.5">
      <c r="A463" s="3" t="s">
        <v>440</v>
      </c>
      <c r="B463" s="4" t="s">
        <v>654</v>
      </c>
      <c r="C463" s="4" t="s">
        <v>654</v>
      </c>
      <c r="D463" s="4" t="s">
        <v>441</v>
      </c>
      <c r="E463" s="4"/>
      <c r="F463" s="29">
        <f>F464+F466</f>
        <v>875000</v>
      </c>
      <c r="G463" s="29"/>
    </row>
    <row r="464" spans="1:7" ht="47.25">
      <c r="A464" s="3" t="s">
        <v>442</v>
      </c>
      <c r="B464" s="4" t="s">
        <v>654</v>
      </c>
      <c r="C464" s="4" t="s">
        <v>654</v>
      </c>
      <c r="D464" s="4" t="s">
        <v>443</v>
      </c>
      <c r="E464" s="4"/>
      <c r="F464" s="29">
        <f>F465</f>
        <v>300000</v>
      </c>
      <c r="G464" s="29"/>
    </row>
    <row r="465" spans="1:7" ht="47.25">
      <c r="A465" s="3" t="s">
        <v>702</v>
      </c>
      <c r="B465" s="4" t="s">
        <v>654</v>
      </c>
      <c r="C465" s="4" t="s">
        <v>654</v>
      </c>
      <c r="D465" s="4" t="s">
        <v>443</v>
      </c>
      <c r="E465" s="4" t="s">
        <v>313</v>
      </c>
      <c r="F465" s="29">
        <f>прил7!G718</f>
        <v>300000</v>
      </c>
      <c r="G465" s="29"/>
    </row>
    <row r="466" spans="1:7" ht="31.5">
      <c r="A466" s="3" t="s">
        <v>719</v>
      </c>
      <c r="B466" s="4" t="s">
        <v>654</v>
      </c>
      <c r="C466" s="4" t="s">
        <v>654</v>
      </c>
      <c r="D466" s="4" t="s">
        <v>444</v>
      </c>
      <c r="E466" s="4"/>
      <c r="F466" s="29">
        <f>F467+F468</f>
        <v>575000</v>
      </c>
      <c r="G466" s="29"/>
    </row>
    <row r="467" spans="1:7" ht="47.25">
      <c r="A467" s="3" t="s">
        <v>702</v>
      </c>
      <c r="B467" s="4" t="s">
        <v>654</v>
      </c>
      <c r="C467" s="4" t="s">
        <v>654</v>
      </c>
      <c r="D467" s="4" t="s">
        <v>444</v>
      </c>
      <c r="E467" s="4" t="s">
        <v>313</v>
      </c>
      <c r="F467" s="29">
        <f>прил7!G720</f>
        <v>360000</v>
      </c>
      <c r="G467" s="29"/>
    </row>
    <row r="468" spans="1:7" ht="63">
      <c r="A468" s="3" t="s">
        <v>723</v>
      </c>
      <c r="B468" s="4" t="s">
        <v>654</v>
      </c>
      <c r="C468" s="4" t="s">
        <v>654</v>
      </c>
      <c r="D468" s="4" t="s">
        <v>444</v>
      </c>
      <c r="E468" s="4" t="s">
        <v>317</v>
      </c>
      <c r="F468" s="29">
        <f>прил7!G721</f>
        <v>215000</v>
      </c>
      <c r="G468" s="29"/>
    </row>
    <row r="469" spans="1:7" ht="31.5">
      <c r="A469" s="3" t="s">
        <v>445</v>
      </c>
      <c r="B469" s="4" t="s">
        <v>654</v>
      </c>
      <c r="C469" s="4" t="s">
        <v>654</v>
      </c>
      <c r="D469" s="4" t="s">
        <v>446</v>
      </c>
      <c r="E469" s="4"/>
      <c r="F469" s="29">
        <f>F470+F485</f>
        <v>14703682.45</v>
      </c>
      <c r="G469" s="29"/>
    </row>
    <row r="470" spans="1:7" ht="110.25">
      <c r="A470" s="3" t="s">
        <v>493</v>
      </c>
      <c r="B470" s="4" t="s">
        <v>654</v>
      </c>
      <c r="C470" s="4" t="s">
        <v>654</v>
      </c>
      <c r="D470" s="4" t="s">
        <v>447</v>
      </c>
      <c r="E470" s="4"/>
      <c r="F470" s="29">
        <f>F471</f>
        <v>14451532.45</v>
      </c>
      <c r="G470" s="29"/>
    </row>
    <row r="471" spans="1:7" ht="63">
      <c r="A471" s="3" t="s">
        <v>723</v>
      </c>
      <c r="B471" s="4" t="s">
        <v>654</v>
      </c>
      <c r="C471" s="4" t="s">
        <v>654</v>
      </c>
      <c r="D471" s="4" t="s">
        <v>447</v>
      </c>
      <c r="E471" s="4" t="s">
        <v>317</v>
      </c>
      <c r="F471" s="29">
        <f>прил7!G724</f>
        <v>14451532.45</v>
      </c>
      <c r="G471" s="29"/>
    </row>
    <row r="472" spans="1:7" ht="15.75" hidden="1">
      <c r="A472" s="60" t="s">
        <v>448</v>
      </c>
      <c r="B472" s="4" t="s">
        <v>654</v>
      </c>
      <c r="C472" s="4" t="s">
        <v>654</v>
      </c>
      <c r="D472" s="4" t="s">
        <v>449</v>
      </c>
      <c r="E472" s="4"/>
      <c r="F472" s="29">
        <f>F473</f>
        <v>0</v>
      </c>
      <c r="G472" s="29"/>
    </row>
    <row r="473" spans="1:7" ht="31.5" hidden="1">
      <c r="A473" s="3" t="s">
        <v>719</v>
      </c>
      <c r="B473" s="4" t="s">
        <v>654</v>
      </c>
      <c r="C473" s="4" t="s">
        <v>654</v>
      </c>
      <c r="D473" s="4" t="s">
        <v>450</v>
      </c>
      <c r="E473" s="4"/>
      <c r="F473" s="29">
        <f>F474</f>
        <v>0</v>
      </c>
      <c r="G473" s="29"/>
    </row>
    <row r="474" spans="1:7" ht="63" hidden="1">
      <c r="A474" s="3" t="s">
        <v>723</v>
      </c>
      <c r="B474" s="4" t="s">
        <v>654</v>
      </c>
      <c r="C474" s="4" t="s">
        <v>654</v>
      </c>
      <c r="D474" s="4" t="s">
        <v>450</v>
      </c>
      <c r="E474" s="4" t="s">
        <v>317</v>
      </c>
      <c r="F474" s="29">
        <f>прил7!G727</f>
        <v>0</v>
      </c>
      <c r="G474" s="29"/>
    </row>
    <row r="475" spans="1:7" ht="78.75" hidden="1">
      <c r="A475" s="3" t="s">
        <v>545</v>
      </c>
      <c r="B475" s="4" t="s">
        <v>654</v>
      </c>
      <c r="C475" s="4" t="s">
        <v>654</v>
      </c>
      <c r="D475" s="4" t="s">
        <v>406</v>
      </c>
      <c r="E475" s="4"/>
      <c r="F475" s="29">
        <f>F476</f>
        <v>0</v>
      </c>
      <c r="G475" s="29"/>
    </row>
    <row r="476" spans="1:7" ht="78.75" hidden="1">
      <c r="A476" s="3" t="s">
        <v>411</v>
      </c>
      <c r="B476" s="4" t="s">
        <v>654</v>
      </c>
      <c r="C476" s="4" t="s">
        <v>654</v>
      </c>
      <c r="D476" s="4" t="s">
        <v>412</v>
      </c>
      <c r="E476" s="4"/>
      <c r="F476" s="29">
        <f>F477</f>
        <v>0</v>
      </c>
      <c r="G476" s="29"/>
    </row>
    <row r="477" spans="1:7" ht="31.5" hidden="1">
      <c r="A477" s="3" t="s">
        <v>719</v>
      </c>
      <c r="B477" s="4" t="s">
        <v>654</v>
      </c>
      <c r="C477" s="4" t="s">
        <v>654</v>
      </c>
      <c r="D477" s="4" t="s">
        <v>413</v>
      </c>
      <c r="E477" s="4"/>
      <c r="F477" s="29">
        <f>F478</f>
        <v>0</v>
      </c>
      <c r="G477" s="29"/>
    </row>
    <row r="478" spans="1:7" ht="63" hidden="1">
      <c r="A478" s="3" t="s">
        <v>723</v>
      </c>
      <c r="B478" s="4" t="s">
        <v>654</v>
      </c>
      <c r="C478" s="4" t="s">
        <v>654</v>
      </c>
      <c r="D478" s="4" t="s">
        <v>413</v>
      </c>
      <c r="E478" s="4" t="s">
        <v>317</v>
      </c>
      <c r="F478" s="29">
        <f>прил7!G731</f>
        <v>0</v>
      </c>
      <c r="G478" s="29"/>
    </row>
    <row r="479" spans="1:7" ht="63" hidden="1">
      <c r="A479" s="3" t="s">
        <v>546</v>
      </c>
      <c r="B479" s="4" t="s">
        <v>654</v>
      </c>
      <c r="C479" s="4" t="s">
        <v>654</v>
      </c>
      <c r="D479" s="4" t="s">
        <v>363</v>
      </c>
      <c r="E479" s="4"/>
      <c r="F479" s="29">
        <f>F480+F482</f>
        <v>0</v>
      </c>
      <c r="G479" s="29"/>
    </row>
    <row r="480" spans="1:7" ht="47.25" hidden="1">
      <c r="A480" s="3" t="s">
        <v>512</v>
      </c>
      <c r="B480" s="4" t="s">
        <v>654</v>
      </c>
      <c r="C480" s="4" t="s">
        <v>654</v>
      </c>
      <c r="D480" s="4" t="s">
        <v>364</v>
      </c>
      <c r="E480" s="4"/>
      <c r="F480" s="29">
        <f>F481</f>
        <v>0</v>
      </c>
      <c r="G480" s="29"/>
    </row>
    <row r="481" spans="1:7" ht="63" hidden="1">
      <c r="A481" s="3" t="s">
        <v>723</v>
      </c>
      <c r="B481" s="4" t="s">
        <v>654</v>
      </c>
      <c r="C481" s="4" t="s">
        <v>654</v>
      </c>
      <c r="D481" s="4" t="s">
        <v>364</v>
      </c>
      <c r="E481" s="4" t="s">
        <v>317</v>
      </c>
      <c r="F481" s="29">
        <f>прил7!G734</f>
        <v>0</v>
      </c>
      <c r="G481" s="29"/>
    </row>
    <row r="482" spans="1:7" ht="31.5" hidden="1">
      <c r="A482" s="3" t="s">
        <v>719</v>
      </c>
      <c r="B482" s="4" t="s">
        <v>654</v>
      </c>
      <c r="C482" s="4" t="s">
        <v>654</v>
      </c>
      <c r="D482" s="4" t="s">
        <v>365</v>
      </c>
      <c r="E482" s="4"/>
      <c r="F482" s="29">
        <f>F483</f>
        <v>0</v>
      </c>
      <c r="G482" s="29"/>
    </row>
    <row r="483" spans="1:7" ht="63" hidden="1">
      <c r="A483" s="3" t="s">
        <v>723</v>
      </c>
      <c r="B483" s="4" t="s">
        <v>654</v>
      </c>
      <c r="C483" s="4" t="s">
        <v>654</v>
      </c>
      <c r="D483" s="4" t="s">
        <v>365</v>
      </c>
      <c r="E483" s="4" t="s">
        <v>317</v>
      </c>
      <c r="F483" s="29">
        <f>прил7!G736</f>
        <v>0</v>
      </c>
      <c r="G483" s="29"/>
    </row>
    <row r="484" spans="1:7" ht="31.5">
      <c r="A484" s="3" t="s">
        <v>719</v>
      </c>
      <c r="B484" s="4" t="s">
        <v>654</v>
      </c>
      <c r="C484" s="4" t="s">
        <v>654</v>
      </c>
      <c r="D484" s="4" t="s">
        <v>802</v>
      </c>
      <c r="E484" s="4"/>
      <c r="F484" s="29">
        <f>F485</f>
        <v>252150</v>
      </c>
      <c r="G484" s="29"/>
    </row>
    <row r="485" spans="1:7" ht="63">
      <c r="A485" s="3" t="s">
        <v>723</v>
      </c>
      <c r="B485" s="4" t="s">
        <v>654</v>
      </c>
      <c r="C485" s="4" t="s">
        <v>654</v>
      </c>
      <c r="D485" s="4" t="s">
        <v>802</v>
      </c>
      <c r="E485" s="4" t="s">
        <v>317</v>
      </c>
      <c r="F485" s="29">
        <f>прил7!G738</f>
        <v>252150</v>
      </c>
      <c r="G485" s="29"/>
    </row>
    <row r="486" spans="1:7" ht="31.5">
      <c r="A486" s="13" t="s">
        <v>675</v>
      </c>
      <c r="B486" s="5" t="s">
        <v>654</v>
      </c>
      <c r="C486" s="5" t="s">
        <v>657</v>
      </c>
      <c r="D486" s="23"/>
      <c r="E486" s="23"/>
      <c r="F486" s="28">
        <f>F487+F511+F507+F515</f>
        <v>70705884.59</v>
      </c>
      <c r="G486" s="28">
        <f>G487+G511</f>
        <v>15892300</v>
      </c>
    </row>
    <row r="487" spans="1:7" ht="47.25">
      <c r="A487" s="3" t="s">
        <v>539</v>
      </c>
      <c r="B487" s="4" t="s">
        <v>654</v>
      </c>
      <c r="C487" s="4" t="s">
        <v>657</v>
      </c>
      <c r="D487" s="4" t="s">
        <v>724</v>
      </c>
      <c r="E487" s="4"/>
      <c r="F487" s="29">
        <f>F497+F488+F491+F494+F520+F504</f>
        <v>70705884.59</v>
      </c>
      <c r="G487" s="29">
        <f>G497+G488+G491+G494+G520+G504</f>
        <v>15892300</v>
      </c>
    </row>
    <row r="488" spans="1:7" ht="63" hidden="1">
      <c r="A488" s="3" t="s">
        <v>742</v>
      </c>
      <c r="B488" s="4" t="s">
        <v>654</v>
      </c>
      <c r="C488" s="4" t="s">
        <v>657</v>
      </c>
      <c r="D488" s="4" t="s">
        <v>743</v>
      </c>
      <c r="E488" s="4"/>
      <c r="F488" s="29">
        <f>F489</f>
        <v>0</v>
      </c>
      <c r="G488" s="29"/>
    </row>
    <row r="489" spans="1:7" ht="110.25" hidden="1">
      <c r="A489" s="3" t="s">
        <v>493</v>
      </c>
      <c r="B489" s="4" t="s">
        <v>654</v>
      </c>
      <c r="C489" s="4" t="s">
        <v>657</v>
      </c>
      <c r="D489" s="4" t="s">
        <v>495</v>
      </c>
      <c r="E489" s="4"/>
      <c r="F489" s="29">
        <f>F490</f>
        <v>0</v>
      </c>
      <c r="G489" s="29"/>
    </row>
    <row r="490" spans="1:7" ht="63" hidden="1">
      <c r="A490" s="3" t="s">
        <v>723</v>
      </c>
      <c r="B490" s="4" t="s">
        <v>654</v>
      </c>
      <c r="C490" s="4" t="s">
        <v>657</v>
      </c>
      <c r="D490" s="4" t="s">
        <v>495</v>
      </c>
      <c r="E490" s="4" t="s">
        <v>317</v>
      </c>
      <c r="F490" s="29">
        <f>прил7!G593</f>
        <v>0</v>
      </c>
      <c r="G490" s="29"/>
    </row>
    <row r="491" spans="1:7" ht="78.75">
      <c r="A491" s="3" t="s">
        <v>496</v>
      </c>
      <c r="B491" s="4" t="s">
        <v>654</v>
      </c>
      <c r="C491" s="4" t="s">
        <v>657</v>
      </c>
      <c r="D491" s="4" t="s">
        <v>497</v>
      </c>
      <c r="E491" s="4"/>
      <c r="F491" s="29">
        <f>F492</f>
        <v>22369933.68</v>
      </c>
      <c r="G491" s="29"/>
    </row>
    <row r="492" spans="1:7" ht="110.25">
      <c r="A492" s="3" t="s">
        <v>493</v>
      </c>
      <c r="B492" s="4" t="s">
        <v>654</v>
      </c>
      <c r="C492" s="4" t="s">
        <v>657</v>
      </c>
      <c r="D492" s="4" t="s">
        <v>498</v>
      </c>
      <c r="E492" s="4"/>
      <c r="F492" s="29">
        <f>F493</f>
        <v>22369933.68</v>
      </c>
      <c r="G492" s="29"/>
    </row>
    <row r="493" spans="1:7" ht="63">
      <c r="A493" s="3" t="s">
        <v>723</v>
      </c>
      <c r="B493" s="4" t="s">
        <v>654</v>
      </c>
      <c r="C493" s="4" t="s">
        <v>657</v>
      </c>
      <c r="D493" s="4" t="s">
        <v>498</v>
      </c>
      <c r="E493" s="4" t="s">
        <v>317</v>
      </c>
      <c r="F493" s="29">
        <f>прил7!G596</f>
        <v>22369933.68</v>
      </c>
      <c r="G493" s="29"/>
    </row>
    <row r="494" spans="1:7" ht="78.75">
      <c r="A494" s="3" t="s">
        <v>499</v>
      </c>
      <c r="B494" s="4" t="s">
        <v>654</v>
      </c>
      <c r="C494" s="4" t="s">
        <v>657</v>
      </c>
      <c r="D494" s="4" t="s">
        <v>500</v>
      </c>
      <c r="E494" s="4"/>
      <c r="F494" s="29">
        <f>F495</f>
        <v>26558392.9</v>
      </c>
      <c r="G494" s="29"/>
    </row>
    <row r="495" spans="1:7" ht="110.25">
      <c r="A495" s="3" t="s">
        <v>493</v>
      </c>
      <c r="B495" s="4" t="s">
        <v>654</v>
      </c>
      <c r="C495" s="4" t="s">
        <v>657</v>
      </c>
      <c r="D495" s="4" t="s">
        <v>501</v>
      </c>
      <c r="E495" s="4"/>
      <c r="F495" s="29">
        <f>F496</f>
        <v>26558392.9</v>
      </c>
      <c r="G495" s="29"/>
    </row>
    <row r="496" spans="1:7" ht="63">
      <c r="A496" s="3" t="s">
        <v>723</v>
      </c>
      <c r="B496" s="4" t="s">
        <v>654</v>
      </c>
      <c r="C496" s="4" t="s">
        <v>657</v>
      </c>
      <c r="D496" s="4" t="s">
        <v>501</v>
      </c>
      <c r="E496" s="4" t="s">
        <v>317</v>
      </c>
      <c r="F496" s="29">
        <f>прил7!G599</f>
        <v>26558392.9</v>
      </c>
      <c r="G496" s="29"/>
    </row>
    <row r="497" spans="1:7" ht="31.5">
      <c r="A497" s="3" t="s">
        <v>725</v>
      </c>
      <c r="B497" s="4" t="s">
        <v>654</v>
      </c>
      <c r="C497" s="4" t="s">
        <v>657</v>
      </c>
      <c r="D497" s="4" t="s">
        <v>727</v>
      </c>
      <c r="E497" s="4"/>
      <c r="F497" s="29">
        <f>F500+F502+F498</f>
        <v>21520529.41</v>
      </c>
      <c r="G497" s="29">
        <f>G500+G502</f>
        <v>15892300</v>
      </c>
    </row>
    <row r="498" spans="1:7" ht="110.25">
      <c r="A498" s="3" t="s">
        <v>493</v>
      </c>
      <c r="B498" s="4" t="s">
        <v>654</v>
      </c>
      <c r="C498" s="4" t="s">
        <v>657</v>
      </c>
      <c r="D498" s="4" t="s">
        <v>502</v>
      </c>
      <c r="E498" s="4"/>
      <c r="F498" s="29">
        <f>F499</f>
        <v>5628229.41</v>
      </c>
      <c r="G498" s="29"/>
    </row>
    <row r="499" spans="1:7" ht="63">
      <c r="A499" s="3" t="s">
        <v>723</v>
      </c>
      <c r="B499" s="4" t="s">
        <v>654</v>
      </c>
      <c r="C499" s="4" t="s">
        <v>657</v>
      </c>
      <c r="D499" s="4" t="s">
        <v>502</v>
      </c>
      <c r="E499" s="4" t="s">
        <v>317</v>
      </c>
      <c r="F499" s="29">
        <f>прил7!G602</f>
        <v>5628229.41</v>
      </c>
      <c r="G499" s="29"/>
    </row>
    <row r="500" spans="1:7" ht="126">
      <c r="A500" s="3" t="s">
        <v>459</v>
      </c>
      <c r="B500" s="4" t="s">
        <v>654</v>
      </c>
      <c r="C500" s="4" t="s">
        <v>657</v>
      </c>
      <c r="D500" s="4" t="s">
        <v>726</v>
      </c>
      <c r="E500" s="4"/>
      <c r="F500" s="29">
        <f>F501</f>
        <v>1142000</v>
      </c>
      <c r="G500" s="29">
        <f>G501</f>
        <v>1142000</v>
      </c>
    </row>
    <row r="501" spans="1:7" ht="63">
      <c r="A501" s="3" t="s">
        <v>723</v>
      </c>
      <c r="B501" s="4" t="s">
        <v>654</v>
      </c>
      <c r="C501" s="4" t="s">
        <v>657</v>
      </c>
      <c r="D501" s="4" t="s">
        <v>726</v>
      </c>
      <c r="E501" s="4" t="s">
        <v>317</v>
      </c>
      <c r="F501" s="29">
        <f>прил7!G604</f>
        <v>1142000</v>
      </c>
      <c r="G501" s="29">
        <f>F501</f>
        <v>1142000</v>
      </c>
    </row>
    <row r="502" spans="1:7" ht="47.25">
      <c r="A502" s="3" t="s">
        <v>690</v>
      </c>
      <c r="B502" s="4" t="s">
        <v>654</v>
      </c>
      <c r="C502" s="4" t="s">
        <v>657</v>
      </c>
      <c r="D502" s="4" t="s">
        <v>758</v>
      </c>
      <c r="E502" s="4"/>
      <c r="F502" s="29">
        <f>F503</f>
        <v>14750300</v>
      </c>
      <c r="G502" s="29">
        <f>G503</f>
        <v>14750300</v>
      </c>
    </row>
    <row r="503" spans="1:7" ht="63">
      <c r="A503" s="3" t="s">
        <v>723</v>
      </c>
      <c r="B503" s="4" t="s">
        <v>654</v>
      </c>
      <c r="C503" s="4" t="s">
        <v>657</v>
      </c>
      <c r="D503" s="4" t="s">
        <v>758</v>
      </c>
      <c r="E503" s="4" t="s">
        <v>317</v>
      </c>
      <c r="F503" s="29">
        <f>прил7!G606</f>
        <v>14750300</v>
      </c>
      <c r="G503" s="29">
        <f>F503</f>
        <v>14750300</v>
      </c>
    </row>
    <row r="504" spans="1:7" ht="63">
      <c r="A504" s="3" t="s">
        <v>503</v>
      </c>
      <c r="B504" s="4" t="s">
        <v>654</v>
      </c>
      <c r="C504" s="4" t="s">
        <v>657</v>
      </c>
      <c r="D504" s="4" t="s">
        <v>504</v>
      </c>
      <c r="E504" s="4"/>
      <c r="F504" s="29">
        <f>F505</f>
        <v>107028.6</v>
      </c>
      <c r="G504" s="29"/>
    </row>
    <row r="505" spans="1:7" ht="31.5">
      <c r="A505" s="3" t="s">
        <v>719</v>
      </c>
      <c r="B505" s="4" t="s">
        <v>654</v>
      </c>
      <c r="C505" s="4" t="s">
        <v>657</v>
      </c>
      <c r="D505" s="4" t="s">
        <v>505</v>
      </c>
      <c r="E505" s="4"/>
      <c r="F505" s="29">
        <f>F506</f>
        <v>107028.6</v>
      </c>
      <c r="G505" s="29"/>
    </row>
    <row r="506" spans="1:7" ht="63">
      <c r="A506" s="3" t="s">
        <v>723</v>
      </c>
      <c r="B506" s="4" t="s">
        <v>654</v>
      </c>
      <c r="C506" s="4" t="s">
        <v>657</v>
      </c>
      <c r="D506" s="4" t="s">
        <v>505</v>
      </c>
      <c r="E506" s="4" t="s">
        <v>317</v>
      </c>
      <c r="F506" s="29">
        <f>прил7!G609</f>
        <v>107028.6</v>
      </c>
      <c r="G506" s="29"/>
    </row>
    <row r="507" spans="1:7" ht="78.75" hidden="1">
      <c r="A507" s="3" t="s">
        <v>543</v>
      </c>
      <c r="B507" s="4" t="s">
        <v>654</v>
      </c>
      <c r="C507" s="4" t="s">
        <v>657</v>
      </c>
      <c r="D507" s="4" t="s">
        <v>735</v>
      </c>
      <c r="E507" s="4"/>
      <c r="F507" s="29">
        <f>F508</f>
        <v>0</v>
      </c>
      <c r="G507" s="29"/>
    </row>
    <row r="508" spans="1:7" ht="15.75" hidden="1">
      <c r="A508" s="60" t="s">
        <v>448</v>
      </c>
      <c r="B508" s="4" t="s">
        <v>654</v>
      </c>
      <c r="C508" s="4" t="s">
        <v>657</v>
      </c>
      <c r="D508" s="4" t="s">
        <v>449</v>
      </c>
      <c r="E508" s="4"/>
      <c r="F508" s="29">
        <f>F509</f>
        <v>0</v>
      </c>
      <c r="G508" s="29"/>
    </row>
    <row r="509" spans="1:7" ht="31.5" hidden="1">
      <c r="A509" s="3" t="s">
        <v>719</v>
      </c>
      <c r="B509" s="4" t="s">
        <v>654</v>
      </c>
      <c r="C509" s="4" t="s">
        <v>657</v>
      </c>
      <c r="D509" s="4" t="s">
        <v>450</v>
      </c>
      <c r="E509" s="4"/>
      <c r="F509" s="29">
        <f>F510</f>
        <v>0</v>
      </c>
      <c r="G509" s="29"/>
    </row>
    <row r="510" spans="1:7" ht="63" hidden="1">
      <c r="A510" s="3" t="s">
        <v>723</v>
      </c>
      <c r="B510" s="4" t="s">
        <v>654</v>
      </c>
      <c r="C510" s="4" t="s">
        <v>657</v>
      </c>
      <c r="D510" s="4" t="s">
        <v>450</v>
      </c>
      <c r="E510" s="4" t="s">
        <v>317</v>
      </c>
      <c r="F510" s="29">
        <f>прил7!G613</f>
        <v>0</v>
      </c>
      <c r="G510" s="29"/>
    </row>
    <row r="511" spans="1:7" ht="78.75" hidden="1">
      <c r="A511" s="3" t="s">
        <v>545</v>
      </c>
      <c r="B511" s="4" t="s">
        <v>654</v>
      </c>
      <c r="C511" s="4" t="s">
        <v>657</v>
      </c>
      <c r="D511" s="4" t="s">
        <v>406</v>
      </c>
      <c r="E511" s="4"/>
      <c r="F511" s="29">
        <f>F512</f>
        <v>0</v>
      </c>
      <c r="G511" s="29"/>
    </row>
    <row r="512" spans="1:7" ht="78.75" hidden="1">
      <c r="A512" s="3" t="s">
        <v>411</v>
      </c>
      <c r="B512" s="4" t="s">
        <v>654</v>
      </c>
      <c r="C512" s="4" t="s">
        <v>657</v>
      </c>
      <c r="D512" s="4" t="s">
        <v>412</v>
      </c>
      <c r="E512" s="4"/>
      <c r="F512" s="29">
        <f>F513</f>
        <v>0</v>
      </c>
      <c r="G512" s="29"/>
    </row>
    <row r="513" spans="1:7" ht="31.5" hidden="1">
      <c r="A513" s="3" t="s">
        <v>719</v>
      </c>
      <c r="B513" s="4" t="s">
        <v>654</v>
      </c>
      <c r="C513" s="4" t="s">
        <v>657</v>
      </c>
      <c r="D513" s="4" t="s">
        <v>413</v>
      </c>
      <c r="E513" s="4"/>
      <c r="F513" s="29">
        <f>F514</f>
        <v>0</v>
      </c>
      <c r="G513" s="29"/>
    </row>
    <row r="514" spans="1:7" ht="63" hidden="1">
      <c r="A514" s="3" t="s">
        <v>723</v>
      </c>
      <c r="B514" s="4" t="s">
        <v>654</v>
      </c>
      <c r="C514" s="4" t="s">
        <v>657</v>
      </c>
      <c r="D514" s="4" t="s">
        <v>413</v>
      </c>
      <c r="E514" s="4" t="s">
        <v>317</v>
      </c>
      <c r="F514" s="29">
        <f>прил7!G617</f>
        <v>0</v>
      </c>
      <c r="G514" s="29"/>
    </row>
    <row r="515" spans="1:7" ht="63" hidden="1">
      <c r="A515" s="3" t="s">
        <v>546</v>
      </c>
      <c r="B515" s="4" t="s">
        <v>654</v>
      </c>
      <c r="C515" s="4" t="s">
        <v>657</v>
      </c>
      <c r="D515" s="4" t="s">
        <v>363</v>
      </c>
      <c r="E515" s="4"/>
      <c r="F515" s="29">
        <f>F516+F518</f>
        <v>0</v>
      </c>
      <c r="G515" s="29"/>
    </row>
    <row r="516" spans="1:7" ht="47.25" hidden="1">
      <c r="A516" s="3" t="s">
        <v>512</v>
      </c>
      <c r="B516" s="4" t="s">
        <v>654</v>
      </c>
      <c r="C516" s="4" t="s">
        <v>657</v>
      </c>
      <c r="D516" s="4" t="s">
        <v>364</v>
      </c>
      <c r="E516" s="4"/>
      <c r="F516" s="29">
        <f>F517</f>
        <v>0</v>
      </c>
      <c r="G516" s="29"/>
    </row>
    <row r="517" spans="1:7" ht="63" hidden="1">
      <c r="A517" s="3" t="s">
        <v>723</v>
      </c>
      <c r="B517" s="4" t="s">
        <v>654</v>
      </c>
      <c r="C517" s="4" t="s">
        <v>657</v>
      </c>
      <c r="D517" s="4" t="s">
        <v>364</v>
      </c>
      <c r="E517" s="4" t="s">
        <v>317</v>
      </c>
      <c r="F517" s="29">
        <f>прил7!G620</f>
        <v>0</v>
      </c>
      <c r="G517" s="29"/>
    </row>
    <row r="518" spans="1:7" ht="31.5" hidden="1">
      <c r="A518" s="3" t="s">
        <v>719</v>
      </c>
      <c r="B518" s="4" t="s">
        <v>654</v>
      </c>
      <c r="C518" s="4" t="s">
        <v>657</v>
      </c>
      <c r="D518" s="4" t="s">
        <v>365</v>
      </c>
      <c r="E518" s="4"/>
      <c r="F518" s="29">
        <f>F519</f>
        <v>0</v>
      </c>
      <c r="G518" s="29"/>
    </row>
    <row r="519" spans="1:7" ht="63" hidden="1">
      <c r="A519" s="3" t="s">
        <v>723</v>
      </c>
      <c r="B519" s="4" t="s">
        <v>654</v>
      </c>
      <c r="C519" s="4" t="s">
        <v>657</v>
      </c>
      <c r="D519" s="4" t="s">
        <v>365</v>
      </c>
      <c r="E519" s="4" t="s">
        <v>317</v>
      </c>
      <c r="F519" s="29">
        <f>прил7!G622</f>
        <v>0</v>
      </c>
      <c r="G519" s="29"/>
    </row>
    <row r="520" spans="1:7" ht="63">
      <c r="A520" s="3" t="s">
        <v>347</v>
      </c>
      <c r="B520" s="4" t="s">
        <v>654</v>
      </c>
      <c r="C520" s="4" t="s">
        <v>657</v>
      </c>
      <c r="D520" s="4" t="s">
        <v>348</v>
      </c>
      <c r="E520" s="4"/>
      <c r="F520" s="29">
        <f>F521</f>
        <v>150000</v>
      </c>
      <c r="G520" s="29"/>
    </row>
    <row r="521" spans="1:7" ht="47.25">
      <c r="A521" s="3" t="s">
        <v>512</v>
      </c>
      <c r="B521" s="4" t="s">
        <v>654</v>
      </c>
      <c r="C521" s="4" t="s">
        <v>657</v>
      </c>
      <c r="D521" s="4" t="s">
        <v>460</v>
      </c>
      <c r="E521" s="4"/>
      <c r="F521" s="29">
        <f>F522</f>
        <v>150000</v>
      </c>
      <c r="G521" s="29"/>
    </row>
    <row r="522" spans="1:7" ht="63">
      <c r="A522" s="3" t="s">
        <v>723</v>
      </c>
      <c r="B522" s="4" t="s">
        <v>654</v>
      </c>
      <c r="C522" s="4" t="s">
        <v>657</v>
      </c>
      <c r="D522" s="4" t="s">
        <v>460</v>
      </c>
      <c r="E522" s="4" t="s">
        <v>317</v>
      </c>
      <c r="F522" s="29">
        <f>прил7!G625</f>
        <v>150000</v>
      </c>
      <c r="G522" s="29"/>
    </row>
    <row r="523" spans="1:7" ht="15.75">
      <c r="A523" s="13" t="s">
        <v>314</v>
      </c>
      <c r="B523" s="5" t="s">
        <v>655</v>
      </c>
      <c r="C523" s="5" t="s">
        <v>681</v>
      </c>
      <c r="D523" s="23"/>
      <c r="E523" s="23"/>
      <c r="F523" s="28">
        <f>F524</f>
        <v>175148456.66</v>
      </c>
      <c r="G523" s="28">
        <f>G524</f>
        <v>8497652</v>
      </c>
    </row>
    <row r="524" spans="1:7" ht="15.75">
      <c r="A524" s="1" t="s">
        <v>676</v>
      </c>
      <c r="B524" s="2" t="s">
        <v>655</v>
      </c>
      <c r="C524" s="2" t="s">
        <v>651</v>
      </c>
      <c r="D524" s="4"/>
      <c r="E524" s="4"/>
      <c r="F524" s="33">
        <f>F536+F525+F571+F532+F575</f>
        <v>175148456.66</v>
      </c>
      <c r="G524" s="33">
        <f>G536+G525+G571+G532+G575</f>
        <v>8497652</v>
      </c>
    </row>
    <row r="525" spans="1:7" ht="78.75">
      <c r="A525" s="3" t="s">
        <v>542</v>
      </c>
      <c r="B525" s="4" t="s">
        <v>655</v>
      </c>
      <c r="C525" s="4" t="s">
        <v>651</v>
      </c>
      <c r="D525" s="4" t="s">
        <v>718</v>
      </c>
      <c r="E525" s="4"/>
      <c r="F525" s="29">
        <f>F526+F528+F530</f>
        <v>1112400</v>
      </c>
      <c r="G525" s="29">
        <f>G526+G528+G530</f>
        <v>1112400</v>
      </c>
    </row>
    <row r="526" spans="1:7" ht="47.25" hidden="1">
      <c r="A526" s="3" t="s">
        <v>512</v>
      </c>
      <c r="B526" s="4" t="s">
        <v>655</v>
      </c>
      <c r="C526" s="4" t="s">
        <v>651</v>
      </c>
      <c r="D526" s="4" t="s">
        <v>399</v>
      </c>
      <c r="E526" s="4"/>
      <c r="F526" s="29">
        <f>F527</f>
        <v>0</v>
      </c>
      <c r="G526" s="29"/>
    </row>
    <row r="527" spans="1:7" ht="63" hidden="1">
      <c r="A527" s="3" t="s">
        <v>723</v>
      </c>
      <c r="B527" s="4" t="s">
        <v>655</v>
      </c>
      <c r="C527" s="4" t="s">
        <v>651</v>
      </c>
      <c r="D527" s="4" t="s">
        <v>399</v>
      </c>
      <c r="E527" s="4" t="s">
        <v>317</v>
      </c>
      <c r="F527" s="29">
        <f>прил7!G743</f>
        <v>0</v>
      </c>
      <c r="G527" s="29"/>
    </row>
    <row r="528" spans="1:7" ht="31.5" hidden="1">
      <c r="A528" s="3" t="s">
        <v>719</v>
      </c>
      <c r="B528" s="4" t="s">
        <v>655</v>
      </c>
      <c r="C528" s="4" t="s">
        <v>651</v>
      </c>
      <c r="D528" s="4" t="s">
        <v>720</v>
      </c>
      <c r="E528" s="4"/>
      <c r="F528" s="29">
        <f>F529</f>
        <v>0</v>
      </c>
      <c r="G528" s="29"/>
    </row>
    <row r="529" spans="1:7" ht="63" hidden="1">
      <c r="A529" s="3" t="s">
        <v>723</v>
      </c>
      <c r="B529" s="4" t="s">
        <v>655</v>
      </c>
      <c r="C529" s="4" t="s">
        <v>651</v>
      </c>
      <c r="D529" s="4" t="s">
        <v>720</v>
      </c>
      <c r="E529" s="4" t="s">
        <v>317</v>
      </c>
      <c r="F529" s="29">
        <f>прил7!G745</f>
        <v>0</v>
      </c>
      <c r="G529" s="29"/>
    </row>
    <row r="530" spans="1:7" ht="63">
      <c r="A530" s="3" t="s">
        <v>280</v>
      </c>
      <c r="B530" s="4" t="s">
        <v>655</v>
      </c>
      <c r="C530" s="4" t="s">
        <v>651</v>
      </c>
      <c r="D530" s="4" t="s">
        <v>281</v>
      </c>
      <c r="E530" s="4"/>
      <c r="F530" s="29">
        <f>F531</f>
        <v>1112400</v>
      </c>
      <c r="G530" s="29">
        <f>G531</f>
        <v>1112400</v>
      </c>
    </row>
    <row r="531" spans="1:7" ht="63">
      <c r="A531" s="3" t="s">
        <v>723</v>
      </c>
      <c r="B531" s="4" t="s">
        <v>655</v>
      </c>
      <c r="C531" s="4" t="s">
        <v>651</v>
      </c>
      <c r="D531" s="4" t="s">
        <v>281</v>
      </c>
      <c r="E531" s="4" t="s">
        <v>317</v>
      </c>
      <c r="F531" s="29">
        <f>прил7!G754</f>
        <v>1112400</v>
      </c>
      <c r="G531" s="29">
        <f>F531</f>
        <v>1112400</v>
      </c>
    </row>
    <row r="532" spans="1:7" ht="78.75" hidden="1">
      <c r="A532" s="3" t="s">
        <v>543</v>
      </c>
      <c r="B532" s="4" t="s">
        <v>655</v>
      </c>
      <c r="C532" s="4" t="s">
        <v>651</v>
      </c>
      <c r="D532" s="4" t="s">
        <v>735</v>
      </c>
      <c r="E532" s="4"/>
      <c r="F532" s="29">
        <f>F533</f>
        <v>0</v>
      </c>
      <c r="G532" s="29"/>
    </row>
    <row r="533" spans="1:7" ht="15.75" hidden="1">
      <c r="A533" s="60" t="s">
        <v>448</v>
      </c>
      <c r="B533" s="4" t="s">
        <v>655</v>
      </c>
      <c r="C533" s="4" t="s">
        <v>651</v>
      </c>
      <c r="D533" s="4" t="s">
        <v>449</v>
      </c>
      <c r="E533" s="4"/>
      <c r="F533" s="29">
        <f>F534</f>
        <v>0</v>
      </c>
      <c r="G533" s="29"/>
    </row>
    <row r="534" spans="1:7" ht="31.5" hidden="1">
      <c r="A534" s="3" t="s">
        <v>719</v>
      </c>
      <c r="B534" s="4" t="s">
        <v>655</v>
      </c>
      <c r="C534" s="4" t="s">
        <v>651</v>
      </c>
      <c r="D534" s="4" t="s">
        <v>450</v>
      </c>
      <c r="E534" s="4"/>
      <c r="F534" s="29">
        <f>F535</f>
        <v>0</v>
      </c>
      <c r="G534" s="29"/>
    </row>
    <row r="535" spans="1:7" ht="63" hidden="1">
      <c r="A535" s="3" t="s">
        <v>723</v>
      </c>
      <c r="B535" s="4" t="s">
        <v>655</v>
      </c>
      <c r="C535" s="4" t="s">
        <v>651</v>
      </c>
      <c r="D535" s="4" t="s">
        <v>450</v>
      </c>
      <c r="E535" s="4" t="s">
        <v>317</v>
      </c>
      <c r="F535" s="29">
        <f>прил7!G751</f>
        <v>0</v>
      </c>
      <c r="G535" s="29"/>
    </row>
    <row r="536" spans="1:7" ht="78.75">
      <c r="A536" s="3" t="s">
        <v>544</v>
      </c>
      <c r="B536" s="4" t="s">
        <v>655</v>
      </c>
      <c r="C536" s="4" t="s">
        <v>651</v>
      </c>
      <c r="D536" s="4" t="s">
        <v>341</v>
      </c>
      <c r="E536" s="4"/>
      <c r="F536" s="29">
        <f>F547+F537+F556+F566+F563</f>
        <v>173988428.66</v>
      </c>
      <c r="G536" s="29">
        <f>G547+G537+G556+G566</f>
        <v>7385252</v>
      </c>
    </row>
    <row r="537" spans="1:7" ht="63">
      <c r="A537" s="3" t="s">
        <v>468</v>
      </c>
      <c r="B537" s="4" t="s">
        <v>655</v>
      </c>
      <c r="C537" s="4" t="s">
        <v>651</v>
      </c>
      <c r="D537" s="4" t="s">
        <v>469</v>
      </c>
      <c r="E537" s="4"/>
      <c r="F537" s="29">
        <f>F545+F540+F538+F543</f>
        <v>100856593.61999997</v>
      </c>
      <c r="G537" s="29">
        <f>G545+G540+G538+G543</f>
        <v>4852870</v>
      </c>
    </row>
    <row r="538" spans="1:7" ht="110.25">
      <c r="A538" s="3" t="s">
        <v>493</v>
      </c>
      <c r="B538" s="4" t="s">
        <v>655</v>
      </c>
      <c r="C538" s="4" t="s">
        <v>651</v>
      </c>
      <c r="D538" s="4" t="s">
        <v>426</v>
      </c>
      <c r="E538" s="4"/>
      <c r="F538" s="29">
        <f>F539</f>
        <v>94342908.54999998</v>
      </c>
      <c r="G538" s="29"/>
    </row>
    <row r="539" spans="1:7" ht="63">
      <c r="A539" s="3" t="s">
        <v>723</v>
      </c>
      <c r="B539" s="4" t="s">
        <v>655</v>
      </c>
      <c r="C539" s="4" t="s">
        <v>651</v>
      </c>
      <c r="D539" s="4" t="s">
        <v>426</v>
      </c>
      <c r="E539" s="4" t="s">
        <v>317</v>
      </c>
      <c r="F539" s="29">
        <f>прил7!G758</f>
        <v>94342908.54999998</v>
      </c>
      <c r="G539" s="29"/>
    </row>
    <row r="540" spans="1:7" ht="31.5">
      <c r="A540" s="3" t="s">
        <v>719</v>
      </c>
      <c r="B540" s="4" t="s">
        <v>655</v>
      </c>
      <c r="C540" s="4" t="s">
        <v>651</v>
      </c>
      <c r="D540" s="4" t="s">
        <v>425</v>
      </c>
      <c r="E540" s="4"/>
      <c r="F540" s="29">
        <f>F541+F542</f>
        <v>1660815.07</v>
      </c>
      <c r="G540" s="29"/>
    </row>
    <row r="541" spans="1:7" ht="47.25">
      <c r="A541" s="3" t="s">
        <v>702</v>
      </c>
      <c r="B541" s="4" t="s">
        <v>655</v>
      </c>
      <c r="C541" s="4" t="s">
        <v>651</v>
      </c>
      <c r="D541" s="4" t="s">
        <v>425</v>
      </c>
      <c r="E541" s="4" t="s">
        <v>313</v>
      </c>
      <c r="F541" s="29">
        <f>прил7!G760</f>
        <v>772605.0700000001</v>
      </c>
      <c r="G541" s="29"/>
    </row>
    <row r="542" spans="1:7" ht="76.5" customHeight="1">
      <c r="A542" s="3" t="s">
        <v>723</v>
      </c>
      <c r="B542" s="4" t="s">
        <v>655</v>
      </c>
      <c r="C542" s="4" t="s">
        <v>651</v>
      </c>
      <c r="D542" s="4" t="s">
        <v>425</v>
      </c>
      <c r="E542" s="4" t="s">
        <v>317</v>
      </c>
      <c r="F542" s="29">
        <f>прил7!G761</f>
        <v>888210</v>
      </c>
      <c r="G542" s="29"/>
    </row>
    <row r="543" spans="1:7" ht="135" customHeight="1">
      <c r="A543" s="3" t="s">
        <v>765</v>
      </c>
      <c r="B543" s="4" t="s">
        <v>655</v>
      </c>
      <c r="C543" s="4" t="s">
        <v>651</v>
      </c>
      <c r="D543" s="4" t="s">
        <v>753</v>
      </c>
      <c r="E543" s="4"/>
      <c r="F543" s="29">
        <f>F544</f>
        <v>3420410</v>
      </c>
      <c r="G543" s="29">
        <f>G544</f>
        <v>3420410</v>
      </c>
    </row>
    <row r="544" spans="1:7" ht="76.5" customHeight="1">
      <c r="A544" s="3" t="s">
        <v>723</v>
      </c>
      <c r="B544" s="4" t="s">
        <v>655</v>
      </c>
      <c r="C544" s="4" t="s">
        <v>651</v>
      </c>
      <c r="D544" s="4" t="s">
        <v>753</v>
      </c>
      <c r="E544" s="4" t="s">
        <v>317</v>
      </c>
      <c r="F544" s="29">
        <f>прил7!G763</f>
        <v>3420410</v>
      </c>
      <c r="G544" s="29">
        <f>F544</f>
        <v>3420410</v>
      </c>
    </row>
    <row r="545" spans="1:7" ht="141.75">
      <c r="A545" s="3" t="s">
        <v>349</v>
      </c>
      <c r="B545" s="4" t="s">
        <v>655</v>
      </c>
      <c r="C545" s="4" t="s">
        <v>651</v>
      </c>
      <c r="D545" s="4" t="s">
        <v>470</v>
      </c>
      <c r="E545" s="4"/>
      <c r="F545" s="29">
        <f>F546</f>
        <v>1432460</v>
      </c>
      <c r="G545" s="29">
        <f>G546</f>
        <v>1432460</v>
      </c>
    </row>
    <row r="546" spans="1:7" ht="63">
      <c r="A546" s="3" t="s">
        <v>723</v>
      </c>
      <c r="B546" s="4" t="s">
        <v>655</v>
      </c>
      <c r="C546" s="4" t="s">
        <v>651</v>
      </c>
      <c r="D546" s="4" t="s">
        <v>470</v>
      </c>
      <c r="E546" s="4" t="s">
        <v>317</v>
      </c>
      <c r="F546" s="29">
        <f>прил7!G765</f>
        <v>1432460</v>
      </c>
      <c r="G546" s="29">
        <f>F546</f>
        <v>1432460</v>
      </c>
    </row>
    <row r="547" spans="1:7" ht="31.5">
      <c r="A547" s="3" t="s">
        <v>343</v>
      </c>
      <c r="B547" s="4" t="s">
        <v>655</v>
      </c>
      <c r="C547" s="4" t="s">
        <v>651</v>
      </c>
      <c r="D547" s="4" t="s">
        <v>344</v>
      </c>
      <c r="E547" s="4"/>
      <c r="F547" s="29">
        <f>F550+F554+F548+F552</f>
        <v>50028635.46</v>
      </c>
      <c r="G547" s="29">
        <f>G550+G554+G548+G552</f>
        <v>2054682</v>
      </c>
    </row>
    <row r="548" spans="1:7" ht="110.25">
      <c r="A548" s="3" t="s">
        <v>493</v>
      </c>
      <c r="B548" s="4" t="s">
        <v>655</v>
      </c>
      <c r="C548" s="4" t="s">
        <v>651</v>
      </c>
      <c r="D548" s="4" t="s">
        <v>427</v>
      </c>
      <c r="E548" s="4"/>
      <c r="F548" s="29">
        <f>F549</f>
        <v>47973953.46</v>
      </c>
      <c r="G548" s="29"/>
    </row>
    <row r="549" spans="1:7" ht="63">
      <c r="A549" s="3" t="s">
        <v>723</v>
      </c>
      <c r="B549" s="4" t="s">
        <v>655</v>
      </c>
      <c r="C549" s="4" t="s">
        <v>651</v>
      </c>
      <c r="D549" s="4" t="s">
        <v>427</v>
      </c>
      <c r="E549" s="4" t="s">
        <v>317</v>
      </c>
      <c r="F549" s="29">
        <f>прил7!G768</f>
        <v>47973953.46</v>
      </c>
      <c r="G549" s="29"/>
    </row>
    <row r="550" spans="1:7" ht="110.25">
      <c r="A550" s="3" t="s">
        <v>345</v>
      </c>
      <c r="B550" s="4" t="s">
        <v>655</v>
      </c>
      <c r="C550" s="4" t="s">
        <v>651</v>
      </c>
      <c r="D550" s="4" t="s">
        <v>346</v>
      </c>
      <c r="E550" s="4"/>
      <c r="F550" s="29">
        <f>F551</f>
        <v>13320</v>
      </c>
      <c r="G550" s="29">
        <f>G551</f>
        <v>13320</v>
      </c>
    </row>
    <row r="551" spans="1:7" ht="71.25" customHeight="1">
      <c r="A551" s="3" t="s">
        <v>723</v>
      </c>
      <c r="B551" s="4" t="s">
        <v>655</v>
      </c>
      <c r="C551" s="4" t="s">
        <v>651</v>
      </c>
      <c r="D551" s="4" t="s">
        <v>346</v>
      </c>
      <c r="E551" s="4" t="s">
        <v>317</v>
      </c>
      <c r="F551" s="29">
        <f>прил7!G770</f>
        <v>13320</v>
      </c>
      <c r="G551" s="29">
        <f>F551</f>
        <v>13320</v>
      </c>
    </row>
    <row r="552" spans="1:7" ht="162" customHeight="1">
      <c r="A552" s="3" t="s">
        <v>750</v>
      </c>
      <c r="B552" s="4" t="s">
        <v>655</v>
      </c>
      <c r="C552" s="4" t="s">
        <v>651</v>
      </c>
      <c r="D552" s="4" t="s">
        <v>754</v>
      </c>
      <c r="E552" s="4"/>
      <c r="F552" s="29">
        <f>F553</f>
        <v>1834410</v>
      </c>
      <c r="G552" s="29">
        <f>G553</f>
        <v>1834410</v>
      </c>
    </row>
    <row r="553" spans="1:7" ht="71.25" customHeight="1">
      <c r="A553" s="3" t="s">
        <v>723</v>
      </c>
      <c r="B553" s="4" t="s">
        <v>655</v>
      </c>
      <c r="C553" s="4" t="s">
        <v>651</v>
      </c>
      <c r="D553" s="4" t="s">
        <v>754</v>
      </c>
      <c r="E553" s="4" t="s">
        <v>317</v>
      </c>
      <c r="F553" s="29">
        <f>прил7!G772</f>
        <v>1834410</v>
      </c>
      <c r="G553" s="29">
        <f>F553</f>
        <v>1834410</v>
      </c>
    </row>
    <row r="554" spans="1:7" ht="141.75">
      <c r="A554" s="3" t="s">
        <v>349</v>
      </c>
      <c r="B554" s="4" t="s">
        <v>655</v>
      </c>
      <c r="C554" s="4" t="s">
        <v>651</v>
      </c>
      <c r="D554" s="4" t="s">
        <v>471</v>
      </c>
      <c r="E554" s="4"/>
      <c r="F554" s="29">
        <f>F555</f>
        <v>206952</v>
      </c>
      <c r="G554" s="29">
        <f>G555</f>
        <v>206952</v>
      </c>
    </row>
    <row r="555" spans="1:7" ht="63">
      <c r="A555" s="3" t="s">
        <v>723</v>
      </c>
      <c r="B555" s="4" t="s">
        <v>655</v>
      </c>
      <c r="C555" s="4" t="s">
        <v>651</v>
      </c>
      <c r="D555" s="4" t="s">
        <v>471</v>
      </c>
      <c r="E555" s="4" t="s">
        <v>317</v>
      </c>
      <c r="F555" s="29">
        <f>прил7!G774</f>
        <v>206952</v>
      </c>
      <c r="G555" s="29">
        <f>F555</f>
        <v>206952</v>
      </c>
    </row>
    <row r="556" spans="1:7" ht="31.5">
      <c r="A556" s="3" t="s">
        <v>428</v>
      </c>
      <c r="B556" s="4" t="s">
        <v>655</v>
      </c>
      <c r="C556" s="4" t="s">
        <v>651</v>
      </c>
      <c r="D556" s="4" t="s">
        <v>429</v>
      </c>
      <c r="E556" s="4"/>
      <c r="F556" s="29">
        <f>F557+F559+F561</f>
        <v>13250735.19</v>
      </c>
      <c r="G556" s="29">
        <f>G557+G559+G561</f>
        <v>477700</v>
      </c>
    </row>
    <row r="557" spans="1:7" ht="110.25">
      <c r="A557" s="3" t="s">
        <v>493</v>
      </c>
      <c r="B557" s="4" t="s">
        <v>655</v>
      </c>
      <c r="C557" s="4" t="s">
        <v>651</v>
      </c>
      <c r="D557" s="4" t="s">
        <v>430</v>
      </c>
      <c r="E557" s="4"/>
      <c r="F557" s="29">
        <f>F558</f>
        <v>12773035.19</v>
      </c>
      <c r="G557" s="29"/>
    </row>
    <row r="558" spans="1:7" ht="63">
      <c r="A558" s="3" t="s">
        <v>723</v>
      </c>
      <c r="B558" s="4" t="s">
        <v>655</v>
      </c>
      <c r="C558" s="4" t="s">
        <v>651</v>
      </c>
      <c r="D558" s="4" t="s">
        <v>430</v>
      </c>
      <c r="E558" s="4" t="s">
        <v>317</v>
      </c>
      <c r="F558" s="29">
        <f>прил7!G777</f>
        <v>12773035.19</v>
      </c>
      <c r="G558" s="29"/>
    </row>
    <row r="559" spans="1:7" ht="38.25" customHeight="1" hidden="1">
      <c r="A559" s="3" t="s">
        <v>719</v>
      </c>
      <c r="B559" s="4" t="s">
        <v>655</v>
      </c>
      <c r="C559" s="4" t="s">
        <v>651</v>
      </c>
      <c r="D559" s="4" t="s">
        <v>737</v>
      </c>
      <c r="E559" s="4"/>
      <c r="F559" s="29">
        <f>F560</f>
        <v>0</v>
      </c>
      <c r="G559" s="29"/>
    </row>
    <row r="560" spans="1:7" ht="66.75" customHeight="1" hidden="1">
      <c r="A560" s="3" t="s">
        <v>723</v>
      </c>
      <c r="B560" s="4" t="s">
        <v>655</v>
      </c>
      <c r="C560" s="4" t="s">
        <v>651</v>
      </c>
      <c r="D560" s="4" t="s">
        <v>737</v>
      </c>
      <c r="E560" s="4" t="s">
        <v>317</v>
      </c>
      <c r="F560" s="29">
        <f>прил7!G779</f>
        <v>0</v>
      </c>
      <c r="G560" s="29"/>
    </row>
    <row r="561" spans="1:7" ht="145.5" customHeight="1">
      <c r="A561" s="3" t="s">
        <v>765</v>
      </c>
      <c r="B561" s="4" t="s">
        <v>655</v>
      </c>
      <c r="C561" s="4" t="s">
        <v>651</v>
      </c>
      <c r="D561" s="4" t="s">
        <v>755</v>
      </c>
      <c r="E561" s="4"/>
      <c r="F561" s="29">
        <f>F562</f>
        <v>477700</v>
      </c>
      <c r="G561" s="29">
        <f>G562</f>
        <v>477700</v>
      </c>
    </row>
    <row r="562" spans="1:7" ht="66.75" customHeight="1">
      <c r="A562" s="3" t="s">
        <v>723</v>
      </c>
      <c r="B562" s="4" t="s">
        <v>655</v>
      </c>
      <c r="C562" s="4" t="s">
        <v>651</v>
      </c>
      <c r="D562" s="4" t="s">
        <v>755</v>
      </c>
      <c r="E562" s="4" t="s">
        <v>317</v>
      </c>
      <c r="F562" s="29">
        <f>прил7!G781</f>
        <v>477700</v>
      </c>
      <c r="G562" s="29">
        <f>F562</f>
        <v>477700</v>
      </c>
    </row>
    <row r="563" spans="1:7" ht="66.75" customHeight="1">
      <c r="A563" s="3" t="s">
        <v>431</v>
      </c>
      <c r="B563" s="4" t="s">
        <v>655</v>
      </c>
      <c r="C563" s="4" t="s">
        <v>651</v>
      </c>
      <c r="D563" s="4" t="s">
        <v>432</v>
      </c>
      <c r="E563" s="4"/>
      <c r="F563" s="29">
        <f>F564</f>
        <v>1166717.5899999999</v>
      </c>
      <c r="G563" s="29"/>
    </row>
    <row r="564" spans="1:7" ht="57.75" customHeight="1">
      <c r="A564" s="3" t="s">
        <v>512</v>
      </c>
      <c r="B564" s="4" t="s">
        <v>655</v>
      </c>
      <c r="C564" s="4" t="s">
        <v>651</v>
      </c>
      <c r="D564" s="4" t="s">
        <v>433</v>
      </c>
      <c r="E564" s="4"/>
      <c r="F564" s="29">
        <f>F565</f>
        <v>1166717.5899999999</v>
      </c>
      <c r="G564" s="29"/>
    </row>
    <row r="565" spans="1:7" ht="66.75" customHeight="1">
      <c r="A565" s="3" t="s">
        <v>702</v>
      </c>
      <c r="B565" s="4" t="s">
        <v>655</v>
      </c>
      <c r="C565" s="4" t="s">
        <v>651</v>
      </c>
      <c r="D565" s="4" t="s">
        <v>433</v>
      </c>
      <c r="E565" s="4" t="s">
        <v>313</v>
      </c>
      <c r="F565" s="29">
        <f>прил7!G435</f>
        <v>1166717.5899999999</v>
      </c>
      <c r="G565" s="29"/>
    </row>
    <row r="566" spans="1:7" ht="78.75">
      <c r="A566" s="3" t="s">
        <v>435</v>
      </c>
      <c r="B566" s="4" t="s">
        <v>655</v>
      </c>
      <c r="C566" s="4" t="s">
        <v>651</v>
      </c>
      <c r="D566" s="4" t="s">
        <v>436</v>
      </c>
      <c r="E566" s="4"/>
      <c r="F566" s="29">
        <f>F567+F569</f>
        <v>8685746.8</v>
      </c>
      <c r="G566" s="29"/>
    </row>
    <row r="567" spans="1:7" ht="47.25">
      <c r="A567" s="3" t="s">
        <v>512</v>
      </c>
      <c r="B567" s="4" t="s">
        <v>655</v>
      </c>
      <c r="C567" s="4" t="s">
        <v>651</v>
      </c>
      <c r="D567" s="4" t="s">
        <v>437</v>
      </c>
      <c r="E567" s="4"/>
      <c r="F567" s="29">
        <f>F568</f>
        <v>8036738.74</v>
      </c>
      <c r="G567" s="29"/>
    </row>
    <row r="568" spans="1:7" ht="63">
      <c r="A568" s="3" t="s">
        <v>723</v>
      </c>
      <c r="B568" s="4" t="s">
        <v>655</v>
      </c>
      <c r="C568" s="4" t="s">
        <v>651</v>
      </c>
      <c r="D568" s="4" t="s">
        <v>437</v>
      </c>
      <c r="E568" s="4" t="s">
        <v>317</v>
      </c>
      <c r="F568" s="29">
        <f>прил7!G784</f>
        <v>8036738.74</v>
      </c>
      <c r="G568" s="29"/>
    </row>
    <row r="569" spans="1:7" ht="31.5">
      <c r="A569" s="3" t="s">
        <v>719</v>
      </c>
      <c r="B569" s="4" t="s">
        <v>655</v>
      </c>
      <c r="C569" s="4" t="s">
        <v>651</v>
      </c>
      <c r="D569" s="4" t="s">
        <v>438</v>
      </c>
      <c r="E569" s="4"/>
      <c r="F569" s="29">
        <f>F570</f>
        <v>649008.06</v>
      </c>
      <c r="G569" s="29"/>
    </row>
    <row r="570" spans="1:7" ht="63">
      <c r="A570" s="3" t="s">
        <v>723</v>
      </c>
      <c r="B570" s="4" t="s">
        <v>655</v>
      </c>
      <c r="C570" s="4" t="s">
        <v>651</v>
      </c>
      <c r="D570" s="4" t="s">
        <v>438</v>
      </c>
      <c r="E570" s="4" t="s">
        <v>317</v>
      </c>
      <c r="F570" s="29">
        <f>прил7!G786</f>
        <v>649008.06</v>
      </c>
      <c r="G570" s="29"/>
    </row>
    <row r="571" spans="1:7" ht="78.75" hidden="1">
      <c r="A571" s="3" t="s">
        <v>545</v>
      </c>
      <c r="B571" s="4" t="s">
        <v>655</v>
      </c>
      <c r="C571" s="4" t="s">
        <v>651</v>
      </c>
      <c r="D571" s="4" t="s">
        <v>406</v>
      </c>
      <c r="E571" s="4"/>
      <c r="F571" s="29">
        <f>F572</f>
        <v>0</v>
      </c>
      <c r="G571" s="29"/>
    </row>
    <row r="572" spans="1:7" ht="78.75" hidden="1">
      <c r="A572" s="3" t="s">
        <v>411</v>
      </c>
      <c r="B572" s="4" t="s">
        <v>655</v>
      </c>
      <c r="C572" s="4" t="s">
        <v>651</v>
      </c>
      <c r="D572" s="4" t="s">
        <v>412</v>
      </c>
      <c r="E572" s="4"/>
      <c r="F572" s="29">
        <f>F573</f>
        <v>0</v>
      </c>
      <c r="G572" s="29"/>
    </row>
    <row r="573" spans="1:7" ht="31.5" hidden="1">
      <c r="A573" s="3" t="s">
        <v>719</v>
      </c>
      <c r="B573" s="4" t="s">
        <v>655</v>
      </c>
      <c r="C573" s="4" t="s">
        <v>651</v>
      </c>
      <c r="D573" s="4" t="s">
        <v>413</v>
      </c>
      <c r="E573" s="4"/>
      <c r="F573" s="29">
        <f>F574</f>
        <v>0</v>
      </c>
      <c r="G573" s="29"/>
    </row>
    <row r="574" spans="1:7" ht="63" hidden="1">
      <c r="A574" s="3" t="s">
        <v>723</v>
      </c>
      <c r="B574" s="4" t="s">
        <v>655</v>
      </c>
      <c r="C574" s="4" t="s">
        <v>651</v>
      </c>
      <c r="D574" s="4" t="s">
        <v>413</v>
      </c>
      <c r="E574" s="4" t="s">
        <v>317</v>
      </c>
      <c r="F574" s="29">
        <f>прил7!G790</f>
        <v>0</v>
      </c>
      <c r="G574" s="29"/>
    </row>
    <row r="575" spans="1:7" ht="63">
      <c r="A575" s="3" t="s">
        <v>546</v>
      </c>
      <c r="B575" s="4" t="s">
        <v>655</v>
      </c>
      <c r="C575" s="4" t="s">
        <v>651</v>
      </c>
      <c r="D575" s="4" t="s">
        <v>363</v>
      </c>
      <c r="E575" s="4"/>
      <c r="F575" s="29">
        <f>F576+F578</f>
        <v>47628</v>
      </c>
      <c r="G575" s="29"/>
    </row>
    <row r="576" spans="1:7" ht="47.25">
      <c r="A576" s="3" t="s">
        <v>512</v>
      </c>
      <c r="B576" s="4" t="s">
        <v>655</v>
      </c>
      <c r="C576" s="4" t="s">
        <v>651</v>
      </c>
      <c r="D576" s="4" t="s">
        <v>364</v>
      </c>
      <c r="E576" s="4"/>
      <c r="F576" s="29">
        <f>F577</f>
        <v>47628</v>
      </c>
      <c r="G576" s="29"/>
    </row>
    <row r="577" spans="1:7" ht="63">
      <c r="A577" s="3" t="s">
        <v>723</v>
      </c>
      <c r="B577" s="4" t="s">
        <v>655</v>
      </c>
      <c r="C577" s="4" t="s">
        <v>651</v>
      </c>
      <c r="D577" s="4" t="s">
        <v>364</v>
      </c>
      <c r="E577" s="4" t="s">
        <v>317</v>
      </c>
      <c r="F577" s="29">
        <f>прил7!G793</f>
        <v>47628</v>
      </c>
      <c r="G577" s="29"/>
    </row>
    <row r="578" spans="1:7" ht="31.5" hidden="1">
      <c r="A578" s="3" t="s">
        <v>719</v>
      </c>
      <c r="B578" s="4" t="s">
        <v>655</v>
      </c>
      <c r="C578" s="4" t="s">
        <v>651</v>
      </c>
      <c r="D578" s="4" t="s">
        <v>365</v>
      </c>
      <c r="E578" s="4"/>
      <c r="F578" s="29">
        <f>F579</f>
        <v>0</v>
      </c>
      <c r="G578" s="29"/>
    </row>
    <row r="579" spans="1:7" ht="63" hidden="1">
      <c r="A579" s="3" t="s">
        <v>723</v>
      </c>
      <c r="B579" s="4" t="s">
        <v>655</v>
      </c>
      <c r="C579" s="4" t="s">
        <v>651</v>
      </c>
      <c r="D579" s="4" t="s">
        <v>365</v>
      </c>
      <c r="E579" s="4" t="s">
        <v>317</v>
      </c>
      <c r="F579" s="29">
        <f>прил7!G795</f>
        <v>0</v>
      </c>
      <c r="G579" s="29"/>
    </row>
    <row r="580" spans="1:7" s="16" customFormat="1" ht="18.75">
      <c r="A580" s="10" t="s">
        <v>665</v>
      </c>
      <c r="B580" s="11" t="s">
        <v>659</v>
      </c>
      <c r="C580" s="5"/>
      <c r="D580" s="5"/>
      <c r="E580" s="23"/>
      <c r="F580" s="28">
        <f>F626+F581+F652+F585</f>
        <v>54801297</v>
      </c>
      <c r="G580" s="28">
        <f>G626+G581+G652+G585</f>
        <v>53575261</v>
      </c>
    </row>
    <row r="581" spans="1:7" ht="15.75">
      <c r="A581" s="1" t="s">
        <v>683</v>
      </c>
      <c r="B581" s="2" t="s">
        <v>659</v>
      </c>
      <c r="C581" s="2" t="s">
        <v>651</v>
      </c>
      <c r="D581" s="2"/>
      <c r="E581" s="4"/>
      <c r="F581" s="33">
        <f>F582</f>
        <v>955386</v>
      </c>
      <c r="G581" s="33"/>
    </row>
    <row r="582" spans="1:7" ht="15.75">
      <c r="A582" s="3" t="s">
        <v>699</v>
      </c>
      <c r="B582" s="4" t="s">
        <v>659</v>
      </c>
      <c r="C582" s="4" t="s">
        <v>651</v>
      </c>
      <c r="D582" s="4" t="s">
        <v>700</v>
      </c>
      <c r="E582" s="4"/>
      <c r="F582" s="29">
        <f>F583</f>
        <v>955386</v>
      </c>
      <c r="G582" s="29"/>
    </row>
    <row r="583" spans="1:7" ht="157.5">
      <c r="A583" s="3" t="s">
        <v>423</v>
      </c>
      <c r="B583" s="4" t="s">
        <v>659</v>
      </c>
      <c r="C583" s="4" t="s">
        <v>651</v>
      </c>
      <c r="D583" s="4" t="s">
        <v>424</v>
      </c>
      <c r="E583" s="4"/>
      <c r="F583" s="29">
        <f>F584</f>
        <v>955386</v>
      </c>
      <c r="G583" s="29"/>
    </row>
    <row r="584" spans="1:7" ht="31.5">
      <c r="A584" s="3" t="s">
        <v>560</v>
      </c>
      <c r="B584" s="4" t="s">
        <v>659</v>
      </c>
      <c r="C584" s="4" t="s">
        <v>651</v>
      </c>
      <c r="D584" s="4" t="s">
        <v>424</v>
      </c>
      <c r="E584" s="4" t="s">
        <v>561</v>
      </c>
      <c r="F584" s="29">
        <f>прил7!G192</f>
        <v>955386</v>
      </c>
      <c r="G584" s="29"/>
    </row>
    <row r="585" spans="1:7" ht="31.5">
      <c r="A585" s="1" t="s">
        <v>677</v>
      </c>
      <c r="B585" s="2" t="s">
        <v>659</v>
      </c>
      <c r="C585" s="2" t="s">
        <v>658</v>
      </c>
      <c r="D585" s="2"/>
      <c r="E585" s="2"/>
      <c r="F585" s="33">
        <f>F586+F606+F617</f>
        <v>6805111</v>
      </c>
      <c r="G585" s="33">
        <f>G586+G606+G617</f>
        <v>6534461</v>
      </c>
    </row>
    <row r="586" spans="1:7" ht="47.25">
      <c r="A586" s="3" t="s">
        <v>539</v>
      </c>
      <c r="B586" s="4" t="s">
        <v>659</v>
      </c>
      <c r="C586" s="4" t="s">
        <v>658</v>
      </c>
      <c r="D586" s="4" t="s">
        <v>724</v>
      </c>
      <c r="E586" s="4"/>
      <c r="F586" s="29">
        <f>F597+F587+F592</f>
        <v>3959106</v>
      </c>
      <c r="G586" s="29">
        <f>G597+G587+G592</f>
        <v>3959106</v>
      </c>
    </row>
    <row r="587" spans="1:7" ht="47.25">
      <c r="A587" s="3" t="s">
        <v>745</v>
      </c>
      <c r="B587" s="4" t="s">
        <v>659</v>
      </c>
      <c r="C587" s="4" t="s">
        <v>658</v>
      </c>
      <c r="D587" s="4" t="s">
        <v>746</v>
      </c>
      <c r="E587" s="4"/>
      <c r="F587" s="29">
        <f>F590+F588</f>
        <v>889305</v>
      </c>
      <c r="G587" s="29">
        <f>G590+G588</f>
        <v>889305</v>
      </c>
    </row>
    <row r="588" spans="1:7" ht="126">
      <c r="A588" s="3" t="s">
        <v>487</v>
      </c>
      <c r="B588" s="4" t="s">
        <v>659</v>
      </c>
      <c r="C588" s="4" t="s">
        <v>658</v>
      </c>
      <c r="D588" s="4" t="s">
        <v>490</v>
      </c>
      <c r="E588" s="4"/>
      <c r="F588" s="29">
        <f>F589</f>
        <v>4745</v>
      </c>
      <c r="G588" s="29">
        <f>G589</f>
        <v>4745</v>
      </c>
    </row>
    <row r="589" spans="1:7" ht="63">
      <c r="A589" s="3" t="s">
        <v>723</v>
      </c>
      <c r="B589" s="4" t="s">
        <v>659</v>
      </c>
      <c r="C589" s="4" t="s">
        <v>658</v>
      </c>
      <c r="D589" s="4" t="s">
        <v>490</v>
      </c>
      <c r="E589" s="4" t="s">
        <v>317</v>
      </c>
      <c r="F589" s="29">
        <f>прил7!G631</f>
        <v>4745</v>
      </c>
      <c r="G589" s="29">
        <f>F589</f>
        <v>4745</v>
      </c>
    </row>
    <row r="590" spans="1:7" ht="126">
      <c r="A590" s="3" t="s">
        <v>475</v>
      </c>
      <c r="B590" s="4" t="s">
        <v>659</v>
      </c>
      <c r="C590" s="4" t="s">
        <v>658</v>
      </c>
      <c r="D590" s="4" t="s">
        <v>476</v>
      </c>
      <c r="E590" s="4"/>
      <c r="F590" s="29">
        <f>F591</f>
        <v>884560</v>
      </c>
      <c r="G590" s="29">
        <f>G591</f>
        <v>884560</v>
      </c>
    </row>
    <row r="591" spans="1:7" ht="63">
      <c r="A591" s="3" t="s">
        <v>723</v>
      </c>
      <c r="B591" s="4" t="s">
        <v>659</v>
      </c>
      <c r="C591" s="4" t="s">
        <v>658</v>
      </c>
      <c r="D591" s="4" t="s">
        <v>476</v>
      </c>
      <c r="E591" s="4" t="s">
        <v>317</v>
      </c>
      <c r="F591" s="29">
        <f>прил7!G633</f>
        <v>884560</v>
      </c>
      <c r="G591" s="29">
        <f>F591</f>
        <v>884560</v>
      </c>
    </row>
    <row r="592" spans="1:7" ht="63">
      <c r="A592" s="3" t="s">
        <v>742</v>
      </c>
      <c r="B592" s="4" t="s">
        <v>659</v>
      </c>
      <c r="C592" s="4" t="s">
        <v>658</v>
      </c>
      <c r="D592" s="4" t="s">
        <v>743</v>
      </c>
      <c r="E592" s="4"/>
      <c r="F592" s="29">
        <f>F595+F593</f>
        <v>1002601</v>
      </c>
      <c r="G592" s="29">
        <f>G595+G593</f>
        <v>1002601</v>
      </c>
    </row>
    <row r="593" spans="1:7" ht="126">
      <c r="A593" s="3" t="s">
        <v>487</v>
      </c>
      <c r="B593" s="4" t="s">
        <v>659</v>
      </c>
      <c r="C593" s="4" t="s">
        <v>658</v>
      </c>
      <c r="D593" s="4" t="s">
        <v>491</v>
      </c>
      <c r="E593" s="4"/>
      <c r="F593" s="29">
        <f>F594</f>
        <v>5385</v>
      </c>
      <c r="G593" s="29">
        <f>G594</f>
        <v>5385</v>
      </c>
    </row>
    <row r="594" spans="1:7" ht="63">
      <c r="A594" s="3" t="s">
        <v>723</v>
      </c>
      <c r="B594" s="4" t="s">
        <v>659</v>
      </c>
      <c r="C594" s="4" t="s">
        <v>658</v>
      </c>
      <c r="D594" s="4" t="s">
        <v>491</v>
      </c>
      <c r="E594" s="4" t="s">
        <v>317</v>
      </c>
      <c r="F594" s="29">
        <f>прил7!G636</f>
        <v>5385</v>
      </c>
      <c r="G594" s="29">
        <f>F594</f>
        <v>5385</v>
      </c>
    </row>
    <row r="595" spans="1:7" ht="126">
      <c r="A595" s="3" t="s">
        <v>475</v>
      </c>
      <c r="B595" s="4" t="s">
        <v>659</v>
      </c>
      <c r="C595" s="4" t="s">
        <v>658</v>
      </c>
      <c r="D595" s="4" t="s">
        <v>477</v>
      </c>
      <c r="E595" s="4"/>
      <c r="F595" s="29">
        <f>F596</f>
        <v>997216</v>
      </c>
      <c r="G595" s="29">
        <f>G596</f>
        <v>997216</v>
      </c>
    </row>
    <row r="596" spans="1:7" ht="63">
      <c r="A596" s="3" t="s">
        <v>723</v>
      </c>
      <c r="B596" s="4" t="s">
        <v>659</v>
      </c>
      <c r="C596" s="4" t="s">
        <v>658</v>
      </c>
      <c r="D596" s="4" t="s">
        <v>477</v>
      </c>
      <c r="E596" s="4" t="s">
        <v>317</v>
      </c>
      <c r="F596" s="29">
        <f>прил7!G638</f>
        <v>997216</v>
      </c>
      <c r="G596" s="29">
        <f>F596</f>
        <v>997216</v>
      </c>
    </row>
    <row r="597" spans="1:7" ht="63">
      <c r="A597" s="21" t="s">
        <v>759</v>
      </c>
      <c r="B597" s="4" t="s">
        <v>659</v>
      </c>
      <c r="C597" s="4" t="s">
        <v>658</v>
      </c>
      <c r="D597" s="4" t="s">
        <v>760</v>
      </c>
      <c r="E597" s="4"/>
      <c r="F597" s="29">
        <f>F598+F600+F602+F604</f>
        <v>2067200</v>
      </c>
      <c r="G597" s="29">
        <f>G598+G600+G602+G604</f>
        <v>2067200</v>
      </c>
    </row>
    <row r="598" spans="1:7" ht="126">
      <c r="A598" s="21" t="s">
        <v>190</v>
      </c>
      <c r="B598" s="4" t="s">
        <v>659</v>
      </c>
      <c r="C598" s="4" t="s">
        <v>658</v>
      </c>
      <c r="D598" s="4" t="s">
        <v>191</v>
      </c>
      <c r="E598" s="4"/>
      <c r="F598" s="37">
        <f>F599</f>
        <v>1701600</v>
      </c>
      <c r="G598" s="37">
        <f>G599</f>
        <v>1701600</v>
      </c>
    </row>
    <row r="599" spans="1:7" ht="31.5">
      <c r="A599" s="3" t="s">
        <v>560</v>
      </c>
      <c r="B599" s="4" t="s">
        <v>659</v>
      </c>
      <c r="C599" s="4" t="s">
        <v>658</v>
      </c>
      <c r="D599" s="4" t="s">
        <v>191</v>
      </c>
      <c r="E599" s="4" t="s">
        <v>561</v>
      </c>
      <c r="F599" s="37">
        <f>прил7!G641</f>
        <v>1701600</v>
      </c>
      <c r="G599" s="37">
        <f>F599</f>
        <v>1701600</v>
      </c>
    </row>
    <row r="600" spans="1:7" ht="141.75">
      <c r="A600" s="3" t="s">
        <v>192</v>
      </c>
      <c r="B600" s="4" t="s">
        <v>659</v>
      </c>
      <c r="C600" s="4" t="s">
        <v>658</v>
      </c>
      <c r="D600" s="4" t="s">
        <v>193</v>
      </c>
      <c r="E600" s="4"/>
      <c r="F600" s="37">
        <f>F601</f>
        <v>24600</v>
      </c>
      <c r="G600" s="37">
        <f>G601</f>
        <v>24600</v>
      </c>
    </row>
    <row r="601" spans="1:7" ht="126">
      <c r="A601" s="3" t="s">
        <v>701</v>
      </c>
      <c r="B601" s="4" t="s">
        <v>659</v>
      </c>
      <c r="C601" s="4" t="s">
        <v>658</v>
      </c>
      <c r="D601" s="4" t="s">
        <v>193</v>
      </c>
      <c r="E601" s="4" t="s">
        <v>312</v>
      </c>
      <c r="F601" s="37">
        <f>прил7!G643</f>
        <v>24600</v>
      </c>
      <c r="G601" s="37">
        <f>F601</f>
        <v>24600</v>
      </c>
    </row>
    <row r="602" spans="1:7" ht="252">
      <c r="A602" s="3" t="s">
        <v>333</v>
      </c>
      <c r="B602" s="4" t="s">
        <v>659</v>
      </c>
      <c r="C602" s="4" t="s">
        <v>658</v>
      </c>
      <c r="D602" s="4" t="s">
        <v>334</v>
      </c>
      <c r="E602" s="4"/>
      <c r="F602" s="37">
        <f>F603</f>
        <v>131600</v>
      </c>
      <c r="G602" s="37">
        <f>G603</f>
        <v>131600</v>
      </c>
    </row>
    <row r="603" spans="1:7" ht="31.5">
      <c r="A603" s="3" t="s">
        <v>560</v>
      </c>
      <c r="B603" s="4" t="s">
        <v>659</v>
      </c>
      <c r="C603" s="4" t="s">
        <v>658</v>
      </c>
      <c r="D603" s="4" t="s">
        <v>334</v>
      </c>
      <c r="E603" s="4" t="s">
        <v>561</v>
      </c>
      <c r="F603" s="37">
        <f>прил7!G645</f>
        <v>131600</v>
      </c>
      <c r="G603" s="37">
        <f>F603</f>
        <v>131600</v>
      </c>
    </row>
    <row r="604" spans="1:7" ht="173.25">
      <c r="A604" s="3" t="s">
        <v>335</v>
      </c>
      <c r="B604" s="4" t="s">
        <v>659</v>
      </c>
      <c r="C604" s="4" t="s">
        <v>658</v>
      </c>
      <c r="D604" s="4" t="s">
        <v>336</v>
      </c>
      <c r="E604" s="4"/>
      <c r="F604" s="37">
        <f>F605</f>
        <v>209400</v>
      </c>
      <c r="G604" s="37">
        <f>G605</f>
        <v>209400</v>
      </c>
    </row>
    <row r="605" spans="1:7" ht="31.5">
      <c r="A605" s="3" t="s">
        <v>560</v>
      </c>
      <c r="B605" s="4" t="s">
        <v>659</v>
      </c>
      <c r="C605" s="4" t="s">
        <v>658</v>
      </c>
      <c r="D605" s="4" t="s">
        <v>336</v>
      </c>
      <c r="E605" s="4" t="s">
        <v>561</v>
      </c>
      <c r="F605" s="37">
        <f>прил7!G647</f>
        <v>209400</v>
      </c>
      <c r="G605" s="37">
        <f>F605</f>
        <v>209400</v>
      </c>
    </row>
    <row r="606" spans="1:7" ht="78.75">
      <c r="A606" s="3" t="s">
        <v>544</v>
      </c>
      <c r="B606" s="4" t="s">
        <v>659</v>
      </c>
      <c r="C606" s="4" t="s">
        <v>658</v>
      </c>
      <c r="D606" s="4" t="s">
        <v>341</v>
      </c>
      <c r="E606" s="4"/>
      <c r="F606" s="29">
        <f>F607+F612</f>
        <v>1449094</v>
      </c>
      <c r="G606" s="29">
        <f>G607+G612</f>
        <v>1449094</v>
      </c>
    </row>
    <row r="607" spans="1:7" ht="63">
      <c r="A607" s="3" t="s">
        <v>468</v>
      </c>
      <c r="B607" s="4" t="s">
        <v>659</v>
      </c>
      <c r="C607" s="4" t="s">
        <v>658</v>
      </c>
      <c r="D607" s="4" t="s">
        <v>469</v>
      </c>
      <c r="E607" s="4"/>
      <c r="F607" s="29">
        <f>F610+F608</f>
        <v>1041775</v>
      </c>
      <c r="G607" s="29">
        <f>G610+G608</f>
        <v>1041775</v>
      </c>
    </row>
    <row r="608" spans="1:7" ht="126">
      <c r="A608" s="3" t="s">
        <v>487</v>
      </c>
      <c r="B608" s="4" t="s">
        <v>659</v>
      </c>
      <c r="C608" s="4" t="s">
        <v>658</v>
      </c>
      <c r="D608" s="4" t="s">
        <v>488</v>
      </c>
      <c r="E608" s="4"/>
      <c r="F608" s="29">
        <f>F609</f>
        <v>3530</v>
      </c>
      <c r="G608" s="29">
        <f>G609</f>
        <v>3530</v>
      </c>
    </row>
    <row r="609" spans="1:7" ht="63">
      <c r="A609" s="3" t="s">
        <v>723</v>
      </c>
      <c r="B609" s="4" t="s">
        <v>659</v>
      </c>
      <c r="C609" s="4" t="s">
        <v>658</v>
      </c>
      <c r="D609" s="4" t="s">
        <v>488</v>
      </c>
      <c r="E609" s="4" t="s">
        <v>317</v>
      </c>
      <c r="F609" s="29">
        <f>прил7!G801</f>
        <v>3530</v>
      </c>
      <c r="G609" s="29">
        <f>F609</f>
        <v>3530</v>
      </c>
    </row>
    <row r="610" spans="1:7" ht="126">
      <c r="A610" s="3" t="s">
        <v>475</v>
      </c>
      <c r="B610" s="4" t="s">
        <v>659</v>
      </c>
      <c r="C610" s="4" t="s">
        <v>658</v>
      </c>
      <c r="D610" s="4" t="s">
        <v>478</v>
      </c>
      <c r="E610" s="4"/>
      <c r="F610" s="29">
        <f>F611</f>
        <v>1038245</v>
      </c>
      <c r="G610" s="29">
        <f>G611</f>
        <v>1038245</v>
      </c>
    </row>
    <row r="611" spans="1:7" ht="63">
      <c r="A611" s="3" t="s">
        <v>723</v>
      </c>
      <c r="B611" s="4" t="s">
        <v>659</v>
      </c>
      <c r="C611" s="4" t="s">
        <v>658</v>
      </c>
      <c r="D611" s="4" t="s">
        <v>478</v>
      </c>
      <c r="E611" s="4" t="s">
        <v>317</v>
      </c>
      <c r="F611" s="29">
        <f>прил7!G803</f>
        <v>1038245</v>
      </c>
      <c r="G611" s="29">
        <f>F611</f>
        <v>1038245</v>
      </c>
    </row>
    <row r="612" spans="1:7" ht="31.5">
      <c r="A612" s="3" t="s">
        <v>343</v>
      </c>
      <c r="B612" s="4" t="s">
        <v>659</v>
      </c>
      <c r="C612" s="4" t="s">
        <v>658</v>
      </c>
      <c r="D612" s="4" t="s">
        <v>344</v>
      </c>
      <c r="E612" s="4"/>
      <c r="F612" s="29">
        <f>F615+F613</f>
        <v>407319</v>
      </c>
      <c r="G612" s="29">
        <f>G615+G613</f>
        <v>407319</v>
      </c>
    </row>
    <row r="613" spans="1:7" ht="126">
      <c r="A613" s="3" t="s">
        <v>487</v>
      </c>
      <c r="B613" s="4" t="s">
        <v>659</v>
      </c>
      <c r="C613" s="4" t="s">
        <v>658</v>
      </c>
      <c r="D613" s="4" t="s">
        <v>489</v>
      </c>
      <c r="E613" s="4"/>
      <c r="F613" s="29">
        <f>F614</f>
        <v>1340</v>
      </c>
      <c r="G613" s="29">
        <f>G614</f>
        <v>1340</v>
      </c>
    </row>
    <row r="614" spans="1:7" ht="63">
      <c r="A614" s="3" t="s">
        <v>723</v>
      </c>
      <c r="B614" s="4" t="s">
        <v>659</v>
      </c>
      <c r="C614" s="4" t="s">
        <v>658</v>
      </c>
      <c r="D614" s="4" t="s">
        <v>489</v>
      </c>
      <c r="E614" s="4" t="s">
        <v>317</v>
      </c>
      <c r="F614" s="29">
        <f>прил7!G806</f>
        <v>1340</v>
      </c>
      <c r="G614" s="29">
        <f>F614</f>
        <v>1340</v>
      </c>
    </row>
    <row r="615" spans="1:7" ht="126">
      <c r="A615" s="3" t="s">
        <v>475</v>
      </c>
      <c r="B615" s="4" t="s">
        <v>659</v>
      </c>
      <c r="C615" s="4" t="s">
        <v>658</v>
      </c>
      <c r="D615" s="4" t="s">
        <v>479</v>
      </c>
      <c r="E615" s="4"/>
      <c r="F615" s="29">
        <f>F616</f>
        <v>405979</v>
      </c>
      <c r="G615" s="29">
        <f>G616</f>
        <v>405979</v>
      </c>
    </row>
    <row r="616" spans="1:7" ht="63">
      <c r="A616" s="3" t="s">
        <v>723</v>
      </c>
      <c r="B616" s="4" t="s">
        <v>659</v>
      </c>
      <c r="C616" s="4" t="s">
        <v>658</v>
      </c>
      <c r="D616" s="4" t="s">
        <v>479</v>
      </c>
      <c r="E616" s="4" t="s">
        <v>317</v>
      </c>
      <c r="F616" s="29">
        <f>прил7!G808</f>
        <v>405979</v>
      </c>
      <c r="G616" s="29">
        <f>F616</f>
        <v>405979</v>
      </c>
    </row>
    <row r="617" spans="1:7" ht="90.75" customHeight="1">
      <c r="A617" s="3" t="s">
        <v>549</v>
      </c>
      <c r="B617" s="4" t="s">
        <v>659</v>
      </c>
      <c r="C617" s="4" t="s">
        <v>658</v>
      </c>
      <c r="D617" s="4" t="s">
        <v>328</v>
      </c>
      <c r="E617" s="2"/>
      <c r="F617" s="29">
        <f>F618</f>
        <v>1396911</v>
      </c>
      <c r="G617" s="29">
        <f>G618</f>
        <v>1126261</v>
      </c>
    </row>
    <row r="618" spans="1:7" ht="47.25">
      <c r="A618" s="3" t="s">
        <v>55</v>
      </c>
      <c r="B618" s="4" t="s">
        <v>659</v>
      </c>
      <c r="C618" s="4" t="s">
        <v>658</v>
      </c>
      <c r="D618" s="4" t="s">
        <v>56</v>
      </c>
      <c r="E618" s="2"/>
      <c r="F618" s="29">
        <f>F619+F621+F623</f>
        <v>1396911</v>
      </c>
      <c r="G618" s="29">
        <f>G619+G621+G623</f>
        <v>1126261</v>
      </c>
    </row>
    <row r="619" spans="1:7" ht="54.75" customHeight="1">
      <c r="A619" s="3" t="s">
        <v>719</v>
      </c>
      <c r="B619" s="4" t="s">
        <v>659</v>
      </c>
      <c r="C619" s="4" t="s">
        <v>658</v>
      </c>
      <c r="D619" s="4" t="s">
        <v>57</v>
      </c>
      <c r="E619" s="2"/>
      <c r="F619" s="29">
        <f>F620</f>
        <v>270650</v>
      </c>
      <c r="G619" s="29"/>
    </row>
    <row r="620" spans="1:7" ht="39.75" customHeight="1">
      <c r="A620" s="60" t="s">
        <v>560</v>
      </c>
      <c r="B620" s="4" t="s">
        <v>659</v>
      </c>
      <c r="C620" s="4" t="s">
        <v>658</v>
      </c>
      <c r="D620" s="4" t="s">
        <v>57</v>
      </c>
      <c r="E620" s="4" t="s">
        <v>561</v>
      </c>
      <c r="F620" s="29">
        <f>прил7!G441</f>
        <v>270650</v>
      </c>
      <c r="G620" s="29"/>
    </row>
    <row r="621" spans="1:7" ht="189" customHeight="1">
      <c r="A621" s="60" t="s">
        <v>876</v>
      </c>
      <c r="B621" s="4" t="s">
        <v>659</v>
      </c>
      <c r="C621" s="4" t="s">
        <v>658</v>
      </c>
      <c r="D621" s="4" t="s">
        <v>877</v>
      </c>
      <c r="E621" s="4"/>
      <c r="F621" s="29">
        <f>F622</f>
        <v>373805</v>
      </c>
      <c r="G621" s="29">
        <f>G622</f>
        <v>373805</v>
      </c>
    </row>
    <row r="622" spans="1:7" ht="39.75" customHeight="1">
      <c r="A622" s="60" t="s">
        <v>560</v>
      </c>
      <c r="B622" s="4" t="s">
        <v>659</v>
      </c>
      <c r="C622" s="4" t="s">
        <v>658</v>
      </c>
      <c r="D622" s="4" t="s">
        <v>877</v>
      </c>
      <c r="E622" s="4" t="s">
        <v>561</v>
      </c>
      <c r="F622" s="29">
        <f>прил7!G443</f>
        <v>373805</v>
      </c>
      <c r="G622" s="29">
        <f>F622</f>
        <v>373805</v>
      </c>
    </row>
    <row r="623" spans="1:7" ht="63">
      <c r="A623" s="60" t="s">
        <v>878</v>
      </c>
      <c r="B623" s="4" t="s">
        <v>659</v>
      </c>
      <c r="C623" s="4" t="s">
        <v>658</v>
      </c>
      <c r="D623" s="4" t="s">
        <v>879</v>
      </c>
      <c r="E623" s="4"/>
      <c r="F623" s="29">
        <f>F624</f>
        <v>752456</v>
      </c>
      <c r="G623" s="29">
        <f>G624</f>
        <v>752456</v>
      </c>
    </row>
    <row r="624" spans="1:7" ht="45.75" customHeight="1">
      <c r="A624" s="60" t="s">
        <v>560</v>
      </c>
      <c r="B624" s="4" t="s">
        <v>659</v>
      </c>
      <c r="C624" s="4" t="s">
        <v>658</v>
      </c>
      <c r="D624" s="4" t="s">
        <v>879</v>
      </c>
      <c r="E624" s="4" t="s">
        <v>561</v>
      </c>
      <c r="F624" s="29">
        <f>прил7!G445</f>
        <v>752456</v>
      </c>
      <c r="G624" s="29">
        <f>F624</f>
        <v>752456</v>
      </c>
    </row>
    <row r="625" spans="1:7" ht="39.75" customHeight="1" hidden="1">
      <c r="A625" s="60"/>
      <c r="B625" s="4"/>
      <c r="C625" s="4"/>
      <c r="D625" s="4"/>
      <c r="E625" s="4"/>
      <c r="F625" s="29"/>
      <c r="G625" s="29"/>
    </row>
    <row r="626" spans="1:7" ht="15.75">
      <c r="A626" s="1" t="s">
        <v>691</v>
      </c>
      <c r="B626" s="2" t="s">
        <v>659</v>
      </c>
      <c r="C626" s="2" t="s">
        <v>661</v>
      </c>
      <c r="D626" s="2"/>
      <c r="E626" s="2"/>
      <c r="F626" s="33">
        <f>F644+F627</f>
        <v>47040800</v>
      </c>
      <c r="G626" s="33">
        <f>G644+G627</f>
        <v>47040800</v>
      </c>
    </row>
    <row r="627" spans="1:7" ht="47.25">
      <c r="A627" s="3" t="s">
        <v>539</v>
      </c>
      <c r="B627" s="4" t="s">
        <v>659</v>
      </c>
      <c r="C627" s="4" t="s">
        <v>661</v>
      </c>
      <c r="D627" s="4" t="s">
        <v>724</v>
      </c>
      <c r="E627" s="4"/>
      <c r="F627" s="37">
        <f>F635+F628</f>
        <v>45695700</v>
      </c>
      <c r="G627" s="37">
        <f>G635+G628</f>
        <v>45695700</v>
      </c>
    </row>
    <row r="628" spans="1:7" ht="47.25">
      <c r="A628" s="3" t="s">
        <v>745</v>
      </c>
      <c r="B628" s="4" t="s">
        <v>659</v>
      </c>
      <c r="C628" s="4" t="s">
        <v>661</v>
      </c>
      <c r="D628" s="4" t="s">
        <v>746</v>
      </c>
      <c r="E628" s="4"/>
      <c r="F628" s="37">
        <f>F629+F633</f>
        <v>15505400</v>
      </c>
      <c r="G628" s="37">
        <f>G629+G633</f>
        <v>15505400</v>
      </c>
    </row>
    <row r="629" spans="1:7" ht="126">
      <c r="A629" s="21" t="s">
        <v>197</v>
      </c>
      <c r="B629" s="235" t="s">
        <v>659</v>
      </c>
      <c r="C629" s="235" t="s">
        <v>661</v>
      </c>
      <c r="D629" s="235" t="s">
        <v>199</v>
      </c>
      <c r="E629" s="235"/>
      <c r="F629" s="233">
        <f>F631+F632</f>
        <v>378200</v>
      </c>
      <c r="G629" s="233">
        <f>G631+G632</f>
        <v>378200</v>
      </c>
    </row>
    <row r="630" spans="1:7" ht="78.75">
      <c r="A630" s="3" t="s">
        <v>198</v>
      </c>
      <c r="B630" s="235"/>
      <c r="C630" s="235"/>
      <c r="D630" s="235"/>
      <c r="E630" s="235"/>
      <c r="F630" s="233"/>
      <c r="G630" s="233"/>
    </row>
    <row r="631" spans="1:7" ht="31.5">
      <c r="A631" s="3" t="s">
        <v>560</v>
      </c>
      <c r="B631" s="4" t="s">
        <v>659</v>
      </c>
      <c r="C631" s="4" t="s">
        <v>661</v>
      </c>
      <c r="D631" s="4" t="s">
        <v>199</v>
      </c>
      <c r="E631" s="4" t="s">
        <v>561</v>
      </c>
      <c r="F631" s="37">
        <f>прил7!G653</f>
        <v>151256</v>
      </c>
      <c r="G631" s="37">
        <f>F631</f>
        <v>151256</v>
      </c>
    </row>
    <row r="632" spans="1:7" ht="63">
      <c r="A632" s="3" t="s">
        <v>723</v>
      </c>
      <c r="B632" s="4" t="s">
        <v>659</v>
      </c>
      <c r="C632" s="4" t="s">
        <v>661</v>
      </c>
      <c r="D632" s="4" t="s">
        <v>199</v>
      </c>
      <c r="E632" s="4" t="s">
        <v>317</v>
      </c>
      <c r="F632" s="37">
        <f>прил7!G654</f>
        <v>226944</v>
      </c>
      <c r="G632" s="37">
        <f>F632</f>
        <v>226944</v>
      </c>
    </row>
    <row r="633" spans="1:7" ht="110.25">
      <c r="A633" s="3" t="s">
        <v>200</v>
      </c>
      <c r="B633" s="4" t="s">
        <v>659</v>
      </c>
      <c r="C633" s="4" t="s">
        <v>661</v>
      </c>
      <c r="D633" s="4" t="s">
        <v>201</v>
      </c>
      <c r="E633" s="4"/>
      <c r="F633" s="37">
        <f>F634</f>
        <v>15127200</v>
      </c>
      <c r="G633" s="37">
        <f>G634</f>
        <v>15127200</v>
      </c>
    </row>
    <row r="634" spans="1:7" ht="31.5">
      <c r="A634" s="3" t="s">
        <v>560</v>
      </c>
      <c r="B634" s="4" t="s">
        <v>659</v>
      </c>
      <c r="C634" s="4" t="s">
        <v>661</v>
      </c>
      <c r="D634" s="4" t="s">
        <v>201</v>
      </c>
      <c r="E634" s="4" t="s">
        <v>561</v>
      </c>
      <c r="F634" s="37">
        <f>прил7!G656</f>
        <v>15127200</v>
      </c>
      <c r="G634" s="37">
        <f>F634</f>
        <v>15127200</v>
      </c>
    </row>
    <row r="635" spans="1:7" ht="63">
      <c r="A635" s="21" t="s">
        <v>759</v>
      </c>
      <c r="B635" s="4" t="s">
        <v>659</v>
      </c>
      <c r="C635" s="4" t="s">
        <v>661</v>
      </c>
      <c r="D635" s="4" t="s">
        <v>760</v>
      </c>
      <c r="E635" s="4"/>
      <c r="F635" s="37">
        <f>F636+F639+F641</f>
        <v>30190300</v>
      </c>
      <c r="G635" s="37">
        <f>G636+G639+G641</f>
        <v>30190300</v>
      </c>
    </row>
    <row r="636" spans="1:7" ht="94.5">
      <c r="A636" s="58" t="s">
        <v>194</v>
      </c>
      <c r="B636" s="4" t="s">
        <v>659</v>
      </c>
      <c r="C636" s="4" t="s">
        <v>661</v>
      </c>
      <c r="D636" s="4" t="s">
        <v>195</v>
      </c>
      <c r="E636" s="4"/>
      <c r="F636" s="37">
        <f>F637+F638</f>
        <v>25346100</v>
      </c>
      <c r="G636" s="37">
        <f>G637+G638</f>
        <v>25346100</v>
      </c>
    </row>
    <row r="637" spans="1:7" ht="47.25">
      <c r="A637" s="3" t="s">
        <v>702</v>
      </c>
      <c r="B637" s="4" t="s">
        <v>659</v>
      </c>
      <c r="C637" s="4" t="s">
        <v>661</v>
      </c>
      <c r="D637" s="4" t="s">
        <v>195</v>
      </c>
      <c r="E637" s="4" t="s">
        <v>313</v>
      </c>
      <c r="F637" s="37">
        <f>прил7!G659</f>
        <v>9577700</v>
      </c>
      <c r="G637" s="37">
        <f>F637</f>
        <v>9577700</v>
      </c>
    </row>
    <row r="638" spans="1:7" ht="31.5">
      <c r="A638" s="3" t="s">
        <v>560</v>
      </c>
      <c r="B638" s="4" t="s">
        <v>659</v>
      </c>
      <c r="C638" s="4" t="s">
        <v>661</v>
      </c>
      <c r="D638" s="4" t="s">
        <v>195</v>
      </c>
      <c r="E638" s="4" t="s">
        <v>561</v>
      </c>
      <c r="F638" s="37">
        <f>прил7!G660</f>
        <v>15768400</v>
      </c>
      <c r="G638" s="37">
        <f>F638</f>
        <v>15768400</v>
      </c>
    </row>
    <row r="639" spans="1:7" ht="141.75">
      <c r="A639" s="49" t="s">
        <v>456</v>
      </c>
      <c r="B639" s="4" t="s">
        <v>659</v>
      </c>
      <c r="C639" s="4" t="s">
        <v>661</v>
      </c>
      <c r="D639" s="4" t="s">
        <v>196</v>
      </c>
      <c r="E639" s="4"/>
      <c r="F639" s="37">
        <f>F640</f>
        <v>439200</v>
      </c>
      <c r="G639" s="37">
        <f>G640</f>
        <v>439200</v>
      </c>
    </row>
    <row r="640" spans="1:7" ht="47.25">
      <c r="A640" s="3" t="s">
        <v>702</v>
      </c>
      <c r="B640" s="4" t="s">
        <v>659</v>
      </c>
      <c r="C640" s="4" t="s">
        <v>661</v>
      </c>
      <c r="D640" s="4" t="s">
        <v>196</v>
      </c>
      <c r="E640" s="4" t="s">
        <v>313</v>
      </c>
      <c r="F640" s="37">
        <f>прил7!G662</f>
        <v>439200</v>
      </c>
      <c r="G640" s="37">
        <f>F640</f>
        <v>439200</v>
      </c>
    </row>
    <row r="641" spans="1:7" ht="157.5">
      <c r="A641" s="71" t="s">
        <v>554</v>
      </c>
      <c r="B641" s="4" t="s">
        <v>659</v>
      </c>
      <c r="C641" s="4" t="s">
        <v>661</v>
      </c>
      <c r="D641" s="4" t="s">
        <v>474</v>
      </c>
      <c r="E641" s="4"/>
      <c r="F641" s="37">
        <f>F642+F643</f>
        <v>4405000</v>
      </c>
      <c r="G641" s="37">
        <f>G642+G643</f>
        <v>4405000</v>
      </c>
    </row>
    <row r="642" spans="1:7" ht="126">
      <c r="A642" s="3" t="s">
        <v>701</v>
      </c>
      <c r="B642" s="4" t="s">
        <v>659</v>
      </c>
      <c r="C642" s="4" t="s">
        <v>661</v>
      </c>
      <c r="D642" s="4" t="s">
        <v>474</v>
      </c>
      <c r="E642" s="4" t="s">
        <v>312</v>
      </c>
      <c r="F642" s="37">
        <f>прил7!G664</f>
        <v>3524723.2600000002</v>
      </c>
      <c r="G642" s="37">
        <f>F642</f>
        <v>3524723.2600000002</v>
      </c>
    </row>
    <row r="643" spans="1:7" ht="47.25">
      <c r="A643" s="3" t="s">
        <v>702</v>
      </c>
      <c r="B643" s="4" t="s">
        <v>659</v>
      </c>
      <c r="C643" s="4" t="s">
        <v>661</v>
      </c>
      <c r="D643" s="4" t="s">
        <v>474</v>
      </c>
      <c r="E643" s="4" t="s">
        <v>313</v>
      </c>
      <c r="F643" s="37">
        <f>прил7!G665</f>
        <v>880276.74</v>
      </c>
      <c r="G643" s="37">
        <f>F643</f>
        <v>880276.74</v>
      </c>
    </row>
    <row r="644" spans="1:7" ht="63">
      <c r="A644" s="27" t="s">
        <v>541</v>
      </c>
      <c r="B644" s="4" t="s">
        <v>659</v>
      </c>
      <c r="C644" s="4" t="s">
        <v>661</v>
      </c>
      <c r="D644" s="4" t="s">
        <v>708</v>
      </c>
      <c r="E644" s="4"/>
      <c r="F644" s="29">
        <f>F645</f>
        <v>1345100</v>
      </c>
      <c r="G644" s="29">
        <f>G645</f>
        <v>1345100</v>
      </c>
    </row>
    <row r="645" spans="1:7" ht="47.25">
      <c r="A645" s="27" t="s">
        <v>709</v>
      </c>
      <c r="B645" s="4" t="s">
        <v>659</v>
      </c>
      <c r="C645" s="4" t="s">
        <v>661</v>
      </c>
      <c r="D645" s="4" t="s">
        <v>710</v>
      </c>
      <c r="E645" s="4"/>
      <c r="F645" s="29">
        <f>F646+F649</f>
        <v>1345100</v>
      </c>
      <c r="G645" s="29">
        <f>G646+G649</f>
        <v>1345100</v>
      </c>
    </row>
    <row r="646" spans="1:7" ht="157.5">
      <c r="A646" s="3" t="s">
        <v>756</v>
      </c>
      <c r="B646" s="4" t="s">
        <v>659</v>
      </c>
      <c r="C646" s="4" t="s">
        <v>661</v>
      </c>
      <c r="D646" s="4" t="s">
        <v>757</v>
      </c>
      <c r="E646" s="4"/>
      <c r="F646" s="29">
        <f>F647+F648</f>
        <v>111700</v>
      </c>
      <c r="G646" s="29">
        <f>G647+G648</f>
        <v>111700</v>
      </c>
    </row>
    <row r="647" spans="1:7" ht="126">
      <c r="A647" s="3" t="s">
        <v>701</v>
      </c>
      <c r="B647" s="4" t="s">
        <v>659</v>
      </c>
      <c r="C647" s="4" t="s">
        <v>661</v>
      </c>
      <c r="D647" s="4" t="s">
        <v>757</v>
      </c>
      <c r="E647" s="4" t="s">
        <v>312</v>
      </c>
      <c r="F647" s="29">
        <f>прил7!G197</f>
        <v>111700</v>
      </c>
      <c r="G647" s="29">
        <f>F647</f>
        <v>111700</v>
      </c>
    </row>
    <row r="648" spans="1:7" ht="57.75" customHeight="1" hidden="1">
      <c r="A648" s="3" t="s">
        <v>702</v>
      </c>
      <c r="B648" s="4" t="s">
        <v>659</v>
      </c>
      <c r="C648" s="4" t="s">
        <v>661</v>
      </c>
      <c r="D648" s="4" t="s">
        <v>757</v>
      </c>
      <c r="E648" s="4" t="s">
        <v>313</v>
      </c>
      <c r="F648" s="29">
        <f>прил7!G198</f>
        <v>0</v>
      </c>
      <c r="G648" s="29">
        <f>F648</f>
        <v>0</v>
      </c>
    </row>
    <row r="649" spans="1:7" ht="63">
      <c r="A649" s="60" t="s">
        <v>689</v>
      </c>
      <c r="B649" s="4" t="s">
        <v>659</v>
      </c>
      <c r="C649" s="4" t="s">
        <v>661</v>
      </c>
      <c r="D649" s="4" t="s">
        <v>492</v>
      </c>
      <c r="E649" s="4"/>
      <c r="F649" s="29">
        <f>F650+F651</f>
        <v>1233400</v>
      </c>
      <c r="G649" s="29">
        <f>G650+G651</f>
        <v>1233400</v>
      </c>
    </row>
    <row r="650" spans="1:7" ht="126">
      <c r="A650" s="3" t="s">
        <v>701</v>
      </c>
      <c r="B650" s="4" t="s">
        <v>659</v>
      </c>
      <c r="C650" s="4" t="s">
        <v>661</v>
      </c>
      <c r="D650" s="4" t="s">
        <v>492</v>
      </c>
      <c r="E650" s="4" t="s">
        <v>312</v>
      </c>
      <c r="F650" s="29">
        <f>прил7!G200</f>
        <v>1097764.49</v>
      </c>
      <c r="G650" s="29">
        <f>F650</f>
        <v>1097764.49</v>
      </c>
    </row>
    <row r="651" spans="1:7" ht="47.25">
      <c r="A651" s="3" t="s">
        <v>702</v>
      </c>
      <c r="B651" s="4" t="s">
        <v>659</v>
      </c>
      <c r="C651" s="4" t="s">
        <v>661</v>
      </c>
      <c r="D651" s="4" t="s">
        <v>492</v>
      </c>
      <c r="E651" s="4" t="s">
        <v>313</v>
      </c>
      <c r="F651" s="29">
        <f>прил7!G201</f>
        <v>135635.51</v>
      </c>
      <c r="G651" s="29">
        <f>F651</f>
        <v>135635.51</v>
      </c>
    </row>
    <row r="652" spans="1:7" ht="31.5">
      <c r="A652" s="13" t="s">
        <v>686</v>
      </c>
      <c r="B652" s="5" t="s">
        <v>659</v>
      </c>
      <c r="C652" s="5" t="s">
        <v>652</v>
      </c>
      <c r="D652" s="5"/>
      <c r="E652" s="5"/>
      <c r="F652" s="28">
        <f aca="true" t="shared" si="5" ref="F652:G655">F653</f>
        <v>0</v>
      </c>
      <c r="G652" s="28">
        <f t="shared" si="5"/>
        <v>0</v>
      </c>
    </row>
    <row r="653" spans="1:7" ht="63">
      <c r="A653" s="27" t="s">
        <v>541</v>
      </c>
      <c r="B653" s="4" t="s">
        <v>659</v>
      </c>
      <c r="C653" s="4" t="s">
        <v>652</v>
      </c>
      <c r="D653" s="4" t="s">
        <v>708</v>
      </c>
      <c r="E653" s="4"/>
      <c r="F653" s="29">
        <f t="shared" si="5"/>
        <v>0</v>
      </c>
      <c r="G653" s="29">
        <f t="shared" si="5"/>
        <v>0</v>
      </c>
    </row>
    <row r="654" spans="1:7" ht="78.75">
      <c r="A654" s="3" t="s">
        <v>338</v>
      </c>
      <c r="B654" s="4" t="s">
        <v>659</v>
      </c>
      <c r="C654" s="4" t="s">
        <v>652</v>
      </c>
      <c r="D654" s="4" t="s">
        <v>339</v>
      </c>
      <c r="E654" s="4"/>
      <c r="F654" s="29">
        <f t="shared" si="5"/>
        <v>0</v>
      </c>
      <c r="G654" s="29">
        <f t="shared" si="5"/>
        <v>0</v>
      </c>
    </row>
    <row r="655" spans="1:7" ht="47.25">
      <c r="A655" s="3" t="s">
        <v>794</v>
      </c>
      <c r="B655" s="4" t="s">
        <v>659</v>
      </c>
      <c r="C655" s="4" t="s">
        <v>652</v>
      </c>
      <c r="D655" s="4" t="s">
        <v>340</v>
      </c>
      <c r="E655" s="4"/>
      <c r="F655" s="29">
        <f t="shared" si="5"/>
        <v>0</v>
      </c>
      <c r="G655" s="29">
        <f t="shared" si="5"/>
        <v>0</v>
      </c>
    </row>
    <row r="656" spans="1:7" ht="31.5">
      <c r="A656" s="60" t="s">
        <v>560</v>
      </c>
      <c r="B656" s="4" t="s">
        <v>659</v>
      </c>
      <c r="C656" s="4" t="s">
        <v>652</v>
      </c>
      <c r="D656" s="4" t="s">
        <v>340</v>
      </c>
      <c r="E656" s="4" t="s">
        <v>561</v>
      </c>
      <c r="F656" s="29">
        <f>прил7!G450</f>
        <v>0</v>
      </c>
      <c r="G656" s="29">
        <f>F656</f>
        <v>0</v>
      </c>
    </row>
    <row r="657" spans="1:7" ht="15.75">
      <c r="A657" s="39" t="s">
        <v>455</v>
      </c>
      <c r="B657" s="5" t="s">
        <v>458</v>
      </c>
      <c r="C657" s="5" t="s">
        <v>681</v>
      </c>
      <c r="D657" s="23"/>
      <c r="E657" s="23"/>
      <c r="F657" s="28">
        <f>F658+F665</f>
        <v>1458150</v>
      </c>
      <c r="G657" s="28">
        <f>G658+G665</f>
        <v>58100</v>
      </c>
    </row>
    <row r="658" spans="1:7" ht="15.75">
      <c r="A658" s="50" t="s">
        <v>302</v>
      </c>
      <c r="B658" s="2" t="s">
        <v>458</v>
      </c>
      <c r="C658" s="2" t="s">
        <v>651</v>
      </c>
      <c r="D658" s="4"/>
      <c r="E658" s="4"/>
      <c r="F658" s="33">
        <f>F659</f>
        <v>1400050</v>
      </c>
      <c r="G658" s="33">
        <f>G659</f>
        <v>0</v>
      </c>
    </row>
    <row r="659" spans="1:7" ht="78.75">
      <c r="A659" s="27" t="s">
        <v>543</v>
      </c>
      <c r="B659" s="4" t="s">
        <v>458</v>
      </c>
      <c r="C659" s="4" t="s">
        <v>651</v>
      </c>
      <c r="D659" s="4" t="s">
        <v>735</v>
      </c>
      <c r="E659" s="38"/>
      <c r="F659" s="29">
        <f>F660</f>
        <v>1400050</v>
      </c>
      <c r="G659" s="29">
        <f>G660</f>
        <v>0</v>
      </c>
    </row>
    <row r="660" spans="1:7" ht="31.5">
      <c r="A660" s="27" t="s">
        <v>738</v>
      </c>
      <c r="B660" s="4" t="s">
        <v>458</v>
      </c>
      <c r="C660" s="4" t="s">
        <v>651</v>
      </c>
      <c r="D660" s="4" t="s">
        <v>739</v>
      </c>
      <c r="E660" s="38"/>
      <c r="F660" s="29">
        <f>F661+F663</f>
        <v>1400050</v>
      </c>
      <c r="G660" s="29">
        <f>G661+G663</f>
        <v>0</v>
      </c>
    </row>
    <row r="661" spans="1:7" ht="31.5">
      <c r="A661" s="27" t="s">
        <v>719</v>
      </c>
      <c r="B661" s="4" t="s">
        <v>458</v>
      </c>
      <c r="C661" s="4" t="s">
        <v>651</v>
      </c>
      <c r="D661" s="4" t="s">
        <v>439</v>
      </c>
      <c r="E661" s="38"/>
      <c r="F661" s="29">
        <f>F662</f>
        <v>1400050</v>
      </c>
      <c r="G661" s="29"/>
    </row>
    <row r="662" spans="1:7" ht="47.25">
      <c r="A662" s="3" t="s">
        <v>702</v>
      </c>
      <c r="B662" s="4" t="s">
        <v>458</v>
      </c>
      <c r="C662" s="4" t="s">
        <v>651</v>
      </c>
      <c r="D662" s="4" t="s">
        <v>439</v>
      </c>
      <c r="E662" s="4" t="s">
        <v>313</v>
      </c>
      <c r="F662" s="29">
        <f>прил7!G456+прил7!G814</f>
        <v>1400050</v>
      </c>
      <c r="G662" s="29"/>
    </row>
    <row r="663" spans="1:7" ht="63" hidden="1">
      <c r="A663" s="3" t="s">
        <v>286</v>
      </c>
      <c r="B663" s="4" t="s">
        <v>458</v>
      </c>
      <c r="C663" s="4" t="s">
        <v>651</v>
      </c>
      <c r="D663" s="4" t="s">
        <v>287</v>
      </c>
      <c r="E663" s="4"/>
      <c r="F663" s="29">
        <f>F664</f>
        <v>0</v>
      </c>
      <c r="G663" s="29">
        <f>G664</f>
        <v>0</v>
      </c>
    </row>
    <row r="664" spans="1:7" ht="47.25" hidden="1">
      <c r="A664" s="3" t="s">
        <v>702</v>
      </c>
      <c r="B664" s="4" t="s">
        <v>458</v>
      </c>
      <c r="C664" s="4" t="s">
        <v>651</v>
      </c>
      <c r="D664" s="4" t="s">
        <v>287</v>
      </c>
      <c r="E664" s="4" t="s">
        <v>313</v>
      </c>
      <c r="F664" s="29">
        <f>прил7!G458</f>
        <v>0</v>
      </c>
      <c r="G664" s="29">
        <f>F664</f>
        <v>0</v>
      </c>
    </row>
    <row r="665" spans="1:7" ht="31.5">
      <c r="A665" s="1" t="s">
        <v>734</v>
      </c>
      <c r="B665" s="2" t="s">
        <v>458</v>
      </c>
      <c r="C665" s="2" t="s">
        <v>653</v>
      </c>
      <c r="D665" s="9"/>
      <c r="E665" s="9"/>
      <c r="F665" s="33">
        <f aca="true" t="shared" si="6" ref="F665:G668">F666</f>
        <v>58100</v>
      </c>
      <c r="G665" s="33">
        <f t="shared" si="6"/>
        <v>58100</v>
      </c>
    </row>
    <row r="666" spans="1:7" ht="78.75">
      <c r="A666" s="3" t="s">
        <v>543</v>
      </c>
      <c r="B666" s="4" t="s">
        <v>458</v>
      </c>
      <c r="C666" s="4" t="s">
        <v>653</v>
      </c>
      <c r="D666" s="4" t="s">
        <v>735</v>
      </c>
      <c r="E666" s="4"/>
      <c r="F666" s="29">
        <f t="shared" si="6"/>
        <v>58100</v>
      </c>
      <c r="G666" s="29">
        <f t="shared" si="6"/>
        <v>58100</v>
      </c>
    </row>
    <row r="667" spans="1:7" ht="31.5">
      <c r="A667" s="27" t="s">
        <v>738</v>
      </c>
      <c r="B667" s="4" t="s">
        <v>458</v>
      </c>
      <c r="C667" s="4" t="s">
        <v>653</v>
      </c>
      <c r="D667" s="4" t="s">
        <v>739</v>
      </c>
      <c r="E667" s="4"/>
      <c r="F667" s="29">
        <f t="shared" si="6"/>
        <v>58100</v>
      </c>
      <c r="G667" s="29">
        <f t="shared" si="6"/>
        <v>58100</v>
      </c>
    </row>
    <row r="668" spans="1:7" ht="157.5">
      <c r="A668" s="27" t="s">
        <v>740</v>
      </c>
      <c r="B668" s="4" t="s">
        <v>458</v>
      </c>
      <c r="C668" s="4" t="s">
        <v>653</v>
      </c>
      <c r="D668" s="4" t="s">
        <v>741</v>
      </c>
      <c r="E668" s="4"/>
      <c r="F668" s="29">
        <f t="shared" si="6"/>
        <v>58100</v>
      </c>
      <c r="G668" s="29">
        <f t="shared" si="6"/>
        <v>58100</v>
      </c>
    </row>
    <row r="669" spans="1:7" ht="126">
      <c r="A669" s="3" t="s">
        <v>701</v>
      </c>
      <c r="B669" s="4" t="s">
        <v>458</v>
      </c>
      <c r="C669" s="4" t="s">
        <v>653</v>
      </c>
      <c r="D669" s="4" t="s">
        <v>741</v>
      </c>
      <c r="E669" s="4" t="s">
        <v>312</v>
      </c>
      <c r="F669" s="29">
        <f>прил7!G819</f>
        <v>58100</v>
      </c>
      <c r="G669" s="29">
        <f>F669</f>
        <v>58100</v>
      </c>
    </row>
    <row r="670" spans="1:7" ht="31.5">
      <c r="A670" s="13" t="s">
        <v>303</v>
      </c>
      <c r="B670" s="5" t="s">
        <v>307</v>
      </c>
      <c r="C670" s="5" t="s">
        <v>681</v>
      </c>
      <c r="D670" s="5"/>
      <c r="E670" s="5"/>
      <c r="F670" s="28">
        <f>F671</f>
        <v>1425000</v>
      </c>
      <c r="G670" s="28"/>
    </row>
    <row r="671" spans="1:7" ht="31.5">
      <c r="A671" s="3" t="s">
        <v>454</v>
      </c>
      <c r="B671" s="4" t="s">
        <v>307</v>
      </c>
      <c r="C671" s="4" t="s">
        <v>656</v>
      </c>
      <c r="D671" s="4"/>
      <c r="E671" s="4"/>
      <c r="F671" s="29">
        <f>F672</f>
        <v>1425000</v>
      </c>
      <c r="G671" s="29"/>
    </row>
    <row r="672" spans="1:7" ht="47.25">
      <c r="A672" s="3" t="s">
        <v>548</v>
      </c>
      <c r="B672" s="4" t="s">
        <v>307</v>
      </c>
      <c r="C672" s="4" t="s">
        <v>656</v>
      </c>
      <c r="D672" s="4" t="s">
        <v>703</v>
      </c>
      <c r="E672" s="4"/>
      <c r="F672" s="29">
        <f>F673</f>
        <v>1425000</v>
      </c>
      <c r="G672" s="29"/>
    </row>
    <row r="673" spans="1:7" ht="110.25">
      <c r="A673" s="3" t="s">
        <v>371</v>
      </c>
      <c r="B673" s="4" t="s">
        <v>307</v>
      </c>
      <c r="C673" s="4" t="s">
        <v>656</v>
      </c>
      <c r="D673" s="4" t="s">
        <v>372</v>
      </c>
      <c r="E673" s="4"/>
      <c r="F673" s="29">
        <f>F674</f>
        <v>1425000</v>
      </c>
      <c r="G673" s="29"/>
    </row>
    <row r="674" spans="1:7" ht="57" customHeight="1">
      <c r="A674" s="3" t="s">
        <v>538</v>
      </c>
      <c r="B674" s="4" t="s">
        <v>307</v>
      </c>
      <c r="C674" s="4" t="s">
        <v>656</v>
      </c>
      <c r="D674" s="4" t="s">
        <v>373</v>
      </c>
      <c r="E674" s="4"/>
      <c r="F674" s="29">
        <f>F675</f>
        <v>1425000</v>
      </c>
      <c r="G674" s="29"/>
    </row>
    <row r="675" spans="1:7" ht="15.75">
      <c r="A675" s="6" t="s">
        <v>556</v>
      </c>
      <c r="B675" s="7" t="s">
        <v>307</v>
      </c>
      <c r="C675" s="7" t="s">
        <v>656</v>
      </c>
      <c r="D675" s="7" t="s">
        <v>373</v>
      </c>
      <c r="E675" s="7" t="s">
        <v>316</v>
      </c>
      <c r="F675" s="31">
        <f>прил7!G207</f>
        <v>1425000</v>
      </c>
      <c r="G675" s="31"/>
    </row>
    <row r="676" spans="1:7" ht="47.25">
      <c r="A676" s="85" t="s">
        <v>457</v>
      </c>
      <c r="B676" s="2" t="s">
        <v>310</v>
      </c>
      <c r="C676" s="2"/>
      <c r="D676" s="2"/>
      <c r="E676" s="2"/>
      <c r="F676" s="33">
        <f>F677</f>
        <v>11154136.29</v>
      </c>
      <c r="G676" s="29"/>
    </row>
    <row r="677" spans="1:7" ht="47.25">
      <c r="A677" s="85" t="s">
        <v>394</v>
      </c>
      <c r="B677" s="2" t="s">
        <v>310</v>
      </c>
      <c r="C677" s="2" t="s">
        <v>651</v>
      </c>
      <c r="D677" s="4"/>
      <c r="E677" s="4"/>
      <c r="F677" s="33">
        <f>F678</f>
        <v>11154136.29</v>
      </c>
      <c r="G677" s="29"/>
    </row>
    <row r="678" spans="1:7" ht="110.25">
      <c r="A678" s="86" t="s">
        <v>540</v>
      </c>
      <c r="B678" s="4" t="s">
        <v>310</v>
      </c>
      <c r="C678" s="4" t="s">
        <v>651</v>
      </c>
      <c r="D678" s="4" t="s">
        <v>301</v>
      </c>
      <c r="E678" s="4"/>
      <c r="F678" s="29">
        <f>F679</f>
        <v>11154136.29</v>
      </c>
      <c r="G678" s="29"/>
    </row>
    <row r="679" spans="1:7" ht="47.25">
      <c r="A679" s="86" t="s">
        <v>395</v>
      </c>
      <c r="B679" s="4" t="s">
        <v>310</v>
      </c>
      <c r="C679" s="4" t="s">
        <v>651</v>
      </c>
      <c r="D679" s="4" t="s">
        <v>396</v>
      </c>
      <c r="E679" s="4"/>
      <c r="F679" s="29">
        <f>F680</f>
        <v>11154136.29</v>
      </c>
      <c r="G679" s="29"/>
    </row>
    <row r="680" spans="1:7" ht="31.5">
      <c r="A680" s="86" t="s">
        <v>397</v>
      </c>
      <c r="B680" s="4" t="s">
        <v>310</v>
      </c>
      <c r="C680" s="4" t="s">
        <v>651</v>
      </c>
      <c r="D680" s="4" t="s">
        <v>398</v>
      </c>
      <c r="E680" s="4"/>
      <c r="F680" s="29">
        <f>F681</f>
        <v>11154136.29</v>
      </c>
      <c r="G680" s="29"/>
    </row>
    <row r="681" spans="1:7" ht="31.5">
      <c r="A681" s="86" t="s">
        <v>694</v>
      </c>
      <c r="B681" s="4" t="s">
        <v>310</v>
      </c>
      <c r="C681" s="4" t="s">
        <v>651</v>
      </c>
      <c r="D681" s="4" t="s">
        <v>398</v>
      </c>
      <c r="E681" s="4" t="s">
        <v>315</v>
      </c>
      <c r="F681" s="29">
        <f>прил7!G495</f>
        <v>11154136.29</v>
      </c>
      <c r="G681" s="29"/>
    </row>
    <row r="682" spans="1:7" ht="15.75">
      <c r="A682" s="53" t="s">
        <v>749</v>
      </c>
      <c r="B682" s="55"/>
      <c r="C682" s="55"/>
      <c r="D682" s="55"/>
      <c r="E682" s="55"/>
      <c r="F682" s="57">
        <f>F10+F208+F241+F305+F369+F378+F580+F670+F676+F523+F657</f>
        <v>2230244485.0299997</v>
      </c>
      <c r="G682" s="57">
        <f>G10+G208+G241+G305+G369+G378+G580+G670+G676+G523+G657</f>
        <v>718223275</v>
      </c>
    </row>
    <row r="683" spans="1:7" ht="15.75">
      <c r="A683" s="17"/>
      <c r="B683" s="18"/>
      <c r="C683" s="18"/>
      <c r="D683" s="18"/>
      <c r="E683" s="18"/>
      <c r="F683" s="44"/>
      <c r="G683" s="44"/>
    </row>
    <row r="684" spans="1:7" ht="24" customHeight="1" hidden="1">
      <c r="A684" s="17"/>
      <c r="B684" s="18"/>
      <c r="C684" s="18"/>
      <c r="D684" s="18"/>
      <c r="E684" s="18"/>
      <c r="F684" s="44"/>
      <c r="G684" s="44"/>
    </row>
    <row r="685" spans="1:7" ht="15.75" hidden="1">
      <c r="A685" s="17"/>
      <c r="B685" s="18"/>
      <c r="C685" s="18"/>
      <c r="D685" s="18"/>
      <c r="E685" s="18"/>
      <c r="F685" s="44">
        <f>F682-прил7!G847</f>
        <v>0</v>
      </c>
      <c r="G685" s="44">
        <f>G682-прил7!H847</f>
        <v>0</v>
      </c>
    </row>
    <row r="686" spans="1:7" ht="15.75">
      <c r="A686" s="17"/>
      <c r="B686" s="18"/>
      <c r="C686" s="18"/>
      <c r="D686" s="18"/>
      <c r="E686" s="18"/>
      <c r="F686" s="44"/>
      <c r="G686" s="44"/>
    </row>
    <row r="687" spans="1:10" ht="15.75">
      <c r="A687" s="17"/>
      <c r="B687" s="18"/>
      <c r="C687" s="18"/>
      <c r="D687" s="18"/>
      <c r="E687" s="18"/>
      <c r="F687" s="44"/>
      <c r="G687" s="44"/>
      <c r="H687" s="44"/>
      <c r="I687" s="44"/>
      <c r="J687" s="44"/>
    </row>
    <row r="688" spans="1:7" ht="15.75">
      <c r="A688" s="17"/>
      <c r="B688" s="18"/>
      <c r="C688" s="18"/>
      <c r="D688" s="18"/>
      <c r="E688" s="18"/>
      <c r="F688" s="44"/>
      <c r="G688" s="44"/>
    </row>
    <row r="689" spans="1:7" ht="15.75">
      <c r="A689" s="17"/>
      <c r="B689" s="18"/>
      <c r="C689" s="18"/>
      <c r="D689" s="18"/>
      <c r="E689" s="18"/>
      <c r="F689" s="44"/>
      <c r="G689" s="44"/>
    </row>
    <row r="690" spans="1:7" ht="15.75">
      <c r="A690" s="17"/>
      <c r="B690" s="18"/>
      <c r="C690" s="18"/>
      <c r="D690" s="18"/>
      <c r="E690" s="18"/>
      <c r="F690" s="44"/>
      <c r="G690" s="44"/>
    </row>
    <row r="691" spans="1:7" ht="15.75">
      <c r="A691" s="17"/>
      <c r="B691" s="18"/>
      <c r="C691" s="18"/>
      <c r="D691" s="18"/>
      <c r="E691" s="18"/>
      <c r="F691" s="44"/>
      <c r="G691" s="44"/>
    </row>
    <row r="692" spans="1:7" ht="15.75">
      <c r="A692" s="17"/>
      <c r="B692" s="18"/>
      <c r="C692" s="18"/>
      <c r="D692" s="18"/>
      <c r="E692" s="18"/>
      <c r="F692" s="44"/>
      <c r="G692" s="44"/>
    </row>
    <row r="693" spans="1:7" ht="15.75">
      <c r="A693" s="17"/>
      <c r="B693" s="18"/>
      <c r="C693" s="18"/>
      <c r="D693" s="18"/>
      <c r="E693" s="18"/>
      <c r="F693" s="44"/>
      <c r="G693" s="44"/>
    </row>
    <row r="694" spans="1:7" ht="15.75">
      <c r="A694" s="17"/>
      <c r="B694" s="18"/>
      <c r="C694" s="18"/>
      <c r="D694" s="18"/>
      <c r="E694" s="18"/>
      <c r="F694" s="44"/>
      <c r="G694" s="44"/>
    </row>
    <row r="695" spans="1:7" ht="15.75">
      <c r="A695" s="17"/>
      <c r="B695" s="18"/>
      <c r="C695" s="18"/>
      <c r="D695" s="18"/>
      <c r="E695" s="18"/>
      <c r="F695" s="44"/>
      <c r="G695" s="44"/>
    </row>
    <row r="696" spans="1:7" ht="15.75">
      <c r="A696" s="17"/>
      <c r="B696" s="18"/>
      <c r="C696" s="18"/>
      <c r="D696" s="18"/>
      <c r="E696" s="18"/>
      <c r="F696" s="44"/>
      <c r="G696" s="44"/>
    </row>
    <row r="697" spans="1:7" ht="15.75">
      <c r="A697" s="17"/>
      <c r="B697" s="18"/>
      <c r="C697" s="18"/>
      <c r="D697" s="18"/>
      <c r="E697" s="18"/>
      <c r="F697" s="44"/>
      <c r="G697" s="44"/>
    </row>
    <row r="698" spans="1:7" ht="15.75">
      <c r="A698" s="17"/>
      <c r="B698" s="18"/>
      <c r="C698" s="18"/>
      <c r="D698" s="18"/>
      <c r="E698" s="18"/>
      <c r="F698" s="44"/>
      <c r="G698" s="44"/>
    </row>
    <row r="699" spans="1:7" ht="15.75">
      <c r="A699" s="17"/>
      <c r="B699" s="18"/>
      <c r="C699" s="18"/>
      <c r="D699" s="18"/>
      <c r="E699" s="18"/>
      <c r="F699" s="44"/>
      <c r="G699" s="44"/>
    </row>
    <row r="700" spans="1:7" ht="15.75">
      <c r="A700" s="17"/>
      <c r="B700" s="18"/>
      <c r="C700" s="18"/>
      <c r="D700" s="18"/>
      <c r="E700" s="18"/>
      <c r="F700" s="44"/>
      <c r="G700" s="44"/>
    </row>
    <row r="701" spans="1:7" ht="15.75">
      <c r="A701" s="17"/>
      <c r="B701" s="18"/>
      <c r="C701" s="18"/>
      <c r="D701" s="18"/>
      <c r="E701" s="18"/>
      <c r="F701" s="44"/>
      <c r="G701" s="44"/>
    </row>
    <row r="702" spans="1:7" ht="15.75">
      <c r="A702" s="17"/>
      <c r="B702" s="18"/>
      <c r="C702" s="18"/>
      <c r="D702" s="18"/>
      <c r="E702" s="18"/>
      <c r="F702" s="44"/>
      <c r="G702" s="44"/>
    </row>
    <row r="703" spans="1:7" ht="15.75">
      <c r="A703" s="17"/>
      <c r="B703" s="18"/>
      <c r="C703" s="18"/>
      <c r="D703" s="18"/>
      <c r="E703" s="18"/>
      <c r="F703" s="44"/>
      <c r="G703" s="44"/>
    </row>
    <row r="704" spans="1:7" ht="15.75">
      <c r="A704" s="17"/>
      <c r="B704" s="18"/>
      <c r="C704" s="18"/>
      <c r="D704" s="18"/>
      <c r="E704" s="18"/>
      <c r="F704" s="44"/>
      <c r="G704" s="44"/>
    </row>
    <row r="705" spans="1:7" ht="15.75">
      <c r="A705" s="17"/>
      <c r="B705" s="18"/>
      <c r="C705" s="18"/>
      <c r="D705" s="18"/>
      <c r="E705" s="18"/>
      <c r="F705" s="44"/>
      <c r="G705" s="44"/>
    </row>
    <row r="706" spans="1:7" ht="15.75">
      <c r="A706" s="17"/>
      <c r="B706" s="18"/>
      <c r="C706" s="18"/>
      <c r="D706" s="18"/>
      <c r="E706" s="18"/>
      <c r="F706" s="44"/>
      <c r="G706" s="44"/>
    </row>
    <row r="707" spans="1:7" ht="15.75">
      <c r="A707" s="17"/>
      <c r="B707" s="18"/>
      <c r="C707" s="18"/>
      <c r="D707" s="18"/>
      <c r="E707" s="18"/>
      <c r="F707" s="44"/>
      <c r="G707" s="44"/>
    </row>
    <row r="708" spans="1:7" ht="15.75">
      <c r="A708" s="17"/>
      <c r="B708" s="18"/>
      <c r="C708" s="18"/>
      <c r="D708" s="18"/>
      <c r="E708" s="18"/>
      <c r="F708" s="44"/>
      <c r="G708" s="44"/>
    </row>
    <row r="709" spans="1:7" ht="15.75">
      <c r="A709" s="17"/>
      <c r="B709" s="18"/>
      <c r="C709" s="18"/>
      <c r="D709" s="18"/>
      <c r="E709" s="18"/>
      <c r="F709" s="44"/>
      <c r="G709" s="44"/>
    </row>
    <row r="710" spans="1:7" ht="15.75">
      <c r="A710" s="17"/>
      <c r="B710" s="18"/>
      <c r="C710" s="18"/>
      <c r="D710" s="18"/>
      <c r="E710" s="18"/>
      <c r="F710" s="44"/>
      <c r="G710" s="44"/>
    </row>
    <row r="711" spans="1:7" ht="15.75">
      <c r="A711" s="17"/>
      <c r="B711" s="18"/>
      <c r="C711" s="18"/>
      <c r="D711" s="18"/>
      <c r="E711" s="18"/>
      <c r="F711" s="44"/>
      <c r="G711" s="44"/>
    </row>
    <row r="712" spans="1:7" ht="15.75">
      <c r="A712" s="17"/>
      <c r="B712" s="18"/>
      <c r="C712" s="18"/>
      <c r="D712" s="18"/>
      <c r="E712" s="18"/>
      <c r="F712" s="44"/>
      <c r="G712" s="44"/>
    </row>
    <row r="713" spans="1:7" ht="15.75">
      <c r="A713" s="17"/>
      <c r="B713" s="18"/>
      <c r="C713" s="18"/>
      <c r="D713" s="18"/>
      <c r="E713" s="18"/>
      <c r="F713" s="44"/>
      <c r="G713" s="44"/>
    </row>
    <row r="714" spans="1:7" ht="15.75">
      <c r="A714" s="17"/>
      <c r="B714" s="18"/>
      <c r="C714" s="18"/>
      <c r="D714" s="18"/>
      <c r="E714" s="18"/>
      <c r="F714" s="44"/>
      <c r="G714" s="44"/>
    </row>
    <row r="715" spans="1:7" ht="15.75">
      <c r="A715" s="17"/>
      <c r="B715" s="18"/>
      <c r="C715" s="18"/>
      <c r="D715" s="18"/>
      <c r="E715" s="18"/>
      <c r="F715" s="44"/>
      <c r="G715" s="44"/>
    </row>
    <row r="716" spans="1:7" ht="15.75">
      <c r="A716" s="17"/>
      <c r="B716" s="18"/>
      <c r="C716" s="18"/>
      <c r="D716" s="18"/>
      <c r="E716" s="18"/>
      <c r="F716" s="44"/>
      <c r="G716" s="44"/>
    </row>
    <row r="717" spans="1:7" ht="15.75">
      <c r="A717" s="17"/>
      <c r="B717" s="18"/>
      <c r="C717" s="18"/>
      <c r="D717" s="18"/>
      <c r="E717" s="18"/>
      <c r="F717" s="44"/>
      <c r="G717" s="44"/>
    </row>
    <row r="718" spans="1:7" ht="15.75">
      <c r="A718" s="17"/>
      <c r="B718" s="18"/>
      <c r="C718" s="18"/>
      <c r="D718" s="18"/>
      <c r="E718" s="18"/>
      <c r="F718" s="44"/>
      <c r="G718" s="44"/>
    </row>
    <row r="719" spans="1:7" ht="15.75">
      <c r="A719" s="17"/>
      <c r="B719" s="18"/>
      <c r="C719" s="18"/>
      <c r="D719" s="18"/>
      <c r="E719" s="18"/>
      <c r="F719" s="44"/>
      <c r="G719" s="44"/>
    </row>
    <row r="720" spans="1:7" ht="15.75">
      <c r="A720" s="17"/>
      <c r="B720" s="18"/>
      <c r="C720" s="18"/>
      <c r="D720" s="18"/>
      <c r="E720" s="18"/>
      <c r="F720" s="44"/>
      <c r="G720" s="44"/>
    </row>
    <row r="721" spans="1:7" ht="15.75">
      <c r="A721" s="17"/>
      <c r="B721" s="18"/>
      <c r="C721" s="18"/>
      <c r="D721" s="18"/>
      <c r="E721" s="18"/>
      <c r="F721" s="44"/>
      <c r="G721" s="44"/>
    </row>
    <row r="722" spans="1:7" ht="15.75">
      <c r="A722" s="17"/>
      <c r="B722" s="18"/>
      <c r="C722" s="18"/>
      <c r="D722" s="18"/>
      <c r="E722" s="18"/>
      <c r="F722" s="44"/>
      <c r="G722" s="44"/>
    </row>
    <row r="723" spans="1:7" ht="15.75">
      <c r="A723" s="17"/>
      <c r="B723" s="18"/>
      <c r="C723" s="18"/>
      <c r="D723" s="18"/>
      <c r="E723" s="18"/>
      <c r="F723" s="44"/>
      <c r="G723" s="44"/>
    </row>
    <row r="724" spans="1:7" ht="15.75">
      <c r="A724" s="17"/>
      <c r="B724" s="18"/>
      <c r="C724" s="18"/>
      <c r="D724" s="18"/>
      <c r="E724" s="18"/>
      <c r="F724" s="44"/>
      <c r="G724" s="44"/>
    </row>
    <row r="725" spans="1:7" ht="15.75">
      <c r="A725" s="17"/>
      <c r="B725" s="18"/>
      <c r="C725" s="18"/>
      <c r="D725" s="18"/>
      <c r="E725" s="18"/>
      <c r="F725" s="44"/>
      <c r="G725" s="44"/>
    </row>
    <row r="726" spans="1:7" ht="15.75">
      <c r="A726" s="17"/>
      <c r="B726" s="18"/>
      <c r="C726" s="18"/>
      <c r="D726" s="18"/>
      <c r="E726" s="18"/>
      <c r="F726" s="44"/>
      <c r="G726" s="44"/>
    </row>
    <row r="727" spans="1:7" ht="15.75">
      <c r="A727" s="17"/>
      <c r="B727" s="18"/>
      <c r="C727" s="18"/>
      <c r="D727" s="18"/>
      <c r="E727" s="18"/>
      <c r="F727" s="44"/>
      <c r="G727" s="44"/>
    </row>
    <row r="728" spans="1:7" ht="15.75">
      <c r="A728" s="17"/>
      <c r="B728" s="18"/>
      <c r="C728" s="18"/>
      <c r="D728" s="18"/>
      <c r="E728" s="18"/>
      <c r="F728" s="44"/>
      <c r="G728" s="44"/>
    </row>
    <row r="729" spans="1:7" ht="15.75">
      <c r="A729" s="17"/>
      <c r="B729" s="18"/>
      <c r="C729" s="18"/>
      <c r="D729" s="18"/>
      <c r="E729" s="18"/>
      <c r="F729" s="44"/>
      <c r="G729" s="44"/>
    </row>
    <row r="730" spans="1:7" ht="15.75">
      <c r="A730" s="17"/>
      <c r="B730" s="18"/>
      <c r="C730" s="18"/>
      <c r="D730" s="18"/>
      <c r="E730" s="18"/>
      <c r="F730" s="44"/>
      <c r="G730" s="44"/>
    </row>
    <row r="731" spans="1:7" ht="15.75">
      <c r="A731" s="17"/>
      <c r="B731" s="18"/>
      <c r="C731" s="18"/>
      <c r="D731" s="18"/>
      <c r="E731" s="18"/>
      <c r="F731" s="44"/>
      <c r="G731" s="44"/>
    </row>
    <row r="732" spans="1:7" ht="15.75">
      <c r="A732" s="17"/>
      <c r="B732" s="18"/>
      <c r="C732" s="18"/>
      <c r="D732" s="18"/>
      <c r="E732" s="18"/>
      <c r="F732" s="44"/>
      <c r="G732" s="44"/>
    </row>
    <row r="733" spans="1:7" ht="15.75">
      <c r="A733" s="17"/>
      <c r="B733" s="18"/>
      <c r="C733" s="18"/>
      <c r="D733" s="18"/>
      <c r="E733" s="18"/>
      <c r="F733" s="44"/>
      <c r="G733" s="44"/>
    </row>
    <row r="734" spans="1:7" ht="15.75">
      <c r="A734" s="17"/>
      <c r="B734" s="18"/>
      <c r="C734" s="18"/>
      <c r="D734" s="18"/>
      <c r="E734" s="18"/>
      <c r="F734" s="44"/>
      <c r="G734" s="44"/>
    </row>
    <row r="735" spans="1:7" ht="15.75">
      <c r="A735" s="17"/>
      <c r="B735" s="18"/>
      <c r="C735" s="18"/>
      <c r="D735" s="18"/>
      <c r="E735" s="18"/>
      <c r="F735" s="44"/>
      <c r="G735" s="44"/>
    </row>
    <row r="736" spans="1:7" ht="15.75">
      <c r="A736" s="17"/>
      <c r="B736" s="18"/>
      <c r="C736" s="18"/>
      <c r="D736" s="18"/>
      <c r="E736" s="18"/>
      <c r="F736" s="44"/>
      <c r="G736" s="44"/>
    </row>
    <row r="737" spans="1:7" ht="15.75">
      <c r="A737" s="17"/>
      <c r="B737" s="18"/>
      <c r="C737" s="18"/>
      <c r="D737" s="18"/>
      <c r="E737" s="18"/>
      <c r="F737" s="44"/>
      <c r="G737" s="44"/>
    </row>
    <row r="738" spans="1:7" ht="15.75">
      <c r="A738" s="17"/>
      <c r="B738" s="18"/>
      <c r="C738" s="18"/>
      <c r="D738" s="18"/>
      <c r="E738" s="18"/>
      <c r="F738" s="44"/>
      <c r="G738" s="44"/>
    </row>
    <row r="739" spans="1:7" ht="15.75">
      <c r="A739" s="17"/>
      <c r="B739" s="18"/>
      <c r="C739" s="18"/>
      <c r="D739" s="18"/>
      <c r="E739" s="18"/>
      <c r="F739" s="44"/>
      <c r="G739" s="44"/>
    </row>
    <row r="740" spans="1:7" ht="15.75">
      <c r="A740" s="17"/>
      <c r="B740" s="18"/>
      <c r="C740" s="18"/>
      <c r="D740" s="18"/>
      <c r="E740" s="18"/>
      <c r="F740" s="44"/>
      <c r="G740" s="44"/>
    </row>
    <row r="741" spans="1:7" ht="15.75">
      <c r="A741" s="17"/>
      <c r="B741" s="18"/>
      <c r="C741" s="18"/>
      <c r="D741" s="18"/>
      <c r="E741" s="18"/>
      <c r="F741" s="44"/>
      <c r="G741" s="44"/>
    </row>
    <row r="742" spans="1:7" ht="15.75">
      <c r="A742" s="17"/>
      <c r="B742" s="18"/>
      <c r="C742" s="18"/>
      <c r="D742" s="18"/>
      <c r="E742" s="18"/>
      <c r="F742" s="44"/>
      <c r="G742" s="44"/>
    </row>
    <row r="743" spans="1:7" ht="15.75">
      <c r="A743" s="17"/>
      <c r="B743" s="18"/>
      <c r="C743" s="18"/>
      <c r="D743" s="18"/>
      <c r="E743" s="18"/>
      <c r="F743" s="44"/>
      <c r="G743" s="44"/>
    </row>
    <row r="744" spans="1:7" ht="15.75">
      <c r="A744" s="17"/>
      <c r="B744" s="18"/>
      <c r="C744" s="18"/>
      <c r="D744" s="18"/>
      <c r="E744" s="18"/>
      <c r="F744" s="44"/>
      <c r="G744" s="44"/>
    </row>
    <row r="745" spans="1:7" ht="15.75">
      <c r="A745" s="17"/>
      <c r="B745" s="18"/>
      <c r="C745" s="18"/>
      <c r="D745" s="18"/>
      <c r="E745" s="18"/>
      <c r="F745" s="44"/>
      <c r="G745" s="44"/>
    </row>
    <row r="746" spans="1:7" ht="15.75">
      <c r="A746" s="17"/>
      <c r="B746" s="18"/>
      <c r="C746" s="18"/>
      <c r="D746" s="18"/>
      <c r="E746" s="18"/>
      <c r="F746" s="44"/>
      <c r="G746" s="44"/>
    </row>
    <row r="747" spans="1:7" ht="15.75">
      <c r="A747" s="17"/>
      <c r="B747" s="18"/>
      <c r="C747" s="18"/>
      <c r="D747" s="18"/>
      <c r="E747" s="18"/>
      <c r="F747" s="44"/>
      <c r="G747" s="44"/>
    </row>
    <row r="748" spans="1:7" ht="15.75">
      <c r="A748" s="17"/>
      <c r="B748" s="18"/>
      <c r="C748" s="18"/>
      <c r="D748" s="18"/>
      <c r="E748" s="18"/>
      <c r="F748" s="44"/>
      <c r="G748" s="44"/>
    </row>
    <row r="749" spans="1:7" ht="15.75">
      <c r="A749" s="17"/>
      <c r="B749" s="18"/>
      <c r="C749" s="18"/>
      <c r="D749" s="18"/>
      <c r="E749" s="18"/>
      <c r="F749" s="44"/>
      <c r="G749" s="44"/>
    </row>
    <row r="750" spans="1:7" ht="15.75">
      <c r="A750" s="17"/>
      <c r="B750" s="18"/>
      <c r="C750" s="18"/>
      <c r="D750" s="18"/>
      <c r="E750" s="18"/>
      <c r="F750" s="44"/>
      <c r="G750" s="44"/>
    </row>
    <row r="751" spans="1:7" ht="15.75">
      <c r="A751" s="17"/>
      <c r="B751" s="18"/>
      <c r="C751" s="18"/>
      <c r="D751" s="18"/>
      <c r="E751" s="18"/>
      <c r="F751" s="44"/>
      <c r="G751" s="44"/>
    </row>
    <row r="752" spans="1:7" ht="15.75">
      <c r="A752" s="17"/>
      <c r="B752" s="18"/>
      <c r="C752" s="18"/>
      <c r="D752" s="18"/>
      <c r="E752" s="18"/>
      <c r="F752" s="44"/>
      <c r="G752" s="44"/>
    </row>
    <row r="753" spans="1:7" ht="15.75">
      <c r="A753" s="17"/>
      <c r="B753" s="18"/>
      <c r="C753" s="18"/>
      <c r="D753" s="18"/>
      <c r="E753" s="18"/>
      <c r="F753" s="44"/>
      <c r="G753" s="44"/>
    </row>
    <row r="754" spans="1:7" ht="15.75">
      <c r="A754" s="17"/>
      <c r="B754" s="18"/>
      <c r="C754" s="18"/>
      <c r="D754" s="18"/>
      <c r="E754" s="18"/>
      <c r="F754" s="44"/>
      <c r="G754" s="44"/>
    </row>
    <row r="755" spans="1:7" ht="15.75">
      <c r="A755" s="17"/>
      <c r="B755" s="18"/>
      <c r="C755" s="18"/>
      <c r="D755" s="18"/>
      <c r="E755" s="18"/>
      <c r="F755" s="44"/>
      <c r="G755" s="44"/>
    </row>
    <row r="756" spans="1:7" ht="15.75">
      <c r="A756" s="17"/>
      <c r="B756" s="18"/>
      <c r="C756" s="18"/>
      <c r="D756" s="18"/>
      <c r="E756" s="18"/>
      <c r="F756" s="44"/>
      <c r="G756" s="44"/>
    </row>
    <row r="757" spans="1:7" ht="15.75">
      <c r="A757" s="17"/>
      <c r="B757" s="18"/>
      <c r="C757" s="18"/>
      <c r="D757" s="18"/>
      <c r="E757" s="18"/>
      <c r="F757" s="44"/>
      <c r="G757" s="44"/>
    </row>
    <row r="758" spans="1:7" ht="15.75">
      <c r="A758" s="17"/>
      <c r="B758" s="18"/>
      <c r="C758" s="18"/>
      <c r="D758" s="18"/>
      <c r="E758" s="18"/>
      <c r="F758" s="44"/>
      <c r="G758" s="44"/>
    </row>
    <row r="759" spans="1:7" ht="15.75">
      <c r="A759" s="17"/>
      <c r="B759" s="18"/>
      <c r="C759" s="18"/>
      <c r="D759" s="18"/>
      <c r="E759" s="18"/>
      <c r="F759" s="44"/>
      <c r="G759" s="44"/>
    </row>
    <row r="760" spans="1:7" ht="15.75">
      <c r="A760" s="17"/>
      <c r="B760" s="18"/>
      <c r="C760" s="18"/>
      <c r="D760" s="18"/>
      <c r="E760" s="18"/>
      <c r="F760" s="44"/>
      <c r="G760" s="44"/>
    </row>
    <row r="761" spans="1:7" ht="15.75">
      <c r="A761" s="17"/>
      <c r="B761" s="18"/>
      <c r="C761" s="18"/>
      <c r="D761" s="18"/>
      <c r="E761" s="18"/>
      <c r="F761" s="44"/>
      <c r="G761" s="44"/>
    </row>
    <row r="762" spans="1:7" ht="15.75">
      <c r="A762" s="17"/>
      <c r="B762" s="18"/>
      <c r="C762" s="18"/>
      <c r="D762" s="18"/>
      <c r="E762" s="18"/>
      <c r="F762" s="44"/>
      <c r="G762" s="44"/>
    </row>
    <row r="763" spans="1:7" ht="15.75">
      <c r="A763" s="17"/>
      <c r="B763" s="18"/>
      <c r="C763" s="18"/>
      <c r="D763" s="18"/>
      <c r="E763" s="18"/>
      <c r="F763" s="44"/>
      <c r="G763" s="44"/>
    </row>
    <row r="764" spans="1:7" ht="15.75">
      <c r="A764" s="17"/>
      <c r="B764" s="18"/>
      <c r="C764" s="18"/>
      <c r="D764" s="18"/>
      <c r="E764" s="18"/>
      <c r="F764" s="44"/>
      <c r="G764" s="44"/>
    </row>
    <row r="765" spans="1:7" ht="15.75">
      <c r="A765" s="17"/>
      <c r="B765" s="18"/>
      <c r="C765" s="18"/>
      <c r="D765" s="18"/>
      <c r="E765" s="18"/>
      <c r="F765" s="44"/>
      <c r="G765" s="44"/>
    </row>
    <row r="766" spans="1:7" ht="15.75">
      <c r="A766" s="17"/>
      <c r="B766" s="18"/>
      <c r="C766" s="18"/>
      <c r="D766" s="18"/>
      <c r="E766" s="18"/>
      <c r="F766" s="44"/>
      <c r="G766" s="44"/>
    </row>
    <row r="767" spans="1:7" ht="15.75">
      <c r="A767" s="17"/>
      <c r="B767" s="18"/>
      <c r="C767" s="18"/>
      <c r="D767" s="18"/>
      <c r="E767" s="18"/>
      <c r="F767" s="44"/>
      <c r="G767" s="44"/>
    </row>
    <row r="768" spans="1:7" ht="15.75">
      <c r="A768" s="17"/>
      <c r="B768" s="18"/>
      <c r="C768" s="18"/>
      <c r="D768" s="18"/>
      <c r="E768" s="18"/>
      <c r="F768" s="44"/>
      <c r="G768" s="44"/>
    </row>
    <row r="769" spans="1:7" ht="15.75">
      <c r="A769" s="17"/>
      <c r="B769" s="18"/>
      <c r="C769" s="18"/>
      <c r="D769" s="18"/>
      <c r="E769" s="18"/>
      <c r="F769" s="44"/>
      <c r="G769" s="44"/>
    </row>
    <row r="770" spans="1:7" ht="15.75">
      <c r="A770" s="17"/>
      <c r="B770" s="18"/>
      <c r="C770" s="18"/>
      <c r="D770" s="18"/>
      <c r="E770" s="18"/>
      <c r="F770" s="44"/>
      <c r="G770" s="44"/>
    </row>
    <row r="771" spans="1:7" ht="15.75">
      <c r="A771" s="17"/>
      <c r="B771" s="18"/>
      <c r="C771" s="18"/>
      <c r="D771" s="18"/>
      <c r="E771" s="18"/>
      <c r="F771" s="44"/>
      <c r="G771" s="44"/>
    </row>
    <row r="772" spans="1:7" ht="15.75">
      <c r="A772" s="17"/>
      <c r="B772" s="18"/>
      <c r="C772" s="18"/>
      <c r="D772" s="18"/>
      <c r="E772" s="18"/>
      <c r="F772" s="44"/>
      <c r="G772" s="44"/>
    </row>
    <row r="773" spans="1:7" ht="15.75">
      <c r="A773" s="17"/>
      <c r="B773" s="18"/>
      <c r="C773" s="18"/>
      <c r="D773" s="18"/>
      <c r="E773" s="18"/>
      <c r="F773" s="44"/>
      <c r="G773" s="44"/>
    </row>
    <row r="774" spans="1:7" ht="15.75">
      <c r="A774" s="17"/>
      <c r="B774" s="18"/>
      <c r="C774" s="18"/>
      <c r="D774" s="18"/>
      <c r="E774" s="18"/>
      <c r="F774" s="44"/>
      <c r="G774" s="44"/>
    </row>
    <row r="775" spans="1:7" ht="15.75">
      <c r="A775" s="17"/>
      <c r="B775" s="18"/>
      <c r="C775" s="18"/>
      <c r="D775" s="18"/>
      <c r="E775" s="18"/>
      <c r="F775" s="44"/>
      <c r="G775" s="44"/>
    </row>
    <row r="776" spans="1:7" ht="15.75">
      <c r="A776" s="17"/>
      <c r="B776" s="18"/>
      <c r="C776" s="18"/>
      <c r="D776" s="18"/>
      <c r="E776" s="18"/>
      <c r="F776" s="44"/>
      <c r="G776" s="44"/>
    </row>
    <row r="777" spans="1:7" ht="15.75">
      <c r="A777" s="17"/>
      <c r="B777" s="18"/>
      <c r="C777" s="18"/>
      <c r="D777" s="18"/>
      <c r="E777" s="18"/>
      <c r="F777" s="44"/>
      <c r="G777" s="44"/>
    </row>
    <row r="778" spans="1:7" ht="15.75">
      <c r="A778" s="17"/>
      <c r="B778" s="18"/>
      <c r="C778" s="18"/>
      <c r="D778" s="18"/>
      <c r="E778" s="18"/>
      <c r="F778" s="44"/>
      <c r="G778" s="44"/>
    </row>
    <row r="779" spans="1:7" ht="15.75">
      <c r="A779" s="17"/>
      <c r="B779" s="18"/>
      <c r="C779" s="18"/>
      <c r="D779" s="18"/>
      <c r="E779" s="18"/>
      <c r="F779" s="44"/>
      <c r="G779" s="44"/>
    </row>
    <row r="780" spans="1:7" ht="15.75">
      <c r="A780" s="17"/>
      <c r="B780" s="18"/>
      <c r="C780" s="18"/>
      <c r="D780" s="18"/>
      <c r="E780" s="18"/>
      <c r="F780" s="44"/>
      <c r="G780" s="44"/>
    </row>
    <row r="781" spans="1:7" ht="15.75">
      <c r="A781" s="17"/>
      <c r="B781" s="18"/>
      <c r="C781" s="18"/>
      <c r="D781" s="18"/>
      <c r="E781" s="18"/>
      <c r="F781" s="44"/>
      <c r="G781" s="44"/>
    </row>
    <row r="782" spans="1:7" ht="15.75">
      <c r="A782" s="17"/>
      <c r="B782" s="18"/>
      <c r="C782" s="18"/>
      <c r="D782" s="18"/>
      <c r="E782" s="18"/>
      <c r="F782" s="44"/>
      <c r="G782" s="44"/>
    </row>
    <row r="783" spans="1:7" ht="15.75">
      <c r="A783" s="17"/>
      <c r="B783" s="18"/>
      <c r="C783" s="18"/>
      <c r="D783" s="18"/>
      <c r="E783" s="18"/>
      <c r="F783" s="44"/>
      <c r="G783" s="44"/>
    </row>
    <row r="784" spans="1:7" ht="15.75">
      <c r="A784" s="17"/>
      <c r="B784" s="18"/>
      <c r="C784" s="18"/>
      <c r="D784" s="18"/>
      <c r="E784" s="18"/>
      <c r="F784" s="44"/>
      <c r="G784" s="44"/>
    </row>
    <row r="785" spans="1:7" ht="15.75">
      <c r="A785" s="17"/>
      <c r="B785" s="18"/>
      <c r="C785" s="18"/>
      <c r="D785" s="18"/>
      <c r="E785" s="18"/>
      <c r="F785" s="44"/>
      <c r="G785" s="44"/>
    </row>
    <row r="786" spans="1:7" ht="15.75">
      <c r="A786" s="17"/>
      <c r="B786" s="18"/>
      <c r="C786" s="18"/>
      <c r="D786" s="18"/>
      <c r="E786" s="18"/>
      <c r="F786" s="44"/>
      <c r="G786" s="44"/>
    </row>
    <row r="787" spans="1:7" ht="15.75">
      <c r="A787" s="17"/>
      <c r="B787" s="18"/>
      <c r="C787" s="18"/>
      <c r="D787" s="18"/>
      <c r="E787" s="18"/>
      <c r="F787" s="44"/>
      <c r="G787" s="44"/>
    </row>
    <row r="788" spans="1:7" ht="15.75">
      <c r="A788" s="17"/>
      <c r="B788" s="18"/>
      <c r="C788" s="18"/>
      <c r="D788" s="18"/>
      <c r="E788" s="18"/>
      <c r="F788" s="44"/>
      <c r="G788" s="44"/>
    </row>
    <row r="789" spans="1:7" ht="15.75">
      <c r="A789" s="17"/>
      <c r="B789" s="18"/>
      <c r="C789" s="18"/>
      <c r="D789" s="18"/>
      <c r="E789" s="18"/>
      <c r="F789" s="44"/>
      <c r="G789" s="44"/>
    </row>
    <row r="790" spans="1:7" ht="15.75">
      <c r="A790" s="17"/>
      <c r="B790" s="18"/>
      <c r="C790" s="18"/>
      <c r="D790" s="18"/>
      <c r="E790" s="18"/>
      <c r="F790" s="44"/>
      <c r="G790" s="44"/>
    </row>
    <row r="791" spans="1:7" ht="15.75">
      <c r="A791" s="17"/>
      <c r="B791" s="18"/>
      <c r="C791" s="18"/>
      <c r="D791" s="18"/>
      <c r="E791" s="18"/>
      <c r="F791" s="44"/>
      <c r="G791" s="44"/>
    </row>
    <row r="792" spans="1:7" ht="15.75">
      <c r="A792" s="17"/>
      <c r="B792" s="18"/>
      <c r="C792" s="18"/>
      <c r="D792" s="18"/>
      <c r="E792" s="18"/>
      <c r="F792" s="44"/>
      <c r="G792" s="44"/>
    </row>
    <row r="793" spans="1:7" ht="15.75">
      <c r="A793" s="17"/>
      <c r="B793" s="18"/>
      <c r="C793" s="18"/>
      <c r="D793" s="18"/>
      <c r="E793" s="18"/>
      <c r="F793" s="44"/>
      <c r="G793" s="44"/>
    </row>
    <row r="794" spans="1:7" ht="15.75">
      <c r="A794" s="17"/>
      <c r="B794" s="18"/>
      <c r="C794" s="18"/>
      <c r="D794" s="18"/>
      <c r="E794" s="18"/>
      <c r="F794" s="44"/>
      <c r="G794" s="44"/>
    </row>
    <row r="795" spans="1:7" ht="15.75">
      <c r="A795" s="17"/>
      <c r="B795" s="18"/>
      <c r="C795" s="18"/>
      <c r="D795" s="18"/>
      <c r="E795" s="18"/>
      <c r="F795" s="44"/>
      <c r="G795" s="44"/>
    </row>
    <row r="796" spans="1:7" ht="15.75">
      <c r="A796" s="17"/>
      <c r="B796" s="18"/>
      <c r="C796" s="18"/>
      <c r="D796" s="18"/>
      <c r="E796" s="18"/>
      <c r="F796" s="44"/>
      <c r="G796" s="44"/>
    </row>
    <row r="797" spans="1:7" ht="15.75">
      <c r="A797" s="17"/>
      <c r="B797" s="18"/>
      <c r="C797" s="18"/>
      <c r="D797" s="18"/>
      <c r="E797" s="18"/>
      <c r="F797" s="44"/>
      <c r="G797" s="44"/>
    </row>
    <row r="798" spans="1:7" ht="15.75">
      <c r="A798" s="17"/>
      <c r="B798" s="18"/>
      <c r="C798" s="18"/>
      <c r="D798" s="18"/>
      <c r="E798" s="18"/>
      <c r="F798" s="44"/>
      <c r="G798" s="44"/>
    </row>
    <row r="799" spans="1:7" ht="15.75">
      <c r="A799" s="17"/>
      <c r="B799" s="18"/>
      <c r="C799" s="18"/>
      <c r="D799" s="18"/>
      <c r="E799" s="18"/>
      <c r="F799" s="44"/>
      <c r="G799" s="44"/>
    </row>
    <row r="800" spans="1:7" ht="15.75">
      <c r="A800" s="17"/>
      <c r="B800" s="18"/>
      <c r="C800" s="18"/>
      <c r="D800" s="18"/>
      <c r="E800" s="18"/>
      <c r="F800" s="44"/>
      <c r="G800" s="44"/>
    </row>
    <row r="801" spans="1:7" ht="15.75">
      <c r="A801" s="17"/>
      <c r="B801" s="18"/>
      <c r="C801" s="18"/>
      <c r="D801" s="18"/>
      <c r="E801" s="18"/>
      <c r="F801" s="44"/>
      <c r="G801" s="44"/>
    </row>
    <row r="802" spans="1:7" ht="15.75">
      <c r="A802" s="17"/>
      <c r="B802" s="18"/>
      <c r="C802" s="18"/>
      <c r="D802" s="18"/>
      <c r="E802" s="18"/>
      <c r="F802" s="44"/>
      <c r="G802" s="44"/>
    </row>
    <row r="803" spans="1:7" ht="15.75">
      <c r="A803" s="17"/>
      <c r="B803" s="18"/>
      <c r="C803" s="18"/>
      <c r="D803" s="18"/>
      <c r="E803" s="18"/>
      <c r="F803" s="44"/>
      <c r="G803" s="44"/>
    </row>
    <row r="804" spans="1:7" ht="15.75">
      <c r="A804" s="17"/>
      <c r="B804" s="18"/>
      <c r="C804" s="18"/>
      <c r="D804" s="18"/>
      <c r="E804" s="18"/>
      <c r="F804" s="44"/>
      <c r="G804" s="44"/>
    </row>
    <row r="805" spans="1:7" ht="15.75">
      <c r="A805" s="17"/>
      <c r="B805" s="18"/>
      <c r="C805" s="18"/>
      <c r="D805" s="18"/>
      <c r="E805" s="18"/>
      <c r="F805" s="44"/>
      <c r="G805" s="44"/>
    </row>
    <row r="806" spans="1:7" ht="15.75">
      <c r="A806" s="17"/>
      <c r="B806" s="18"/>
      <c r="C806" s="18"/>
      <c r="D806" s="18"/>
      <c r="E806" s="18"/>
      <c r="F806" s="44"/>
      <c r="G806" s="44"/>
    </row>
    <row r="807" spans="1:7" ht="15.75">
      <c r="A807" s="17"/>
      <c r="B807" s="18"/>
      <c r="C807" s="18"/>
      <c r="D807" s="18"/>
      <c r="E807" s="18"/>
      <c r="F807" s="44"/>
      <c r="G807" s="44"/>
    </row>
    <row r="808" spans="1:7" ht="15.75">
      <c r="A808" s="17"/>
      <c r="B808" s="18"/>
      <c r="C808" s="18"/>
      <c r="D808" s="18"/>
      <c r="E808" s="18"/>
      <c r="F808" s="44"/>
      <c r="G808" s="44"/>
    </row>
    <row r="809" spans="1:7" ht="15.75">
      <c r="A809" s="17"/>
      <c r="B809" s="18"/>
      <c r="C809" s="18"/>
      <c r="D809" s="18"/>
      <c r="E809" s="18"/>
      <c r="F809" s="44"/>
      <c r="G809" s="44"/>
    </row>
    <row r="810" spans="1:7" ht="15.75">
      <c r="A810" s="17"/>
      <c r="B810" s="18"/>
      <c r="C810" s="18"/>
      <c r="D810" s="18"/>
      <c r="E810" s="18"/>
      <c r="F810" s="44"/>
      <c r="G810" s="44"/>
    </row>
    <row r="811" spans="1:7" ht="15.75">
      <c r="A811" s="17"/>
      <c r="B811" s="18"/>
      <c r="C811" s="18"/>
      <c r="D811" s="18"/>
      <c r="E811" s="18"/>
      <c r="F811" s="44"/>
      <c r="G811" s="44"/>
    </row>
    <row r="812" spans="1:7" ht="15.75">
      <c r="A812" s="17"/>
      <c r="B812" s="18"/>
      <c r="C812" s="18"/>
      <c r="D812" s="18"/>
      <c r="E812" s="18"/>
      <c r="F812" s="44"/>
      <c r="G812" s="44"/>
    </row>
    <row r="813" spans="1:7" ht="15.75">
      <c r="A813" s="17"/>
      <c r="B813" s="18"/>
      <c r="C813" s="18"/>
      <c r="D813" s="18"/>
      <c r="E813" s="18"/>
      <c r="F813" s="44"/>
      <c r="G813" s="44"/>
    </row>
    <row r="814" spans="1:7" ht="15.75">
      <c r="A814" s="17"/>
      <c r="B814" s="18"/>
      <c r="C814" s="18"/>
      <c r="D814" s="18"/>
      <c r="E814" s="18"/>
      <c r="F814" s="44"/>
      <c r="G814" s="44"/>
    </row>
    <row r="815" spans="1:7" ht="15.75">
      <c r="A815" s="17"/>
      <c r="B815" s="18"/>
      <c r="C815" s="18"/>
      <c r="D815" s="18"/>
      <c r="E815" s="18"/>
      <c r="F815" s="44"/>
      <c r="G815" s="44"/>
    </row>
    <row r="816" spans="1:7" ht="15.75">
      <c r="A816" s="17"/>
      <c r="B816" s="18"/>
      <c r="C816" s="18"/>
      <c r="D816" s="18"/>
      <c r="E816" s="18"/>
      <c r="F816" s="44"/>
      <c r="G816" s="44"/>
    </row>
    <row r="817" spans="1:7" ht="15.75">
      <c r="A817" s="17"/>
      <c r="B817" s="18"/>
      <c r="C817" s="18"/>
      <c r="D817" s="18"/>
      <c r="E817" s="18"/>
      <c r="F817" s="44"/>
      <c r="G817" s="44"/>
    </row>
    <row r="818" spans="1:7" ht="15.75">
      <c r="A818" s="17"/>
      <c r="B818" s="18"/>
      <c r="C818" s="18"/>
      <c r="D818" s="18"/>
      <c r="E818" s="18"/>
      <c r="F818" s="44"/>
      <c r="G818" s="44"/>
    </row>
    <row r="819" spans="1:7" ht="15.75">
      <c r="A819" s="17"/>
      <c r="B819" s="18"/>
      <c r="C819" s="18"/>
      <c r="D819" s="18"/>
      <c r="E819" s="18"/>
      <c r="F819" s="44"/>
      <c r="G819" s="44"/>
    </row>
    <row r="820" spans="1:7" ht="15.75">
      <c r="A820" s="17"/>
      <c r="B820" s="18"/>
      <c r="C820" s="18"/>
      <c r="D820" s="18"/>
      <c r="E820" s="18"/>
      <c r="F820" s="44"/>
      <c r="G820" s="44"/>
    </row>
    <row r="821" spans="1:7" ht="15.75">
      <c r="A821" s="17"/>
      <c r="B821" s="18"/>
      <c r="C821" s="18"/>
      <c r="D821" s="18"/>
      <c r="E821" s="18"/>
      <c r="F821" s="44"/>
      <c r="G821" s="44"/>
    </row>
    <row r="822" spans="1:7" ht="15.75">
      <c r="A822" s="17"/>
      <c r="B822" s="18"/>
      <c r="C822" s="18"/>
      <c r="D822" s="18"/>
      <c r="E822" s="18"/>
      <c r="F822" s="44"/>
      <c r="G822" s="44"/>
    </row>
    <row r="823" spans="1:7" ht="15.75">
      <c r="A823" s="17"/>
      <c r="B823" s="18"/>
      <c r="C823" s="18"/>
      <c r="D823" s="18"/>
      <c r="E823" s="18"/>
      <c r="F823" s="44"/>
      <c r="G823" s="44"/>
    </row>
    <row r="824" spans="1:7" ht="15.75">
      <c r="A824" s="17"/>
      <c r="B824" s="18"/>
      <c r="C824" s="18"/>
      <c r="D824" s="18"/>
      <c r="E824" s="18"/>
      <c r="F824" s="44"/>
      <c r="G824" s="44"/>
    </row>
    <row r="825" spans="1:7" ht="15.75">
      <c r="A825" s="17"/>
      <c r="B825" s="18"/>
      <c r="C825" s="18"/>
      <c r="D825" s="18"/>
      <c r="E825" s="18"/>
      <c r="F825" s="44"/>
      <c r="G825" s="44"/>
    </row>
    <row r="826" spans="1:7" ht="15.75">
      <c r="A826" s="17"/>
      <c r="B826" s="18"/>
      <c r="C826" s="18"/>
      <c r="D826" s="18"/>
      <c r="E826" s="18"/>
      <c r="F826" s="44"/>
      <c r="G826" s="44"/>
    </row>
    <row r="827" spans="1:7" ht="15.75">
      <c r="A827" s="17"/>
      <c r="B827" s="18"/>
      <c r="C827" s="18"/>
      <c r="D827" s="18"/>
      <c r="E827" s="18"/>
      <c r="F827" s="44"/>
      <c r="G827" s="44"/>
    </row>
    <row r="828" spans="1:7" ht="15.75">
      <c r="A828" s="17"/>
      <c r="B828" s="18"/>
      <c r="C828" s="18"/>
      <c r="D828" s="18"/>
      <c r="E828" s="18"/>
      <c r="F828" s="44"/>
      <c r="G828" s="44"/>
    </row>
    <row r="829" spans="1:7" ht="15.75">
      <c r="A829" s="17"/>
      <c r="B829" s="18"/>
      <c r="C829" s="18"/>
      <c r="D829" s="18"/>
      <c r="E829" s="18"/>
      <c r="F829" s="44"/>
      <c r="G829" s="44"/>
    </row>
    <row r="830" spans="1:7" ht="15.75">
      <c r="A830" s="17"/>
      <c r="B830" s="18"/>
      <c r="C830" s="18"/>
      <c r="D830" s="18"/>
      <c r="E830" s="18"/>
      <c r="F830" s="44"/>
      <c r="G830" s="44"/>
    </row>
    <row r="831" spans="1:7" ht="15.75">
      <c r="A831" s="17"/>
      <c r="B831" s="18"/>
      <c r="C831" s="18"/>
      <c r="D831" s="18"/>
      <c r="E831" s="18"/>
      <c r="F831" s="44"/>
      <c r="G831" s="44"/>
    </row>
    <row r="832" spans="1:7" ht="15.75">
      <c r="A832" s="17"/>
      <c r="B832" s="18"/>
      <c r="C832" s="18"/>
      <c r="D832" s="18"/>
      <c r="E832" s="18"/>
      <c r="F832" s="44"/>
      <c r="G832" s="44"/>
    </row>
    <row r="833" spans="1:7" ht="15.75">
      <c r="A833" s="17"/>
      <c r="B833" s="18"/>
      <c r="C833" s="18"/>
      <c r="D833" s="18"/>
      <c r="E833" s="18"/>
      <c r="F833" s="44"/>
      <c r="G833" s="44"/>
    </row>
    <row r="834" spans="1:7" ht="15.75">
      <c r="A834" s="17"/>
      <c r="B834" s="18"/>
      <c r="C834" s="18"/>
      <c r="D834" s="18"/>
      <c r="E834" s="18"/>
      <c r="F834" s="44"/>
      <c r="G834" s="44"/>
    </row>
    <row r="835" spans="1:7" ht="15.75">
      <c r="A835" s="17"/>
      <c r="B835" s="18"/>
      <c r="C835" s="18"/>
      <c r="D835" s="18"/>
      <c r="E835" s="18"/>
      <c r="F835" s="44"/>
      <c r="G835" s="44"/>
    </row>
    <row r="836" spans="1:7" ht="15.75">
      <c r="A836" s="17"/>
      <c r="B836" s="18"/>
      <c r="C836" s="18"/>
      <c r="D836" s="18"/>
      <c r="E836" s="18"/>
      <c r="F836" s="44"/>
      <c r="G836" s="44"/>
    </row>
    <row r="837" spans="1:7" ht="15.75">
      <c r="A837" s="17"/>
      <c r="B837" s="18"/>
      <c r="C837" s="18"/>
      <c r="D837" s="18"/>
      <c r="E837" s="18"/>
      <c r="F837" s="44"/>
      <c r="G837" s="44"/>
    </row>
    <row r="838" spans="1:7" ht="15.75">
      <c r="A838" s="17"/>
      <c r="B838" s="18"/>
      <c r="C838" s="18"/>
      <c r="D838" s="18"/>
      <c r="E838" s="18"/>
      <c r="F838" s="44"/>
      <c r="G838" s="44"/>
    </row>
    <row r="839" spans="1:7" ht="15.75">
      <c r="A839" s="17"/>
      <c r="B839" s="18"/>
      <c r="C839" s="18"/>
      <c r="D839" s="18"/>
      <c r="E839" s="18"/>
      <c r="F839" s="44"/>
      <c r="G839" s="44"/>
    </row>
    <row r="840" spans="1:7" ht="15.75">
      <c r="A840" s="17"/>
      <c r="B840" s="18"/>
      <c r="C840" s="18"/>
      <c r="D840" s="18"/>
      <c r="E840" s="18"/>
      <c r="F840" s="44"/>
      <c r="G840" s="44"/>
    </row>
    <row r="841" spans="1:7" ht="15.75">
      <c r="A841" s="17"/>
      <c r="B841" s="18"/>
      <c r="C841" s="18"/>
      <c r="D841" s="18"/>
      <c r="E841" s="18"/>
      <c r="F841" s="44"/>
      <c r="G841" s="44"/>
    </row>
    <row r="842" spans="1:7" ht="15.75">
      <c r="A842" s="17"/>
      <c r="B842" s="18"/>
      <c r="C842" s="18"/>
      <c r="D842" s="18"/>
      <c r="E842" s="18"/>
      <c r="F842" s="44"/>
      <c r="G842" s="44"/>
    </row>
    <row r="843" spans="1:7" ht="15.75">
      <c r="A843" s="17"/>
      <c r="B843" s="18"/>
      <c r="C843" s="18"/>
      <c r="D843" s="18"/>
      <c r="E843" s="18"/>
      <c r="F843" s="44"/>
      <c r="G843" s="44"/>
    </row>
    <row r="844" spans="1:7" ht="15.75">
      <c r="A844" s="17"/>
      <c r="B844" s="18"/>
      <c r="C844" s="18"/>
      <c r="D844" s="18"/>
      <c r="E844" s="18"/>
      <c r="F844" s="44"/>
      <c r="G844" s="44"/>
    </row>
    <row r="845" spans="1:7" ht="15.75">
      <c r="A845" s="17"/>
      <c r="B845" s="18"/>
      <c r="C845" s="18"/>
      <c r="D845" s="18"/>
      <c r="E845" s="18"/>
      <c r="F845" s="44"/>
      <c r="G845" s="44"/>
    </row>
    <row r="846" spans="1:7" ht="15.75">
      <c r="A846" s="17"/>
      <c r="B846" s="18"/>
      <c r="C846" s="18"/>
      <c r="D846" s="18"/>
      <c r="E846" s="18"/>
      <c r="F846" s="44"/>
      <c r="G846" s="44"/>
    </row>
    <row r="847" spans="2:5" ht="15.75">
      <c r="B847" s="19"/>
      <c r="C847" s="19"/>
      <c r="D847" s="19"/>
      <c r="E847" s="19"/>
    </row>
    <row r="848" spans="2:5" ht="15.75">
      <c r="B848" s="19"/>
      <c r="C848" s="19"/>
      <c r="D848" s="19"/>
      <c r="E848" s="19"/>
    </row>
    <row r="849" spans="2:5" ht="15.75">
      <c r="B849" s="19"/>
      <c r="C849" s="19"/>
      <c r="D849" s="19"/>
      <c r="E849" s="19"/>
    </row>
    <row r="850" spans="2:5" ht="15.75">
      <c r="B850" s="19"/>
      <c r="C850" s="19"/>
      <c r="D850" s="19"/>
      <c r="E850" s="19"/>
    </row>
    <row r="851" spans="2:5" ht="15.75">
      <c r="B851" s="19"/>
      <c r="C851" s="19"/>
      <c r="D851" s="19"/>
      <c r="E851" s="19"/>
    </row>
    <row r="852" spans="2:5" ht="15.75">
      <c r="B852" s="19"/>
      <c r="C852" s="19"/>
      <c r="D852" s="19"/>
      <c r="E852" s="19"/>
    </row>
    <row r="853" spans="2:5" ht="15.75">
      <c r="B853" s="19"/>
      <c r="C853" s="19"/>
      <c r="D853" s="19"/>
      <c r="E853" s="19"/>
    </row>
    <row r="854" spans="2:5" ht="15.75">
      <c r="B854" s="19"/>
      <c r="C854" s="19"/>
      <c r="D854" s="19"/>
      <c r="E854" s="19"/>
    </row>
    <row r="855" spans="2:5" ht="15.75">
      <c r="B855" s="19"/>
      <c r="C855" s="19"/>
      <c r="D855" s="19"/>
      <c r="E855" s="19"/>
    </row>
    <row r="856" spans="2:5" ht="15.75">
      <c r="B856" s="19"/>
      <c r="C856" s="19"/>
      <c r="D856" s="19"/>
      <c r="E856" s="19"/>
    </row>
    <row r="857" spans="2:5" ht="15.75">
      <c r="B857" s="19"/>
      <c r="C857" s="19"/>
      <c r="D857" s="19"/>
      <c r="E857" s="19"/>
    </row>
    <row r="858" spans="2:5" ht="15.75">
      <c r="B858" s="19"/>
      <c r="C858" s="19"/>
      <c r="D858" s="19"/>
      <c r="E858" s="19"/>
    </row>
    <row r="859" spans="2:5" ht="15.75">
      <c r="B859" s="19"/>
      <c r="C859" s="19"/>
      <c r="D859" s="19"/>
      <c r="E859" s="19"/>
    </row>
    <row r="860" spans="2:5" ht="15.75">
      <c r="B860" s="19"/>
      <c r="C860" s="19"/>
      <c r="D860" s="19"/>
      <c r="E860" s="19"/>
    </row>
    <row r="861" spans="2:5" ht="15.75">
      <c r="B861" s="19"/>
      <c r="C861" s="19"/>
      <c r="D861" s="19"/>
      <c r="E861" s="19"/>
    </row>
    <row r="862" spans="2:5" ht="15.75">
      <c r="B862" s="19"/>
      <c r="C862" s="19"/>
      <c r="D862" s="19"/>
      <c r="E862" s="19"/>
    </row>
    <row r="863" spans="2:5" ht="15.75">
      <c r="B863" s="19"/>
      <c r="C863" s="19"/>
      <c r="D863" s="19"/>
      <c r="E863" s="19"/>
    </row>
    <row r="864" spans="2:5" ht="15.75">
      <c r="B864" s="19"/>
      <c r="C864" s="19"/>
      <c r="D864" s="19"/>
      <c r="E864" s="19"/>
    </row>
    <row r="865" spans="2:5" ht="15.75">
      <c r="B865" s="19"/>
      <c r="C865" s="19"/>
      <c r="D865" s="19"/>
      <c r="E865" s="19"/>
    </row>
    <row r="866" spans="2:5" ht="15.75">
      <c r="B866" s="19"/>
      <c r="C866" s="19"/>
      <c r="D866" s="19"/>
      <c r="E866" s="19"/>
    </row>
    <row r="867" spans="2:5" ht="15.75">
      <c r="B867" s="19"/>
      <c r="C867" s="19"/>
      <c r="D867" s="19"/>
      <c r="E867" s="19"/>
    </row>
    <row r="868" spans="2:5" ht="15.75">
      <c r="B868" s="19"/>
      <c r="C868" s="19"/>
      <c r="D868" s="19"/>
      <c r="E868" s="19"/>
    </row>
    <row r="869" spans="2:5" ht="15.75">
      <c r="B869" s="19"/>
      <c r="C869" s="19"/>
      <c r="D869" s="19"/>
      <c r="E869" s="19"/>
    </row>
    <row r="870" spans="2:5" ht="15.75">
      <c r="B870" s="19"/>
      <c r="C870" s="19"/>
      <c r="D870" s="19"/>
      <c r="E870" s="19"/>
    </row>
    <row r="871" spans="2:5" ht="15.75">
      <c r="B871" s="19"/>
      <c r="C871" s="19"/>
      <c r="D871" s="19"/>
      <c r="E871" s="19"/>
    </row>
    <row r="872" spans="2:5" ht="15.75">
      <c r="B872" s="19"/>
      <c r="C872" s="19"/>
      <c r="D872" s="19"/>
      <c r="E872" s="19"/>
    </row>
    <row r="873" spans="2:5" ht="15.75">
      <c r="B873" s="19"/>
      <c r="C873" s="19"/>
      <c r="D873" s="19"/>
      <c r="E873" s="19"/>
    </row>
    <row r="874" spans="2:5" ht="15.75">
      <c r="B874" s="19"/>
      <c r="C874" s="19"/>
      <c r="D874" s="19"/>
      <c r="E874" s="19"/>
    </row>
    <row r="875" spans="2:5" ht="15.75">
      <c r="B875" s="19"/>
      <c r="C875" s="19"/>
      <c r="D875" s="19"/>
      <c r="E875" s="19"/>
    </row>
    <row r="876" spans="2:5" ht="15.75">
      <c r="B876" s="19"/>
      <c r="C876" s="19"/>
      <c r="D876" s="19"/>
      <c r="E876" s="19"/>
    </row>
    <row r="877" spans="2:5" ht="15.75">
      <c r="B877" s="19"/>
      <c r="C877" s="19"/>
      <c r="D877" s="19"/>
      <c r="E877" s="19"/>
    </row>
    <row r="878" spans="2:5" ht="15.75">
      <c r="B878" s="19"/>
      <c r="C878" s="19"/>
      <c r="D878" s="19"/>
      <c r="E878" s="19"/>
    </row>
    <row r="879" spans="2:5" ht="15.75">
      <c r="B879" s="19"/>
      <c r="C879" s="19"/>
      <c r="D879" s="19"/>
      <c r="E879" s="19"/>
    </row>
    <row r="880" spans="2:5" ht="15.75">
      <c r="B880" s="19"/>
      <c r="C880" s="19"/>
      <c r="D880" s="19"/>
      <c r="E880" s="19"/>
    </row>
    <row r="881" spans="2:5" ht="15.75">
      <c r="B881" s="19"/>
      <c r="C881" s="19"/>
      <c r="D881" s="19"/>
      <c r="E881" s="19"/>
    </row>
    <row r="882" spans="2:5" ht="15.75">
      <c r="B882" s="19"/>
      <c r="C882" s="19"/>
      <c r="D882" s="19"/>
      <c r="E882" s="19"/>
    </row>
    <row r="883" spans="2:5" ht="15.75">
      <c r="B883" s="19"/>
      <c r="C883" s="19"/>
      <c r="D883" s="19"/>
      <c r="E883" s="19"/>
    </row>
    <row r="884" spans="2:5" ht="15.75">
      <c r="B884" s="19"/>
      <c r="C884" s="19"/>
      <c r="D884" s="19"/>
      <c r="E884" s="19"/>
    </row>
    <row r="885" spans="2:5" ht="15.75">
      <c r="B885" s="19"/>
      <c r="C885" s="19"/>
      <c r="D885" s="19"/>
      <c r="E885" s="19"/>
    </row>
    <row r="886" spans="2:5" ht="15.75">
      <c r="B886" s="19"/>
      <c r="C886" s="19"/>
      <c r="D886" s="19"/>
      <c r="E886" s="19"/>
    </row>
    <row r="887" spans="2:5" ht="15.75">
      <c r="B887" s="19"/>
      <c r="C887" s="19"/>
      <c r="D887" s="19"/>
      <c r="E887" s="19"/>
    </row>
    <row r="888" spans="2:5" ht="15.75">
      <c r="B888" s="19"/>
      <c r="C888" s="19"/>
      <c r="D888" s="19"/>
      <c r="E888" s="19"/>
    </row>
    <row r="889" spans="2:5" ht="15.75">
      <c r="B889" s="19"/>
      <c r="C889" s="19"/>
      <c r="D889" s="19"/>
      <c r="E889" s="19"/>
    </row>
    <row r="890" spans="2:5" ht="15.75">
      <c r="B890" s="19"/>
      <c r="C890" s="19"/>
      <c r="D890" s="19"/>
      <c r="E890" s="19"/>
    </row>
    <row r="891" spans="2:5" ht="15.75">
      <c r="B891" s="19"/>
      <c r="C891" s="19"/>
      <c r="D891" s="19"/>
      <c r="E891" s="19"/>
    </row>
    <row r="892" spans="2:5" ht="15.75">
      <c r="B892" s="19"/>
      <c r="C892" s="19"/>
      <c r="D892" s="19"/>
      <c r="E892" s="19"/>
    </row>
    <row r="893" spans="2:5" ht="15.75">
      <c r="B893" s="19"/>
      <c r="C893" s="19"/>
      <c r="D893" s="19"/>
      <c r="E893" s="19"/>
    </row>
    <row r="894" spans="2:5" ht="15.75">
      <c r="B894" s="19"/>
      <c r="C894" s="19"/>
      <c r="D894" s="19"/>
      <c r="E894" s="19"/>
    </row>
    <row r="895" spans="2:5" ht="15.75">
      <c r="B895" s="19"/>
      <c r="C895" s="19"/>
      <c r="D895" s="19"/>
      <c r="E895" s="19"/>
    </row>
    <row r="896" spans="2:5" ht="15.75">
      <c r="B896" s="19"/>
      <c r="C896" s="19"/>
      <c r="D896" s="19"/>
      <c r="E896" s="19"/>
    </row>
    <row r="897" spans="2:5" ht="15.75">
      <c r="B897" s="19"/>
      <c r="C897" s="19"/>
      <c r="D897" s="19"/>
      <c r="E897" s="19"/>
    </row>
    <row r="898" spans="2:5" ht="15.75">
      <c r="B898" s="19"/>
      <c r="C898" s="19"/>
      <c r="D898" s="19"/>
      <c r="E898" s="19"/>
    </row>
    <row r="899" spans="2:5" ht="15.75">
      <c r="B899" s="19"/>
      <c r="C899" s="19"/>
      <c r="D899" s="19"/>
      <c r="E899" s="19"/>
    </row>
    <row r="900" spans="2:5" ht="15.75">
      <c r="B900" s="19"/>
      <c r="C900" s="19"/>
      <c r="D900" s="19"/>
      <c r="E900" s="19"/>
    </row>
    <row r="901" spans="2:5" ht="15.75">
      <c r="B901" s="19"/>
      <c r="C901" s="19"/>
      <c r="D901" s="19"/>
      <c r="E901" s="19"/>
    </row>
    <row r="902" spans="2:5" ht="15.75">
      <c r="B902" s="19"/>
      <c r="C902" s="19"/>
      <c r="D902" s="19"/>
      <c r="E902" s="19"/>
    </row>
    <row r="903" spans="2:5" ht="15.75">
      <c r="B903" s="19"/>
      <c r="C903" s="19"/>
      <c r="D903" s="19"/>
      <c r="E903" s="19"/>
    </row>
    <row r="904" spans="2:5" ht="15.75">
      <c r="B904" s="19"/>
      <c r="C904" s="19"/>
      <c r="D904" s="19"/>
      <c r="E904" s="19"/>
    </row>
    <row r="905" spans="2:5" ht="15.75">
      <c r="B905" s="19"/>
      <c r="C905" s="19"/>
      <c r="D905" s="19"/>
      <c r="E905" s="19"/>
    </row>
    <row r="906" spans="2:5" ht="15.75">
      <c r="B906" s="19"/>
      <c r="C906" s="19"/>
      <c r="D906" s="19"/>
      <c r="E906" s="19"/>
    </row>
    <row r="907" spans="2:5" ht="15.75">
      <c r="B907" s="19"/>
      <c r="C907" s="19"/>
      <c r="D907" s="19"/>
      <c r="E907" s="19"/>
    </row>
    <row r="908" spans="2:5" ht="15.75">
      <c r="B908" s="19"/>
      <c r="C908" s="19"/>
      <c r="D908" s="19"/>
      <c r="E908" s="19"/>
    </row>
    <row r="909" spans="2:5" ht="15.75">
      <c r="B909" s="19"/>
      <c r="C909" s="19"/>
      <c r="D909" s="19"/>
      <c r="E909" s="19"/>
    </row>
    <row r="910" spans="2:5" ht="15.75">
      <c r="B910" s="19"/>
      <c r="C910" s="19"/>
      <c r="D910" s="19"/>
      <c r="E910" s="19"/>
    </row>
    <row r="911" spans="2:5" ht="15.75">
      <c r="B911" s="19"/>
      <c r="C911" s="19"/>
      <c r="D911" s="19"/>
      <c r="E911" s="19"/>
    </row>
    <row r="912" spans="2:5" ht="15.75">
      <c r="B912" s="19"/>
      <c r="C912" s="19"/>
      <c r="D912" s="19"/>
      <c r="E912" s="19"/>
    </row>
    <row r="913" spans="2:5" ht="15.75">
      <c r="B913" s="19"/>
      <c r="C913" s="19"/>
      <c r="D913" s="19"/>
      <c r="E913" s="19"/>
    </row>
  </sheetData>
  <sheetProtection/>
  <mergeCells count="18">
    <mergeCell ref="G629:G630"/>
    <mergeCell ref="A6:G6"/>
    <mergeCell ref="D3:G3"/>
    <mergeCell ref="F1:G1"/>
    <mergeCell ref="B629:B630"/>
    <mergeCell ref="C629:C630"/>
    <mergeCell ref="D629:D630"/>
    <mergeCell ref="E629:E630"/>
    <mergeCell ref="C2:G2"/>
    <mergeCell ref="F629:F630"/>
    <mergeCell ref="A4:H4"/>
    <mergeCell ref="A5:H5"/>
    <mergeCell ref="F49:F50"/>
    <mergeCell ref="G49:G50"/>
    <mergeCell ref="B49:B50"/>
    <mergeCell ref="C49:C50"/>
    <mergeCell ref="D49:D50"/>
    <mergeCell ref="E49:E50"/>
  </mergeCells>
  <printOptions horizontalCentered="1"/>
  <pageMargins left="0.5905511811023623" right="0.3937007874015748" top="0.26" bottom="0.25" header="0.29" footer="0.27"/>
  <pageSetup fitToHeight="65" fitToWidth="1" horizontalDpi="600" verticalDpi="600" orientation="portrait" paperSize="9" scale="83" r:id="rId1"/>
  <headerFooter alignWithMargins="0">
    <oddFooter>&amp;CСтраница &amp;P&amp;R&amp;A</oddFooter>
  </headerFooter>
</worksheet>
</file>

<file path=xl/worksheets/sheet5.xml><?xml version="1.0" encoding="utf-8"?>
<worksheet xmlns="http://schemas.openxmlformats.org/spreadsheetml/2006/main" xmlns:r="http://schemas.openxmlformats.org/officeDocument/2006/relationships">
  <sheetPr>
    <tabColor rgb="FF00B050"/>
  </sheetPr>
  <dimension ref="A1:N1064"/>
  <sheetViews>
    <sheetView zoomScale="85" zoomScaleNormal="85" zoomScalePageLayoutView="0" workbookViewId="0" topLeftCell="A1">
      <selection activeCell="T11" sqref="T11"/>
    </sheetView>
  </sheetViews>
  <sheetFormatPr defaultColWidth="9.00390625" defaultRowHeight="12.75"/>
  <cols>
    <col min="1" max="1" width="36.625" style="12" customWidth="1"/>
    <col min="2" max="2" width="8.25390625" style="12" customWidth="1"/>
    <col min="3" max="3" width="6.125" style="12" customWidth="1"/>
    <col min="4" max="4" width="8.75390625" style="12" customWidth="1"/>
    <col min="5" max="5" width="11.75390625" style="12" customWidth="1"/>
    <col min="6" max="6" width="10.00390625" style="12" customWidth="1"/>
    <col min="7" max="7" width="26.75390625" style="12" customWidth="1"/>
    <col min="8" max="8" width="20.125" style="12" customWidth="1"/>
    <col min="9" max="9" width="15.625" style="26" hidden="1" customWidth="1"/>
    <col min="10" max="10" width="23.75390625" style="12" hidden="1" customWidth="1"/>
    <col min="11" max="11" width="16.25390625" style="12" hidden="1" customWidth="1"/>
    <col min="12" max="12" width="0" style="12" hidden="1" customWidth="1"/>
    <col min="13" max="13" width="34.375" style="208" hidden="1" customWidth="1"/>
    <col min="14" max="14" width="25.00390625" style="12" hidden="1" customWidth="1"/>
    <col min="15" max="16384" width="9.125" style="12" customWidth="1"/>
  </cols>
  <sheetData>
    <row r="1" spans="1:8" ht="15.75">
      <c r="A1" s="224" t="s">
        <v>647</v>
      </c>
      <c r="B1" s="224"/>
      <c r="C1" s="224"/>
      <c r="D1" s="224"/>
      <c r="E1" s="224"/>
      <c r="F1" s="224"/>
      <c r="G1" s="224"/>
      <c r="H1" s="224"/>
    </row>
    <row r="2" spans="2:8" ht="15.75" customHeight="1">
      <c r="B2" s="30"/>
      <c r="C2" s="30"/>
      <c r="D2" s="30"/>
      <c r="E2" s="224" t="s">
        <v>566</v>
      </c>
      <c r="F2" s="224"/>
      <c r="G2" s="224"/>
      <c r="H2" s="224"/>
    </row>
    <row r="3" spans="1:8" ht="15.75">
      <c r="A3" s="30"/>
      <c r="B3" s="30"/>
      <c r="C3" s="30"/>
      <c r="D3" s="30"/>
      <c r="E3" s="224" t="s">
        <v>326</v>
      </c>
      <c r="F3" s="224"/>
      <c r="G3" s="224"/>
      <c r="H3" s="224"/>
    </row>
    <row r="4" spans="1:8" ht="15.75">
      <c r="A4" s="224" t="s">
        <v>785</v>
      </c>
      <c r="B4" s="224"/>
      <c r="C4" s="224"/>
      <c r="D4" s="224"/>
      <c r="E4" s="224"/>
      <c r="F4" s="224"/>
      <c r="G4" s="224"/>
      <c r="H4" s="224"/>
    </row>
    <row r="5" spans="1:11" s="215" customFormat="1" ht="15.75">
      <c r="A5" s="52"/>
      <c r="B5" s="224" t="s">
        <v>882</v>
      </c>
      <c r="C5" s="224"/>
      <c r="D5" s="224"/>
      <c r="E5" s="224"/>
      <c r="F5" s="224"/>
      <c r="G5" s="224"/>
      <c r="H5" s="224"/>
      <c r="I5" s="224"/>
      <c r="J5" s="224"/>
      <c r="K5" s="224"/>
    </row>
    <row r="6" spans="3:8" ht="15.75">
      <c r="C6" s="52"/>
      <c r="D6" s="52"/>
      <c r="E6" s="30"/>
      <c r="F6" s="30"/>
      <c r="G6" s="30"/>
      <c r="H6" s="30"/>
    </row>
    <row r="7" spans="1:8" ht="15.75" customHeight="1">
      <c r="A7" s="239" t="s">
        <v>292</v>
      </c>
      <c r="B7" s="239"/>
      <c r="C7" s="239"/>
      <c r="D7" s="239"/>
      <c r="E7" s="239"/>
      <c r="F7" s="239"/>
      <c r="G7" s="239"/>
      <c r="H7" s="239"/>
    </row>
    <row r="8" spans="7:8" ht="15.75">
      <c r="G8" s="22"/>
      <c r="H8" s="22" t="s">
        <v>682</v>
      </c>
    </row>
    <row r="9" spans="1:8" ht="139.5" customHeight="1">
      <c r="A9" s="15" t="s">
        <v>649</v>
      </c>
      <c r="B9" s="15" t="s">
        <v>352</v>
      </c>
      <c r="C9" s="15" t="s">
        <v>684</v>
      </c>
      <c r="D9" s="15" t="s">
        <v>667</v>
      </c>
      <c r="E9" s="15" t="s">
        <v>669</v>
      </c>
      <c r="F9" s="15" t="s">
        <v>668</v>
      </c>
      <c r="G9" s="15" t="s">
        <v>650</v>
      </c>
      <c r="H9" s="15" t="s">
        <v>309</v>
      </c>
    </row>
    <row r="10" spans="1:8" ht="15.75">
      <c r="A10" s="15">
        <v>1</v>
      </c>
      <c r="B10" s="15">
        <v>2</v>
      </c>
      <c r="C10" s="15">
        <v>3</v>
      </c>
      <c r="D10" s="15">
        <v>4</v>
      </c>
      <c r="E10" s="15">
        <v>5</v>
      </c>
      <c r="F10" s="15">
        <v>6</v>
      </c>
      <c r="G10" s="15">
        <v>7</v>
      </c>
      <c r="H10" s="15">
        <v>8</v>
      </c>
    </row>
    <row r="11" spans="1:8" ht="112.5">
      <c r="A11" s="10" t="s">
        <v>643</v>
      </c>
      <c r="B11" s="11" t="s">
        <v>353</v>
      </c>
      <c r="C11" s="11"/>
      <c r="D11" s="11"/>
      <c r="E11" s="11"/>
      <c r="F11" s="11"/>
      <c r="G11" s="35">
        <f>G12+G48</f>
        <v>8381559.48</v>
      </c>
      <c r="H11" s="35"/>
    </row>
    <row r="12" spans="1:8" ht="31.5">
      <c r="A12" s="1" t="s">
        <v>670</v>
      </c>
      <c r="B12" s="2" t="s">
        <v>353</v>
      </c>
      <c r="C12" s="2" t="s">
        <v>651</v>
      </c>
      <c r="D12" s="2"/>
      <c r="E12" s="9"/>
      <c r="F12" s="9"/>
      <c r="G12" s="36">
        <f>G13+G22+G39</f>
        <v>8181519.48</v>
      </c>
      <c r="H12" s="36"/>
    </row>
    <row r="13" spans="1:10" ht="63">
      <c r="A13" s="1" t="s">
        <v>362</v>
      </c>
      <c r="B13" s="2" t="s">
        <v>353</v>
      </c>
      <c r="C13" s="2" t="s">
        <v>651</v>
      </c>
      <c r="D13" s="2" t="s">
        <v>656</v>
      </c>
      <c r="E13" s="2"/>
      <c r="F13" s="2"/>
      <c r="G13" s="33">
        <f>G14</f>
        <v>2307438.4699999997</v>
      </c>
      <c r="H13" s="33"/>
      <c r="J13" s="26"/>
    </row>
    <row r="14" spans="1:8" ht="20.25" customHeight="1">
      <c r="A14" s="27" t="s">
        <v>699</v>
      </c>
      <c r="B14" s="4" t="s">
        <v>353</v>
      </c>
      <c r="C14" s="4" t="s">
        <v>651</v>
      </c>
      <c r="D14" s="4" t="s">
        <v>656</v>
      </c>
      <c r="E14" s="4" t="s">
        <v>700</v>
      </c>
      <c r="F14" s="4"/>
      <c r="G14" s="29">
        <f>G15+G20+G17</f>
        <v>2307438.4699999997</v>
      </c>
      <c r="H14" s="29"/>
    </row>
    <row r="15" spans="1:8" ht="47.25">
      <c r="A15" s="3" t="s">
        <v>233</v>
      </c>
      <c r="B15" s="4" t="s">
        <v>353</v>
      </c>
      <c r="C15" s="4" t="s">
        <v>651</v>
      </c>
      <c r="D15" s="4" t="s">
        <v>656</v>
      </c>
      <c r="E15" s="4" t="s">
        <v>234</v>
      </c>
      <c r="F15" s="4"/>
      <c r="G15" s="29">
        <f>G16</f>
        <v>2143261.26</v>
      </c>
      <c r="H15" s="29"/>
    </row>
    <row r="16" spans="1:10" ht="110.25">
      <c r="A16" s="3" t="s">
        <v>701</v>
      </c>
      <c r="B16" s="4" t="s">
        <v>353</v>
      </c>
      <c r="C16" s="4" t="s">
        <v>651</v>
      </c>
      <c r="D16" s="4" t="s">
        <v>656</v>
      </c>
      <c r="E16" s="4" t="s">
        <v>234</v>
      </c>
      <c r="F16" s="4" t="s">
        <v>312</v>
      </c>
      <c r="G16" s="29">
        <v>2143261.26</v>
      </c>
      <c r="H16" s="29"/>
      <c r="J16" s="26"/>
    </row>
    <row r="17" spans="1:10" ht="54" customHeight="1">
      <c r="A17" s="3" t="s">
        <v>47</v>
      </c>
      <c r="B17" s="4" t="s">
        <v>353</v>
      </c>
      <c r="C17" s="4" t="s">
        <v>651</v>
      </c>
      <c r="D17" s="4" t="s">
        <v>656</v>
      </c>
      <c r="E17" s="4" t="s">
        <v>48</v>
      </c>
      <c r="F17" s="4"/>
      <c r="G17" s="29">
        <f>G18+G19</f>
        <v>119177.21</v>
      </c>
      <c r="H17" s="29"/>
      <c r="J17" s="26"/>
    </row>
    <row r="18" spans="1:10" ht="137.25" customHeight="1">
      <c r="A18" s="3" t="s">
        <v>701</v>
      </c>
      <c r="B18" s="4" t="s">
        <v>353</v>
      </c>
      <c r="C18" s="4" t="s">
        <v>651</v>
      </c>
      <c r="D18" s="4" t="s">
        <v>656</v>
      </c>
      <c r="E18" s="4" t="s">
        <v>48</v>
      </c>
      <c r="F18" s="4" t="s">
        <v>312</v>
      </c>
      <c r="G18" s="29">
        <f>19801+32000+11000-15000-3000+18000</f>
        <v>62801</v>
      </c>
      <c r="H18" s="29"/>
      <c r="J18" s="26"/>
    </row>
    <row r="19" spans="1:10" ht="47.25">
      <c r="A19" s="3" t="s">
        <v>702</v>
      </c>
      <c r="B19" s="4" t="s">
        <v>353</v>
      </c>
      <c r="C19" s="4" t="s">
        <v>651</v>
      </c>
      <c r="D19" s="4" t="s">
        <v>656</v>
      </c>
      <c r="E19" s="4" t="s">
        <v>48</v>
      </c>
      <c r="F19" s="4" t="s">
        <v>313</v>
      </c>
      <c r="G19" s="29">
        <f>117376.21-32000-11000-18000</f>
        <v>56376.21000000001</v>
      </c>
      <c r="H19" s="29"/>
      <c r="J19" s="26"/>
    </row>
    <row r="20" spans="1:8" ht="94.5">
      <c r="A20" s="3" t="s">
        <v>235</v>
      </c>
      <c r="B20" s="4" t="s">
        <v>353</v>
      </c>
      <c r="C20" s="4" t="s">
        <v>651</v>
      </c>
      <c r="D20" s="4" t="s">
        <v>656</v>
      </c>
      <c r="E20" s="4" t="s">
        <v>236</v>
      </c>
      <c r="F20" s="4"/>
      <c r="G20" s="29">
        <f>G21</f>
        <v>45000</v>
      </c>
      <c r="H20" s="29"/>
    </row>
    <row r="21" spans="1:8" ht="110.25">
      <c r="A21" s="3" t="s">
        <v>701</v>
      </c>
      <c r="B21" s="4" t="s">
        <v>353</v>
      </c>
      <c r="C21" s="4" t="s">
        <v>651</v>
      </c>
      <c r="D21" s="4" t="s">
        <v>656</v>
      </c>
      <c r="E21" s="4" t="s">
        <v>236</v>
      </c>
      <c r="F21" s="4" t="s">
        <v>312</v>
      </c>
      <c r="G21" s="29">
        <v>45000</v>
      </c>
      <c r="H21" s="29"/>
    </row>
    <row r="22" spans="1:8" ht="78.75">
      <c r="A22" s="1" t="s">
        <v>318</v>
      </c>
      <c r="B22" s="2" t="s">
        <v>353</v>
      </c>
      <c r="C22" s="2" t="s">
        <v>651</v>
      </c>
      <c r="D22" s="2" t="s">
        <v>658</v>
      </c>
      <c r="E22" s="2"/>
      <c r="F22" s="2"/>
      <c r="G22" s="33">
        <f>G23</f>
        <v>5582081.010000001</v>
      </c>
      <c r="H22" s="33"/>
    </row>
    <row r="23" spans="1:13" s="25" customFormat="1" ht="15.75">
      <c r="A23" s="27" t="s">
        <v>699</v>
      </c>
      <c r="B23" s="4" t="s">
        <v>353</v>
      </c>
      <c r="C23" s="4" t="s">
        <v>651</v>
      </c>
      <c r="D23" s="4" t="s">
        <v>658</v>
      </c>
      <c r="E23" s="4" t="s">
        <v>700</v>
      </c>
      <c r="F23" s="4"/>
      <c r="G23" s="29">
        <f>G24+G29+G31+G37+G26+G34</f>
        <v>5582081.010000001</v>
      </c>
      <c r="H23" s="29"/>
      <c r="I23" s="47"/>
      <c r="M23" s="44"/>
    </row>
    <row r="24" spans="1:13" s="25" customFormat="1" ht="63">
      <c r="A24" s="3" t="s">
        <v>237</v>
      </c>
      <c r="B24" s="4" t="s">
        <v>353</v>
      </c>
      <c r="C24" s="4" t="s">
        <v>651</v>
      </c>
      <c r="D24" s="4" t="s">
        <v>658</v>
      </c>
      <c r="E24" s="4" t="s">
        <v>238</v>
      </c>
      <c r="F24" s="4"/>
      <c r="G24" s="29">
        <f>G25</f>
        <v>1576145.02</v>
      </c>
      <c r="H24" s="29"/>
      <c r="I24" s="47"/>
      <c r="M24" s="44"/>
    </row>
    <row r="25" spans="1:8" ht="126" customHeight="1">
      <c r="A25" s="3" t="s">
        <v>701</v>
      </c>
      <c r="B25" s="4" t="s">
        <v>353</v>
      </c>
      <c r="C25" s="4" t="s">
        <v>651</v>
      </c>
      <c r="D25" s="4" t="s">
        <v>658</v>
      </c>
      <c r="E25" s="4" t="s">
        <v>238</v>
      </c>
      <c r="F25" s="4" t="s">
        <v>312</v>
      </c>
      <c r="G25" s="29">
        <v>1576145.02</v>
      </c>
      <c r="H25" s="29"/>
    </row>
    <row r="26" spans="1:8" ht="63">
      <c r="A26" s="3" t="s">
        <v>49</v>
      </c>
      <c r="B26" s="4" t="s">
        <v>353</v>
      </c>
      <c r="C26" s="4" t="s">
        <v>651</v>
      </c>
      <c r="D26" s="4" t="s">
        <v>658</v>
      </c>
      <c r="E26" s="4" t="s">
        <v>50</v>
      </c>
      <c r="F26" s="4"/>
      <c r="G26" s="29">
        <f>G27+G28</f>
        <v>19272.33</v>
      </c>
      <c r="H26" s="29"/>
    </row>
    <row r="27" spans="1:8" ht="110.25">
      <c r="A27" s="3" t="s">
        <v>701</v>
      </c>
      <c r="B27" s="4" t="s">
        <v>353</v>
      </c>
      <c r="C27" s="4" t="s">
        <v>651</v>
      </c>
      <c r="D27" s="4" t="s">
        <v>658</v>
      </c>
      <c r="E27" s="4" t="s">
        <v>50</v>
      </c>
      <c r="F27" s="4" t="s">
        <v>312</v>
      </c>
      <c r="G27" s="29">
        <v>7772.33</v>
      </c>
      <c r="H27" s="29"/>
    </row>
    <row r="28" spans="1:10" ht="47.25">
      <c r="A28" s="3" t="s">
        <v>702</v>
      </c>
      <c r="B28" s="4" t="s">
        <v>353</v>
      </c>
      <c r="C28" s="4" t="s">
        <v>651</v>
      </c>
      <c r="D28" s="4" t="s">
        <v>658</v>
      </c>
      <c r="E28" s="4" t="s">
        <v>50</v>
      </c>
      <c r="F28" s="4" t="s">
        <v>313</v>
      </c>
      <c r="G28" s="29">
        <f>50000-6000-3000-1000-28500</f>
        <v>11500</v>
      </c>
      <c r="H28" s="29"/>
      <c r="J28" s="26"/>
    </row>
    <row r="29" spans="1:8" ht="47.25">
      <c r="A29" s="3" t="s">
        <v>239</v>
      </c>
      <c r="B29" s="4" t="s">
        <v>353</v>
      </c>
      <c r="C29" s="4" t="s">
        <v>651</v>
      </c>
      <c r="D29" s="4" t="s">
        <v>658</v>
      </c>
      <c r="E29" s="4" t="s">
        <v>240</v>
      </c>
      <c r="F29" s="4"/>
      <c r="G29" s="29">
        <f>G30</f>
        <v>3299831.5900000003</v>
      </c>
      <c r="H29" s="29"/>
    </row>
    <row r="30" spans="1:8" ht="110.25">
      <c r="A30" s="3" t="s">
        <v>701</v>
      </c>
      <c r="B30" s="4" t="s">
        <v>353</v>
      </c>
      <c r="C30" s="4" t="s">
        <v>651</v>
      </c>
      <c r="D30" s="4" t="s">
        <v>658</v>
      </c>
      <c r="E30" s="4" t="s">
        <v>240</v>
      </c>
      <c r="F30" s="4" t="s">
        <v>312</v>
      </c>
      <c r="G30" s="29">
        <f>3815634.71-380000-19902.11-65901.01-50000</f>
        <v>3299831.5900000003</v>
      </c>
      <c r="H30" s="29"/>
    </row>
    <row r="31" spans="1:13" ht="47.25">
      <c r="A31" s="3" t="s">
        <v>241</v>
      </c>
      <c r="B31" s="4" t="s">
        <v>353</v>
      </c>
      <c r="C31" s="4" t="s">
        <v>651</v>
      </c>
      <c r="D31" s="4" t="s">
        <v>658</v>
      </c>
      <c r="E31" s="4" t="s">
        <v>242</v>
      </c>
      <c r="F31" s="4"/>
      <c r="G31" s="29">
        <f>G32+G33</f>
        <v>97928.95</v>
      </c>
      <c r="H31" s="29"/>
      <c r="J31" s="26"/>
      <c r="M31" s="208" t="s">
        <v>870</v>
      </c>
    </row>
    <row r="32" spans="1:14" ht="164.25" customHeight="1">
      <c r="A32" s="3" t="s">
        <v>701</v>
      </c>
      <c r="B32" s="4" t="s">
        <v>353</v>
      </c>
      <c r="C32" s="4" t="s">
        <v>651</v>
      </c>
      <c r="D32" s="4" t="s">
        <v>658</v>
      </c>
      <c r="E32" s="4" t="s">
        <v>242</v>
      </c>
      <c r="F32" s="4" t="s">
        <v>312</v>
      </c>
      <c r="G32" s="29">
        <f>72900-10000-19000+26000</f>
        <v>69900</v>
      </c>
      <c r="H32" s="29"/>
      <c r="M32" s="208">
        <f>69900-43900</f>
        <v>26000</v>
      </c>
      <c r="N32" s="26"/>
    </row>
    <row r="33" spans="1:14" ht="54" customHeight="1">
      <c r="A33" s="3" t="s">
        <v>702</v>
      </c>
      <c r="B33" s="4" t="s">
        <v>353</v>
      </c>
      <c r="C33" s="4" t="s">
        <v>651</v>
      </c>
      <c r="D33" s="4" t="s">
        <v>658</v>
      </c>
      <c r="E33" s="4" t="s">
        <v>242</v>
      </c>
      <c r="F33" s="4" t="s">
        <v>313</v>
      </c>
      <c r="G33" s="29">
        <f>104528.95-10000-10000-30500-26000</f>
        <v>28028.949999999997</v>
      </c>
      <c r="H33" s="29"/>
      <c r="M33" s="208">
        <f>28028.95-54028.95</f>
        <v>-25999.999999999996</v>
      </c>
      <c r="N33" s="26"/>
    </row>
    <row r="34" spans="1:8" ht="236.25" customHeight="1">
      <c r="A34" s="3" t="s">
        <v>696</v>
      </c>
      <c r="B34" s="4" t="s">
        <v>353</v>
      </c>
      <c r="C34" s="4" t="s">
        <v>651</v>
      </c>
      <c r="D34" s="4" t="s">
        <v>658</v>
      </c>
      <c r="E34" s="4" t="s">
        <v>779</v>
      </c>
      <c r="F34" s="4"/>
      <c r="G34" s="29">
        <f>G36+G35</f>
        <v>465803.12</v>
      </c>
      <c r="H34" s="29"/>
    </row>
    <row r="35" spans="1:8" ht="110.25">
      <c r="A35" s="3" t="s">
        <v>701</v>
      </c>
      <c r="B35" s="4" t="s">
        <v>353</v>
      </c>
      <c r="C35" s="4" t="s">
        <v>651</v>
      </c>
      <c r="D35" s="4" t="s">
        <v>658</v>
      </c>
      <c r="E35" s="4" t="s">
        <v>779</v>
      </c>
      <c r="F35" s="4" t="s">
        <v>312</v>
      </c>
      <c r="G35" s="29">
        <f>19902.11+65901.01+64584.45</f>
        <v>150387.57</v>
      </c>
      <c r="H35" s="29"/>
    </row>
    <row r="36" spans="1:8" ht="31.5">
      <c r="A36" s="3" t="s">
        <v>560</v>
      </c>
      <c r="B36" s="4" t="s">
        <v>353</v>
      </c>
      <c r="C36" s="4" t="s">
        <v>651</v>
      </c>
      <c r="D36" s="4" t="s">
        <v>658</v>
      </c>
      <c r="E36" s="4" t="s">
        <v>779</v>
      </c>
      <c r="F36" s="4" t="s">
        <v>561</v>
      </c>
      <c r="G36" s="29">
        <f>380000-64584.45</f>
        <v>315415.55</v>
      </c>
      <c r="H36" s="29"/>
    </row>
    <row r="37" spans="1:8" ht="94.5">
      <c r="A37" s="3" t="s">
        <v>235</v>
      </c>
      <c r="B37" s="4" t="s">
        <v>353</v>
      </c>
      <c r="C37" s="4" t="s">
        <v>651</v>
      </c>
      <c r="D37" s="4" t="s">
        <v>658</v>
      </c>
      <c r="E37" s="4" t="s">
        <v>236</v>
      </c>
      <c r="F37" s="4"/>
      <c r="G37" s="29">
        <f>G38</f>
        <v>123100</v>
      </c>
      <c r="H37" s="29"/>
    </row>
    <row r="38" spans="1:8" ht="110.25">
      <c r="A38" s="3" t="s">
        <v>245</v>
      </c>
      <c r="B38" s="84" t="s">
        <v>353</v>
      </c>
      <c r="C38" s="4" t="s">
        <v>651</v>
      </c>
      <c r="D38" s="4" t="s">
        <v>658</v>
      </c>
      <c r="E38" s="4" t="s">
        <v>236</v>
      </c>
      <c r="F38" s="4" t="s">
        <v>312</v>
      </c>
      <c r="G38" s="29">
        <f>146900+76200-100000</f>
        <v>123100</v>
      </c>
      <c r="H38" s="29"/>
    </row>
    <row r="39" spans="1:13" s="16" customFormat="1" ht="38.25" customHeight="1">
      <c r="A39" s="1" t="s">
        <v>680</v>
      </c>
      <c r="B39" s="2" t="s">
        <v>353</v>
      </c>
      <c r="C39" s="2" t="s">
        <v>651</v>
      </c>
      <c r="D39" s="2" t="s">
        <v>310</v>
      </c>
      <c r="E39" s="2"/>
      <c r="F39" s="2"/>
      <c r="G39" s="33">
        <f>G40</f>
        <v>292000</v>
      </c>
      <c r="H39" s="33"/>
      <c r="I39" s="48"/>
      <c r="M39" s="209"/>
    </row>
    <row r="40" spans="1:8" ht="63">
      <c r="A40" s="27" t="s">
        <v>541</v>
      </c>
      <c r="B40" s="4" t="s">
        <v>353</v>
      </c>
      <c r="C40" s="4" t="s">
        <v>651</v>
      </c>
      <c r="D40" s="4" t="s">
        <v>310</v>
      </c>
      <c r="E40" s="4" t="s">
        <v>708</v>
      </c>
      <c r="F40" s="4"/>
      <c r="G40" s="29">
        <f>G41+G44</f>
        <v>292000</v>
      </c>
      <c r="H40" s="29"/>
    </row>
    <row r="41" spans="1:8" ht="47.25">
      <c r="A41" s="3" t="s">
        <v>381</v>
      </c>
      <c r="B41" s="4" t="s">
        <v>353</v>
      </c>
      <c r="C41" s="4" t="s">
        <v>651</v>
      </c>
      <c r="D41" s="4" t="s">
        <v>310</v>
      </c>
      <c r="E41" s="4" t="s">
        <v>382</v>
      </c>
      <c r="F41" s="4"/>
      <c r="G41" s="29">
        <f>G42</f>
        <v>222000</v>
      </c>
      <c r="H41" s="29"/>
    </row>
    <row r="42" spans="1:8" ht="31.5">
      <c r="A42" s="3" t="s">
        <v>719</v>
      </c>
      <c r="B42" s="4" t="s">
        <v>353</v>
      </c>
      <c r="C42" s="4" t="s">
        <v>651</v>
      </c>
      <c r="D42" s="4" t="s">
        <v>310</v>
      </c>
      <c r="E42" s="4" t="s">
        <v>278</v>
      </c>
      <c r="F42" s="61"/>
      <c r="G42" s="29">
        <f>G43</f>
        <v>222000</v>
      </c>
      <c r="H42" s="29"/>
    </row>
    <row r="43" spans="1:8" ht="47.25">
      <c r="A43" s="3" t="s">
        <v>702</v>
      </c>
      <c r="B43" s="4" t="s">
        <v>353</v>
      </c>
      <c r="C43" s="4" t="s">
        <v>651</v>
      </c>
      <c r="D43" s="4" t="s">
        <v>310</v>
      </c>
      <c r="E43" s="4" t="s">
        <v>278</v>
      </c>
      <c r="F43" s="61">
        <v>200</v>
      </c>
      <c r="G43" s="29">
        <f>62000+160000</f>
        <v>222000</v>
      </c>
      <c r="H43" s="29"/>
    </row>
    <row r="44" spans="1:8" ht="47.25">
      <c r="A44" s="3" t="s">
        <v>419</v>
      </c>
      <c r="B44" s="4" t="s">
        <v>353</v>
      </c>
      <c r="C44" s="4" t="s">
        <v>651</v>
      </c>
      <c r="D44" s="4" t="s">
        <v>310</v>
      </c>
      <c r="E44" s="4" t="s">
        <v>420</v>
      </c>
      <c r="F44" s="61"/>
      <c r="G44" s="29">
        <f>G45</f>
        <v>70000</v>
      </c>
      <c r="H44" s="29"/>
    </row>
    <row r="45" spans="1:8" ht="31.5">
      <c r="A45" s="3" t="s">
        <v>719</v>
      </c>
      <c r="B45" s="4" t="s">
        <v>353</v>
      </c>
      <c r="C45" s="4" t="s">
        <v>651</v>
      </c>
      <c r="D45" s="4" t="s">
        <v>310</v>
      </c>
      <c r="E45" s="4" t="s">
        <v>421</v>
      </c>
      <c r="F45" s="61"/>
      <c r="G45" s="29">
        <f>G46+G47</f>
        <v>70000</v>
      </c>
      <c r="H45" s="29"/>
    </row>
    <row r="46" spans="1:8" ht="124.5" customHeight="1">
      <c r="A46" s="3" t="s">
        <v>245</v>
      </c>
      <c r="B46" s="4" t="s">
        <v>353</v>
      </c>
      <c r="C46" s="4" t="s">
        <v>651</v>
      </c>
      <c r="D46" s="4" t="s">
        <v>310</v>
      </c>
      <c r="E46" s="4" t="s">
        <v>421</v>
      </c>
      <c r="F46" s="61">
        <v>100</v>
      </c>
      <c r="G46" s="29">
        <f>70000-20000-20000</f>
        <v>30000</v>
      </c>
      <c r="H46" s="29"/>
    </row>
    <row r="47" spans="1:8" ht="47.25">
      <c r="A47" s="3" t="s">
        <v>702</v>
      </c>
      <c r="B47" s="4" t="s">
        <v>353</v>
      </c>
      <c r="C47" s="4" t="s">
        <v>651</v>
      </c>
      <c r="D47" s="4" t="s">
        <v>310</v>
      </c>
      <c r="E47" s="4" t="s">
        <v>421</v>
      </c>
      <c r="F47" s="61">
        <v>200</v>
      </c>
      <c r="G47" s="29">
        <f>132000-92000</f>
        <v>40000</v>
      </c>
      <c r="H47" s="29"/>
    </row>
    <row r="48" spans="1:13" s="16" customFormat="1" ht="15.75">
      <c r="A48" s="1" t="s">
        <v>672</v>
      </c>
      <c r="B48" s="2" t="s">
        <v>353</v>
      </c>
      <c r="C48" s="2" t="s">
        <v>661</v>
      </c>
      <c r="D48" s="2"/>
      <c r="E48" s="2"/>
      <c r="F48" s="2"/>
      <c r="G48" s="33">
        <f>G49</f>
        <v>200040</v>
      </c>
      <c r="H48" s="33"/>
      <c r="I48" s="48"/>
      <c r="M48" s="209"/>
    </row>
    <row r="49" spans="1:8" ht="15.75">
      <c r="A49" s="3" t="s">
        <v>304</v>
      </c>
      <c r="B49" s="4" t="s">
        <v>353</v>
      </c>
      <c r="C49" s="4" t="s">
        <v>661</v>
      </c>
      <c r="D49" s="4" t="s">
        <v>659</v>
      </c>
      <c r="E49" s="4"/>
      <c r="F49" s="4"/>
      <c r="G49" s="29">
        <f>G50</f>
        <v>200040</v>
      </c>
      <c r="H49" s="29"/>
    </row>
    <row r="50" spans="1:10" ht="79.5" customHeight="1">
      <c r="A50" s="3" t="s">
        <v>548</v>
      </c>
      <c r="B50" s="4" t="s">
        <v>353</v>
      </c>
      <c r="C50" s="4" t="s">
        <v>661</v>
      </c>
      <c r="D50" s="4" t="s">
        <v>659</v>
      </c>
      <c r="E50" s="4" t="s">
        <v>703</v>
      </c>
      <c r="F50" s="4"/>
      <c r="G50" s="29">
        <f>G51</f>
        <v>200040</v>
      </c>
      <c r="H50" s="29"/>
      <c r="J50" s="26"/>
    </row>
    <row r="51" spans="1:8" ht="63">
      <c r="A51" s="3" t="s">
        <v>704</v>
      </c>
      <c r="B51" s="4" t="s">
        <v>353</v>
      </c>
      <c r="C51" s="4" t="s">
        <v>661</v>
      </c>
      <c r="D51" s="4" t="s">
        <v>659</v>
      </c>
      <c r="E51" s="4" t="s">
        <v>705</v>
      </c>
      <c r="F51" s="4"/>
      <c r="G51" s="29">
        <f>G52</f>
        <v>200040</v>
      </c>
      <c r="H51" s="29"/>
    </row>
    <row r="52" spans="1:8" ht="31.5">
      <c r="A52" s="3" t="s">
        <v>706</v>
      </c>
      <c r="B52" s="4" t="s">
        <v>353</v>
      </c>
      <c r="C52" s="4" t="s">
        <v>661</v>
      </c>
      <c r="D52" s="4" t="s">
        <v>659</v>
      </c>
      <c r="E52" s="4" t="s">
        <v>707</v>
      </c>
      <c r="F52" s="4"/>
      <c r="G52" s="29">
        <f>G53</f>
        <v>200040</v>
      </c>
      <c r="H52" s="29"/>
    </row>
    <row r="53" spans="1:8" ht="47.25">
      <c r="A53" s="3" t="s">
        <v>702</v>
      </c>
      <c r="B53" s="4" t="s">
        <v>353</v>
      </c>
      <c r="C53" s="4" t="s">
        <v>661</v>
      </c>
      <c r="D53" s="4" t="s">
        <v>659</v>
      </c>
      <c r="E53" s="4" t="s">
        <v>707</v>
      </c>
      <c r="F53" s="4" t="s">
        <v>313</v>
      </c>
      <c r="G53" s="29">
        <v>200040</v>
      </c>
      <c r="H53" s="29"/>
    </row>
    <row r="54" spans="1:14" ht="112.5">
      <c r="A54" s="10" t="s">
        <v>644</v>
      </c>
      <c r="B54" s="11" t="s">
        <v>354</v>
      </c>
      <c r="C54" s="11"/>
      <c r="D54" s="11"/>
      <c r="E54" s="11"/>
      <c r="F54" s="11"/>
      <c r="G54" s="35">
        <f>G55+G161+G188+G139+G202</f>
        <v>175932657.36</v>
      </c>
      <c r="H54" s="35">
        <f>H55+H161+H188+H139+H202</f>
        <v>4914100</v>
      </c>
      <c r="J54" s="26"/>
      <c r="M54" s="208">
        <f>176435799.7-176241599.7</f>
        <v>194200</v>
      </c>
      <c r="N54" s="26"/>
    </row>
    <row r="55" spans="1:14" ht="30" customHeight="1">
      <c r="A55" s="1" t="s">
        <v>670</v>
      </c>
      <c r="B55" s="2" t="s">
        <v>354</v>
      </c>
      <c r="C55" s="2" t="s">
        <v>651</v>
      </c>
      <c r="D55" s="9"/>
      <c r="E55" s="9"/>
      <c r="F55" s="9"/>
      <c r="G55" s="36">
        <f>G56+G73+G91</f>
        <v>90725156.16</v>
      </c>
      <c r="H55" s="36">
        <f>H56+H73+H91</f>
        <v>1065000</v>
      </c>
      <c r="J55" s="26"/>
      <c r="M55" s="208">
        <f>90634542.28-90685622.28</f>
        <v>-51080</v>
      </c>
      <c r="N55" s="26"/>
    </row>
    <row r="56" spans="1:10" ht="94.5">
      <c r="A56" s="1" t="s">
        <v>306</v>
      </c>
      <c r="B56" s="2" t="s">
        <v>354</v>
      </c>
      <c r="C56" s="2" t="s">
        <v>651</v>
      </c>
      <c r="D56" s="2" t="s">
        <v>661</v>
      </c>
      <c r="E56" s="2"/>
      <c r="F56" s="2"/>
      <c r="G56" s="33">
        <f>G57</f>
        <v>29829964.249999996</v>
      </c>
      <c r="H56" s="33"/>
      <c r="J56" s="26"/>
    </row>
    <row r="57" spans="1:10" ht="85.5" customHeight="1">
      <c r="A57" s="27" t="s">
        <v>541</v>
      </c>
      <c r="B57" s="4" t="s">
        <v>354</v>
      </c>
      <c r="C57" s="4" t="s">
        <v>651</v>
      </c>
      <c r="D57" s="4" t="s">
        <v>661</v>
      </c>
      <c r="E57" s="4" t="s">
        <v>708</v>
      </c>
      <c r="F57" s="4"/>
      <c r="G57" s="29">
        <f>G58</f>
        <v>29829964.249999996</v>
      </c>
      <c r="H57" s="29"/>
      <c r="J57" s="26"/>
    </row>
    <row r="58" spans="1:10" ht="66.75" customHeight="1">
      <c r="A58" s="27" t="s">
        <v>709</v>
      </c>
      <c r="B58" s="4" t="s">
        <v>354</v>
      </c>
      <c r="C58" s="4" t="s">
        <v>651</v>
      </c>
      <c r="D58" s="4" t="s">
        <v>661</v>
      </c>
      <c r="E58" s="4" t="s">
        <v>710</v>
      </c>
      <c r="F58" s="4"/>
      <c r="G58" s="29">
        <f>G59+G64+G66+G71+G61+G69</f>
        <v>29829964.249999996</v>
      </c>
      <c r="H58" s="29"/>
      <c r="J58" s="26"/>
    </row>
    <row r="59" spans="1:10" ht="47.25">
      <c r="A59" s="27" t="s">
        <v>246</v>
      </c>
      <c r="B59" s="4" t="s">
        <v>354</v>
      </c>
      <c r="C59" s="4" t="s">
        <v>651</v>
      </c>
      <c r="D59" s="4" t="s">
        <v>661</v>
      </c>
      <c r="E59" s="4" t="s">
        <v>247</v>
      </c>
      <c r="F59" s="4"/>
      <c r="G59" s="29">
        <f>G60</f>
        <v>1996972.0599999998</v>
      </c>
      <c r="H59" s="29"/>
      <c r="J59" s="26"/>
    </row>
    <row r="60" spans="1:10" ht="110.25">
      <c r="A60" s="27" t="s">
        <v>245</v>
      </c>
      <c r="B60" s="4" t="s">
        <v>354</v>
      </c>
      <c r="C60" s="4" t="s">
        <v>651</v>
      </c>
      <c r="D60" s="4" t="s">
        <v>661</v>
      </c>
      <c r="E60" s="4" t="s">
        <v>247</v>
      </c>
      <c r="F60" s="4" t="s">
        <v>312</v>
      </c>
      <c r="G60" s="29">
        <f>2101023.34-55331.74-5618-18734.83-24366.71</f>
        <v>1996972.0599999998</v>
      </c>
      <c r="H60" s="29"/>
      <c r="J60" s="26"/>
    </row>
    <row r="61" spans="1:10" ht="31.5">
      <c r="A61" s="27" t="s">
        <v>51</v>
      </c>
      <c r="B61" s="4" t="s">
        <v>354</v>
      </c>
      <c r="C61" s="4" t="s">
        <v>651</v>
      </c>
      <c r="D61" s="4" t="s">
        <v>661</v>
      </c>
      <c r="E61" s="4" t="s">
        <v>52</v>
      </c>
      <c r="F61" s="4"/>
      <c r="G61" s="29">
        <f>G62+G63</f>
        <v>145000</v>
      </c>
      <c r="H61" s="29"/>
      <c r="J61" s="26"/>
    </row>
    <row r="62" spans="1:10" ht="110.25">
      <c r="A62" s="27" t="s">
        <v>245</v>
      </c>
      <c r="B62" s="4" t="s">
        <v>354</v>
      </c>
      <c r="C62" s="4" t="s">
        <v>651</v>
      </c>
      <c r="D62" s="4" t="s">
        <v>661</v>
      </c>
      <c r="E62" s="4" t="s">
        <v>52</v>
      </c>
      <c r="F62" s="4" t="s">
        <v>312</v>
      </c>
      <c r="G62" s="29">
        <f>24000+35000+4000-14000</f>
        <v>49000</v>
      </c>
      <c r="H62" s="29"/>
      <c r="J62" s="26"/>
    </row>
    <row r="63" spans="1:10" ht="47.25">
      <c r="A63" s="27" t="s">
        <v>702</v>
      </c>
      <c r="B63" s="4" t="s">
        <v>354</v>
      </c>
      <c r="C63" s="4" t="s">
        <v>651</v>
      </c>
      <c r="D63" s="4" t="s">
        <v>661</v>
      </c>
      <c r="E63" s="4" t="s">
        <v>52</v>
      </c>
      <c r="F63" s="4" t="s">
        <v>313</v>
      </c>
      <c r="G63" s="29">
        <f>154586.98-35000-4000-4878.93-14708.05</f>
        <v>96000.00000000001</v>
      </c>
      <c r="H63" s="29"/>
      <c r="J63" s="26"/>
    </row>
    <row r="64" spans="1:10" ht="47.25">
      <c r="A64" s="27" t="s">
        <v>239</v>
      </c>
      <c r="B64" s="4" t="s">
        <v>354</v>
      </c>
      <c r="C64" s="4" t="s">
        <v>651</v>
      </c>
      <c r="D64" s="4" t="s">
        <v>661</v>
      </c>
      <c r="E64" s="4" t="s">
        <v>248</v>
      </c>
      <c r="F64" s="4"/>
      <c r="G64" s="29">
        <f>G65</f>
        <v>26036818.86</v>
      </c>
      <c r="H64" s="29"/>
      <c r="J64" s="26"/>
    </row>
    <row r="65" spans="1:10" ht="110.25">
      <c r="A65" s="27" t="s">
        <v>245</v>
      </c>
      <c r="B65" s="4" t="s">
        <v>354</v>
      </c>
      <c r="C65" s="4" t="s">
        <v>651</v>
      </c>
      <c r="D65" s="4" t="s">
        <v>661</v>
      </c>
      <c r="E65" s="4" t="s">
        <v>248</v>
      </c>
      <c r="F65" s="4" t="s">
        <v>312</v>
      </c>
      <c r="G65" s="29">
        <f>26536901.43-397497.88-102584.69</f>
        <v>26036818.86</v>
      </c>
      <c r="H65" s="29"/>
      <c r="J65" s="26"/>
    </row>
    <row r="66" spans="1:10" ht="47.25">
      <c r="A66" s="27" t="s">
        <v>241</v>
      </c>
      <c r="B66" s="4" t="s">
        <v>354</v>
      </c>
      <c r="C66" s="4" t="s">
        <v>651</v>
      </c>
      <c r="D66" s="4" t="s">
        <v>661</v>
      </c>
      <c r="E66" s="4" t="s">
        <v>249</v>
      </c>
      <c r="F66" s="4"/>
      <c r="G66" s="29">
        <f>G67+G68</f>
        <v>922048</v>
      </c>
      <c r="H66" s="29"/>
      <c r="J66" s="26"/>
    </row>
    <row r="67" spans="1:8" ht="110.25">
      <c r="A67" s="27" t="s">
        <v>245</v>
      </c>
      <c r="B67" s="4" t="s">
        <v>354</v>
      </c>
      <c r="C67" s="4" t="s">
        <v>651</v>
      </c>
      <c r="D67" s="4" t="s">
        <v>661</v>
      </c>
      <c r="E67" s="4" t="s">
        <v>249</v>
      </c>
      <c r="F67" s="4" t="s">
        <v>312</v>
      </c>
      <c r="G67" s="29">
        <f>232860-10000-3000-97000</f>
        <v>122860</v>
      </c>
      <c r="H67" s="29"/>
    </row>
    <row r="68" spans="1:8" ht="47.25">
      <c r="A68" s="27" t="s">
        <v>702</v>
      </c>
      <c r="B68" s="4" t="s">
        <v>354</v>
      </c>
      <c r="C68" s="4" t="s">
        <v>651</v>
      </c>
      <c r="D68" s="4" t="s">
        <v>661</v>
      </c>
      <c r="E68" s="4" t="s">
        <v>249</v>
      </c>
      <c r="F68" s="4" t="s">
        <v>313</v>
      </c>
      <c r="G68" s="29">
        <f>1460106.62-10080-46678-2565-9220.8-363002.75-229372.07</f>
        <v>799188</v>
      </c>
      <c r="H68" s="29"/>
    </row>
    <row r="69" spans="1:8" ht="78.75">
      <c r="A69" s="27" t="s">
        <v>530</v>
      </c>
      <c r="B69" s="4" t="s">
        <v>354</v>
      </c>
      <c r="C69" s="4" t="s">
        <v>651</v>
      </c>
      <c r="D69" s="4" t="s">
        <v>661</v>
      </c>
      <c r="E69" s="4" t="s">
        <v>531</v>
      </c>
      <c r="F69" s="4"/>
      <c r="G69" s="29">
        <f>G70</f>
        <v>316455.33</v>
      </c>
      <c r="H69" s="29"/>
    </row>
    <row r="70" spans="1:8" ht="110.25">
      <c r="A70" s="27" t="s">
        <v>245</v>
      </c>
      <c r="B70" s="4" t="s">
        <v>354</v>
      </c>
      <c r="C70" s="4" t="s">
        <v>651</v>
      </c>
      <c r="D70" s="4" t="s">
        <v>661</v>
      </c>
      <c r="E70" s="4" t="s">
        <v>531</v>
      </c>
      <c r="F70" s="4" t="s">
        <v>312</v>
      </c>
      <c r="G70" s="29">
        <f>327814-8724.75-2633.92</f>
        <v>316455.33</v>
      </c>
      <c r="H70" s="29"/>
    </row>
    <row r="71" spans="1:8" ht="94.5">
      <c r="A71" s="27" t="s">
        <v>235</v>
      </c>
      <c r="B71" s="4" t="s">
        <v>354</v>
      </c>
      <c r="C71" s="4" t="s">
        <v>651</v>
      </c>
      <c r="D71" s="4" t="s">
        <v>661</v>
      </c>
      <c r="E71" s="4" t="s">
        <v>250</v>
      </c>
      <c r="F71" s="4"/>
      <c r="G71" s="29">
        <f>G72</f>
        <v>412670</v>
      </c>
      <c r="H71" s="29"/>
    </row>
    <row r="72" spans="1:8" ht="110.25">
      <c r="A72" s="27" t="s">
        <v>245</v>
      </c>
      <c r="B72" s="4" t="s">
        <v>354</v>
      </c>
      <c r="C72" s="4" t="s">
        <v>651</v>
      </c>
      <c r="D72" s="4" t="s">
        <v>661</v>
      </c>
      <c r="E72" s="4" t="s">
        <v>250</v>
      </c>
      <c r="F72" s="4" t="s">
        <v>312</v>
      </c>
      <c r="G72" s="29">
        <f>562670-150000</f>
        <v>412670</v>
      </c>
      <c r="H72" s="29"/>
    </row>
    <row r="73" spans="1:8" ht="15.75" hidden="1">
      <c r="A73" s="13" t="s">
        <v>679</v>
      </c>
      <c r="B73" s="5" t="s">
        <v>354</v>
      </c>
      <c r="C73" s="5" t="s">
        <v>651</v>
      </c>
      <c r="D73" s="5" t="s">
        <v>458</v>
      </c>
      <c r="E73" s="23"/>
      <c r="F73" s="23"/>
      <c r="G73" s="28">
        <f>G74</f>
        <v>0</v>
      </c>
      <c r="H73" s="28"/>
    </row>
    <row r="74" spans="1:8" ht="15.75" hidden="1">
      <c r="A74" s="3" t="s">
        <v>711</v>
      </c>
      <c r="B74" s="4" t="s">
        <v>354</v>
      </c>
      <c r="C74" s="4" t="s">
        <v>651</v>
      </c>
      <c r="D74" s="4" t="s">
        <v>458</v>
      </c>
      <c r="E74" s="4" t="s">
        <v>700</v>
      </c>
      <c r="F74" s="4"/>
      <c r="G74" s="29">
        <f>G75</f>
        <v>0</v>
      </c>
      <c r="H74" s="29"/>
    </row>
    <row r="75" spans="1:8" ht="31.5" hidden="1">
      <c r="A75" s="3" t="s">
        <v>712</v>
      </c>
      <c r="B75" s="4" t="s">
        <v>354</v>
      </c>
      <c r="C75" s="4" t="s">
        <v>651</v>
      </c>
      <c r="D75" s="4" t="s">
        <v>458</v>
      </c>
      <c r="E75" s="4" t="s">
        <v>783</v>
      </c>
      <c r="F75" s="4"/>
      <c r="G75" s="29">
        <f>G76</f>
        <v>0</v>
      </c>
      <c r="H75" s="29"/>
    </row>
    <row r="76" spans="1:8" ht="23.25" customHeight="1" hidden="1">
      <c r="A76" s="3" t="s">
        <v>556</v>
      </c>
      <c r="B76" s="4" t="s">
        <v>354</v>
      </c>
      <c r="C76" s="4" t="s">
        <v>651</v>
      </c>
      <c r="D76" s="4" t="s">
        <v>458</v>
      </c>
      <c r="E76" s="4" t="s">
        <v>783</v>
      </c>
      <c r="F76" s="4" t="s">
        <v>316</v>
      </c>
      <c r="G76" s="29">
        <v>0</v>
      </c>
      <c r="H76" s="29"/>
    </row>
    <row r="77" spans="1:8" ht="15.75" hidden="1">
      <c r="A77" s="3" t="s">
        <v>556</v>
      </c>
      <c r="B77" s="4" t="s">
        <v>354</v>
      </c>
      <c r="C77" s="4" t="s">
        <v>651</v>
      </c>
      <c r="D77" s="4" t="s">
        <v>458</v>
      </c>
      <c r="E77" s="4" t="s">
        <v>308</v>
      </c>
      <c r="F77" s="4" t="s">
        <v>316</v>
      </c>
      <c r="G77" s="29"/>
      <c r="H77" s="29"/>
    </row>
    <row r="78" spans="1:13" s="25" customFormat="1" ht="15.75" hidden="1">
      <c r="A78" s="3" t="s">
        <v>557</v>
      </c>
      <c r="B78" s="4" t="s">
        <v>354</v>
      </c>
      <c r="C78" s="4" t="s">
        <v>651</v>
      </c>
      <c r="D78" s="4" t="s">
        <v>458</v>
      </c>
      <c r="E78" s="4" t="s">
        <v>308</v>
      </c>
      <c r="F78" s="4" t="s">
        <v>558</v>
      </c>
      <c r="G78" s="46"/>
      <c r="H78" s="46"/>
      <c r="I78" s="47"/>
      <c r="M78" s="44"/>
    </row>
    <row r="79" spans="1:13" s="25" customFormat="1" ht="15.75" hidden="1">
      <c r="A79" s="49"/>
      <c r="B79" s="4"/>
      <c r="C79" s="4"/>
      <c r="D79" s="4"/>
      <c r="E79" s="4"/>
      <c r="F79" s="4"/>
      <c r="G79" s="37"/>
      <c r="H79" s="37"/>
      <c r="I79" s="47"/>
      <c r="M79" s="44"/>
    </row>
    <row r="80" spans="1:13" s="25" customFormat="1" ht="15.75" hidden="1">
      <c r="A80" s="49"/>
      <c r="B80" s="4"/>
      <c r="C80" s="4"/>
      <c r="D80" s="4"/>
      <c r="E80" s="4"/>
      <c r="F80" s="4"/>
      <c r="G80" s="37"/>
      <c r="H80" s="37"/>
      <c r="I80" s="47"/>
      <c r="M80" s="44"/>
    </row>
    <row r="81" spans="1:8" ht="15.75" hidden="1">
      <c r="A81" s="3"/>
      <c r="B81" s="4"/>
      <c r="C81" s="4"/>
      <c r="D81" s="4"/>
      <c r="E81" s="4"/>
      <c r="F81" s="4"/>
      <c r="G81" s="29"/>
      <c r="H81" s="29"/>
    </row>
    <row r="82" spans="1:8" ht="15.75" hidden="1">
      <c r="A82" s="3"/>
      <c r="B82" s="4"/>
      <c r="C82" s="4"/>
      <c r="D82" s="4"/>
      <c r="E82" s="4"/>
      <c r="F82" s="4"/>
      <c r="G82" s="29"/>
      <c r="H82" s="29"/>
    </row>
    <row r="83" spans="1:8" ht="15.75" hidden="1">
      <c r="A83" s="3"/>
      <c r="B83" s="4"/>
      <c r="C83" s="4"/>
      <c r="D83" s="4"/>
      <c r="E83" s="4"/>
      <c r="F83" s="4"/>
      <c r="G83" s="29"/>
      <c r="H83" s="29"/>
    </row>
    <row r="84" spans="1:8" ht="15.75" hidden="1">
      <c r="A84" s="3"/>
      <c r="B84" s="4"/>
      <c r="C84" s="4"/>
      <c r="D84" s="4"/>
      <c r="E84" s="4"/>
      <c r="F84" s="4"/>
      <c r="G84" s="29"/>
      <c r="H84" s="29"/>
    </row>
    <row r="85" spans="1:8" ht="15.75" hidden="1">
      <c r="A85" s="13"/>
      <c r="B85" s="5"/>
      <c r="C85" s="5"/>
      <c r="D85" s="5"/>
      <c r="E85" s="5"/>
      <c r="F85" s="23"/>
      <c r="G85" s="28"/>
      <c r="H85" s="28"/>
    </row>
    <row r="86" spans="1:8" ht="15.75" hidden="1">
      <c r="A86" s="3"/>
      <c r="B86" s="4"/>
      <c r="C86" s="4"/>
      <c r="D86" s="4"/>
      <c r="E86" s="4"/>
      <c r="F86" s="4"/>
      <c r="G86" s="29"/>
      <c r="H86" s="29"/>
    </row>
    <row r="87" spans="1:8" ht="15.75" hidden="1">
      <c r="A87" s="3"/>
      <c r="B87" s="4"/>
      <c r="C87" s="4"/>
      <c r="D87" s="4"/>
      <c r="E87" s="4"/>
      <c r="F87" s="4"/>
      <c r="G87" s="29"/>
      <c r="H87" s="29"/>
    </row>
    <row r="88" spans="1:8" ht="15.75" hidden="1">
      <c r="A88" s="3"/>
      <c r="B88" s="4"/>
      <c r="C88" s="4"/>
      <c r="D88" s="4"/>
      <c r="E88" s="4"/>
      <c r="F88" s="4"/>
      <c r="G88" s="29"/>
      <c r="H88" s="29"/>
    </row>
    <row r="89" spans="1:8" ht="15.75" hidden="1">
      <c r="A89" s="3"/>
      <c r="B89" s="4"/>
      <c r="C89" s="4"/>
      <c r="D89" s="4"/>
      <c r="E89" s="4"/>
      <c r="F89" s="4"/>
      <c r="G89" s="29"/>
      <c r="H89" s="29"/>
    </row>
    <row r="90" spans="1:8" ht="15.75" hidden="1">
      <c r="A90" s="3"/>
      <c r="B90" s="4"/>
      <c r="C90" s="4"/>
      <c r="D90" s="4"/>
      <c r="E90" s="4"/>
      <c r="F90" s="4"/>
      <c r="G90" s="29"/>
      <c r="H90" s="29"/>
    </row>
    <row r="91" spans="1:14" ht="31.5">
      <c r="A91" s="13" t="s">
        <v>680</v>
      </c>
      <c r="B91" s="5" t="s">
        <v>354</v>
      </c>
      <c r="C91" s="5" t="s">
        <v>651</v>
      </c>
      <c r="D91" s="5" t="s">
        <v>310</v>
      </c>
      <c r="E91" s="23"/>
      <c r="F91" s="23"/>
      <c r="G91" s="28">
        <f>G92+G104+G97+G132+G108+G101</f>
        <v>60895191.910000004</v>
      </c>
      <c r="H91" s="28">
        <f>H92+H104+H97+H132+H108</f>
        <v>1065000</v>
      </c>
      <c r="M91" s="208">
        <f>60804578.03-60855658.03</f>
        <v>-51080</v>
      </c>
      <c r="N91" s="26"/>
    </row>
    <row r="92" spans="1:8" ht="63">
      <c r="A92" s="3" t="s">
        <v>542</v>
      </c>
      <c r="B92" s="4" t="s">
        <v>354</v>
      </c>
      <c r="C92" s="4" t="s">
        <v>651</v>
      </c>
      <c r="D92" s="4" t="s">
        <v>310</v>
      </c>
      <c r="E92" s="4" t="s">
        <v>718</v>
      </c>
      <c r="F92" s="4"/>
      <c r="G92" s="29">
        <f>G93+G95</f>
        <v>970000</v>
      </c>
      <c r="H92" s="29"/>
    </row>
    <row r="93" spans="1:8" ht="31.5">
      <c r="A93" s="3" t="s">
        <v>719</v>
      </c>
      <c r="B93" s="4" t="s">
        <v>354</v>
      </c>
      <c r="C93" s="4" t="s">
        <v>651</v>
      </c>
      <c r="D93" s="4" t="s">
        <v>310</v>
      </c>
      <c r="E93" s="4" t="s">
        <v>720</v>
      </c>
      <c r="F93" s="4"/>
      <c r="G93" s="29">
        <f>G94</f>
        <v>670000</v>
      </c>
      <c r="H93" s="29"/>
    </row>
    <row r="94" spans="1:10" ht="31.5">
      <c r="A94" s="3" t="s">
        <v>560</v>
      </c>
      <c r="B94" s="4" t="s">
        <v>354</v>
      </c>
      <c r="C94" s="4" t="s">
        <v>651</v>
      </c>
      <c r="D94" s="4" t="s">
        <v>310</v>
      </c>
      <c r="E94" s="4" t="s">
        <v>720</v>
      </c>
      <c r="F94" s="4" t="s">
        <v>561</v>
      </c>
      <c r="G94" s="29">
        <v>670000</v>
      </c>
      <c r="H94" s="29"/>
      <c r="J94" s="26"/>
    </row>
    <row r="95" spans="1:8" ht="53.25" customHeight="1">
      <c r="A95" s="3" t="s">
        <v>721</v>
      </c>
      <c r="B95" s="4" t="s">
        <v>354</v>
      </c>
      <c r="C95" s="4" t="s">
        <v>651</v>
      </c>
      <c r="D95" s="4" t="s">
        <v>310</v>
      </c>
      <c r="E95" s="4" t="s">
        <v>722</v>
      </c>
      <c r="F95" s="4"/>
      <c r="G95" s="29">
        <f>G96</f>
        <v>300000</v>
      </c>
      <c r="H95" s="29"/>
    </row>
    <row r="96" spans="1:13" ht="78" customHeight="1">
      <c r="A96" s="60" t="s">
        <v>723</v>
      </c>
      <c r="B96" s="4" t="s">
        <v>354</v>
      </c>
      <c r="C96" s="4" t="s">
        <v>651</v>
      </c>
      <c r="D96" s="4" t="s">
        <v>310</v>
      </c>
      <c r="E96" s="4" t="s">
        <v>722</v>
      </c>
      <c r="F96" s="4" t="s">
        <v>317</v>
      </c>
      <c r="G96" s="29">
        <f>300000</f>
        <v>300000</v>
      </c>
      <c r="H96" s="29"/>
      <c r="J96" s="26"/>
      <c r="M96" s="208">
        <f>43343.34</f>
        <v>43343.34</v>
      </c>
    </row>
    <row r="97" spans="1:8" ht="78.75">
      <c r="A97" s="27" t="s">
        <v>543</v>
      </c>
      <c r="B97" s="4" t="s">
        <v>354</v>
      </c>
      <c r="C97" s="4" t="s">
        <v>651</v>
      </c>
      <c r="D97" s="4" t="s">
        <v>310</v>
      </c>
      <c r="E97" s="4" t="s">
        <v>735</v>
      </c>
      <c r="F97" s="4"/>
      <c r="G97" s="29">
        <f>G98</f>
        <v>5000</v>
      </c>
      <c r="H97" s="29"/>
    </row>
    <row r="98" spans="1:8" ht="15.75">
      <c r="A98" s="60" t="s">
        <v>448</v>
      </c>
      <c r="B98" s="4" t="s">
        <v>354</v>
      </c>
      <c r="C98" s="4" t="s">
        <v>651</v>
      </c>
      <c r="D98" s="4" t="s">
        <v>310</v>
      </c>
      <c r="E98" s="4" t="s">
        <v>449</v>
      </c>
      <c r="F98" s="4"/>
      <c r="G98" s="29">
        <f>G99</f>
        <v>5000</v>
      </c>
      <c r="H98" s="29"/>
    </row>
    <row r="99" spans="1:8" ht="31.5">
      <c r="A99" s="3" t="s">
        <v>719</v>
      </c>
      <c r="B99" s="4" t="s">
        <v>354</v>
      </c>
      <c r="C99" s="4" t="s">
        <v>651</v>
      </c>
      <c r="D99" s="4" t="s">
        <v>310</v>
      </c>
      <c r="E99" s="4" t="s">
        <v>450</v>
      </c>
      <c r="F99" s="4"/>
      <c r="G99" s="29">
        <f>G100</f>
        <v>5000</v>
      </c>
      <c r="H99" s="29"/>
    </row>
    <row r="100" spans="1:8" ht="47.25">
      <c r="A100" s="3" t="s">
        <v>702</v>
      </c>
      <c r="B100" s="4" t="s">
        <v>354</v>
      </c>
      <c r="C100" s="4" t="s">
        <v>651</v>
      </c>
      <c r="D100" s="4" t="s">
        <v>310</v>
      </c>
      <c r="E100" s="4" t="s">
        <v>450</v>
      </c>
      <c r="F100" s="4" t="s">
        <v>313</v>
      </c>
      <c r="G100" s="29">
        <v>5000</v>
      </c>
      <c r="H100" s="29"/>
    </row>
    <row r="101" spans="1:8" ht="78.75">
      <c r="A101" s="3" t="s">
        <v>547</v>
      </c>
      <c r="B101" s="4" t="s">
        <v>354</v>
      </c>
      <c r="C101" s="4" t="s">
        <v>651</v>
      </c>
      <c r="D101" s="4" t="s">
        <v>310</v>
      </c>
      <c r="E101" s="4" t="s">
        <v>299</v>
      </c>
      <c r="F101" s="4"/>
      <c r="G101" s="29">
        <f>G102</f>
        <v>0</v>
      </c>
      <c r="H101" s="29"/>
    </row>
    <row r="102" spans="1:8" ht="31.5">
      <c r="A102" s="3" t="s">
        <v>719</v>
      </c>
      <c r="B102" s="4" t="s">
        <v>354</v>
      </c>
      <c r="C102" s="4" t="s">
        <v>651</v>
      </c>
      <c r="D102" s="4" t="s">
        <v>310</v>
      </c>
      <c r="E102" s="4" t="s">
        <v>300</v>
      </c>
      <c r="F102" s="4"/>
      <c r="G102" s="29">
        <f>G103</f>
        <v>0</v>
      </c>
      <c r="H102" s="29"/>
    </row>
    <row r="103" spans="1:13" ht="47.25">
      <c r="A103" s="3" t="s">
        <v>702</v>
      </c>
      <c r="B103" s="4" t="s">
        <v>354</v>
      </c>
      <c r="C103" s="4" t="s">
        <v>651</v>
      </c>
      <c r="D103" s="4" t="s">
        <v>310</v>
      </c>
      <c r="E103" s="4" t="s">
        <v>300</v>
      </c>
      <c r="F103" s="4" t="s">
        <v>313</v>
      </c>
      <c r="G103" s="29">
        <f>95000-2635-92365</f>
        <v>0</v>
      </c>
      <c r="H103" s="29"/>
      <c r="M103" s="208">
        <f>-2635-92365</f>
        <v>-95000</v>
      </c>
    </row>
    <row r="104" spans="1:8" ht="70.5" customHeight="1">
      <c r="A104" s="3" t="s">
        <v>548</v>
      </c>
      <c r="B104" s="4" t="s">
        <v>354</v>
      </c>
      <c r="C104" s="4" t="s">
        <v>651</v>
      </c>
      <c r="D104" s="4" t="s">
        <v>310</v>
      </c>
      <c r="E104" s="4" t="s">
        <v>703</v>
      </c>
      <c r="F104" s="4"/>
      <c r="G104" s="29">
        <f>G105</f>
        <v>19531569.14</v>
      </c>
      <c r="H104" s="29"/>
    </row>
    <row r="105" spans="1:8" ht="78.75">
      <c r="A105" s="60" t="s">
        <v>730</v>
      </c>
      <c r="B105" s="4" t="s">
        <v>354</v>
      </c>
      <c r="C105" s="4" t="s">
        <v>651</v>
      </c>
      <c r="D105" s="4" t="s">
        <v>310</v>
      </c>
      <c r="E105" s="4" t="s">
        <v>731</v>
      </c>
      <c r="F105" s="4"/>
      <c r="G105" s="29">
        <f>G106</f>
        <v>19531569.14</v>
      </c>
      <c r="H105" s="29"/>
    </row>
    <row r="106" spans="1:8" ht="94.5">
      <c r="A106" s="3" t="s">
        <v>493</v>
      </c>
      <c r="B106" s="4" t="s">
        <v>354</v>
      </c>
      <c r="C106" s="4" t="s">
        <v>651</v>
      </c>
      <c r="D106" s="4" t="s">
        <v>310</v>
      </c>
      <c r="E106" s="4" t="s">
        <v>374</v>
      </c>
      <c r="F106" s="4"/>
      <c r="G106" s="29">
        <f>G107</f>
        <v>19531569.14</v>
      </c>
      <c r="H106" s="29"/>
    </row>
    <row r="107" spans="1:13" ht="76.5" customHeight="1">
      <c r="A107" s="3" t="s">
        <v>723</v>
      </c>
      <c r="B107" s="4" t="s">
        <v>354</v>
      </c>
      <c r="C107" s="4" t="s">
        <v>651</v>
      </c>
      <c r="D107" s="4" t="s">
        <v>310</v>
      </c>
      <c r="E107" s="4" t="s">
        <v>374</v>
      </c>
      <c r="F107" s="4" t="s">
        <v>317</v>
      </c>
      <c r="G107" s="29">
        <f>22911560-1677551.95-1061700-571849.76-25545.81-43343.34</f>
        <v>19531569.14</v>
      </c>
      <c r="H107" s="29"/>
      <c r="M107" s="208">
        <f>-43343.34</f>
        <v>-43343.34</v>
      </c>
    </row>
    <row r="108" spans="1:8" ht="85.5" customHeight="1">
      <c r="A108" s="27" t="s">
        <v>541</v>
      </c>
      <c r="B108" s="4" t="s">
        <v>354</v>
      </c>
      <c r="C108" s="4" t="s">
        <v>651</v>
      </c>
      <c r="D108" s="4" t="s">
        <v>310</v>
      </c>
      <c r="E108" s="4" t="s">
        <v>708</v>
      </c>
      <c r="F108" s="4"/>
      <c r="G108" s="29">
        <f>G109+G115+G121+G128</f>
        <v>39822492.52</v>
      </c>
      <c r="H108" s="29">
        <f>H109+H115+H121</f>
        <v>1065000</v>
      </c>
    </row>
    <row r="109" spans="1:8" ht="64.5" customHeight="1">
      <c r="A109" s="27" t="s">
        <v>709</v>
      </c>
      <c r="B109" s="4" t="s">
        <v>354</v>
      </c>
      <c r="C109" s="4" t="s">
        <v>651</v>
      </c>
      <c r="D109" s="4" t="s">
        <v>310</v>
      </c>
      <c r="E109" s="4" t="s">
        <v>710</v>
      </c>
      <c r="F109" s="4"/>
      <c r="G109" s="29">
        <f>G110+G112</f>
        <v>1065000</v>
      </c>
      <c r="H109" s="29">
        <f>H110+H112</f>
        <v>1065000</v>
      </c>
    </row>
    <row r="110" spans="1:8" ht="189">
      <c r="A110" s="3" t="s">
        <v>325</v>
      </c>
      <c r="B110" s="4" t="s">
        <v>354</v>
      </c>
      <c r="C110" s="4" t="s">
        <v>651</v>
      </c>
      <c r="D110" s="4" t="s">
        <v>310</v>
      </c>
      <c r="E110" s="4" t="s">
        <v>714</v>
      </c>
      <c r="F110" s="4"/>
      <c r="G110" s="29">
        <f>G111</f>
        <v>6000</v>
      </c>
      <c r="H110" s="29">
        <f>H111</f>
        <v>6000</v>
      </c>
    </row>
    <row r="111" spans="1:8" ht="47.25">
      <c r="A111" s="3" t="s">
        <v>702</v>
      </c>
      <c r="B111" s="4" t="s">
        <v>354</v>
      </c>
      <c r="C111" s="4" t="s">
        <v>651</v>
      </c>
      <c r="D111" s="4" t="s">
        <v>310</v>
      </c>
      <c r="E111" s="4" t="s">
        <v>714</v>
      </c>
      <c r="F111" s="4" t="s">
        <v>313</v>
      </c>
      <c r="G111" s="29">
        <v>6000</v>
      </c>
      <c r="H111" s="29">
        <f>G111</f>
        <v>6000</v>
      </c>
    </row>
    <row r="112" spans="1:8" ht="47.25">
      <c r="A112" s="3" t="s">
        <v>715</v>
      </c>
      <c r="B112" s="4" t="s">
        <v>354</v>
      </c>
      <c r="C112" s="4" t="s">
        <v>651</v>
      </c>
      <c r="D112" s="4" t="s">
        <v>310</v>
      </c>
      <c r="E112" s="4" t="s">
        <v>716</v>
      </c>
      <c r="F112" s="4"/>
      <c r="G112" s="29">
        <f>G113+G114</f>
        <v>1059000</v>
      </c>
      <c r="H112" s="29">
        <f>H113+H114</f>
        <v>1059000</v>
      </c>
    </row>
    <row r="113" spans="1:10" ht="110.25">
      <c r="A113" s="3" t="s">
        <v>701</v>
      </c>
      <c r="B113" s="4" t="s">
        <v>354</v>
      </c>
      <c r="C113" s="4" t="s">
        <v>651</v>
      </c>
      <c r="D113" s="4" t="s">
        <v>310</v>
      </c>
      <c r="E113" s="4" t="s">
        <v>716</v>
      </c>
      <c r="F113" s="4" t="s">
        <v>312</v>
      </c>
      <c r="G113" s="29">
        <v>879260</v>
      </c>
      <c r="H113" s="29">
        <f>G113</f>
        <v>879260</v>
      </c>
      <c r="J113" s="26"/>
    </row>
    <row r="114" spans="1:10" ht="47.25">
      <c r="A114" s="3" t="s">
        <v>702</v>
      </c>
      <c r="B114" s="4" t="s">
        <v>354</v>
      </c>
      <c r="C114" s="4" t="s">
        <v>651</v>
      </c>
      <c r="D114" s="4" t="s">
        <v>310</v>
      </c>
      <c r="E114" s="4" t="s">
        <v>716</v>
      </c>
      <c r="F114" s="4" t="s">
        <v>313</v>
      </c>
      <c r="G114" s="29">
        <v>179740</v>
      </c>
      <c r="H114" s="29">
        <f>G114</f>
        <v>179740</v>
      </c>
      <c r="J114" s="26"/>
    </row>
    <row r="115" spans="1:8" ht="31.5">
      <c r="A115" s="3" t="s">
        <v>377</v>
      </c>
      <c r="B115" s="4" t="s">
        <v>354</v>
      </c>
      <c r="C115" s="4" t="s">
        <v>651</v>
      </c>
      <c r="D115" s="4" t="s">
        <v>310</v>
      </c>
      <c r="E115" s="4" t="s">
        <v>378</v>
      </c>
      <c r="F115" s="4"/>
      <c r="G115" s="29">
        <f>G116+G119</f>
        <v>6468977.5</v>
      </c>
      <c r="H115" s="29"/>
    </row>
    <row r="116" spans="1:8" ht="94.5">
      <c r="A116" s="3" t="s">
        <v>493</v>
      </c>
      <c r="B116" s="4" t="s">
        <v>354</v>
      </c>
      <c r="C116" s="4" t="s">
        <v>651</v>
      </c>
      <c r="D116" s="4" t="s">
        <v>310</v>
      </c>
      <c r="E116" s="4" t="s">
        <v>379</v>
      </c>
      <c r="F116" s="4"/>
      <c r="G116" s="29">
        <f>G117+G118</f>
        <v>6356350</v>
      </c>
      <c r="H116" s="29"/>
    </row>
    <row r="117" spans="1:8" ht="110.25">
      <c r="A117" s="3" t="s">
        <v>701</v>
      </c>
      <c r="B117" s="4" t="s">
        <v>354</v>
      </c>
      <c r="C117" s="4" t="s">
        <v>651</v>
      </c>
      <c r="D117" s="4" t="s">
        <v>310</v>
      </c>
      <c r="E117" s="4" t="s">
        <v>379</v>
      </c>
      <c r="F117" s="4" t="s">
        <v>312</v>
      </c>
      <c r="G117" s="29">
        <f>5379980-117386-63983.5-13094-74455</f>
        <v>5111061.5</v>
      </c>
      <c r="H117" s="29"/>
    </row>
    <row r="118" spans="1:8" ht="47.25">
      <c r="A118" s="3" t="s">
        <v>702</v>
      </c>
      <c r="B118" s="4" t="s">
        <v>354</v>
      </c>
      <c r="C118" s="4" t="s">
        <v>651</v>
      </c>
      <c r="D118" s="4" t="s">
        <v>310</v>
      </c>
      <c r="E118" s="4" t="s">
        <v>379</v>
      </c>
      <c r="F118" s="4" t="s">
        <v>313</v>
      </c>
      <c r="G118" s="29">
        <f>1310830-2031.05-2000-35970.45-13150-12390</f>
        <v>1245288.5</v>
      </c>
      <c r="H118" s="29"/>
    </row>
    <row r="119" spans="1:8" ht="94.5">
      <c r="A119" s="3" t="s">
        <v>235</v>
      </c>
      <c r="B119" s="4" t="s">
        <v>354</v>
      </c>
      <c r="C119" s="4" t="s">
        <v>651</v>
      </c>
      <c r="D119" s="4" t="s">
        <v>310</v>
      </c>
      <c r="E119" s="4" t="s">
        <v>251</v>
      </c>
      <c r="F119" s="4"/>
      <c r="G119" s="29">
        <f>G120</f>
        <v>112627.5</v>
      </c>
      <c r="H119" s="29"/>
    </row>
    <row r="120" spans="1:8" ht="110.25">
      <c r="A120" s="3" t="s">
        <v>245</v>
      </c>
      <c r="B120" s="4" t="s">
        <v>354</v>
      </c>
      <c r="C120" s="4" t="s">
        <v>651</v>
      </c>
      <c r="D120" s="4" t="s">
        <v>310</v>
      </c>
      <c r="E120" s="4" t="s">
        <v>251</v>
      </c>
      <c r="F120" s="4" t="s">
        <v>312</v>
      </c>
      <c r="G120" s="29">
        <f>118640-6012.5</f>
        <v>112627.5</v>
      </c>
      <c r="H120" s="29"/>
    </row>
    <row r="121" spans="1:8" ht="47.25">
      <c r="A121" s="3" t="s">
        <v>381</v>
      </c>
      <c r="B121" s="4" t="s">
        <v>354</v>
      </c>
      <c r="C121" s="4" t="s">
        <v>651</v>
      </c>
      <c r="D121" s="4" t="s">
        <v>310</v>
      </c>
      <c r="E121" s="4" t="s">
        <v>382</v>
      </c>
      <c r="F121" s="4"/>
      <c r="G121" s="29">
        <f>G122+G126</f>
        <v>32037990.020000003</v>
      </c>
      <c r="H121" s="29"/>
    </row>
    <row r="122" spans="1:8" ht="94.5">
      <c r="A122" s="3" t="s">
        <v>493</v>
      </c>
      <c r="B122" s="4" t="s">
        <v>354</v>
      </c>
      <c r="C122" s="4" t="s">
        <v>651</v>
      </c>
      <c r="D122" s="4" t="s">
        <v>310</v>
      </c>
      <c r="E122" s="4" t="s">
        <v>383</v>
      </c>
      <c r="F122" s="4"/>
      <c r="G122" s="29">
        <f>G123+G124+G125</f>
        <v>31578287.520000003</v>
      </c>
      <c r="H122" s="29"/>
    </row>
    <row r="123" spans="1:8" ht="110.25">
      <c r="A123" s="3" t="s">
        <v>701</v>
      </c>
      <c r="B123" s="4" t="s">
        <v>354</v>
      </c>
      <c r="C123" s="4" t="s">
        <v>651</v>
      </c>
      <c r="D123" s="4" t="s">
        <v>310</v>
      </c>
      <c r="E123" s="4" t="s">
        <v>383</v>
      </c>
      <c r="F123" s="4" t="s">
        <v>312</v>
      </c>
      <c r="G123" s="29">
        <f>18748770-265466.37-327122.06-47680.96-13974.73-283068.38</f>
        <v>17811457.5</v>
      </c>
      <c r="H123" s="29"/>
    </row>
    <row r="124" spans="1:14" ht="47.25">
      <c r="A124" s="3" t="s">
        <v>702</v>
      </c>
      <c r="B124" s="4" t="s">
        <v>354</v>
      </c>
      <c r="C124" s="4" t="s">
        <v>651</v>
      </c>
      <c r="D124" s="4" t="s">
        <v>310</v>
      </c>
      <c r="E124" s="4" t="s">
        <v>383</v>
      </c>
      <c r="F124" s="4" t="s">
        <v>313</v>
      </c>
      <c r="G124" s="29">
        <f>14855290+330000-75440.25-500000-134699.5-130000-881994.95-100000+92365+121723.83+14868.39</f>
        <v>13592112.520000001</v>
      </c>
      <c r="H124" s="29"/>
      <c r="I124" s="211"/>
      <c r="J124" s="26"/>
      <c r="M124" s="208">
        <f>-100000+214088.83+14868.39</f>
        <v>128957.21999999999</v>
      </c>
      <c r="N124" s="26"/>
    </row>
    <row r="125" spans="1:14" ht="24.75" customHeight="1">
      <c r="A125" s="3" t="s">
        <v>556</v>
      </c>
      <c r="B125" s="4" t="s">
        <v>354</v>
      </c>
      <c r="C125" s="4" t="s">
        <v>651</v>
      </c>
      <c r="D125" s="4" t="s">
        <v>310</v>
      </c>
      <c r="E125" s="4" t="s">
        <v>383</v>
      </c>
      <c r="F125" s="61">
        <v>800</v>
      </c>
      <c r="G125" s="29">
        <f>78650-3932.5+100000</f>
        <v>174717.5</v>
      </c>
      <c r="H125" s="29"/>
      <c r="M125" s="208">
        <f>174717.5-74717.5</f>
        <v>100000</v>
      </c>
      <c r="N125" s="26"/>
    </row>
    <row r="126" spans="1:8" ht="94.5">
      <c r="A126" s="3" t="s">
        <v>235</v>
      </c>
      <c r="B126" s="4" t="s">
        <v>354</v>
      </c>
      <c r="C126" s="4" t="s">
        <v>651</v>
      </c>
      <c r="D126" s="4" t="s">
        <v>310</v>
      </c>
      <c r="E126" s="4" t="s">
        <v>252</v>
      </c>
      <c r="F126" s="4"/>
      <c r="G126" s="29">
        <f>G127</f>
        <v>459702.5</v>
      </c>
      <c r="H126" s="29"/>
    </row>
    <row r="127" spans="1:8" ht="110.25">
      <c r="A127" s="3" t="s">
        <v>245</v>
      </c>
      <c r="B127" s="4" t="s">
        <v>354</v>
      </c>
      <c r="C127" s="4" t="s">
        <v>651</v>
      </c>
      <c r="D127" s="4" t="s">
        <v>310</v>
      </c>
      <c r="E127" s="4" t="s">
        <v>252</v>
      </c>
      <c r="F127" s="4" t="s">
        <v>312</v>
      </c>
      <c r="G127" s="29">
        <f>484030-24327.5</f>
        <v>459702.5</v>
      </c>
      <c r="H127" s="29"/>
    </row>
    <row r="128" spans="1:8" ht="47.25">
      <c r="A128" s="3" t="s">
        <v>419</v>
      </c>
      <c r="B128" s="4" t="s">
        <v>354</v>
      </c>
      <c r="C128" s="4" t="s">
        <v>651</v>
      </c>
      <c r="D128" s="4" t="s">
        <v>310</v>
      </c>
      <c r="E128" s="4" t="s">
        <v>420</v>
      </c>
      <c r="F128" s="61"/>
      <c r="G128" s="29">
        <f>G129</f>
        <v>250525</v>
      </c>
      <c r="H128" s="29"/>
    </row>
    <row r="129" spans="1:8" ht="31.5">
      <c r="A129" s="3" t="s">
        <v>719</v>
      </c>
      <c r="B129" s="4" t="s">
        <v>354</v>
      </c>
      <c r="C129" s="4" t="s">
        <v>651</v>
      </c>
      <c r="D129" s="4" t="s">
        <v>310</v>
      </c>
      <c r="E129" s="4" t="s">
        <v>421</v>
      </c>
      <c r="F129" s="61"/>
      <c r="G129" s="29">
        <f>G130+G131</f>
        <v>250525</v>
      </c>
      <c r="H129" s="29"/>
    </row>
    <row r="130" spans="1:8" ht="110.25">
      <c r="A130" s="3" t="s">
        <v>245</v>
      </c>
      <c r="B130" s="4" t="s">
        <v>354</v>
      </c>
      <c r="C130" s="4" t="s">
        <v>651</v>
      </c>
      <c r="D130" s="4" t="s">
        <v>310</v>
      </c>
      <c r="E130" s="4" t="s">
        <v>421</v>
      </c>
      <c r="F130" s="61">
        <v>100</v>
      </c>
      <c r="G130" s="29">
        <f>59500-1000-5100</f>
        <v>53400</v>
      </c>
      <c r="H130" s="29"/>
    </row>
    <row r="131" spans="1:8" ht="47.25">
      <c r="A131" s="3" t="s">
        <v>702</v>
      </c>
      <c r="B131" s="4" t="s">
        <v>354</v>
      </c>
      <c r="C131" s="4" t="s">
        <v>651</v>
      </c>
      <c r="D131" s="4" t="s">
        <v>310</v>
      </c>
      <c r="E131" s="4" t="s">
        <v>421</v>
      </c>
      <c r="F131" s="61">
        <v>200</v>
      </c>
      <c r="G131" s="29">
        <f>207500-2554.18-7820.82</f>
        <v>197125</v>
      </c>
      <c r="H131" s="29"/>
    </row>
    <row r="132" spans="1:8" ht="15.75">
      <c r="A132" s="3" t="s">
        <v>699</v>
      </c>
      <c r="B132" s="4" t="s">
        <v>354</v>
      </c>
      <c r="C132" s="4" t="s">
        <v>651</v>
      </c>
      <c r="D132" s="4" t="s">
        <v>310</v>
      </c>
      <c r="E132" s="4" t="s">
        <v>700</v>
      </c>
      <c r="F132" s="4"/>
      <c r="G132" s="29">
        <f>G133+G136</f>
        <v>566130.25</v>
      </c>
      <c r="H132" s="29"/>
    </row>
    <row r="133" spans="1:8" ht="31.5">
      <c r="A133" s="3" t="s">
        <v>687</v>
      </c>
      <c r="B133" s="4" t="s">
        <v>354</v>
      </c>
      <c r="C133" s="4" t="s">
        <v>651</v>
      </c>
      <c r="D133" s="4" t="s">
        <v>310</v>
      </c>
      <c r="E133" s="4" t="s">
        <v>717</v>
      </c>
      <c r="F133" s="4"/>
      <c r="G133" s="29">
        <f>G134+G135</f>
        <v>438890</v>
      </c>
      <c r="H133" s="29"/>
    </row>
    <row r="134" spans="1:8" ht="47.25" hidden="1">
      <c r="A134" s="3" t="s">
        <v>702</v>
      </c>
      <c r="B134" s="4" t="s">
        <v>354</v>
      </c>
      <c r="C134" s="4" t="s">
        <v>651</v>
      </c>
      <c r="D134" s="4" t="s">
        <v>310</v>
      </c>
      <c r="E134" s="4" t="s">
        <v>717</v>
      </c>
      <c r="F134" s="4" t="s">
        <v>313</v>
      </c>
      <c r="G134" s="29"/>
      <c r="H134" s="29"/>
    </row>
    <row r="135" spans="1:8" ht="15.75">
      <c r="A135" s="3" t="s">
        <v>556</v>
      </c>
      <c r="B135" s="4" t="s">
        <v>354</v>
      </c>
      <c r="C135" s="4" t="s">
        <v>651</v>
      </c>
      <c r="D135" s="4" t="s">
        <v>310</v>
      </c>
      <c r="E135" s="4" t="s">
        <v>717</v>
      </c>
      <c r="F135" s="61">
        <v>800</v>
      </c>
      <c r="G135" s="29">
        <f>352890+86000</f>
        <v>438890</v>
      </c>
      <c r="H135" s="29"/>
    </row>
    <row r="136" spans="1:8" ht="31.5">
      <c r="A136" s="3" t="s">
        <v>215</v>
      </c>
      <c r="B136" s="4" t="s">
        <v>354</v>
      </c>
      <c r="C136" s="4" t="s">
        <v>651</v>
      </c>
      <c r="D136" s="4" t="s">
        <v>310</v>
      </c>
      <c r="E136" s="4" t="s">
        <v>216</v>
      </c>
      <c r="F136" s="61"/>
      <c r="G136" s="29">
        <f>G137+G138</f>
        <v>127240.25</v>
      </c>
      <c r="H136" s="29"/>
    </row>
    <row r="137" spans="1:8" ht="47.25" hidden="1">
      <c r="A137" s="3" t="s">
        <v>702</v>
      </c>
      <c r="B137" s="4" t="s">
        <v>354</v>
      </c>
      <c r="C137" s="4" t="s">
        <v>651</v>
      </c>
      <c r="D137" s="4" t="s">
        <v>310</v>
      </c>
      <c r="E137" s="4" t="s">
        <v>216</v>
      </c>
      <c r="F137" s="4" t="s">
        <v>313</v>
      </c>
      <c r="G137" s="29"/>
      <c r="H137" s="29"/>
    </row>
    <row r="138" spans="1:14" ht="26.25" customHeight="1">
      <c r="A138" s="3" t="s">
        <v>556</v>
      </c>
      <c r="B138" s="4" t="s">
        <v>354</v>
      </c>
      <c r="C138" s="4" t="s">
        <v>651</v>
      </c>
      <c r="D138" s="4" t="s">
        <v>310</v>
      </c>
      <c r="E138" s="4" t="s">
        <v>216</v>
      </c>
      <c r="F138" s="61">
        <v>800</v>
      </c>
      <c r="G138" s="29">
        <f>75440.25+102880-51080</f>
        <v>127240.25</v>
      </c>
      <c r="H138" s="29"/>
      <c r="M138" s="208">
        <f>127240.25-178320.25</f>
        <v>-51080</v>
      </c>
      <c r="N138" s="26"/>
    </row>
    <row r="139" spans="1:14" ht="56.25">
      <c r="A139" s="10" t="s">
        <v>671</v>
      </c>
      <c r="B139" s="11" t="s">
        <v>354</v>
      </c>
      <c r="C139" s="11" t="s">
        <v>658</v>
      </c>
      <c r="D139" s="11"/>
      <c r="E139" s="11"/>
      <c r="F139" s="23"/>
      <c r="G139" s="28">
        <f>G140+G146</f>
        <v>38514558.5</v>
      </c>
      <c r="H139" s="28">
        <f>H140</f>
        <v>1748200</v>
      </c>
      <c r="M139" s="208">
        <f>38708758.5-38514558.5</f>
        <v>194200</v>
      </c>
      <c r="N139" s="26"/>
    </row>
    <row r="140" spans="1:8" ht="18.75">
      <c r="A140" s="8" t="s">
        <v>311</v>
      </c>
      <c r="B140" s="9" t="s">
        <v>354</v>
      </c>
      <c r="C140" s="9" t="s">
        <v>658</v>
      </c>
      <c r="D140" s="9" t="s">
        <v>661</v>
      </c>
      <c r="E140" s="9"/>
      <c r="F140" s="4"/>
      <c r="G140" s="29">
        <f>G141</f>
        <v>1748200</v>
      </c>
      <c r="H140" s="29">
        <f>H141</f>
        <v>1748200</v>
      </c>
    </row>
    <row r="141" spans="1:8" ht="94.5" customHeight="1">
      <c r="A141" s="27" t="s">
        <v>541</v>
      </c>
      <c r="B141" s="4" t="s">
        <v>354</v>
      </c>
      <c r="C141" s="4" t="s">
        <v>658</v>
      </c>
      <c r="D141" s="4" t="s">
        <v>661</v>
      </c>
      <c r="E141" s="4" t="s">
        <v>708</v>
      </c>
      <c r="F141" s="4"/>
      <c r="G141" s="29">
        <f>G142</f>
        <v>1748200</v>
      </c>
      <c r="H141" s="29">
        <f>H142</f>
        <v>1748200</v>
      </c>
    </row>
    <row r="142" spans="1:8" ht="70.5" customHeight="1">
      <c r="A142" s="27" t="s">
        <v>709</v>
      </c>
      <c r="B142" s="4" t="s">
        <v>354</v>
      </c>
      <c r="C142" s="4" t="s">
        <v>658</v>
      </c>
      <c r="D142" s="4" t="s">
        <v>661</v>
      </c>
      <c r="E142" s="4" t="s">
        <v>710</v>
      </c>
      <c r="F142" s="4"/>
      <c r="G142" s="29">
        <f>G143</f>
        <v>1748200</v>
      </c>
      <c r="H142" s="29">
        <f>H143</f>
        <v>1748200</v>
      </c>
    </row>
    <row r="143" spans="1:8" ht="42" customHeight="1">
      <c r="A143" s="3" t="s">
        <v>782</v>
      </c>
      <c r="B143" s="4" t="s">
        <v>354</v>
      </c>
      <c r="C143" s="4" t="s">
        <v>658</v>
      </c>
      <c r="D143" s="4" t="s">
        <v>661</v>
      </c>
      <c r="E143" s="4" t="s">
        <v>391</v>
      </c>
      <c r="F143" s="4"/>
      <c r="G143" s="29">
        <f>G144+G145</f>
        <v>1748200</v>
      </c>
      <c r="H143" s="29">
        <f>H144+H145</f>
        <v>1748200</v>
      </c>
    </row>
    <row r="144" spans="1:14" ht="110.25">
      <c r="A144" s="3" t="s">
        <v>701</v>
      </c>
      <c r="B144" s="4" t="s">
        <v>354</v>
      </c>
      <c r="C144" s="4" t="s">
        <v>658</v>
      </c>
      <c r="D144" s="4" t="s">
        <v>661</v>
      </c>
      <c r="E144" s="4" t="s">
        <v>391</v>
      </c>
      <c r="F144" s="4" t="s">
        <v>312</v>
      </c>
      <c r="G144" s="29">
        <f>1787190+114400-194200</f>
        <v>1707390</v>
      </c>
      <c r="H144" s="29">
        <f>G144</f>
        <v>1707390</v>
      </c>
      <c r="M144" s="208" t="s">
        <v>871</v>
      </c>
      <c r="N144" s="26"/>
    </row>
    <row r="145" spans="1:8" ht="47.25">
      <c r="A145" s="3" t="s">
        <v>702</v>
      </c>
      <c r="B145" s="4" t="s">
        <v>354</v>
      </c>
      <c r="C145" s="4" t="s">
        <v>658</v>
      </c>
      <c r="D145" s="4" t="s">
        <v>661</v>
      </c>
      <c r="E145" s="4" t="s">
        <v>391</v>
      </c>
      <c r="F145" s="4" t="s">
        <v>313</v>
      </c>
      <c r="G145" s="29">
        <v>40810</v>
      </c>
      <c r="H145" s="29">
        <f>G145</f>
        <v>40810</v>
      </c>
    </row>
    <row r="146" spans="1:8" ht="139.5" customHeight="1">
      <c r="A146" s="8" t="s">
        <v>350</v>
      </c>
      <c r="B146" s="9" t="s">
        <v>354</v>
      </c>
      <c r="C146" s="9" t="s">
        <v>658</v>
      </c>
      <c r="D146" s="9" t="s">
        <v>657</v>
      </c>
      <c r="E146" s="9"/>
      <c r="F146" s="9"/>
      <c r="G146" s="36">
        <f>G147</f>
        <v>36766358.5</v>
      </c>
      <c r="H146" s="36"/>
    </row>
    <row r="147" spans="1:8" ht="63">
      <c r="A147" s="3" t="s">
        <v>545</v>
      </c>
      <c r="B147" s="4" t="s">
        <v>354</v>
      </c>
      <c r="C147" s="4" t="s">
        <v>658</v>
      </c>
      <c r="D147" s="4" t="s">
        <v>657</v>
      </c>
      <c r="E147" s="4" t="s">
        <v>406</v>
      </c>
      <c r="F147" s="4"/>
      <c r="G147" s="29">
        <f>G148</f>
        <v>36766358.5</v>
      </c>
      <c r="H147" s="29"/>
    </row>
    <row r="148" spans="1:8" ht="78.75">
      <c r="A148" s="3" t="s">
        <v>414</v>
      </c>
      <c r="B148" s="4" t="s">
        <v>354</v>
      </c>
      <c r="C148" s="4" t="s">
        <v>658</v>
      </c>
      <c r="D148" s="4" t="s">
        <v>657</v>
      </c>
      <c r="E148" s="4" t="s">
        <v>415</v>
      </c>
      <c r="F148" s="4"/>
      <c r="G148" s="29">
        <f>G149+G158+G159+G153+G155</f>
        <v>36766358.5</v>
      </c>
      <c r="H148" s="29"/>
    </row>
    <row r="149" spans="1:8" ht="94.5">
      <c r="A149" s="3" t="s">
        <v>493</v>
      </c>
      <c r="B149" s="4" t="s">
        <v>354</v>
      </c>
      <c r="C149" s="4" t="s">
        <v>658</v>
      </c>
      <c r="D149" s="4" t="s">
        <v>657</v>
      </c>
      <c r="E149" s="4" t="s">
        <v>416</v>
      </c>
      <c r="F149" s="4"/>
      <c r="G149" s="29">
        <f>G150+G151+G152</f>
        <v>34520705.29</v>
      </c>
      <c r="H149" s="29"/>
    </row>
    <row r="150" spans="1:8" ht="110.25">
      <c r="A150" s="3" t="s">
        <v>701</v>
      </c>
      <c r="B150" s="4" t="s">
        <v>354</v>
      </c>
      <c r="C150" s="4" t="s">
        <v>658</v>
      </c>
      <c r="D150" s="4" t="s">
        <v>657</v>
      </c>
      <c r="E150" s="4" t="s">
        <v>416</v>
      </c>
      <c r="F150" s="4" t="s">
        <v>312</v>
      </c>
      <c r="G150" s="29">
        <f>31028860-529378.98-400827.12-227387.8-5000-9749.95-348571.55-64953.1</f>
        <v>29442991.499999996</v>
      </c>
      <c r="H150" s="29"/>
    </row>
    <row r="151" spans="1:8" ht="47.25">
      <c r="A151" s="3" t="s">
        <v>702</v>
      </c>
      <c r="B151" s="4" t="s">
        <v>354</v>
      </c>
      <c r="C151" s="4" t="s">
        <v>658</v>
      </c>
      <c r="D151" s="4" t="s">
        <v>657</v>
      </c>
      <c r="E151" s="4" t="s">
        <v>416</v>
      </c>
      <c r="F151" s="4" t="s">
        <v>313</v>
      </c>
      <c r="G151" s="29">
        <f>5316710-78943.42-181779.29</f>
        <v>5055987.29</v>
      </c>
      <c r="H151" s="29"/>
    </row>
    <row r="152" spans="1:8" ht="15.75">
      <c r="A152" s="3" t="s">
        <v>556</v>
      </c>
      <c r="B152" s="4" t="s">
        <v>354</v>
      </c>
      <c r="C152" s="4" t="s">
        <v>658</v>
      </c>
      <c r="D152" s="4" t="s">
        <v>657</v>
      </c>
      <c r="E152" s="4" t="s">
        <v>416</v>
      </c>
      <c r="F152" s="4" t="s">
        <v>316</v>
      </c>
      <c r="G152" s="29">
        <f>22870-1143.5</f>
        <v>21726.5</v>
      </c>
      <c r="H152" s="29"/>
    </row>
    <row r="153" spans="1:8" ht="94.5">
      <c r="A153" s="3" t="s">
        <v>235</v>
      </c>
      <c r="B153" s="4" t="s">
        <v>354</v>
      </c>
      <c r="C153" s="4" t="s">
        <v>658</v>
      </c>
      <c r="D153" s="4" t="s">
        <v>657</v>
      </c>
      <c r="E153" s="4" t="s">
        <v>253</v>
      </c>
      <c r="F153" s="4"/>
      <c r="G153" s="29">
        <f>G154</f>
        <v>688510</v>
      </c>
      <c r="H153" s="29"/>
    </row>
    <row r="154" spans="1:8" ht="110.25">
      <c r="A154" s="3" t="s">
        <v>245</v>
      </c>
      <c r="B154" s="4" t="s">
        <v>354</v>
      </c>
      <c r="C154" s="4" t="s">
        <v>658</v>
      </c>
      <c r="D154" s="4" t="s">
        <v>657</v>
      </c>
      <c r="E154" s="4" t="s">
        <v>253</v>
      </c>
      <c r="F154" s="4" t="s">
        <v>312</v>
      </c>
      <c r="G154" s="29">
        <v>688510</v>
      </c>
      <c r="H154" s="29"/>
    </row>
    <row r="155" spans="1:8" ht="65.25" customHeight="1" hidden="1">
      <c r="A155" s="3" t="s">
        <v>512</v>
      </c>
      <c r="B155" s="4" t="s">
        <v>354</v>
      </c>
      <c r="C155" s="4" t="s">
        <v>658</v>
      </c>
      <c r="D155" s="4" t="s">
        <v>657</v>
      </c>
      <c r="E155" s="4" t="s">
        <v>279</v>
      </c>
      <c r="F155" s="4"/>
      <c r="G155" s="29">
        <f>G156</f>
        <v>0</v>
      </c>
      <c r="H155" s="29"/>
    </row>
    <row r="156" spans="1:8" ht="47.25" hidden="1">
      <c r="A156" s="3" t="s">
        <v>702</v>
      </c>
      <c r="B156" s="4" t="s">
        <v>354</v>
      </c>
      <c r="C156" s="4" t="s">
        <v>658</v>
      </c>
      <c r="D156" s="4" t="s">
        <v>657</v>
      </c>
      <c r="E156" s="4" t="s">
        <v>279</v>
      </c>
      <c r="F156" s="4" t="s">
        <v>313</v>
      </c>
      <c r="G156" s="29"/>
      <c r="H156" s="29"/>
    </row>
    <row r="157" spans="1:8" ht="31.5">
      <c r="A157" s="3" t="s">
        <v>719</v>
      </c>
      <c r="B157" s="4" t="s">
        <v>354</v>
      </c>
      <c r="C157" s="4" t="s">
        <v>658</v>
      </c>
      <c r="D157" s="4" t="s">
        <v>657</v>
      </c>
      <c r="E157" s="4" t="s">
        <v>417</v>
      </c>
      <c r="F157" s="4"/>
      <c r="G157" s="29">
        <f>G158</f>
        <v>1557143.21</v>
      </c>
      <c r="H157" s="29"/>
    </row>
    <row r="158" spans="1:8" ht="47.25">
      <c r="A158" s="3" t="s">
        <v>702</v>
      </c>
      <c r="B158" s="4" t="s">
        <v>354</v>
      </c>
      <c r="C158" s="4" t="s">
        <v>658</v>
      </c>
      <c r="D158" s="4" t="s">
        <v>657</v>
      </c>
      <c r="E158" s="4" t="s">
        <v>417</v>
      </c>
      <c r="F158" s="4" t="s">
        <v>313</v>
      </c>
      <c r="G158" s="29">
        <f>1644480-87336.79</f>
        <v>1557143.21</v>
      </c>
      <c r="H158" s="29"/>
    </row>
    <row r="159" spans="1:8" ht="63" hidden="1">
      <c r="A159" s="3" t="s">
        <v>506</v>
      </c>
      <c r="B159" s="4" t="s">
        <v>354</v>
      </c>
      <c r="C159" s="4" t="s">
        <v>658</v>
      </c>
      <c r="D159" s="4" t="s">
        <v>657</v>
      </c>
      <c r="E159" s="4" t="s">
        <v>422</v>
      </c>
      <c r="F159" s="4"/>
      <c r="G159" s="29">
        <f>G160</f>
        <v>0</v>
      </c>
      <c r="H159" s="29"/>
    </row>
    <row r="160" spans="1:8" ht="47.25" hidden="1">
      <c r="A160" s="3" t="s">
        <v>189</v>
      </c>
      <c r="B160" s="4" t="s">
        <v>354</v>
      </c>
      <c r="C160" s="4" t="s">
        <v>658</v>
      </c>
      <c r="D160" s="4" t="s">
        <v>657</v>
      </c>
      <c r="E160" s="4" t="s">
        <v>422</v>
      </c>
      <c r="F160" s="4" t="s">
        <v>693</v>
      </c>
      <c r="G160" s="29"/>
      <c r="H160" s="29"/>
    </row>
    <row r="161" spans="1:8" ht="18.75">
      <c r="A161" s="10" t="s">
        <v>672</v>
      </c>
      <c r="B161" s="11" t="s">
        <v>354</v>
      </c>
      <c r="C161" s="11" t="s">
        <v>661</v>
      </c>
      <c r="D161" s="56"/>
      <c r="E161" s="23"/>
      <c r="F161" s="23"/>
      <c r="G161" s="28">
        <f>G169+G162+G183</f>
        <v>42967456.7</v>
      </c>
      <c r="H161" s="28">
        <f>H169+H162+H183</f>
        <v>755800</v>
      </c>
    </row>
    <row r="162" spans="1:8" ht="15.75">
      <c r="A162" s="20" t="s">
        <v>673</v>
      </c>
      <c r="B162" s="2" t="s">
        <v>354</v>
      </c>
      <c r="C162" s="2" t="s">
        <v>661</v>
      </c>
      <c r="D162" s="2" t="s">
        <v>655</v>
      </c>
      <c r="E162" s="4"/>
      <c r="F162" s="4"/>
      <c r="G162" s="33">
        <f aca="true" t="shared" si="0" ref="G162:H167">G163</f>
        <v>29752915.67</v>
      </c>
      <c r="H162" s="33">
        <f t="shared" si="0"/>
        <v>687100</v>
      </c>
    </row>
    <row r="163" spans="1:8" ht="111" customHeight="1">
      <c r="A163" s="3" t="s">
        <v>549</v>
      </c>
      <c r="B163" s="4" t="s">
        <v>354</v>
      </c>
      <c r="C163" s="4" t="s">
        <v>661</v>
      </c>
      <c r="D163" s="4" t="s">
        <v>655</v>
      </c>
      <c r="E163" s="4" t="s">
        <v>328</v>
      </c>
      <c r="F163" s="4"/>
      <c r="G163" s="29">
        <f t="shared" si="0"/>
        <v>29752915.67</v>
      </c>
      <c r="H163" s="29">
        <f t="shared" si="0"/>
        <v>687100</v>
      </c>
    </row>
    <row r="164" spans="1:8" ht="47.25">
      <c r="A164" s="3" t="s">
        <v>329</v>
      </c>
      <c r="B164" s="4" t="s">
        <v>354</v>
      </c>
      <c r="C164" s="4" t="s">
        <v>661</v>
      </c>
      <c r="D164" s="4" t="s">
        <v>655</v>
      </c>
      <c r="E164" s="4" t="s">
        <v>330</v>
      </c>
      <c r="F164" s="4"/>
      <c r="G164" s="29">
        <f>G167+G165</f>
        <v>29752915.67</v>
      </c>
      <c r="H164" s="29">
        <f>H167</f>
        <v>687100</v>
      </c>
    </row>
    <row r="165" spans="1:8" ht="63">
      <c r="A165" s="3" t="s">
        <v>508</v>
      </c>
      <c r="B165" s="4" t="s">
        <v>354</v>
      </c>
      <c r="C165" s="4" t="s">
        <v>661</v>
      </c>
      <c r="D165" s="4" t="s">
        <v>655</v>
      </c>
      <c r="E165" s="4" t="s">
        <v>509</v>
      </c>
      <c r="F165" s="4"/>
      <c r="G165" s="29">
        <f>G166</f>
        <v>29065815.67</v>
      </c>
      <c r="H165" s="29"/>
    </row>
    <row r="166" spans="1:13" ht="24" customHeight="1">
      <c r="A166" s="3" t="s">
        <v>556</v>
      </c>
      <c r="B166" s="4" t="s">
        <v>354</v>
      </c>
      <c r="C166" s="4" t="s">
        <v>661</v>
      </c>
      <c r="D166" s="4" t="s">
        <v>655</v>
      </c>
      <c r="E166" s="4" t="s">
        <v>509</v>
      </c>
      <c r="F166" s="4" t="s">
        <v>316</v>
      </c>
      <c r="G166" s="29">
        <f>31100530-1555026.5-95000-121723.83-262964</f>
        <v>29065815.67</v>
      </c>
      <c r="H166" s="29"/>
      <c r="M166" s="208">
        <f>-121723.83-262964</f>
        <v>-384687.83</v>
      </c>
    </row>
    <row r="167" spans="1:8" ht="141.75">
      <c r="A167" s="3" t="s">
        <v>331</v>
      </c>
      <c r="B167" s="4" t="s">
        <v>354</v>
      </c>
      <c r="C167" s="4" t="s">
        <v>661</v>
      </c>
      <c r="D167" s="4" t="s">
        <v>655</v>
      </c>
      <c r="E167" s="4" t="s">
        <v>332</v>
      </c>
      <c r="F167" s="4"/>
      <c r="G167" s="29">
        <f t="shared" si="0"/>
        <v>687100</v>
      </c>
      <c r="H167" s="29">
        <f t="shared" si="0"/>
        <v>687100</v>
      </c>
    </row>
    <row r="168" spans="1:8" ht="15.75">
      <c r="A168" s="3" t="s">
        <v>556</v>
      </c>
      <c r="B168" s="4" t="s">
        <v>354</v>
      </c>
      <c r="C168" s="4" t="s">
        <v>661</v>
      </c>
      <c r="D168" s="4" t="s">
        <v>655</v>
      </c>
      <c r="E168" s="4" t="s">
        <v>332</v>
      </c>
      <c r="F168" s="4" t="s">
        <v>316</v>
      </c>
      <c r="G168" s="29">
        <v>687100</v>
      </c>
      <c r="H168" s="29">
        <f>G168</f>
        <v>687100</v>
      </c>
    </row>
    <row r="169" spans="1:8" ht="15.75">
      <c r="A169" s="1" t="s">
        <v>304</v>
      </c>
      <c r="B169" s="2" t="s">
        <v>354</v>
      </c>
      <c r="C169" s="2" t="s">
        <v>661</v>
      </c>
      <c r="D169" s="2" t="s">
        <v>659</v>
      </c>
      <c r="E169" s="2"/>
      <c r="F169" s="2"/>
      <c r="G169" s="33">
        <f>G170</f>
        <v>13157241.030000001</v>
      </c>
      <c r="H169" s="33">
        <f>H170</f>
        <v>11400</v>
      </c>
    </row>
    <row r="170" spans="1:8" ht="70.5" customHeight="1">
      <c r="A170" s="3" t="s">
        <v>548</v>
      </c>
      <c r="B170" s="4" t="s">
        <v>354</v>
      </c>
      <c r="C170" s="4" t="s">
        <v>661</v>
      </c>
      <c r="D170" s="4" t="s">
        <v>659</v>
      </c>
      <c r="E170" s="4" t="s">
        <v>703</v>
      </c>
      <c r="F170" s="4"/>
      <c r="G170" s="29">
        <f>G177+G171</f>
        <v>13157241.030000001</v>
      </c>
      <c r="H170" s="29">
        <f>H177</f>
        <v>11400</v>
      </c>
    </row>
    <row r="171" spans="1:8" ht="85.5" customHeight="1">
      <c r="A171" s="3" t="s">
        <v>368</v>
      </c>
      <c r="B171" s="4" t="s">
        <v>354</v>
      </c>
      <c r="C171" s="4" t="s">
        <v>661</v>
      </c>
      <c r="D171" s="4" t="s">
        <v>659</v>
      </c>
      <c r="E171" s="4" t="s">
        <v>369</v>
      </c>
      <c r="F171" s="4"/>
      <c r="G171" s="29">
        <f>G172+G175</f>
        <v>9457233.05</v>
      </c>
      <c r="H171" s="29"/>
    </row>
    <row r="172" spans="1:8" ht="133.5" customHeight="1">
      <c r="A172" s="3" t="s">
        <v>493</v>
      </c>
      <c r="B172" s="4" t="s">
        <v>354</v>
      </c>
      <c r="C172" s="4" t="s">
        <v>661</v>
      </c>
      <c r="D172" s="4" t="s">
        <v>659</v>
      </c>
      <c r="E172" s="4" t="s">
        <v>370</v>
      </c>
      <c r="F172" s="4"/>
      <c r="G172" s="29">
        <f>G173+G174</f>
        <v>9150223.05</v>
      </c>
      <c r="H172" s="29"/>
    </row>
    <row r="173" spans="1:8" ht="161.25" customHeight="1">
      <c r="A173" s="3" t="s">
        <v>701</v>
      </c>
      <c r="B173" s="4" t="s">
        <v>354</v>
      </c>
      <c r="C173" s="4" t="s">
        <v>661</v>
      </c>
      <c r="D173" s="4" t="s">
        <v>659</v>
      </c>
      <c r="E173" s="4" t="s">
        <v>370</v>
      </c>
      <c r="F173" s="4" t="s">
        <v>312</v>
      </c>
      <c r="G173" s="29">
        <f>7105220+2145780-107456.95-40600-35000+400</f>
        <v>9068343.05</v>
      </c>
      <c r="H173" s="29"/>
    </row>
    <row r="174" spans="1:8" ht="70.5" customHeight="1">
      <c r="A174" s="3" t="s">
        <v>702</v>
      </c>
      <c r="B174" s="4" t="s">
        <v>354</v>
      </c>
      <c r="C174" s="4" t="s">
        <v>661</v>
      </c>
      <c r="D174" s="4" t="s">
        <v>659</v>
      </c>
      <c r="E174" s="4" t="s">
        <v>370</v>
      </c>
      <c r="F174" s="4" t="s">
        <v>313</v>
      </c>
      <c r="G174" s="29">
        <f>82280-400</f>
        <v>81880</v>
      </c>
      <c r="H174" s="29"/>
    </row>
    <row r="175" spans="1:8" ht="135" customHeight="1">
      <c r="A175" s="3" t="s">
        <v>235</v>
      </c>
      <c r="B175" s="4" t="s">
        <v>354</v>
      </c>
      <c r="C175" s="4" t="s">
        <v>661</v>
      </c>
      <c r="D175" s="4" t="s">
        <v>659</v>
      </c>
      <c r="E175" s="4" t="s">
        <v>254</v>
      </c>
      <c r="F175" s="4"/>
      <c r="G175" s="29">
        <f>G176</f>
        <v>307010</v>
      </c>
      <c r="H175" s="29"/>
    </row>
    <row r="176" spans="1:8" ht="110.25">
      <c r="A176" s="3" t="s">
        <v>701</v>
      </c>
      <c r="B176" s="4" t="s">
        <v>354</v>
      </c>
      <c r="C176" s="4" t="s">
        <v>661</v>
      </c>
      <c r="D176" s="4" t="s">
        <v>659</v>
      </c>
      <c r="E176" s="4" t="s">
        <v>254</v>
      </c>
      <c r="F176" s="4" t="s">
        <v>312</v>
      </c>
      <c r="G176" s="29">
        <v>307010</v>
      </c>
      <c r="H176" s="29"/>
    </row>
    <row r="177" spans="1:8" ht="69.75" customHeight="1">
      <c r="A177" s="3" t="s">
        <v>704</v>
      </c>
      <c r="B177" s="4" t="s">
        <v>354</v>
      </c>
      <c r="C177" s="4" t="s">
        <v>661</v>
      </c>
      <c r="D177" s="4" t="s">
        <v>659</v>
      </c>
      <c r="E177" s="4" t="s">
        <v>705</v>
      </c>
      <c r="F177" s="4"/>
      <c r="G177" s="29">
        <f>G181+G178</f>
        <v>3700007.9800000004</v>
      </c>
      <c r="H177" s="29">
        <f>H181</f>
        <v>11400</v>
      </c>
    </row>
    <row r="178" spans="1:8" ht="54" customHeight="1">
      <c r="A178" s="3" t="s">
        <v>706</v>
      </c>
      <c r="B178" s="4" t="s">
        <v>354</v>
      </c>
      <c r="C178" s="4" t="s">
        <v>661</v>
      </c>
      <c r="D178" s="4" t="s">
        <v>659</v>
      </c>
      <c r="E178" s="4" t="s">
        <v>707</v>
      </c>
      <c r="F178" s="4"/>
      <c r="G178" s="29">
        <f>G179+G180</f>
        <v>3688607.9800000004</v>
      </c>
      <c r="H178" s="29"/>
    </row>
    <row r="179" spans="1:13" ht="69.75" customHeight="1">
      <c r="A179" s="3" t="s">
        <v>702</v>
      </c>
      <c r="B179" s="4" t="s">
        <v>354</v>
      </c>
      <c r="C179" s="4" t="s">
        <v>661</v>
      </c>
      <c r="D179" s="4" t="s">
        <v>659</v>
      </c>
      <c r="E179" s="4" t="s">
        <v>707</v>
      </c>
      <c r="F179" s="4" t="s">
        <v>313</v>
      </c>
      <c r="G179" s="29">
        <f>2475450+142500-1890-33010.11-284374.42-1500-19183-95460+53053.95-14868.39</f>
        <v>2220718.0300000003</v>
      </c>
      <c r="H179" s="29"/>
      <c r="M179" s="208">
        <f>-14868.39</f>
        <v>-14868.39</v>
      </c>
    </row>
    <row r="180" spans="1:8" ht="69.75" customHeight="1">
      <c r="A180" s="3" t="s">
        <v>723</v>
      </c>
      <c r="B180" s="4" t="s">
        <v>354</v>
      </c>
      <c r="C180" s="4" t="s">
        <v>661</v>
      </c>
      <c r="D180" s="4" t="s">
        <v>659</v>
      </c>
      <c r="E180" s="4" t="s">
        <v>707</v>
      </c>
      <c r="F180" s="4" t="s">
        <v>317</v>
      </c>
      <c r="G180" s="29">
        <f>1677551.95-83878-125784</f>
        <v>1467889.95</v>
      </c>
      <c r="H180" s="29"/>
    </row>
    <row r="181" spans="1:8" ht="110.25">
      <c r="A181" s="3" t="s">
        <v>728</v>
      </c>
      <c r="B181" s="4" t="s">
        <v>354</v>
      </c>
      <c r="C181" s="4" t="s">
        <v>661</v>
      </c>
      <c r="D181" s="4" t="s">
        <v>659</v>
      </c>
      <c r="E181" s="4" t="s">
        <v>729</v>
      </c>
      <c r="F181" s="4"/>
      <c r="G181" s="29">
        <f>G182</f>
        <v>11400</v>
      </c>
      <c r="H181" s="29">
        <f>H182</f>
        <v>11400</v>
      </c>
    </row>
    <row r="182" spans="1:8" ht="47.25">
      <c r="A182" s="3" t="s">
        <v>702</v>
      </c>
      <c r="B182" s="4" t="s">
        <v>354</v>
      </c>
      <c r="C182" s="4" t="s">
        <v>661</v>
      </c>
      <c r="D182" s="4" t="s">
        <v>659</v>
      </c>
      <c r="E182" s="4" t="s">
        <v>729</v>
      </c>
      <c r="F182" s="4" t="s">
        <v>313</v>
      </c>
      <c r="G182" s="29">
        <v>11400</v>
      </c>
      <c r="H182" s="29">
        <f>G182</f>
        <v>11400</v>
      </c>
    </row>
    <row r="183" spans="1:8" ht="31.5">
      <c r="A183" s="1" t="s">
        <v>674</v>
      </c>
      <c r="B183" s="2" t="s">
        <v>354</v>
      </c>
      <c r="C183" s="2" t="s">
        <v>661</v>
      </c>
      <c r="D183" s="2" t="s">
        <v>307</v>
      </c>
      <c r="E183" s="4"/>
      <c r="F183" s="4"/>
      <c r="G183" s="33">
        <f aca="true" t="shared" si="1" ref="G183:H186">G184</f>
        <v>57300</v>
      </c>
      <c r="H183" s="33">
        <f t="shared" si="1"/>
        <v>57300</v>
      </c>
    </row>
    <row r="184" spans="1:8" ht="85.5" customHeight="1">
      <c r="A184" s="27" t="s">
        <v>541</v>
      </c>
      <c r="B184" s="4" t="s">
        <v>354</v>
      </c>
      <c r="C184" s="4" t="s">
        <v>661</v>
      </c>
      <c r="D184" s="4" t="s">
        <v>307</v>
      </c>
      <c r="E184" s="4" t="s">
        <v>708</v>
      </c>
      <c r="F184" s="4"/>
      <c r="G184" s="29">
        <f t="shared" si="1"/>
        <v>57300</v>
      </c>
      <c r="H184" s="29">
        <f t="shared" si="1"/>
        <v>57300</v>
      </c>
    </row>
    <row r="185" spans="1:8" ht="47.25">
      <c r="A185" s="27" t="s">
        <v>709</v>
      </c>
      <c r="B185" s="4" t="s">
        <v>354</v>
      </c>
      <c r="C185" s="4" t="s">
        <v>661</v>
      </c>
      <c r="D185" s="4" t="s">
        <v>307</v>
      </c>
      <c r="E185" s="4" t="s">
        <v>710</v>
      </c>
      <c r="F185" s="4"/>
      <c r="G185" s="29">
        <f t="shared" si="1"/>
        <v>57300</v>
      </c>
      <c r="H185" s="29">
        <f t="shared" si="1"/>
        <v>57300</v>
      </c>
    </row>
    <row r="186" spans="1:8" ht="141.75">
      <c r="A186" s="3" t="s">
        <v>553</v>
      </c>
      <c r="B186" s="4" t="s">
        <v>354</v>
      </c>
      <c r="C186" s="4" t="s">
        <v>661</v>
      </c>
      <c r="D186" s="4" t="s">
        <v>307</v>
      </c>
      <c r="E186" s="4" t="s">
        <v>337</v>
      </c>
      <c r="F186" s="4"/>
      <c r="G186" s="29">
        <f t="shared" si="1"/>
        <v>57300</v>
      </c>
      <c r="H186" s="29">
        <f t="shared" si="1"/>
        <v>57300</v>
      </c>
    </row>
    <row r="187" spans="1:8" ht="110.25">
      <c r="A187" s="3" t="s">
        <v>701</v>
      </c>
      <c r="B187" s="4" t="s">
        <v>354</v>
      </c>
      <c r="C187" s="4" t="s">
        <v>661</v>
      </c>
      <c r="D187" s="4" t="s">
        <v>307</v>
      </c>
      <c r="E187" s="4" t="s">
        <v>337</v>
      </c>
      <c r="F187" s="4" t="s">
        <v>312</v>
      </c>
      <c r="G187" s="29">
        <v>57300</v>
      </c>
      <c r="H187" s="29">
        <f>G187</f>
        <v>57300</v>
      </c>
    </row>
    <row r="188" spans="1:14" ht="18.75">
      <c r="A188" s="10" t="s">
        <v>665</v>
      </c>
      <c r="B188" s="11" t="s">
        <v>354</v>
      </c>
      <c r="C188" s="11" t="s">
        <v>659</v>
      </c>
      <c r="D188" s="5"/>
      <c r="E188" s="5"/>
      <c r="F188" s="23"/>
      <c r="G188" s="28">
        <f>G193+G189</f>
        <v>2300486</v>
      </c>
      <c r="H188" s="28">
        <f>H193</f>
        <v>1345100</v>
      </c>
      <c r="M188" s="208">
        <f>2300486-2249406</f>
        <v>51080</v>
      </c>
      <c r="N188" s="26"/>
    </row>
    <row r="189" spans="1:8" ht="15.75">
      <c r="A189" s="1" t="s">
        <v>683</v>
      </c>
      <c r="B189" s="2" t="s">
        <v>354</v>
      </c>
      <c r="C189" s="2" t="s">
        <v>659</v>
      </c>
      <c r="D189" s="2" t="s">
        <v>651</v>
      </c>
      <c r="E189" s="2"/>
      <c r="F189" s="4"/>
      <c r="G189" s="33">
        <f>G190</f>
        <v>955386</v>
      </c>
      <c r="H189" s="33"/>
    </row>
    <row r="190" spans="1:8" ht="15.75">
      <c r="A190" s="3" t="s">
        <v>699</v>
      </c>
      <c r="B190" s="4" t="s">
        <v>354</v>
      </c>
      <c r="C190" s="4" t="s">
        <v>659</v>
      </c>
      <c r="D190" s="4" t="s">
        <v>651</v>
      </c>
      <c r="E190" s="4" t="s">
        <v>700</v>
      </c>
      <c r="F190" s="4"/>
      <c r="G190" s="29">
        <f>G191</f>
        <v>955386</v>
      </c>
      <c r="H190" s="29"/>
    </row>
    <row r="191" spans="1:8" ht="133.5" customHeight="1">
      <c r="A191" s="3" t="s">
        <v>423</v>
      </c>
      <c r="B191" s="4" t="s">
        <v>354</v>
      </c>
      <c r="C191" s="4" t="s">
        <v>659</v>
      </c>
      <c r="D191" s="4" t="s">
        <v>651</v>
      </c>
      <c r="E191" s="4" t="s">
        <v>424</v>
      </c>
      <c r="F191" s="4"/>
      <c r="G191" s="29">
        <f>G192</f>
        <v>955386</v>
      </c>
      <c r="H191" s="29"/>
    </row>
    <row r="192" spans="1:14" ht="31.5">
      <c r="A192" s="3" t="s">
        <v>560</v>
      </c>
      <c r="B192" s="4" t="s">
        <v>354</v>
      </c>
      <c r="C192" s="4" t="s">
        <v>659</v>
      </c>
      <c r="D192" s="4" t="s">
        <v>651</v>
      </c>
      <c r="E192" s="4" t="s">
        <v>424</v>
      </c>
      <c r="F192" s="4" t="s">
        <v>561</v>
      </c>
      <c r="G192" s="29">
        <f>1335000-327814-102880+51080</f>
        <v>955386</v>
      </c>
      <c r="H192" s="29"/>
      <c r="M192" s="208">
        <f>955386-904306</f>
        <v>51080</v>
      </c>
      <c r="N192" s="26"/>
    </row>
    <row r="193" spans="1:8" ht="15.75">
      <c r="A193" s="1" t="s">
        <v>691</v>
      </c>
      <c r="B193" s="2" t="s">
        <v>354</v>
      </c>
      <c r="C193" s="2" t="s">
        <v>659</v>
      </c>
      <c r="D193" s="2" t="s">
        <v>661</v>
      </c>
      <c r="E193" s="2"/>
      <c r="F193" s="2"/>
      <c r="G193" s="33">
        <f>G194</f>
        <v>1345100</v>
      </c>
      <c r="H193" s="33">
        <f>H194</f>
        <v>1345100</v>
      </c>
    </row>
    <row r="194" spans="1:8" ht="88.5" customHeight="1">
      <c r="A194" s="27" t="s">
        <v>541</v>
      </c>
      <c r="B194" s="4" t="s">
        <v>354</v>
      </c>
      <c r="C194" s="4" t="s">
        <v>659</v>
      </c>
      <c r="D194" s="4" t="s">
        <v>661</v>
      </c>
      <c r="E194" s="4" t="s">
        <v>708</v>
      </c>
      <c r="F194" s="4"/>
      <c r="G194" s="29">
        <f>G195</f>
        <v>1345100</v>
      </c>
      <c r="H194" s="29">
        <f>H195</f>
        <v>1345100</v>
      </c>
    </row>
    <row r="195" spans="1:8" ht="47.25">
      <c r="A195" s="27" t="s">
        <v>709</v>
      </c>
      <c r="B195" s="4" t="s">
        <v>354</v>
      </c>
      <c r="C195" s="4" t="s">
        <v>659</v>
      </c>
      <c r="D195" s="4" t="s">
        <v>661</v>
      </c>
      <c r="E195" s="4" t="s">
        <v>710</v>
      </c>
      <c r="F195" s="4"/>
      <c r="G195" s="29">
        <f>G196+G199</f>
        <v>1345100</v>
      </c>
      <c r="H195" s="29">
        <f>H196+H199</f>
        <v>1345100</v>
      </c>
    </row>
    <row r="196" spans="1:8" ht="141.75">
      <c r="A196" s="3" t="s">
        <v>756</v>
      </c>
      <c r="B196" s="4" t="s">
        <v>354</v>
      </c>
      <c r="C196" s="4" t="s">
        <v>659</v>
      </c>
      <c r="D196" s="4" t="s">
        <v>661</v>
      </c>
      <c r="E196" s="4" t="s">
        <v>757</v>
      </c>
      <c r="F196" s="4"/>
      <c r="G196" s="29">
        <f>G197+G198</f>
        <v>111700</v>
      </c>
      <c r="H196" s="29">
        <f>H197+H198</f>
        <v>111700</v>
      </c>
    </row>
    <row r="197" spans="1:8" ht="110.25">
      <c r="A197" s="3" t="s">
        <v>701</v>
      </c>
      <c r="B197" s="4" t="s">
        <v>354</v>
      </c>
      <c r="C197" s="4" t="s">
        <v>659</v>
      </c>
      <c r="D197" s="4" t="s">
        <v>661</v>
      </c>
      <c r="E197" s="4" t="s">
        <v>757</v>
      </c>
      <c r="F197" s="4" t="s">
        <v>312</v>
      </c>
      <c r="G197" s="29">
        <v>111700</v>
      </c>
      <c r="H197" s="29">
        <f>G197</f>
        <v>111700</v>
      </c>
    </row>
    <row r="198" spans="1:8" ht="61.5" customHeight="1" hidden="1">
      <c r="A198" s="3" t="s">
        <v>702</v>
      </c>
      <c r="B198" s="4" t="s">
        <v>354</v>
      </c>
      <c r="C198" s="4" t="s">
        <v>659</v>
      </c>
      <c r="D198" s="4" t="s">
        <v>661</v>
      </c>
      <c r="E198" s="4" t="s">
        <v>757</v>
      </c>
      <c r="F198" s="4" t="s">
        <v>313</v>
      </c>
      <c r="G198" s="29">
        <v>0</v>
      </c>
      <c r="H198" s="29">
        <f>G198</f>
        <v>0</v>
      </c>
    </row>
    <row r="199" spans="1:8" ht="63">
      <c r="A199" s="60" t="s">
        <v>689</v>
      </c>
      <c r="B199" s="4" t="s">
        <v>354</v>
      </c>
      <c r="C199" s="4" t="s">
        <v>659</v>
      </c>
      <c r="D199" s="4" t="s">
        <v>661</v>
      </c>
      <c r="E199" s="4" t="s">
        <v>492</v>
      </c>
      <c r="F199" s="4"/>
      <c r="G199" s="29">
        <f>G200+G201</f>
        <v>1233400</v>
      </c>
      <c r="H199" s="29">
        <f>H200+H201</f>
        <v>1233400</v>
      </c>
    </row>
    <row r="200" spans="1:8" ht="110.25">
      <c r="A200" s="3" t="s">
        <v>701</v>
      </c>
      <c r="B200" s="4" t="s">
        <v>354</v>
      </c>
      <c r="C200" s="4" t="s">
        <v>659</v>
      </c>
      <c r="D200" s="4" t="s">
        <v>661</v>
      </c>
      <c r="E200" s="4" t="s">
        <v>492</v>
      </c>
      <c r="F200" s="4" t="s">
        <v>312</v>
      </c>
      <c r="G200" s="29">
        <f>1076700+21064.49</f>
        <v>1097764.49</v>
      </c>
      <c r="H200" s="29">
        <f>G200</f>
        <v>1097764.49</v>
      </c>
    </row>
    <row r="201" spans="1:8" ht="47.25">
      <c r="A201" s="3" t="s">
        <v>702</v>
      </c>
      <c r="B201" s="4" t="s">
        <v>354</v>
      </c>
      <c r="C201" s="4" t="s">
        <v>659</v>
      </c>
      <c r="D201" s="4" t="s">
        <v>661</v>
      </c>
      <c r="E201" s="4" t="s">
        <v>492</v>
      </c>
      <c r="F201" s="4" t="s">
        <v>313</v>
      </c>
      <c r="G201" s="29">
        <f>156700-21064.49</f>
        <v>135635.51</v>
      </c>
      <c r="H201" s="29">
        <f>G201</f>
        <v>135635.51</v>
      </c>
    </row>
    <row r="202" spans="1:8" ht="31.5">
      <c r="A202" s="13" t="s">
        <v>303</v>
      </c>
      <c r="B202" s="5" t="s">
        <v>354</v>
      </c>
      <c r="C202" s="5" t="s">
        <v>307</v>
      </c>
      <c r="D202" s="5" t="s">
        <v>681</v>
      </c>
      <c r="E202" s="5"/>
      <c r="F202" s="5"/>
      <c r="G202" s="28">
        <f>G203</f>
        <v>1425000</v>
      </c>
      <c r="H202" s="28"/>
    </row>
    <row r="203" spans="1:8" ht="31.5">
      <c r="A203" s="3" t="s">
        <v>454</v>
      </c>
      <c r="B203" s="4" t="s">
        <v>354</v>
      </c>
      <c r="C203" s="4" t="s">
        <v>307</v>
      </c>
      <c r="D203" s="4" t="s">
        <v>656</v>
      </c>
      <c r="E203" s="4"/>
      <c r="F203" s="4"/>
      <c r="G203" s="29">
        <f>G204</f>
        <v>1425000</v>
      </c>
      <c r="H203" s="29"/>
    </row>
    <row r="204" spans="1:8" ht="70.5" customHeight="1">
      <c r="A204" s="3" t="s">
        <v>548</v>
      </c>
      <c r="B204" s="4" t="s">
        <v>354</v>
      </c>
      <c r="C204" s="4" t="s">
        <v>307</v>
      </c>
      <c r="D204" s="4" t="s">
        <v>656</v>
      </c>
      <c r="E204" s="4" t="s">
        <v>703</v>
      </c>
      <c r="F204" s="4"/>
      <c r="G204" s="29">
        <f>G205</f>
        <v>1425000</v>
      </c>
      <c r="H204" s="29"/>
    </row>
    <row r="205" spans="1:8" ht="94.5">
      <c r="A205" s="3" t="s">
        <v>371</v>
      </c>
      <c r="B205" s="4" t="s">
        <v>354</v>
      </c>
      <c r="C205" s="4" t="s">
        <v>307</v>
      </c>
      <c r="D205" s="4" t="s">
        <v>656</v>
      </c>
      <c r="E205" s="4" t="s">
        <v>372</v>
      </c>
      <c r="F205" s="4"/>
      <c r="G205" s="29">
        <f>G206</f>
        <v>1425000</v>
      </c>
      <c r="H205" s="29"/>
    </row>
    <row r="206" spans="1:8" ht="60" customHeight="1">
      <c r="A206" s="3" t="s">
        <v>538</v>
      </c>
      <c r="B206" s="4" t="s">
        <v>354</v>
      </c>
      <c r="C206" s="4" t="s">
        <v>307</v>
      </c>
      <c r="D206" s="4" t="s">
        <v>656</v>
      </c>
      <c r="E206" s="4" t="s">
        <v>373</v>
      </c>
      <c r="F206" s="4"/>
      <c r="G206" s="29">
        <f>G207</f>
        <v>1425000</v>
      </c>
      <c r="H206" s="29"/>
    </row>
    <row r="207" spans="1:8" ht="27.75" customHeight="1">
      <c r="A207" s="3" t="s">
        <v>556</v>
      </c>
      <c r="B207" s="4" t="s">
        <v>354</v>
      </c>
      <c r="C207" s="4" t="s">
        <v>307</v>
      </c>
      <c r="D207" s="4" t="s">
        <v>656</v>
      </c>
      <c r="E207" s="4" t="s">
        <v>373</v>
      </c>
      <c r="F207" s="4" t="s">
        <v>316</v>
      </c>
      <c r="G207" s="29">
        <f>1500000-75000</f>
        <v>1425000</v>
      </c>
      <c r="H207" s="29"/>
    </row>
    <row r="208" spans="1:14" ht="106.5" customHeight="1">
      <c r="A208" s="10" t="s">
        <v>645</v>
      </c>
      <c r="B208" s="11" t="s">
        <v>355</v>
      </c>
      <c r="C208" s="23"/>
      <c r="D208" s="23"/>
      <c r="E208" s="23"/>
      <c r="F208" s="23"/>
      <c r="G208" s="28">
        <f>G209+G337+G436+G414+G405+G292+G272+G451+G286+G430</f>
        <v>526200921.93</v>
      </c>
      <c r="H208" s="28">
        <f>H209+H337+H436+H414+H405+H292+H272+H451+H286+H430</f>
        <v>51640651</v>
      </c>
      <c r="J208" s="26"/>
      <c r="K208" s="26"/>
      <c r="M208" s="208">
        <f>614988998.59-(78473773+11767127)-524765718.59</f>
        <v>-17619.999999940395</v>
      </c>
      <c r="N208" s="26"/>
    </row>
    <row r="209" spans="1:14" ht="30.75" customHeight="1">
      <c r="A209" s="1" t="s">
        <v>670</v>
      </c>
      <c r="B209" s="2" t="s">
        <v>355</v>
      </c>
      <c r="C209" s="2" t="s">
        <v>651</v>
      </c>
      <c r="D209" s="4"/>
      <c r="E209" s="4"/>
      <c r="F209" s="4"/>
      <c r="G209" s="33">
        <f>G220+G210</f>
        <v>43658301.56</v>
      </c>
      <c r="H209" s="33">
        <f>H220+H210</f>
        <v>360500</v>
      </c>
      <c r="J209" s="26"/>
      <c r="K209" s="26"/>
      <c r="M209" s="208">
        <f>43312323.22-43109334.05</f>
        <v>202989.1700000018</v>
      </c>
      <c r="N209" s="26"/>
    </row>
    <row r="210" spans="1:10" ht="94.5">
      <c r="A210" s="1" t="s">
        <v>306</v>
      </c>
      <c r="B210" s="2" t="s">
        <v>355</v>
      </c>
      <c r="C210" s="2" t="s">
        <v>651</v>
      </c>
      <c r="D210" s="2" t="s">
        <v>661</v>
      </c>
      <c r="E210" s="2"/>
      <c r="F210" s="4"/>
      <c r="G210" s="33">
        <f>G211</f>
        <v>12045933.32</v>
      </c>
      <c r="H210" s="33"/>
      <c r="J210" s="26"/>
    </row>
    <row r="211" spans="1:8" ht="63">
      <c r="A211" s="27" t="s">
        <v>541</v>
      </c>
      <c r="B211" s="4" t="s">
        <v>355</v>
      </c>
      <c r="C211" s="4" t="s">
        <v>651</v>
      </c>
      <c r="D211" s="4" t="s">
        <v>661</v>
      </c>
      <c r="E211" s="4" t="s">
        <v>708</v>
      </c>
      <c r="F211" s="4"/>
      <c r="G211" s="29">
        <f>G212</f>
        <v>12045933.32</v>
      </c>
      <c r="H211" s="33"/>
    </row>
    <row r="212" spans="1:8" ht="63">
      <c r="A212" s="27" t="s">
        <v>376</v>
      </c>
      <c r="B212" s="4" t="s">
        <v>355</v>
      </c>
      <c r="C212" s="4" t="s">
        <v>651</v>
      </c>
      <c r="D212" s="4" t="s">
        <v>661</v>
      </c>
      <c r="E212" s="4" t="s">
        <v>389</v>
      </c>
      <c r="F212" s="4"/>
      <c r="G212" s="29">
        <f>G213+G215+G218</f>
        <v>12045933.32</v>
      </c>
      <c r="H212" s="33"/>
    </row>
    <row r="213" spans="1:8" ht="47.25">
      <c r="A213" s="27" t="s">
        <v>239</v>
      </c>
      <c r="B213" s="4" t="s">
        <v>355</v>
      </c>
      <c r="C213" s="4" t="s">
        <v>651</v>
      </c>
      <c r="D213" s="4" t="s">
        <v>661</v>
      </c>
      <c r="E213" s="4" t="s">
        <v>255</v>
      </c>
      <c r="F213" s="4"/>
      <c r="G213" s="29">
        <f>G214</f>
        <v>11114980.94</v>
      </c>
      <c r="H213" s="33"/>
    </row>
    <row r="214" spans="1:8" ht="110.25">
      <c r="A214" s="27" t="s">
        <v>245</v>
      </c>
      <c r="B214" s="4" t="s">
        <v>355</v>
      </c>
      <c r="C214" s="4" t="s">
        <v>651</v>
      </c>
      <c r="D214" s="4" t="s">
        <v>661</v>
      </c>
      <c r="E214" s="4" t="s">
        <v>255</v>
      </c>
      <c r="F214" s="4" t="s">
        <v>312</v>
      </c>
      <c r="G214" s="29">
        <v>11114980.94</v>
      </c>
      <c r="H214" s="33"/>
    </row>
    <row r="215" spans="1:10" ht="47.25">
      <c r="A215" s="27" t="s">
        <v>241</v>
      </c>
      <c r="B215" s="4" t="s">
        <v>355</v>
      </c>
      <c r="C215" s="4" t="s">
        <v>651</v>
      </c>
      <c r="D215" s="4" t="s">
        <v>661</v>
      </c>
      <c r="E215" s="4" t="s">
        <v>256</v>
      </c>
      <c r="F215" s="4"/>
      <c r="G215" s="29">
        <f>G216+G217</f>
        <v>673603.38</v>
      </c>
      <c r="H215" s="33"/>
      <c r="J215" s="26"/>
    </row>
    <row r="216" spans="1:8" ht="110.25">
      <c r="A216" s="27" t="s">
        <v>245</v>
      </c>
      <c r="B216" s="4" t="s">
        <v>355</v>
      </c>
      <c r="C216" s="4" t="s">
        <v>651</v>
      </c>
      <c r="D216" s="4" t="s">
        <v>661</v>
      </c>
      <c r="E216" s="4" t="s">
        <v>256</v>
      </c>
      <c r="F216" s="4" t="s">
        <v>312</v>
      </c>
      <c r="G216" s="29">
        <v>5250</v>
      </c>
      <c r="H216" s="33"/>
    </row>
    <row r="217" spans="1:8" ht="47.25">
      <c r="A217" s="27" t="s">
        <v>702</v>
      </c>
      <c r="B217" s="4" t="s">
        <v>355</v>
      </c>
      <c r="C217" s="4" t="s">
        <v>651</v>
      </c>
      <c r="D217" s="4" t="s">
        <v>661</v>
      </c>
      <c r="E217" s="4" t="s">
        <v>256</v>
      </c>
      <c r="F217" s="4" t="s">
        <v>313</v>
      </c>
      <c r="G217" s="29">
        <v>668353.38</v>
      </c>
      <c r="H217" s="33"/>
    </row>
    <row r="218" spans="1:8" ht="94.5">
      <c r="A218" s="27" t="s">
        <v>235</v>
      </c>
      <c r="B218" s="4" t="s">
        <v>355</v>
      </c>
      <c r="C218" s="4" t="s">
        <v>651</v>
      </c>
      <c r="D218" s="4" t="s">
        <v>661</v>
      </c>
      <c r="E218" s="4" t="s">
        <v>257</v>
      </c>
      <c r="F218" s="4"/>
      <c r="G218" s="29">
        <f>G219</f>
        <v>257349</v>
      </c>
      <c r="H218" s="33"/>
    </row>
    <row r="219" spans="1:8" ht="110.25">
      <c r="A219" s="27" t="s">
        <v>245</v>
      </c>
      <c r="B219" s="4" t="s">
        <v>355</v>
      </c>
      <c r="C219" s="4" t="s">
        <v>651</v>
      </c>
      <c r="D219" s="4" t="s">
        <v>661</v>
      </c>
      <c r="E219" s="4" t="s">
        <v>257</v>
      </c>
      <c r="F219" s="4" t="s">
        <v>312</v>
      </c>
      <c r="G219" s="29">
        <f>271170-13821</f>
        <v>257349</v>
      </c>
      <c r="H219" s="33"/>
    </row>
    <row r="220" spans="1:14" ht="31.5">
      <c r="A220" s="1" t="s">
        <v>680</v>
      </c>
      <c r="B220" s="2" t="s">
        <v>355</v>
      </c>
      <c r="C220" s="2" t="s">
        <v>651</v>
      </c>
      <c r="D220" s="2" t="s">
        <v>310</v>
      </c>
      <c r="E220" s="2"/>
      <c r="F220" s="2"/>
      <c r="G220" s="33">
        <f>G240+G221+G256+G244+G237+G230+G280+G227</f>
        <v>31612368.24</v>
      </c>
      <c r="H220" s="33">
        <f>H240+H221+H256+H244+H237+H230+H280+H227</f>
        <v>360500</v>
      </c>
      <c r="J220" s="26"/>
      <c r="K220" s="26"/>
      <c r="M220" s="208">
        <f>31266389.9-31063400.73</f>
        <v>202989.16999999806</v>
      </c>
      <c r="N220" s="26"/>
    </row>
    <row r="221" spans="1:8" ht="63" hidden="1">
      <c r="A221" s="3" t="s">
        <v>544</v>
      </c>
      <c r="B221" s="4" t="s">
        <v>355</v>
      </c>
      <c r="C221" s="4" t="s">
        <v>651</v>
      </c>
      <c r="D221" s="4" t="s">
        <v>310</v>
      </c>
      <c r="E221" s="4" t="s">
        <v>341</v>
      </c>
      <c r="F221" s="2"/>
      <c r="G221" s="29">
        <f>G222</f>
        <v>0</v>
      </c>
      <c r="H221" s="29"/>
    </row>
    <row r="222" spans="1:8" ht="63" hidden="1">
      <c r="A222" s="3" t="s">
        <v>431</v>
      </c>
      <c r="B222" s="4" t="s">
        <v>355</v>
      </c>
      <c r="C222" s="4" t="s">
        <v>651</v>
      </c>
      <c r="D222" s="4" t="s">
        <v>310</v>
      </c>
      <c r="E222" s="4" t="s">
        <v>432</v>
      </c>
      <c r="F222" s="4"/>
      <c r="G222" s="29">
        <f>G223+G225</f>
        <v>0</v>
      </c>
      <c r="H222" s="29"/>
    </row>
    <row r="223" spans="1:8" ht="47.25" hidden="1">
      <c r="A223" s="3" t="s">
        <v>512</v>
      </c>
      <c r="B223" s="4" t="s">
        <v>355</v>
      </c>
      <c r="C223" s="4" t="s">
        <v>651</v>
      </c>
      <c r="D223" s="4" t="s">
        <v>310</v>
      </c>
      <c r="E223" s="4" t="s">
        <v>433</v>
      </c>
      <c r="F223" s="4"/>
      <c r="G223" s="29">
        <f>G224</f>
        <v>0</v>
      </c>
      <c r="H223" s="29"/>
    </row>
    <row r="224" spans="1:8" ht="47.25" hidden="1">
      <c r="A224" s="3" t="s">
        <v>702</v>
      </c>
      <c r="B224" s="4" t="s">
        <v>355</v>
      </c>
      <c r="C224" s="4" t="s">
        <v>651</v>
      </c>
      <c r="D224" s="4" t="s">
        <v>310</v>
      </c>
      <c r="E224" s="4" t="s">
        <v>433</v>
      </c>
      <c r="F224" s="4" t="s">
        <v>313</v>
      </c>
      <c r="G224" s="29">
        <v>0</v>
      </c>
      <c r="H224" s="29"/>
    </row>
    <row r="225" spans="1:8" ht="31.5" hidden="1">
      <c r="A225" s="3" t="s">
        <v>719</v>
      </c>
      <c r="B225" s="4" t="s">
        <v>355</v>
      </c>
      <c r="C225" s="4" t="s">
        <v>651</v>
      </c>
      <c r="D225" s="4" t="s">
        <v>310</v>
      </c>
      <c r="E225" s="4" t="s">
        <v>434</v>
      </c>
      <c r="F225" s="4"/>
      <c r="G225" s="29">
        <f>G226</f>
        <v>0</v>
      </c>
      <c r="H225" s="29"/>
    </row>
    <row r="226" spans="1:8" ht="47.25" hidden="1">
      <c r="A226" s="3" t="s">
        <v>702</v>
      </c>
      <c r="B226" s="4" t="s">
        <v>355</v>
      </c>
      <c r="C226" s="4" t="s">
        <v>651</v>
      </c>
      <c r="D226" s="4" t="s">
        <v>310</v>
      </c>
      <c r="E226" s="4" t="s">
        <v>434</v>
      </c>
      <c r="F226" s="4" t="s">
        <v>313</v>
      </c>
      <c r="G226" s="29"/>
      <c r="H226" s="29"/>
    </row>
    <row r="227" spans="1:8" ht="63">
      <c r="A227" s="3" t="s">
        <v>542</v>
      </c>
      <c r="B227" s="4" t="s">
        <v>355</v>
      </c>
      <c r="C227" s="4" t="s">
        <v>651</v>
      </c>
      <c r="D227" s="4" t="s">
        <v>310</v>
      </c>
      <c r="E227" s="4" t="s">
        <v>718</v>
      </c>
      <c r="F227" s="4"/>
      <c r="G227" s="29">
        <f>G228</f>
        <v>854343.34</v>
      </c>
      <c r="H227" s="29"/>
    </row>
    <row r="228" spans="1:8" ht="47.25">
      <c r="A228" s="3" t="s">
        <v>512</v>
      </c>
      <c r="B228" s="4" t="s">
        <v>355</v>
      </c>
      <c r="C228" s="4" t="s">
        <v>651</v>
      </c>
      <c r="D228" s="4" t="s">
        <v>310</v>
      </c>
      <c r="E228" s="4" t="s">
        <v>399</v>
      </c>
      <c r="F228" s="4"/>
      <c r="G228" s="29">
        <f>G229</f>
        <v>854343.34</v>
      </c>
      <c r="H228" s="29"/>
    </row>
    <row r="229" spans="1:8" ht="47.25">
      <c r="A229" s="3" t="s">
        <v>702</v>
      </c>
      <c r="B229" s="4" t="s">
        <v>355</v>
      </c>
      <c r="C229" s="4" t="s">
        <v>651</v>
      </c>
      <c r="D229" s="4" t="s">
        <v>310</v>
      </c>
      <c r="E229" s="4" t="s">
        <v>399</v>
      </c>
      <c r="F229" s="4" t="s">
        <v>313</v>
      </c>
      <c r="G229" s="29">
        <f>300000+511000+43343.34</f>
        <v>854343.34</v>
      </c>
      <c r="H229" s="29"/>
    </row>
    <row r="230" spans="1:8" ht="63">
      <c r="A230" s="3" t="s">
        <v>545</v>
      </c>
      <c r="B230" s="4" t="s">
        <v>355</v>
      </c>
      <c r="C230" s="4" t="s">
        <v>651</v>
      </c>
      <c r="D230" s="4" t="s">
        <v>310</v>
      </c>
      <c r="E230" s="4" t="s">
        <v>406</v>
      </c>
      <c r="F230" s="4"/>
      <c r="G230" s="29">
        <f>G231+G234</f>
        <v>4160753</v>
      </c>
      <c r="H230" s="29"/>
    </row>
    <row r="231" spans="1:8" ht="63">
      <c r="A231" s="3" t="s">
        <v>407</v>
      </c>
      <c r="B231" s="4" t="s">
        <v>355</v>
      </c>
      <c r="C231" s="4" t="s">
        <v>651</v>
      </c>
      <c r="D231" s="4" t="s">
        <v>310</v>
      </c>
      <c r="E231" s="4" t="s">
        <v>408</v>
      </c>
      <c r="F231" s="4"/>
      <c r="G231" s="29">
        <f>G232</f>
        <v>3000000</v>
      </c>
      <c r="H231" s="29"/>
    </row>
    <row r="232" spans="1:8" ht="31.5">
      <c r="A232" s="3" t="s">
        <v>719</v>
      </c>
      <c r="B232" s="4" t="s">
        <v>355</v>
      </c>
      <c r="C232" s="4" t="s">
        <v>651</v>
      </c>
      <c r="D232" s="4" t="s">
        <v>310</v>
      </c>
      <c r="E232" s="4" t="s">
        <v>537</v>
      </c>
      <c r="F232" s="4"/>
      <c r="G232" s="29">
        <f>G233</f>
        <v>3000000</v>
      </c>
      <c r="H232" s="29"/>
    </row>
    <row r="233" spans="1:8" ht="47.25">
      <c r="A233" s="3" t="s">
        <v>702</v>
      </c>
      <c r="B233" s="4" t="s">
        <v>355</v>
      </c>
      <c r="C233" s="4" t="s">
        <v>651</v>
      </c>
      <c r="D233" s="4" t="s">
        <v>310</v>
      </c>
      <c r="E233" s="4" t="s">
        <v>537</v>
      </c>
      <c r="F233" s="4" t="s">
        <v>313</v>
      </c>
      <c r="G233" s="29">
        <v>3000000</v>
      </c>
      <c r="H233" s="29"/>
    </row>
    <row r="234" spans="1:8" ht="78.75">
      <c r="A234" s="3" t="s">
        <v>411</v>
      </c>
      <c r="B234" s="4" t="s">
        <v>355</v>
      </c>
      <c r="C234" s="4" t="s">
        <v>651</v>
      </c>
      <c r="D234" s="4" t="s">
        <v>310</v>
      </c>
      <c r="E234" s="4" t="s">
        <v>412</v>
      </c>
      <c r="F234" s="4"/>
      <c r="G234" s="29">
        <f>G235</f>
        <v>1160753</v>
      </c>
      <c r="H234" s="29"/>
    </row>
    <row r="235" spans="1:8" ht="44.25" customHeight="1">
      <c r="A235" s="3" t="s">
        <v>719</v>
      </c>
      <c r="B235" s="4" t="s">
        <v>355</v>
      </c>
      <c r="C235" s="4" t="s">
        <v>651</v>
      </c>
      <c r="D235" s="4" t="s">
        <v>310</v>
      </c>
      <c r="E235" s="4" t="s">
        <v>413</v>
      </c>
      <c r="F235" s="4"/>
      <c r="G235" s="29">
        <f>G236</f>
        <v>1160753</v>
      </c>
      <c r="H235" s="29"/>
    </row>
    <row r="236" spans="1:8" ht="57.75" customHeight="1">
      <c r="A236" s="3" t="s">
        <v>702</v>
      </c>
      <c r="B236" s="4" t="s">
        <v>355</v>
      </c>
      <c r="C236" s="4" t="s">
        <v>651</v>
      </c>
      <c r="D236" s="4" t="s">
        <v>310</v>
      </c>
      <c r="E236" s="4" t="s">
        <v>413</v>
      </c>
      <c r="F236" s="4" t="s">
        <v>313</v>
      </c>
      <c r="G236" s="29">
        <f>2299290-299290-4400-834847</f>
        <v>1160753</v>
      </c>
      <c r="H236" s="29"/>
    </row>
    <row r="237" spans="1:8" ht="63" hidden="1">
      <c r="A237" s="3" t="s">
        <v>546</v>
      </c>
      <c r="B237" s="4" t="s">
        <v>355</v>
      </c>
      <c r="C237" s="4" t="s">
        <v>651</v>
      </c>
      <c r="D237" s="4" t="s">
        <v>310</v>
      </c>
      <c r="E237" s="4" t="s">
        <v>363</v>
      </c>
      <c r="F237" s="4"/>
      <c r="G237" s="29">
        <f>G238</f>
        <v>0</v>
      </c>
      <c r="H237" s="29"/>
    </row>
    <row r="238" spans="1:8" ht="47.25" hidden="1">
      <c r="A238" s="3" t="s">
        <v>512</v>
      </c>
      <c r="B238" s="4" t="s">
        <v>355</v>
      </c>
      <c r="C238" s="4" t="s">
        <v>651</v>
      </c>
      <c r="D238" s="4" t="s">
        <v>310</v>
      </c>
      <c r="E238" s="4" t="s">
        <v>364</v>
      </c>
      <c r="F238" s="4"/>
      <c r="G238" s="29">
        <f>G239</f>
        <v>0</v>
      </c>
      <c r="H238" s="29"/>
    </row>
    <row r="239" spans="1:10" ht="47.25" hidden="1">
      <c r="A239" s="3" t="s">
        <v>702</v>
      </c>
      <c r="B239" s="4" t="s">
        <v>355</v>
      </c>
      <c r="C239" s="4" t="s">
        <v>651</v>
      </c>
      <c r="D239" s="4" t="s">
        <v>310</v>
      </c>
      <c r="E239" s="4" t="s">
        <v>364</v>
      </c>
      <c r="F239" s="4" t="s">
        <v>313</v>
      </c>
      <c r="G239" s="29"/>
      <c r="H239" s="29"/>
      <c r="J239" s="26"/>
    </row>
    <row r="240" spans="1:8" ht="78.75">
      <c r="A240" s="3" t="s">
        <v>547</v>
      </c>
      <c r="B240" s="4" t="s">
        <v>355</v>
      </c>
      <c r="C240" s="4" t="s">
        <v>651</v>
      </c>
      <c r="D240" s="4" t="s">
        <v>310</v>
      </c>
      <c r="E240" s="4" t="s">
        <v>299</v>
      </c>
      <c r="F240" s="4"/>
      <c r="G240" s="29">
        <f>G241</f>
        <v>160235</v>
      </c>
      <c r="H240" s="29"/>
    </row>
    <row r="241" spans="1:8" ht="31.5">
      <c r="A241" s="3" t="s">
        <v>719</v>
      </c>
      <c r="B241" s="4" t="s">
        <v>355</v>
      </c>
      <c r="C241" s="4" t="s">
        <v>651</v>
      </c>
      <c r="D241" s="4" t="s">
        <v>310</v>
      </c>
      <c r="E241" s="4" t="s">
        <v>300</v>
      </c>
      <c r="F241" s="4"/>
      <c r="G241" s="29">
        <f>G242+G243</f>
        <v>160235</v>
      </c>
      <c r="H241" s="29"/>
    </row>
    <row r="242" spans="1:13" ht="47.25">
      <c r="A242" s="3" t="s">
        <v>702</v>
      </c>
      <c r="B242" s="4" t="s">
        <v>355</v>
      </c>
      <c r="C242" s="4" t="s">
        <v>651</v>
      </c>
      <c r="D242" s="4" t="s">
        <v>310</v>
      </c>
      <c r="E242" s="4" t="s">
        <v>300</v>
      </c>
      <c r="F242" s="4" t="s">
        <v>313</v>
      </c>
      <c r="G242" s="29">
        <f>200000-50000-7500-34900</f>
        <v>107600</v>
      </c>
      <c r="H242" s="29"/>
      <c r="M242" s="208">
        <v>-34900</v>
      </c>
    </row>
    <row r="243" spans="1:13" ht="33" customHeight="1">
      <c r="A243" s="3" t="s">
        <v>556</v>
      </c>
      <c r="B243" s="4" t="s">
        <v>355</v>
      </c>
      <c r="C243" s="4" t="s">
        <v>651</v>
      </c>
      <c r="D243" s="4" t="s">
        <v>310</v>
      </c>
      <c r="E243" s="4" t="s">
        <v>300</v>
      </c>
      <c r="F243" s="4" t="s">
        <v>316</v>
      </c>
      <c r="G243" s="29">
        <f>50000+2635</f>
        <v>52635</v>
      </c>
      <c r="H243" s="29"/>
      <c r="M243" s="208">
        <v>2635</v>
      </c>
    </row>
    <row r="244" spans="1:8" ht="47.25">
      <c r="A244" s="3" t="s">
        <v>548</v>
      </c>
      <c r="B244" s="4" t="s">
        <v>355</v>
      </c>
      <c r="C244" s="4" t="s">
        <v>651</v>
      </c>
      <c r="D244" s="4" t="s">
        <v>310</v>
      </c>
      <c r="E244" s="4" t="s">
        <v>703</v>
      </c>
      <c r="F244" s="4"/>
      <c r="G244" s="29">
        <f>G245</f>
        <v>2983310</v>
      </c>
      <c r="H244" s="29">
        <f>H245</f>
        <v>360500</v>
      </c>
    </row>
    <row r="245" spans="1:8" ht="78.75">
      <c r="A245" s="60" t="s">
        <v>730</v>
      </c>
      <c r="B245" s="4" t="s">
        <v>355</v>
      </c>
      <c r="C245" s="4" t="s">
        <v>651</v>
      </c>
      <c r="D245" s="4" t="s">
        <v>310</v>
      </c>
      <c r="E245" s="4" t="s">
        <v>731</v>
      </c>
      <c r="F245" s="4"/>
      <c r="G245" s="29">
        <f>G252+G246+G250+G248+G255</f>
        <v>2983310</v>
      </c>
      <c r="H245" s="29">
        <f>H252+H246+H250+H248+H255</f>
        <v>360500</v>
      </c>
    </row>
    <row r="246" spans="1:8" ht="110.25" hidden="1">
      <c r="A246" s="3" t="s">
        <v>493</v>
      </c>
      <c r="B246" s="4" t="s">
        <v>355</v>
      </c>
      <c r="C246" s="4" t="s">
        <v>651</v>
      </c>
      <c r="D246" s="4" t="s">
        <v>310</v>
      </c>
      <c r="E246" s="4" t="s">
        <v>374</v>
      </c>
      <c r="F246" s="4"/>
      <c r="G246" s="29">
        <f>G247</f>
        <v>0</v>
      </c>
      <c r="H246" s="29"/>
    </row>
    <row r="247" spans="1:8" ht="47.25" hidden="1">
      <c r="A247" s="3" t="s">
        <v>702</v>
      </c>
      <c r="B247" s="4" t="s">
        <v>355</v>
      </c>
      <c r="C247" s="4" t="s">
        <v>651</v>
      </c>
      <c r="D247" s="4" t="s">
        <v>310</v>
      </c>
      <c r="E247" s="4" t="s">
        <v>374</v>
      </c>
      <c r="F247" s="4" t="s">
        <v>313</v>
      </c>
      <c r="G247" s="29"/>
      <c r="H247" s="29"/>
    </row>
    <row r="248" spans="1:8" ht="33.75" customHeight="1" hidden="1">
      <c r="A248" s="3" t="s">
        <v>719</v>
      </c>
      <c r="B248" s="4" t="s">
        <v>355</v>
      </c>
      <c r="C248" s="4" t="s">
        <v>651</v>
      </c>
      <c r="D248" s="4" t="s">
        <v>310</v>
      </c>
      <c r="E248" s="4" t="s">
        <v>418</v>
      </c>
      <c r="F248" s="4"/>
      <c r="G248" s="29">
        <f>G249</f>
        <v>0</v>
      </c>
      <c r="H248" s="29"/>
    </row>
    <row r="249" spans="1:8" ht="56.25" customHeight="1" hidden="1">
      <c r="A249" s="3" t="s">
        <v>702</v>
      </c>
      <c r="B249" s="4" t="s">
        <v>355</v>
      </c>
      <c r="C249" s="4" t="s">
        <v>651</v>
      </c>
      <c r="D249" s="4" t="s">
        <v>310</v>
      </c>
      <c r="E249" s="4" t="s">
        <v>418</v>
      </c>
      <c r="F249" s="4" t="s">
        <v>313</v>
      </c>
      <c r="G249" s="29"/>
      <c r="H249" s="29"/>
    </row>
    <row r="250" spans="1:8" ht="47.25">
      <c r="A250" s="3" t="s">
        <v>512</v>
      </c>
      <c r="B250" s="4" t="s">
        <v>355</v>
      </c>
      <c r="C250" s="4" t="s">
        <v>651</v>
      </c>
      <c r="D250" s="4" t="s">
        <v>310</v>
      </c>
      <c r="E250" s="4" t="s">
        <v>53</v>
      </c>
      <c r="F250" s="4"/>
      <c r="G250" s="29">
        <f>G251</f>
        <v>2622810</v>
      </c>
      <c r="H250" s="29"/>
    </row>
    <row r="251" spans="1:8" ht="47.25">
      <c r="A251" s="3" t="s">
        <v>702</v>
      </c>
      <c r="B251" s="4" t="s">
        <v>355</v>
      </c>
      <c r="C251" s="4" t="s">
        <v>651</v>
      </c>
      <c r="D251" s="4" t="s">
        <v>310</v>
      </c>
      <c r="E251" s="4" t="s">
        <v>53</v>
      </c>
      <c r="F251" s="4" t="s">
        <v>313</v>
      </c>
      <c r="G251" s="29">
        <f>1623190+999620</f>
        <v>2622810</v>
      </c>
      <c r="H251" s="29"/>
    </row>
    <row r="252" spans="1:8" ht="47.25" hidden="1">
      <c r="A252" s="60" t="s">
        <v>732</v>
      </c>
      <c r="B252" s="4" t="s">
        <v>355</v>
      </c>
      <c r="C252" s="4" t="s">
        <v>651</v>
      </c>
      <c r="D252" s="4" t="s">
        <v>310</v>
      </c>
      <c r="E252" s="4" t="s">
        <v>733</v>
      </c>
      <c r="F252" s="4"/>
      <c r="G252" s="29">
        <f>G253</f>
        <v>0</v>
      </c>
      <c r="H252" s="29">
        <f>H253</f>
        <v>0</v>
      </c>
    </row>
    <row r="253" spans="1:8" ht="47.25" hidden="1">
      <c r="A253" s="3" t="s">
        <v>702</v>
      </c>
      <c r="B253" s="4" t="s">
        <v>355</v>
      </c>
      <c r="C253" s="4" t="s">
        <v>651</v>
      </c>
      <c r="D253" s="4" t="s">
        <v>310</v>
      </c>
      <c r="E253" s="4" t="s">
        <v>733</v>
      </c>
      <c r="F253" s="4" t="s">
        <v>313</v>
      </c>
      <c r="G253" s="29">
        <f>767800-767800</f>
        <v>0</v>
      </c>
      <c r="H253" s="29">
        <f>G253</f>
        <v>0</v>
      </c>
    </row>
    <row r="254" spans="1:8" ht="47.25">
      <c r="A254" s="3" t="s">
        <v>732</v>
      </c>
      <c r="B254" s="4" t="s">
        <v>355</v>
      </c>
      <c r="C254" s="4" t="s">
        <v>651</v>
      </c>
      <c r="D254" s="4" t="s">
        <v>310</v>
      </c>
      <c r="E254" s="4" t="s">
        <v>780</v>
      </c>
      <c r="F254" s="4"/>
      <c r="G254" s="29">
        <f>G255</f>
        <v>360500</v>
      </c>
      <c r="H254" s="29">
        <f>G254</f>
        <v>360500</v>
      </c>
    </row>
    <row r="255" spans="1:8" ht="47.25">
      <c r="A255" s="3" t="s">
        <v>702</v>
      </c>
      <c r="B255" s="4" t="s">
        <v>355</v>
      </c>
      <c r="C255" s="4" t="s">
        <v>651</v>
      </c>
      <c r="D255" s="4" t="s">
        <v>310</v>
      </c>
      <c r="E255" s="4" t="s">
        <v>780</v>
      </c>
      <c r="F255" s="4" t="s">
        <v>313</v>
      </c>
      <c r="G255" s="29">
        <f>767800-407300</f>
        <v>360500</v>
      </c>
      <c r="H255" s="29">
        <f>H254</f>
        <v>360500</v>
      </c>
    </row>
    <row r="256" spans="1:8" ht="86.25" customHeight="1">
      <c r="A256" s="27" t="s">
        <v>541</v>
      </c>
      <c r="B256" s="4" t="s">
        <v>355</v>
      </c>
      <c r="C256" s="4" t="s">
        <v>651</v>
      </c>
      <c r="D256" s="4" t="s">
        <v>310</v>
      </c>
      <c r="E256" s="4" t="s">
        <v>708</v>
      </c>
      <c r="F256" s="4"/>
      <c r="G256" s="29">
        <f>G257+G262+G269</f>
        <v>21728907.95</v>
      </c>
      <c r="H256" s="29"/>
    </row>
    <row r="257" spans="1:8" ht="99" customHeight="1">
      <c r="A257" s="27" t="s">
        <v>376</v>
      </c>
      <c r="B257" s="4" t="s">
        <v>355</v>
      </c>
      <c r="C257" s="4" t="s">
        <v>651</v>
      </c>
      <c r="D257" s="4" t="s">
        <v>310</v>
      </c>
      <c r="E257" s="4" t="s">
        <v>389</v>
      </c>
      <c r="F257" s="4"/>
      <c r="G257" s="29">
        <f>G258+G260</f>
        <v>739103.95</v>
      </c>
      <c r="H257" s="29"/>
    </row>
    <row r="258" spans="1:8" ht="102" customHeight="1">
      <c r="A258" s="27" t="s">
        <v>648</v>
      </c>
      <c r="B258" s="4" t="s">
        <v>355</v>
      </c>
      <c r="C258" s="4" t="s">
        <v>651</v>
      </c>
      <c r="D258" s="4" t="s">
        <v>310</v>
      </c>
      <c r="E258" s="4" t="s">
        <v>388</v>
      </c>
      <c r="F258" s="4"/>
      <c r="G258" s="29">
        <f>G259</f>
        <v>663103.95</v>
      </c>
      <c r="H258" s="29"/>
    </row>
    <row r="259" spans="1:13" ht="59.25" customHeight="1">
      <c r="A259" s="3" t="s">
        <v>702</v>
      </c>
      <c r="B259" s="4" t="s">
        <v>355</v>
      </c>
      <c r="C259" s="4" t="s">
        <v>651</v>
      </c>
      <c r="D259" s="4" t="s">
        <v>310</v>
      </c>
      <c r="E259" s="4" t="s">
        <v>388</v>
      </c>
      <c r="F259" s="4" t="s">
        <v>313</v>
      </c>
      <c r="G259" s="29">
        <f>816480-31230-157046.05+34900</f>
        <v>663103.95</v>
      </c>
      <c r="H259" s="29"/>
      <c r="J259" s="26"/>
      <c r="M259" s="208">
        <f>34900</f>
        <v>34900</v>
      </c>
    </row>
    <row r="260" spans="1:10" ht="59.25" customHeight="1">
      <c r="A260" s="3" t="s">
        <v>719</v>
      </c>
      <c r="B260" s="4" t="s">
        <v>355</v>
      </c>
      <c r="C260" s="4" t="s">
        <v>651</v>
      </c>
      <c r="D260" s="4" t="s">
        <v>310</v>
      </c>
      <c r="E260" s="4" t="s">
        <v>54</v>
      </c>
      <c r="F260" s="4"/>
      <c r="G260" s="29">
        <f>G261</f>
        <v>76000</v>
      </c>
      <c r="H260" s="29"/>
      <c r="J260" s="26"/>
    </row>
    <row r="261" spans="1:10" ht="59.25" customHeight="1">
      <c r="A261" s="3" t="s">
        <v>702</v>
      </c>
      <c r="B261" s="4" t="s">
        <v>355</v>
      </c>
      <c r="C261" s="4" t="s">
        <v>651</v>
      </c>
      <c r="D261" s="4" t="s">
        <v>310</v>
      </c>
      <c r="E261" s="4" t="s">
        <v>54</v>
      </c>
      <c r="F261" s="4" t="s">
        <v>313</v>
      </c>
      <c r="G261" s="29">
        <f>1000000-200000-724000</f>
        <v>76000</v>
      </c>
      <c r="H261" s="29"/>
      <c r="J261" s="26"/>
    </row>
    <row r="262" spans="1:8" ht="118.5" customHeight="1">
      <c r="A262" s="3" t="s">
        <v>338</v>
      </c>
      <c r="B262" s="4" t="s">
        <v>355</v>
      </c>
      <c r="C262" s="4" t="s">
        <v>651</v>
      </c>
      <c r="D262" s="4" t="s">
        <v>310</v>
      </c>
      <c r="E262" s="4" t="s">
        <v>339</v>
      </c>
      <c r="F262" s="4"/>
      <c r="G262" s="29">
        <f>G263+G267</f>
        <v>20943614</v>
      </c>
      <c r="H262" s="29"/>
    </row>
    <row r="263" spans="1:8" ht="138" customHeight="1">
      <c r="A263" s="3" t="s">
        <v>493</v>
      </c>
      <c r="B263" s="4" t="s">
        <v>355</v>
      </c>
      <c r="C263" s="4" t="s">
        <v>651</v>
      </c>
      <c r="D263" s="4" t="s">
        <v>310</v>
      </c>
      <c r="E263" s="4" t="s">
        <v>380</v>
      </c>
      <c r="F263" s="4"/>
      <c r="G263" s="29">
        <f>G264+G265+G266</f>
        <v>20687114</v>
      </c>
      <c r="H263" s="29"/>
    </row>
    <row r="264" spans="1:8" ht="110.25">
      <c r="A264" s="3" t="s">
        <v>701</v>
      </c>
      <c r="B264" s="4" t="s">
        <v>355</v>
      </c>
      <c r="C264" s="4" t="s">
        <v>651</v>
      </c>
      <c r="D264" s="4" t="s">
        <v>310</v>
      </c>
      <c r="E264" s="4" t="s">
        <v>380</v>
      </c>
      <c r="F264" s="4" t="s">
        <v>312</v>
      </c>
      <c r="G264" s="29">
        <f>15519010+4637290+4680+71140+24000-239613-398839-137498.5-231864.5-150-84-3557-1200</f>
        <v>19243314</v>
      </c>
      <c r="H264" s="29"/>
    </row>
    <row r="265" spans="1:13" ht="47.25">
      <c r="A265" s="3" t="s">
        <v>702</v>
      </c>
      <c r="B265" s="4" t="s">
        <v>355</v>
      </c>
      <c r="C265" s="4" t="s">
        <v>651</v>
      </c>
      <c r="D265" s="4" t="s">
        <v>310</v>
      </c>
      <c r="E265" s="4" t="s">
        <v>380</v>
      </c>
      <c r="F265" s="4" t="s">
        <v>313</v>
      </c>
      <c r="G265" s="29">
        <f>217970+148200+464420+190150+198300+54760-3000-100000-30000+300000</f>
        <v>1440800</v>
      </c>
      <c r="H265" s="29"/>
      <c r="J265" s="26"/>
      <c r="M265" s="208">
        <f>300000</f>
        <v>300000</v>
      </c>
    </row>
    <row r="266" spans="1:10" ht="15.75">
      <c r="A266" s="3" t="s">
        <v>556</v>
      </c>
      <c r="B266" s="4" t="s">
        <v>355</v>
      </c>
      <c r="C266" s="4" t="s">
        <v>651</v>
      </c>
      <c r="D266" s="4" t="s">
        <v>310</v>
      </c>
      <c r="E266" s="4" t="s">
        <v>380</v>
      </c>
      <c r="F266" s="4" t="s">
        <v>316</v>
      </c>
      <c r="G266" s="29">
        <f>3000</f>
        <v>3000</v>
      </c>
      <c r="H266" s="29"/>
      <c r="J266" s="26"/>
    </row>
    <row r="267" spans="1:8" ht="94.5">
      <c r="A267" s="3" t="s">
        <v>235</v>
      </c>
      <c r="B267" s="4" t="s">
        <v>355</v>
      </c>
      <c r="C267" s="4" t="s">
        <v>651</v>
      </c>
      <c r="D267" s="4" t="s">
        <v>310</v>
      </c>
      <c r="E267" s="4" t="s">
        <v>258</v>
      </c>
      <c r="F267" s="4"/>
      <c r="G267" s="29">
        <f>G268</f>
        <v>256500</v>
      </c>
      <c r="H267" s="29"/>
    </row>
    <row r="268" spans="1:8" ht="110.25">
      <c r="A268" s="3" t="s">
        <v>245</v>
      </c>
      <c r="B268" s="4" t="s">
        <v>355</v>
      </c>
      <c r="C268" s="4" t="s">
        <v>651</v>
      </c>
      <c r="D268" s="4" t="s">
        <v>310</v>
      </c>
      <c r="E268" s="4" t="s">
        <v>258</v>
      </c>
      <c r="F268" s="4" t="s">
        <v>312</v>
      </c>
      <c r="G268" s="29">
        <f>270000-13500</f>
        <v>256500</v>
      </c>
      <c r="H268" s="29"/>
    </row>
    <row r="269" spans="1:8" ht="47.25">
      <c r="A269" s="3" t="s">
        <v>419</v>
      </c>
      <c r="B269" s="4" t="s">
        <v>355</v>
      </c>
      <c r="C269" s="4" t="s">
        <v>651</v>
      </c>
      <c r="D269" s="4" t="s">
        <v>310</v>
      </c>
      <c r="E269" s="4" t="s">
        <v>420</v>
      </c>
      <c r="F269" s="4"/>
      <c r="G269" s="29">
        <f>G270</f>
        <v>46190</v>
      </c>
      <c r="H269" s="29"/>
    </row>
    <row r="270" spans="1:8" ht="31.5">
      <c r="A270" s="3" t="s">
        <v>719</v>
      </c>
      <c r="B270" s="4" t="s">
        <v>355</v>
      </c>
      <c r="C270" s="4" t="s">
        <v>651</v>
      </c>
      <c r="D270" s="4" t="s">
        <v>310</v>
      </c>
      <c r="E270" s="4" t="s">
        <v>421</v>
      </c>
      <c r="F270" s="4"/>
      <c r="G270" s="29">
        <f>G271</f>
        <v>46190</v>
      </c>
      <c r="H270" s="29"/>
    </row>
    <row r="271" spans="1:8" ht="47.25">
      <c r="A271" s="3" t="s">
        <v>702</v>
      </c>
      <c r="B271" s="4" t="s">
        <v>355</v>
      </c>
      <c r="C271" s="4" t="s">
        <v>651</v>
      </c>
      <c r="D271" s="4" t="s">
        <v>310</v>
      </c>
      <c r="E271" s="4" t="s">
        <v>421</v>
      </c>
      <c r="F271" s="4" t="s">
        <v>313</v>
      </c>
      <c r="G271" s="29">
        <v>46190</v>
      </c>
      <c r="H271" s="29"/>
    </row>
    <row r="272" spans="1:8" ht="75" hidden="1">
      <c r="A272" s="10" t="s">
        <v>671</v>
      </c>
      <c r="B272" s="5" t="s">
        <v>355</v>
      </c>
      <c r="C272" s="5" t="s">
        <v>658</v>
      </c>
      <c r="D272" s="5" t="s">
        <v>681</v>
      </c>
      <c r="E272" s="5"/>
      <c r="F272" s="5"/>
      <c r="G272" s="28">
        <f>G273</f>
        <v>0</v>
      </c>
      <c r="H272" s="28">
        <f>H273</f>
        <v>0</v>
      </c>
    </row>
    <row r="273" spans="1:8" ht="112.5" hidden="1">
      <c r="A273" s="8" t="s">
        <v>350</v>
      </c>
      <c r="B273" s="2" t="s">
        <v>355</v>
      </c>
      <c r="C273" s="2" t="s">
        <v>658</v>
      </c>
      <c r="D273" s="2" t="s">
        <v>657</v>
      </c>
      <c r="E273" s="2"/>
      <c r="F273" s="2"/>
      <c r="G273" s="33">
        <f>G274+G277</f>
        <v>0</v>
      </c>
      <c r="H273" s="33">
        <f>H274+H277</f>
        <v>0</v>
      </c>
    </row>
    <row r="274" spans="1:8" ht="22.5" customHeight="1" hidden="1">
      <c r="A274" s="27" t="s">
        <v>699</v>
      </c>
      <c r="B274" s="4" t="s">
        <v>355</v>
      </c>
      <c r="C274" s="4" t="s">
        <v>658</v>
      </c>
      <c r="D274" s="4" t="s">
        <v>657</v>
      </c>
      <c r="E274" s="4" t="s">
        <v>700</v>
      </c>
      <c r="F274" s="4"/>
      <c r="G274" s="29">
        <f>G275</f>
        <v>0</v>
      </c>
      <c r="H274" s="29"/>
    </row>
    <row r="275" spans="1:8" ht="39.75" customHeight="1" hidden="1">
      <c r="A275" s="3" t="s">
        <v>712</v>
      </c>
      <c r="B275" s="4" t="s">
        <v>355</v>
      </c>
      <c r="C275" s="4" t="s">
        <v>658</v>
      </c>
      <c r="D275" s="4" t="s">
        <v>657</v>
      </c>
      <c r="E275" s="4" t="s">
        <v>713</v>
      </c>
      <c r="F275" s="4"/>
      <c r="G275" s="29">
        <f>G276</f>
        <v>0</v>
      </c>
      <c r="H275" s="29"/>
    </row>
    <row r="276" spans="1:8" ht="52.5" customHeight="1" hidden="1">
      <c r="A276" s="3" t="s">
        <v>702</v>
      </c>
      <c r="B276" s="4" t="s">
        <v>355</v>
      </c>
      <c r="C276" s="4" t="s">
        <v>658</v>
      </c>
      <c r="D276" s="4" t="s">
        <v>657</v>
      </c>
      <c r="E276" s="4" t="s">
        <v>713</v>
      </c>
      <c r="F276" s="4" t="s">
        <v>313</v>
      </c>
      <c r="G276" s="29"/>
      <c r="H276" s="29"/>
    </row>
    <row r="277" spans="1:8" ht="25.5" customHeight="1" hidden="1">
      <c r="A277" s="3" t="s">
        <v>290</v>
      </c>
      <c r="B277" s="4" t="s">
        <v>355</v>
      </c>
      <c r="C277" s="4" t="s">
        <v>658</v>
      </c>
      <c r="D277" s="4" t="s">
        <v>657</v>
      </c>
      <c r="E277" s="4" t="s">
        <v>291</v>
      </c>
      <c r="F277" s="4"/>
      <c r="G277" s="29">
        <f>G278</f>
        <v>0</v>
      </c>
      <c r="H277" s="29">
        <f>H278</f>
        <v>0</v>
      </c>
    </row>
    <row r="278" spans="1:8" ht="31.5" hidden="1">
      <c r="A278" s="3" t="s">
        <v>288</v>
      </c>
      <c r="B278" s="4" t="s">
        <v>355</v>
      </c>
      <c r="C278" s="4" t="s">
        <v>658</v>
      </c>
      <c r="D278" s="4" t="s">
        <v>657</v>
      </c>
      <c r="E278" s="4" t="s">
        <v>289</v>
      </c>
      <c r="F278" s="4"/>
      <c r="G278" s="29">
        <f>G279</f>
        <v>0</v>
      </c>
      <c r="H278" s="29">
        <f>H279</f>
        <v>0</v>
      </c>
    </row>
    <row r="279" spans="1:10" ht="47.25" hidden="1">
      <c r="A279" s="3" t="s">
        <v>702</v>
      </c>
      <c r="B279" s="4" t="s">
        <v>355</v>
      </c>
      <c r="C279" s="4" t="s">
        <v>658</v>
      </c>
      <c r="D279" s="4" t="s">
        <v>657</v>
      </c>
      <c r="E279" s="4" t="s">
        <v>289</v>
      </c>
      <c r="F279" s="4" t="s">
        <v>313</v>
      </c>
      <c r="G279" s="29"/>
      <c r="H279" s="29">
        <f>G279</f>
        <v>0</v>
      </c>
      <c r="J279" s="26"/>
    </row>
    <row r="280" spans="1:10" ht="15.75">
      <c r="A280" s="3" t="s">
        <v>699</v>
      </c>
      <c r="B280" s="4" t="s">
        <v>355</v>
      </c>
      <c r="C280" s="4" t="s">
        <v>651</v>
      </c>
      <c r="D280" s="4" t="s">
        <v>310</v>
      </c>
      <c r="E280" s="4" t="s">
        <v>700</v>
      </c>
      <c r="F280" s="4"/>
      <c r="G280" s="29">
        <f>G281+G283</f>
        <v>1724818.95</v>
      </c>
      <c r="H280" s="29"/>
      <c r="J280" s="26"/>
    </row>
    <row r="281" spans="1:10" ht="47.25">
      <c r="A281" s="3" t="s">
        <v>512</v>
      </c>
      <c r="B281" s="4" t="s">
        <v>355</v>
      </c>
      <c r="C281" s="4" t="s">
        <v>651</v>
      </c>
      <c r="D281" s="4" t="s">
        <v>310</v>
      </c>
      <c r="E281" s="4" t="s">
        <v>552</v>
      </c>
      <c r="F281" s="4"/>
      <c r="G281" s="29">
        <f>G282</f>
        <v>1500000</v>
      </c>
      <c r="H281" s="29"/>
      <c r="J281" s="26"/>
    </row>
    <row r="282" spans="1:10" ht="47.25">
      <c r="A282" s="3" t="s">
        <v>702</v>
      </c>
      <c r="B282" s="4" t="s">
        <v>355</v>
      </c>
      <c r="C282" s="4" t="s">
        <v>651</v>
      </c>
      <c r="D282" s="4" t="s">
        <v>310</v>
      </c>
      <c r="E282" s="4" t="s">
        <v>552</v>
      </c>
      <c r="F282" s="4" t="s">
        <v>313</v>
      </c>
      <c r="G282" s="29">
        <v>1500000</v>
      </c>
      <c r="H282" s="29"/>
      <c r="J282" s="26"/>
    </row>
    <row r="283" spans="1:10" ht="31.5">
      <c r="A283" s="3" t="s">
        <v>215</v>
      </c>
      <c r="B283" s="4" t="s">
        <v>355</v>
      </c>
      <c r="C283" s="4" t="s">
        <v>651</v>
      </c>
      <c r="D283" s="4" t="s">
        <v>310</v>
      </c>
      <c r="E283" s="4" t="s">
        <v>216</v>
      </c>
      <c r="F283" s="61"/>
      <c r="G283" s="29">
        <f>G284+G285</f>
        <v>224818.95</v>
      </c>
      <c r="H283" s="29"/>
      <c r="J283" s="26"/>
    </row>
    <row r="284" spans="1:10" ht="47.25">
      <c r="A284" s="3" t="s">
        <v>702</v>
      </c>
      <c r="B284" s="4" t="s">
        <v>355</v>
      </c>
      <c r="C284" s="4" t="s">
        <v>651</v>
      </c>
      <c r="D284" s="4" t="s">
        <v>310</v>
      </c>
      <c r="E284" s="4" t="s">
        <v>216</v>
      </c>
      <c r="F284" s="4" t="s">
        <v>313</v>
      </c>
      <c r="G284" s="29">
        <v>13250</v>
      </c>
      <c r="H284" s="29"/>
      <c r="J284" s="26"/>
    </row>
    <row r="285" spans="1:14" ht="21.75" customHeight="1">
      <c r="A285" s="3" t="s">
        <v>556</v>
      </c>
      <c r="B285" s="4" t="s">
        <v>355</v>
      </c>
      <c r="C285" s="4" t="s">
        <v>651</v>
      </c>
      <c r="D285" s="4" t="s">
        <v>310</v>
      </c>
      <c r="E285" s="4" t="s">
        <v>216</v>
      </c>
      <c r="F285" s="61">
        <v>800</v>
      </c>
      <c r="G285" s="29">
        <f>4179.78+4400+202989.17</f>
        <v>211568.95</v>
      </c>
      <c r="H285" s="29"/>
      <c r="J285" s="26"/>
      <c r="M285" s="208">
        <f>211568.95-8579.78</f>
        <v>202989.17</v>
      </c>
      <c r="N285" s="26"/>
    </row>
    <row r="286" spans="1:10" ht="47.25">
      <c r="A286" s="13" t="s">
        <v>671</v>
      </c>
      <c r="B286" s="5" t="s">
        <v>355</v>
      </c>
      <c r="C286" s="5" t="s">
        <v>658</v>
      </c>
      <c r="D286" s="5" t="s">
        <v>681</v>
      </c>
      <c r="E286" s="5"/>
      <c r="F286" s="5"/>
      <c r="G286" s="28">
        <f>G287</f>
        <v>2523559.5700000003</v>
      </c>
      <c r="H286" s="28"/>
      <c r="J286" s="26"/>
    </row>
    <row r="287" spans="1:10" ht="78.75">
      <c r="A287" s="1" t="s">
        <v>350</v>
      </c>
      <c r="B287" s="2" t="s">
        <v>355</v>
      </c>
      <c r="C287" s="2" t="s">
        <v>658</v>
      </c>
      <c r="D287" s="2" t="s">
        <v>657</v>
      </c>
      <c r="E287" s="2"/>
      <c r="F287" s="2"/>
      <c r="G287" s="33">
        <f>G288</f>
        <v>2523559.5700000003</v>
      </c>
      <c r="H287" s="33"/>
      <c r="J287" s="26"/>
    </row>
    <row r="288" spans="1:10" ht="63">
      <c r="A288" s="3" t="s">
        <v>545</v>
      </c>
      <c r="B288" s="4" t="s">
        <v>355</v>
      </c>
      <c r="C288" s="4" t="s">
        <v>658</v>
      </c>
      <c r="D288" s="4" t="s">
        <v>657</v>
      </c>
      <c r="E288" s="4" t="s">
        <v>406</v>
      </c>
      <c r="F288" s="4"/>
      <c r="G288" s="29">
        <f>G289</f>
        <v>2523559.5700000003</v>
      </c>
      <c r="H288" s="29"/>
      <c r="J288" s="26"/>
    </row>
    <row r="289" spans="1:10" ht="78.75">
      <c r="A289" s="3" t="s">
        <v>414</v>
      </c>
      <c r="B289" s="4" t="s">
        <v>355</v>
      </c>
      <c r="C289" s="4" t="s">
        <v>658</v>
      </c>
      <c r="D289" s="4" t="s">
        <v>657</v>
      </c>
      <c r="E289" s="4" t="s">
        <v>415</v>
      </c>
      <c r="F289" s="4"/>
      <c r="G289" s="29">
        <f>G290</f>
        <v>2523559.5700000003</v>
      </c>
      <c r="H289" s="29"/>
      <c r="J289" s="26"/>
    </row>
    <row r="290" spans="1:10" ht="47.25">
      <c r="A290" s="3" t="s">
        <v>512</v>
      </c>
      <c r="B290" s="4" t="s">
        <v>355</v>
      </c>
      <c r="C290" s="4" t="s">
        <v>658</v>
      </c>
      <c r="D290" s="4" t="s">
        <v>657</v>
      </c>
      <c r="E290" s="4" t="s">
        <v>279</v>
      </c>
      <c r="F290" s="4"/>
      <c r="G290" s="29">
        <f>G291</f>
        <v>2523559.5700000003</v>
      </c>
      <c r="H290" s="29"/>
      <c r="J290" s="26"/>
    </row>
    <row r="291" spans="1:10" ht="47.25">
      <c r="A291" s="3" t="s">
        <v>702</v>
      </c>
      <c r="B291" s="4" t="s">
        <v>355</v>
      </c>
      <c r="C291" s="4" t="s">
        <v>658</v>
      </c>
      <c r="D291" s="4" t="s">
        <v>657</v>
      </c>
      <c r="E291" s="4" t="s">
        <v>279</v>
      </c>
      <c r="F291" s="4" t="s">
        <v>313</v>
      </c>
      <c r="G291" s="29">
        <f>1657794.78+1200000-57794.78-276440.43</f>
        <v>2523559.5700000003</v>
      </c>
      <c r="H291" s="29"/>
      <c r="J291" s="26"/>
    </row>
    <row r="292" spans="1:14" s="16" customFormat="1" ht="24.75" customHeight="1">
      <c r="A292" s="13" t="s">
        <v>672</v>
      </c>
      <c r="B292" s="5" t="s">
        <v>355</v>
      </c>
      <c r="C292" s="5" t="s">
        <v>661</v>
      </c>
      <c r="D292" s="5" t="s">
        <v>681</v>
      </c>
      <c r="E292" s="5"/>
      <c r="F292" s="5"/>
      <c r="G292" s="28">
        <f>G300+G319+G314+G293</f>
        <v>116441460.30000001</v>
      </c>
      <c r="H292" s="28">
        <f>H300+H319+H314+H293</f>
        <v>1439490</v>
      </c>
      <c r="I292" s="48"/>
      <c r="J292" s="48"/>
      <c r="K292" s="48"/>
      <c r="M292" s="209">
        <f>114910053.12-114105425.12</f>
        <v>804628</v>
      </c>
      <c r="N292" s="48"/>
    </row>
    <row r="293" spans="1:13" s="16" customFormat="1" ht="31.5">
      <c r="A293" s="1" t="s">
        <v>635</v>
      </c>
      <c r="B293" s="2" t="s">
        <v>355</v>
      </c>
      <c r="C293" s="2" t="s">
        <v>661</v>
      </c>
      <c r="D293" s="2" t="s">
        <v>653</v>
      </c>
      <c r="E293" s="2"/>
      <c r="F293" s="2"/>
      <c r="G293" s="33">
        <f>G294</f>
        <v>1439490</v>
      </c>
      <c r="H293" s="33">
        <f>H294</f>
        <v>1439490</v>
      </c>
      <c r="I293" s="48"/>
      <c r="J293" s="48"/>
      <c r="K293" s="48"/>
      <c r="M293" s="209"/>
    </row>
    <row r="294" spans="1:13" s="16" customFormat="1" ht="78.75">
      <c r="A294" s="3" t="s">
        <v>549</v>
      </c>
      <c r="B294" s="4" t="s">
        <v>355</v>
      </c>
      <c r="C294" s="4" t="s">
        <v>661</v>
      </c>
      <c r="D294" s="4" t="s">
        <v>653</v>
      </c>
      <c r="E294" s="4" t="s">
        <v>328</v>
      </c>
      <c r="F294" s="2"/>
      <c r="G294" s="29">
        <f>G295</f>
        <v>1439490</v>
      </c>
      <c r="H294" s="29">
        <f>H295</f>
        <v>1439490</v>
      </c>
      <c r="I294" s="48"/>
      <c r="J294" s="48"/>
      <c r="K294" s="48"/>
      <c r="M294" s="209"/>
    </row>
    <row r="295" spans="1:13" s="16" customFormat="1" ht="47.25">
      <c r="A295" s="3" t="s">
        <v>211</v>
      </c>
      <c r="B295" s="4" t="s">
        <v>355</v>
      </c>
      <c r="C295" s="4" t="s">
        <v>661</v>
      </c>
      <c r="D295" s="4" t="s">
        <v>653</v>
      </c>
      <c r="E295" s="4" t="s">
        <v>212</v>
      </c>
      <c r="F295" s="2"/>
      <c r="G295" s="29">
        <f>G296+G298</f>
        <v>1439490</v>
      </c>
      <c r="H295" s="29">
        <f>H296+H298</f>
        <v>1439490</v>
      </c>
      <c r="I295" s="48"/>
      <c r="J295" s="48"/>
      <c r="K295" s="48"/>
      <c r="M295" s="209"/>
    </row>
    <row r="296" spans="1:13" s="16" customFormat="1" ht="47.25">
      <c r="A296" s="3" t="s">
        <v>636</v>
      </c>
      <c r="B296" s="4" t="s">
        <v>355</v>
      </c>
      <c r="C296" s="4" t="s">
        <v>661</v>
      </c>
      <c r="D296" s="4" t="s">
        <v>653</v>
      </c>
      <c r="E296" s="4" t="s">
        <v>637</v>
      </c>
      <c r="F296" s="4"/>
      <c r="G296" s="29">
        <f>G297</f>
        <v>1421870</v>
      </c>
      <c r="H296" s="29">
        <f>H297</f>
        <v>1421870</v>
      </c>
      <c r="I296" s="48"/>
      <c r="J296" s="48"/>
      <c r="K296" s="48"/>
      <c r="M296" s="209"/>
    </row>
    <row r="297" spans="1:13" s="16" customFormat="1" ht="47.25">
      <c r="A297" s="3" t="s">
        <v>702</v>
      </c>
      <c r="B297" s="4" t="s">
        <v>355</v>
      </c>
      <c r="C297" s="4" t="s">
        <v>661</v>
      </c>
      <c r="D297" s="4" t="s">
        <v>653</v>
      </c>
      <c r="E297" s="4" t="s">
        <v>637</v>
      </c>
      <c r="F297" s="4" t="s">
        <v>313</v>
      </c>
      <c r="G297" s="29">
        <f>1421870</f>
        <v>1421870</v>
      </c>
      <c r="H297" s="29">
        <f>G297</f>
        <v>1421870</v>
      </c>
      <c r="I297" s="48"/>
      <c r="J297" s="48"/>
      <c r="K297" s="48"/>
      <c r="M297" s="209" t="s">
        <v>872</v>
      </c>
    </row>
    <row r="298" spans="1:13" s="16" customFormat="1" ht="63">
      <c r="A298" s="3" t="s">
        <v>641</v>
      </c>
      <c r="B298" s="4" t="s">
        <v>355</v>
      </c>
      <c r="C298" s="4" t="s">
        <v>661</v>
      </c>
      <c r="D298" s="4" t="s">
        <v>653</v>
      </c>
      <c r="E298" s="4" t="s">
        <v>642</v>
      </c>
      <c r="F298" s="4"/>
      <c r="G298" s="29">
        <f>G299</f>
        <v>17620</v>
      </c>
      <c r="H298" s="29">
        <f>G298</f>
        <v>17620</v>
      </c>
      <c r="I298" s="48"/>
      <c r="J298" s="48"/>
      <c r="K298" s="48"/>
      <c r="M298" s="209"/>
    </row>
    <row r="299" spans="1:13" s="16" customFormat="1" ht="110.25">
      <c r="A299" s="27" t="s">
        <v>245</v>
      </c>
      <c r="B299" s="4" t="s">
        <v>355</v>
      </c>
      <c r="C299" s="4" t="s">
        <v>661</v>
      </c>
      <c r="D299" s="4" t="s">
        <v>653</v>
      </c>
      <c r="E299" s="4" t="s">
        <v>642</v>
      </c>
      <c r="F299" s="4" t="s">
        <v>312</v>
      </c>
      <c r="G299" s="29">
        <f>17620</f>
        <v>17620</v>
      </c>
      <c r="H299" s="29">
        <f>G299</f>
        <v>17620</v>
      </c>
      <c r="I299" s="48"/>
      <c r="J299" s="48"/>
      <c r="K299" s="48"/>
      <c r="M299" s="209" t="s">
        <v>873</v>
      </c>
    </row>
    <row r="300" spans="1:14" ht="31.5">
      <c r="A300" s="1" t="s">
        <v>555</v>
      </c>
      <c r="B300" s="2" t="s">
        <v>355</v>
      </c>
      <c r="C300" s="2" t="s">
        <v>661</v>
      </c>
      <c r="D300" s="2" t="s">
        <v>657</v>
      </c>
      <c r="E300" s="4"/>
      <c r="F300" s="4"/>
      <c r="G300" s="33">
        <f>G305+G301</f>
        <v>102286506.88000001</v>
      </c>
      <c r="H300" s="33">
        <f>H305+H301</f>
        <v>0</v>
      </c>
      <c r="M300" s="208">
        <f>100472719.7-99650471.7</f>
        <v>822248</v>
      </c>
      <c r="N300" s="26"/>
    </row>
    <row r="301" spans="1:8" ht="63">
      <c r="A301" s="3" t="s">
        <v>545</v>
      </c>
      <c r="B301" s="4" t="s">
        <v>355</v>
      </c>
      <c r="C301" s="4" t="s">
        <v>661</v>
      </c>
      <c r="D301" s="4" t="s">
        <v>657</v>
      </c>
      <c r="E301" s="4" t="s">
        <v>406</v>
      </c>
      <c r="F301" s="4"/>
      <c r="G301" s="29">
        <f>G302</f>
        <v>6651616.779999999</v>
      </c>
      <c r="H301" s="33"/>
    </row>
    <row r="302" spans="1:8" ht="78.75">
      <c r="A302" s="3" t="s">
        <v>411</v>
      </c>
      <c r="B302" s="4" t="s">
        <v>355</v>
      </c>
      <c r="C302" s="4" t="s">
        <v>661</v>
      </c>
      <c r="D302" s="4" t="s">
        <v>657</v>
      </c>
      <c r="E302" s="4" t="s">
        <v>412</v>
      </c>
      <c r="F302" s="4"/>
      <c r="G302" s="29">
        <f>G303</f>
        <v>6651616.779999999</v>
      </c>
      <c r="H302" s="33"/>
    </row>
    <row r="303" spans="1:8" ht="31.5">
      <c r="A303" s="3" t="s">
        <v>719</v>
      </c>
      <c r="B303" s="4" t="s">
        <v>355</v>
      </c>
      <c r="C303" s="4" t="s">
        <v>661</v>
      </c>
      <c r="D303" s="4" t="s">
        <v>657</v>
      </c>
      <c r="E303" s="4" t="s">
        <v>413</v>
      </c>
      <c r="F303" s="4"/>
      <c r="G303" s="29">
        <f>G304</f>
        <v>6651616.779999999</v>
      </c>
      <c r="H303" s="33"/>
    </row>
    <row r="304" spans="1:14" ht="47.25">
      <c r="A304" s="3" t="s">
        <v>702</v>
      </c>
      <c r="B304" s="4" t="s">
        <v>355</v>
      </c>
      <c r="C304" s="4" t="s">
        <v>661</v>
      </c>
      <c r="D304" s="4" t="s">
        <v>657</v>
      </c>
      <c r="E304" s="4" t="s">
        <v>413</v>
      </c>
      <c r="F304" s="4" t="s">
        <v>313</v>
      </c>
      <c r="G304" s="29">
        <f>1141702.5+3085225.5-211346.4+822248+1863607.68-49820.5</f>
        <v>6651616.779999999</v>
      </c>
      <c r="H304" s="33"/>
      <c r="M304" s="208">
        <f>4837829.6-4015581.6+1863607.68</f>
        <v>2685855.6799999997</v>
      </c>
      <c r="N304" s="26"/>
    </row>
    <row r="305" spans="1:8" ht="63">
      <c r="A305" s="3" t="s">
        <v>550</v>
      </c>
      <c r="B305" s="4" t="s">
        <v>355</v>
      </c>
      <c r="C305" s="4" t="s">
        <v>661</v>
      </c>
      <c r="D305" s="4" t="s">
        <v>657</v>
      </c>
      <c r="E305" s="4" t="s">
        <v>400</v>
      </c>
      <c r="F305" s="4"/>
      <c r="G305" s="29">
        <f>G306+G308+G310+G312</f>
        <v>95634890.10000001</v>
      </c>
      <c r="H305" s="29">
        <f>H306+H308+H310+H312</f>
        <v>0</v>
      </c>
    </row>
    <row r="306" spans="1:10" ht="47.25">
      <c r="A306" s="3" t="s">
        <v>401</v>
      </c>
      <c r="B306" s="4" t="s">
        <v>355</v>
      </c>
      <c r="C306" s="4" t="s">
        <v>661</v>
      </c>
      <c r="D306" s="4" t="s">
        <v>657</v>
      </c>
      <c r="E306" s="4" t="s">
        <v>402</v>
      </c>
      <c r="F306" s="4"/>
      <c r="G306" s="29">
        <f>G307</f>
        <v>2307949</v>
      </c>
      <c r="H306" s="29"/>
      <c r="J306" s="26"/>
    </row>
    <row r="307" spans="1:13" ht="47.25">
      <c r="A307" s="3" t="s">
        <v>702</v>
      </c>
      <c r="B307" s="4" t="s">
        <v>355</v>
      </c>
      <c r="C307" s="4" t="s">
        <v>661</v>
      </c>
      <c r="D307" s="4" t="s">
        <v>657</v>
      </c>
      <c r="E307" s="4" t="s">
        <v>402</v>
      </c>
      <c r="F307" s="4" t="s">
        <v>313</v>
      </c>
      <c r="G307" s="29">
        <f>2407490+592510-300000-300000-92051</f>
        <v>2307949</v>
      </c>
      <c r="H307" s="29"/>
      <c r="M307" s="208">
        <v>-92051</v>
      </c>
    </row>
    <row r="308" spans="1:8" ht="79.5" customHeight="1">
      <c r="A308" s="3" t="s">
        <v>403</v>
      </c>
      <c r="B308" s="4" t="s">
        <v>355</v>
      </c>
      <c r="C308" s="4" t="s">
        <v>661</v>
      </c>
      <c r="D308" s="4" t="s">
        <v>657</v>
      </c>
      <c r="E308" s="4" t="s">
        <v>404</v>
      </c>
      <c r="F308" s="4"/>
      <c r="G308" s="29">
        <f>G309</f>
        <v>89288352.08000001</v>
      </c>
      <c r="H308" s="29"/>
    </row>
    <row r="309" spans="1:10" ht="47.25">
      <c r="A309" s="3" t="s">
        <v>702</v>
      </c>
      <c r="B309" s="4" t="s">
        <v>355</v>
      </c>
      <c r="C309" s="4" t="s">
        <v>661</v>
      </c>
      <c r="D309" s="4" t="s">
        <v>657</v>
      </c>
      <c r="E309" s="4" t="s">
        <v>404</v>
      </c>
      <c r="F309" s="4" t="s">
        <v>313</v>
      </c>
      <c r="G309" s="29">
        <f>90002080-670106.07-43621.85</f>
        <v>89288352.08000001</v>
      </c>
      <c r="H309" s="29"/>
      <c r="J309" s="26"/>
    </row>
    <row r="310" spans="1:8" ht="31.5">
      <c r="A310" s="3" t="s">
        <v>719</v>
      </c>
      <c r="B310" s="4" t="s">
        <v>355</v>
      </c>
      <c r="C310" s="4" t="s">
        <v>661</v>
      </c>
      <c r="D310" s="4" t="s">
        <v>657</v>
      </c>
      <c r="E310" s="4" t="s">
        <v>405</v>
      </c>
      <c r="F310" s="4"/>
      <c r="G310" s="29">
        <f>G311</f>
        <v>4038589.02</v>
      </c>
      <c r="H310" s="29"/>
    </row>
    <row r="311" spans="1:13" ht="47.25">
      <c r="A311" s="3" t="s">
        <v>702</v>
      </c>
      <c r="B311" s="4" t="s">
        <v>355</v>
      </c>
      <c r="C311" s="4" t="s">
        <v>661</v>
      </c>
      <c r="D311" s="4" t="s">
        <v>657</v>
      </c>
      <c r="E311" s="4" t="s">
        <v>405</v>
      </c>
      <c r="F311" s="4" t="s">
        <v>313</v>
      </c>
      <c r="G311" s="29">
        <f>3525040+670106.07+43621.85-2640-342364-67010.61+119784.71+92051</f>
        <v>4038589.02</v>
      </c>
      <c r="H311" s="29"/>
      <c r="M311" s="208">
        <f>92051</f>
        <v>92051</v>
      </c>
    </row>
    <row r="312" spans="1:8" ht="78.75" hidden="1">
      <c r="A312" s="3" t="s">
        <v>282</v>
      </c>
      <c r="B312" s="4" t="s">
        <v>355</v>
      </c>
      <c r="C312" s="4" t="s">
        <v>661</v>
      </c>
      <c r="D312" s="4" t="s">
        <v>657</v>
      </c>
      <c r="E312" s="4" t="s">
        <v>283</v>
      </c>
      <c r="F312" s="4"/>
      <c r="G312" s="29">
        <f>G313</f>
        <v>0</v>
      </c>
      <c r="H312" s="29">
        <f>H313</f>
        <v>0</v>
      </c>
    </row>
    <row r="313" spans="1:8" ht="47.25" hidden="1">
      <c r="A313" s="3" t="s">
        <v>702</v>
      </c>
      <c r="B313" s="4" t="s">
        <v>355</v>
      </c>
      <c r="C313" s="4" t="s">
        <v>661</v>
      </c>
      <c r="D313" s="4" t="s">
        <v>657</v>
      </c>
      <c r="E313" s="4" t="s">
        <v>283</v>
      </c>
      <c r="F313" s="4" t="s">
        <v>313</v>
      </c>
      <c r="G313" s="29"/>
      <c r="H313" s="29">
        <f>G313</f>
        <v>0</v>
      </c>
    </row>
    <row r="314" spans="1:8" ht="15.75">
      <c r="A314" s="1" t="s">
        <v>304</v>
      </c>
      <c r="B314" s="2" t="s">
        <v>355</v>
      </c>
      <c r="C314" s="2" t="s">
        <v>661</v>
      </c>
      <c r="D314" s="2" t="s">
        <v>659</v>
      </c>
      <c r="E314" s="2"/>
      <c r="F314" s="2"/>
      <c r="G314" s="33">
        <f>G315</f>
        <v>2056742.92</v>
      </c>
      <c r="H314" s="33"/>
    </row>
    <row r="315" spans="1:8" ht="47.25">
      <c r="A315" s="3" t="s">
        <v>548</v>
      </c>
      <c r="B315" s="4" t="s">
        <v>355</v>
      </c>
      <c r="C315" s="4" t="s">
        <v>661</v>
      </c>
      <c r="D315" s="4" t="s">
        <v>659</v>
      </c>
      <c r="E315" s="4" t="s">
        <v>703</v>
      </c>
      <c r="F315" s="4"/>
      <c r="G315" s="29">
        <f>G316</f>
        <v>2056742.92</v>
      </c>
      <c r="H315" s="29"/>
    </row>
    <row r="316" spans="1:8" ht="63">
      <c r="A316" s="3" t="s">
        <v>704</v>
      </c>
      <c r="B316" s="4" t="s">
        <v>355</v>
      </c>
      <c r="C316" s="4" t="s">
        <v>661</v>
      </c>
      <c r="D316" s="4" t="s">
        <v>659</v>
      </c>
      <c r="E316" s="4" t="s">
        <v>705</v>
      </c>
      <c r="F316" s="4"/>
      <c r="G316" s="29">
        <f>G317</f>
        <v>2056742.92</v>
      </c>
      <c r="H316" s="29"/>
    </row>
    <row r="317" spans="1:8" ht="31.5">
      <c r="A317" s="3" t="s">
        <v>706</v>
      </c>
      <c r="B317" s="4" t="s">
        <v>355</v>
      </c>
      <c r="C317" s="4" t="s">
        <v>661</v>
      </c>
      <c r="D317" s="4" t="s">
        <v>659</v>
      </c>
      <c r="E317" s="4" t="s">
        <v>707</v>
      </c>
      <c r="F317" s="4"/>
      <c r="G317" s="29">
        <f>G318</f>
        <v>2056742.92</v>
      </c>
      <c r="H317" s="29"/>
    </row>
    <row r="318" spans="1:8" ht="47.25">
      <c r="A318" s="3" t="s">
        <v>702</v>
      </c>
      <c r="B318" s="4" t="s">
        <v>355</v>
      </c>
      <c r="C318" s="4" t="s">
        <v>661</v>
      </c>
      <c r="D318" s="4" t="s">
        <v>659</v>
      </c>
      <c r="E318" s="4" t="s">
        <v>707</v>
      </c>
      <c r="F318" s="4" t="s">
        <v>313</v>
      </c>
      <c r="G318" s="29">
        <f>2299070-5544.1-131782.98-105000</f>
        <v>2056742.92</v>
      </c>
      <c r="H318" s="29"/>
    </row>
    <row r="319" spans="1:8" ht="31.5">
      <c r="A319" s="1" t="s">
        <v>674</v>
      </c>
      <c r="B319" s="2" t="s">
        <v>355</v>
      </c>
      <c r="C319" s="2" t="s">
        <v>661</v>
      </c>
      <c r="D319" s="2" t="s">
        <v>307</v>
      </c>
      <c r="E319" s="2"/>
      <c r="F319" s="2"/>
      <c r="G319" s="33">
        <f>G320+G323+G334</f>
        <v>10658720.5</v>
      </c>
      <c r="H319" s="33"/>
    </row>
    <row r="320" spans="1:8" ht="63" hidden="1">
      <c r="A320" s="3" t="s">
        <v>546</v>
      </c>
      <c r="B320" s="4" t="s">
        <v>355</v>
      </c>
      <c r="C320" s="4" t="s">
        <v>661</v>
      </c>
      <c r="D320" s="4" t="s">
        <v>307</v>
      </c>
      <c r="E320" s="4" t="s">
        <v>363</v>
      </c>
      <c r="F320" s="4"/>
      <c r="G320" s="29">
        <f>G321</f>
        <v>0</v>
      </c>
      <c r="H320" s="29"/>
    </row>
    <row r="321" spans="1:8" ht="47.25" hidden="1">
      <c r="A321" s="3" t="s">
        <v>512</v>
      </c>
      <c r="B321" s="4" t="s">
        <v>355</v>
      </c>
      <c r="C321" s="4" t="s">
        <v>661</v>
      </c>
      <c r="D321" s="4" t="s">
        <v>307</v>
      </c>
      <c r="E321" s="4" t="s">
        <v>364</v>
      </c>
      <c r="F321" s="4"/>
      <c r="G321" s="29">
        <f>G322</f>
        <v>0</v>
      </c>
      <c r="H321" s="29"/>
    </row>
    <row r="322" spans="1:8" ht="47.25" hidden="1">
      <c r="A322" s="3" t="s">
        <v>702</v>
      </c>
      <c r="B322" s="4" t="s">
        <v>355</v>
      </c>
      <c r="C322" s="4" t="s">
        <v>661</v>
      </c>
      <c r="D322" s="4" t="s">
        <v>307</v>
      </c>
      <c r="E322" s="4" t="s">
        <v>364</v>
      </c>
      <c r="F322" s="4" t="s">
        <v>313</v>
      </c>
      <c r="G322" s="29"/>
      <c r="H322" s="29"/>
    </row>
    <row r="323" spans="1:8" ht="63">
      <c r="A323" s="27" t="s">
        <v>541</v>
      </c>
      <c r="B323" s="4" t="s">
        <v>355</v>
      </c>
      <c r="C323" s="4" t="s">
        <v>661</v>
      </c>
      <c r="D323" s="4" t="s">
        <v>307</v>
      </c>
      <c r="E323" s="4" t="s">
        <v>708</v>
      </c>
      <c r="F323" s="4"/>
      <c r="G323" s="29">
        <f>G327+G324</f>
        <v>10572720.5</v>
      </c>
      <c r="H323" s="29"/>
    </row>
    <row r="324" spans="1:8" ht="63">
      <c r="A324" s="27" t="s">
        <v>376</v>
      </c>
      <c r="B324" s="4" t="s">
        <v>355</v>
      </c>
      <c r="C324" s="4" t="s">
        <v>661</v>
      </c>
      <c r="D324" s="4" t="s">
        <v>307</v>
      </c>
      <c r="E324" s="4" t="s">
        <v>389</v>
      </c>
      <c r="F324" s="4"/>
      <c r="G324" s="29">
        <f>G325</f>
        <v>1200000</v>
      </c>
      <c r="H324" s="29"/>
    </row>
    <row r="325" spans="1:8" ht="31.5">
      <c r="A325" s="27" t="s">
        <v>453</v>
      </c>
      <c r="B325" s="4" t="s">
        <v>355</v>
      </c>
      <c r="C325" s="4" t="s">
        <v>661</v>
      </c>
      <c r="D325" s="4" t="s">
        <v>307</v>
      </c>
      <c r="E325" s="4" t="s">
        <v>390</v>
      </c>
      <c r="F325" s="4"/>
      <c r="G325" s="29">
        <f>G326</f>
        <v>1200000</v>
      </c>
      <c r="H325" s="29"/>
    </row>
    <row r="326" spans="1:13" ht="47.25">
      <c r="A326" s="3" t="s">
        <v>702</v>
      </c>
      <c r="B326" s="4" t="s">
        <v>355</v>
      </c>
      <c r="C326" s="4" t="s">
        <v>661</v>
      </c>
      <c r="D326" s="4" t="s">
        <v>307</v>
      </c>
      <c r="E326" s="4" t="s">
        <v>390</v>
      </c>
      <c r="F326" s="4" t="s">
        <v>313</v>
      </c>
      <c r="G326" s="29">
        <f>1707530-207530-300000</f>
        <v>1200000</v>
      </c>
      <c r="H326" s="29"/>
      <c r="M326" s="208">
        <f>-300000</f>
        <v>-300000</v>
      </c>
    </row>
    <row r="327" spans="1:8" ht="125.25" customHeight="1">
      <c r="A327" s="3" t="s">
        <v>385</v>
      </c>
      <c r="B327" s="4" t="s">
        <v>355</v>
      </c>
      <c r="C327" s="4" t="s">
        <v>661</v>
      </c>
      <c r="D327" s="4" t="s">
        <v>307</v>
      </c>
      <c r="E327" s="4" t="s">
        <v>386</v>
      </c>
      <c r="F327" s="4"/>
      <c r="G327" s="29">
        <f>G328+G332</f>
        <v>9372720.5</v>
      </c>
      <c r="H327" s="29"/>
    </row>
    <row r="328" spans="1:8" ht="125.25" customHeight="1">
      <c r="A328" s="3" t="s">
        <v>209</v>
      </c>
      <c r="B328" s="4" t="s">
        <v>355</v>
      </c>
      <c r="C328" s="4" t="s">
        <v>661</v>
      </c>
      <c r="D328" s="4" t="s">
        <v>307</v>
      </c>
      <c r="E328" s="4" t="s">
        <v>387</v>
      </c>
      <c r="F328" s="4"/>
      <c r="G328" s="29">
        <f>G329+G330+G331</f>
        <v>9204890</v>
      </c>
      <c r="H328" s="29"/>
    </row>
    <row r="329" spans="1:8" ht="110.25">
      <c r="A329" s="3" t="s">
        <v>701</v>
      </c>
      <c r="B329" s="4" t="s">
        <v>355</v>
      </c>
      <c r="C329" s="4" t="s">
        <v>661</v>
      </c>
      <c r="D329" s="4" t="s">
        <v>307</v>
      </c>
      <c r="E329" s="4" t="s">
        <v>387</v>
      </c>
      <c r="F329" s="4" t="s">
        <v>312</v>
      </c>
      <c r="G329" s="29">
        <f>6985460+1978520+1900+7720-248199-200000</f>
        <v>8525401</v>
      </c>
      <c r="H329" s="29"/>
    </row>
    <row r="330" spans="1:10" ht="47.25">
      <c r="A330" s="3" t="s">
        <v>702</v>
      </c>
      <c r="B330" s="4" t="s">
        <v>355</v>
      </c>
      <c r="C330" s="4" t="s">
        <v>661</v>
      </c>
      <c r="D330" s="4" t="s">
        <v>307</v>
      </c>
      <c r="E330" s="4" t="s">
        <v>387</v>
      </c>
      <c r="F330" s="4" t="s">
        <v>313</v>
      </c>
      <c r="G330" s="29">
        <f>580510-120000+83978.19-3181</f>
        <v>541307.19</v>
      </c>
      <c r="H330" s="29"/>
      <c r="J330" s="26"/>
    </row>
    <row r="331" spans="1:8" ht="15.75">
      <c r="A331" s="3" t="s">
        <v>556</v>
      </c>
      <c r="B331" s="4" t="s">
        <v>355</v>
      </c>
      <c r="C331" s="4" t="s">
        <v>661</v>
      </c>
      <c r="D331" s="4" t="s">
        <v>307</v>
      </c>
      <c r="E331" s="4" t="s">
        <v>387</v>
      </c>
      <c r="F331" s="4" t="s">
        <v>316</v>
      </c>
      <c r="G331" s="29">
        <f>109960+120000-83978.19-7800</f>
        <v>138181.81</v>
      </c>
      <c r="H331" s="29"/>
    </row>
    <row r="332" spans="1:8" ht="94.5">
      <c r="A332" s="3" t="s">
        <v>235</v>
      </c>
      <c r="B332" s="4" t="s">
        <v>355</v>
      </c>
      <c r="C332" s="4" t="s">
        <v>661</v>
      </c>
      <c r="D332" s="4" t="s">
        <v>307</v>
      </c>
      <c r="E332" s="4" t="s">
        <v>259</v>
      </c>
      <c r="F332" s="4"/>
      <c r="G332" s="29">
        <f>G333</f>
        <v>167830.5</v>
      </c>
      <c r="H332" s="29"/>
    </row>
    <row r="333" spans="1:8" ht="110.25">
      <c r="A333" s="3" t="s">
        <v>245</v>
      </c>
      <c r="B333" s="4" t="s">
        <v>355</v>
      </c>
      <c r="C333" s="4" t="s">
        <v>661</v>
      </c>
      <c r="D333" s="4" t="s">
        <v>307</v>
      </c>
      <c r="E333" s="4" t="s">
        <v>259</v>
      </c>
      <c r="F333" s="4" t="s">
        <v>312</v>
      </c>
      <c r="G333" s="29">
        <f>177170-9339.5</f>
        <v>167830.5</v>
      </c>
      <c r="H333" s="29"/>
    </row>
    <row r="334" spans="1:8" ht="15.75">
      <c r="A334" s="3" t="s">
        <v>699</v>
      </c>
      <c r="B334" s="4" t="s">
        <v>355</v>
      </c>
      <c r="C334" s="4" t="s">
        <v>661</v>
      </c>
      <c r="D334" s="4" t="s">
        <v>307</v>
      </c>
      <c r="E334" s="4" t="s">
        <v>700</v>
      </c>
      <c r="F334" s="4"/>
      <c r="G334" s="29">
        <f>G335</f>
        <v>86000</v>
      </c>
      <c r="H334" s="29"/>
    </row>
    <row r="335" spans="1:8" ht="31.5">
      <c r="A335" s="3" t="s">
        <v>712</v>
      </c>
      <c r="B335" s="4" t="s">
        <v>355</v>
      </c>
      <c r="C335" s="4" t="s">
        <v>661</v>
      </c>
      <c r="D335" s="4" t="s">
        <v>307</v>
      </c>
      <c r="E335" s="4" t="s">
        <v>783</v>
      </c>
      <c r="F335" s="4"/>
      <c r="G335" s="29">
        <f>G336</f>
        <v>86000</v>
      </c>
      <c r="H335" s="29"/>
    </row>
    <row r="336" spans="1:8" ht="47.25">
      <c r="A336" s="3" t="s">
        <v>702</v>
      </c>
      <c r="B336" s="4" t="s">
        <v>355</v>
      </c>
      <c r="C336" s="4" t="s">
        <v>661</v>
      </c>
      <c r="D336" s="4" t="s">
        <v>307</v>
      </c>
      <c r="E336" s="4" t="s">
        <v>783</v>
      </c>
      <c r="F336" s="4" t="s">
        <v>313</v>
      </c>
      <c r="G336" s="29">
        <f>86000</f>
        <v>86000</v>
      </c>
      <c r="H336" s="29"/>
    </row>
    <row r="337" spans="1:14" ht="37.5">
      <c r="A337" s="10" t="s">
        <v>660</v>
      </c>
      <c r="B337" s="11" t="s">
        <v>355</v>
      </c>
      <c r="C337" s="11" t="s">
        <v>653</v>
      </c>
      <c r="D337" s="23"/>
      <c r="E337" s="23"/>
      <c r="F337" s="23"/>
      <c r="G337" s="28">
        <f>G389+G338+G356+G368</f>
        <v>107402198.91000001</v>
      </c>
      <c r="H337" s="28">
        <f>H389+H338+H368</f>
        <v>0</v>
      </c>
      <c r="J337" s="26"/>
      <c r="K337" s="26"/>
      <c r="M337" s="208">
        <f>187689759.09-78473773-110241223.26</f>
        <v>-1025237.1700000018</v>
      </c>
      <c r="N337" s="26"/>
    </row>
    <row r="338" spans="1:10" ht="15.75">
      <c r="A338" s="1" t="s">
        <v>666</v>
      </c>
      <c r="B338" s="2" t="s">
        <v>355</v>
      </c>
      <c r="C338" s="2" t="s">
        <v>653</v>
      </c>
      <c r="D338" s="2" t="s">
        <v>651</v>
      </c>
      <c r="E338" s="2"/>
      <c r="F338" s="2"/>
      <c r="G338" s="29">
        <f>G339+G347</f>
        <v>25051409.7</v>
      </c>
      <c r="H338" s="29">
        <f>H339+H347</f>
        <v>0</v>
      </c>
      <c r="J338" s="26"/>
    </row>
    <row r="339" spans="1:8" ht="96.75" customHeight="1">
      <c r="A339" s="3" t="s">
        <v>549</v>
      </c>
      <c r="B339" s="4" t="s">
        <v>355</v>
      </c>
      <c r="C339" s="4" t="s">
        <v>653</v>
      </c>
      <c r="D339" s="4" t="s">
        <v>651</v>
      </c>
      <c r="E339" s="4" t="s">
        <v>328</v>
      </c>
      <c r="F339" s="4"/>
      <c r="G339" s="29">
        <f>G340</f>
        <v>24330500.7</v>
      </c>
      <c r="H339" s="29"/>
    </row>
    <row r="340" spans="1:8" ht="47.25">
      <c r="A340" s="3" t="s">
        <v>510</v>
      </c>
      <c r="B340" s="4" t="s">
        <v>355</v>
      </c>
      <c r="C340" s="4" t="s">
        <v>653</v>
      </c>
      <c r="D340" s="4" t="s">
        <v>651</v>
      </c>
      <c r="E340" s="4" t="s">
        <v>511</v>
      </c>
      <c r="F340" s="4"/>
      <c r="G340" s="29">
        <f>G341+G343</f>
        <v>24330500.7</v>
      </c>
      <c r="H340" s="29"/>
    </row>
    <row r="341" spans="1:8" ht="47.25">
      <c r="A341" s="3" t="s">
        <v>512</v>
      </c>
      <c r="B341" s="4" t="s">
        <v>355</v>
      </c>
      <c r="C341" s="4" t="s">
        <v>653</v>
      </c>
      <c r="D341" s="4" t="s">
        <v>651</v>
      </c>
      <c r="E341" s="4" t="s">
        <v>513</v>
      </c>
      <c r="F341" s="4"/>
      <c r="G341" s="29">
        <f>G342</f>
        <v>3285175.55</v>
      </c>
      <c r="H341" s="29"/>
    </row>
    <row r="342" spans="1:10" ht="47.25">
      <c r="A342" s="3" t="s">
        <v>702</v>
      </c>
      <c r="B342" s="4" t="s">
        <v>355</v>
      </c>
      <c r="C342" s="4" t="s">
        <v>653</v>
      </c>
      <c r="D342" s="4" t="s">
        <v>651</v>
      </c>
      <c r="E342" s="4" t="s">
        <v>513</v>
      </c>
      <c r="F342" s="4" t="s">
        <v>313</v>
      </c>
      <c r="G342" s="29">
        <f>1993705.55+639470+652000</f>
        <v>3285175.55</v>
      </c>
      <c r="H342" s="29"/>
      <c r="J342" s="26"/>
    </row>
    <row r="343" spans="1:10" ht="64.5" customHeight="1">
      <c r="A343" s="138" t="s">
        <v>244</v>
      </c>
      <c r="B343" s="4" t="s">
        <v>355</v>
      </c>
      <c r="C343" s="4" t="s">
        <v>653</v>
      </c>
      <c r="D343" s="4" t="s">
        <v>651</v>
      </c>
      <c r="E343" s="4" t="s">
        <v>243</v>
      </c>
      <c r="F343" s="4"/>
      <c r="G343" s="29">
        <f>G344</f>
        <v>21045325.15</v>
      </c>
      <c r="H343" s="29"/>
      <c r="J343" s="26"/>
    </row>
    <row r="344" spans="1:10" ht="47.25">
      <c r="A344" s="3" t="s">
        <v>702</v>
      </c>
      <c r="B344" s="4" t="s">
        <v>355</v>
      </c>
      <c r="C344" s="4" t="s">
        <v>653</v>
      </c>
      <c r="D344" s="4" t="s">
        <v>651</v>
      </c>
      <c r="E344" s="4" t="s">
        <v>243</v>
      </c>
      <c r="F344" s="4" t="s">
        <v>313</v>
      </c>
      <c r="G344" s="29">
        <f>24665630-3620304.85</f>
        <v>21045325.15</v>
      </c>
      <c r="H344" s="29"/>
      <c r="J344" s="26"/>
    </row>
    <row r="345" spans="1:10" ht="15.75" hidden="1">
      <c r="A345" s="3"/>
      <c r="B345" s="4"/>
      <c r="C345" s="4"/>
      <c r="D345" s="4"/>
      <c r="E345" s="4"/>
      <c r="F345" s="4"/>
      <c r="G345" s="29"/>
      <c r="H345" s="29"/>
      <c r="J345" s="26"/>
    </row>
    <row r="346" spans="1:10" ht="15.75" hidden="1">
      <c r="A346" s="3"/>
      <c r="B346" s="4"/>
      <c r="C346" s="4"/>
      <c r="D346" s="4"/>
      <c r="E346" s="4"/>
      <c r="F346" s="4"/>
      <c r="G346" s="29"/>
      <c r="H346" s="29"/>
      <c r="J346" s="26"/>
    </row>
    <row r="347" spans="1:8" ht="63">
      <c r="A347" s="3" t="s">
        <v>546</v>
      </c>
      <c r="B347" s="4" t="s">
        <v>355</v>
      </c>
      <c r="C347" s="4" t="s">
        <v>653</v>
      </c>
      <c r="D347" s="4" t="s">
        <v>651</v>
      </c>
      <c r="E347" s="4" t="s">
        <v>363</v>
      </c>
      <c r="F347" s="4"/>
      <c r="G347" s="29">
        <f>G348+G350+G352+G354</f>
        <v>720909</v>
      </c>
      <c r="H347" s="29">
        <f>H348+H350+H352+H354</f>
        <v>0</v>
      </c>
    </row>
    <row r="348" spans="1:8" ht="31.5">
      <c r="A348" s="3" t="s">
        <v>719</v>
      </c>
      <c r="B348" s="4" t="s">
        <v>355</v>
      </c>
      <c r="C348" s="4" t="s">
        <v>653</v>
      </c>
      <c r="D348" s="4" t="s">
        <v>651</v>
      </c>
      <c r="E348" s="4" t="s">
        <v>365</v>
      </c>
      <c r="F348" s="4"/>
      <c r="G348" s="29">
        <f>G349</f>
        <v>720909</v>
      </c>
      <c r="H348" s="29"/>
    </row>
    <row r="349" spans="1:8" ht="47.25">
      <c r="A349" s="3" t="s">
        <v>702</v>
      </c>
      <c r="B349" s="4" t="s">
        <v>355</v>
      </c>
      <c r="C349" s="4" t="s">
        <v>653</v>
      </c>
      <c r="D349" s="4" t="s">
        <v>651</v>
      </c>
      <c r="E349" s="4" t="s">
        <v>365</v>
      </c>
      <c r="F349" s="4" t="s">
        <v>313</v>
      </c>
      <c r="G349" s="29">
        <f>1393520-592510-80101</f>
        <v>720909</v>
      </c>
      <c r="H349" s="29"/>
    </row>
    <row r="350" spans="1:8" ht="63" hidden="1">
      <c r="A350" s="3" t="s">
        <v>366</v>
      </c>
      <c r="B350" s="4" t="s">
        <v>355</v>
      </c>
      <c r="C350" s="4" t="s">
        <v>653</v>
      </c>
      <c r="D350" s="4" t="s">
        <v>651</v>
      </c>
      <c r="E350" s="4" t="s">
        <v>367</v>
      </c>
      <c r="F350" s="4"/>
      <c r="G350" s="29">
        <f>G351</f>
        <v>0</v>
      </c>
      <c r="H350" s="29"/>
    </row>
    <row r="351" spans="1:8" ht="31.5" hidden="1">
      <c r="A351" s="3" t="s">
        <v>560</v>
      </c>
      <c r="B351" s="4" t="s">
        <v>355</v>
      </c>
      <c r="C351" s="4" t="s">
        <v>653</v>
      </c>
      <c r="D351" s="4" t="s">
        <v>651</v>
      </c>
      <c r="E351" s="4" t="s">
        <v>367</v>
      </c>
      <c r="F351" s="4" t="s">
        <v>561</v>
      </c>
      <c r="G351" s="29"/>
      <c r="H351" s="29"/>
    </row>
    <row r="352" spans="1:8" ht="110.25" hidden="1">
      <c r="A352" s="3" t="s">
        <v>480</v>
      </c>
      <c r="B352" s="4" t="s">
        <v>355</v>
      </c>
      <c r="C352" s="4" t="s">
        <v>653</v>
      </c>
      <c r="D352" s="4" t="s">
        <v>651</v>
      </c>
      <c r="E352" s="4" t="s">
        <v>481</v>
      </c>
      <c r="F352" s="4"/>
      <c r="G352" s="29">
        <f>G353</f>
        <v>0</v>
      </c>
      <c r="H352" s="29">
        <f>H353</f>
        <v>0</v>
      </c>
    </row>
    <row r="353" spans="1:8" ht="31.5" hidden="1">
      <c r="A353" s="3" t="s">
        <v>560</v>
      </c>
      <c r="B353" s="4" t="s">
        <v>355</v>
      </c>
      <c r="C353" s="4" t="s">
        <v>653</v>
      </c>
      <c r="D353" s="4" t="s">
        <v>651</v>
      </c>
      <c r="E353" s="4" t="s">
        <v>481</v>
      </c>
      <c r="F353" s="4" t="s">
        <v>561</v>
      </c>
      <c r="G353" s="29"/>
      <c r="H353" s="29">
        <f>G353</f>
        <v>0</v>
      </c>
    </row>
    <row r="354" spans="1:8" ht="110.25" hidden="1">
      <c r="A354" s="3" t="s">
        <v>485</v>
      </c>
      <c r="B354" s="4" t="s">
        <v>355</v>
      </c>
      <c r="C354" s="4" t="s">
        <v>653</v>
      </c>
      <c r="D354" s="4" t="s">
        <v>651</v>
      </c>
      <c r="E354" s="4" t="s">
        <v>486</v>
      </c>
      <c r="F354" s="4"/>
      <c r="G354" s="29">
        <f>G355</f>
        <v>0</v>
      </c>
      <c r="H354" s="29">
        <f>H355</f>
        <v>0</v>
      </c>
    </row>
    <row r="355" spans="1:8" ht="47.25" hidden="1">
      <c r="A355" s="3" t="s">
        <v>702</v>
      </c>
      <c r="B355" s="4" t="s">
        <v>355</v>
      </c>
      <c r="C355" s="4" t="s">
        <v>653</v>
      </c>
      <c r="D355" s="4" t="s">
        <v>651</v>
      </c>
      <c r="E355" s="4" t="s">
        <v>486</v>
      </c>
      <c r="F355" s="4" t="s">
        <v>313</v>
      </c>
      <c r="G355" s="29"/>
      <c r="H355" s="29">
        <f>G355</f>
        <v>0</v>
      </c>
    </row>
    <row r="356" spans="1:8" ht="15.75">
      <c r="A356" s="1" t="s">
        <v>305</v>
      </c>
      <c r="B356" s="2" t="s">
        <v>355</v>
      </c>
      <c r="C356" s="2" t="s">
        <v>653</v>
      </c>
      <c r="D356" s="2" t="s">
        <v>656</v>
      </c>
      <c r="E356" s="2"/>
      <c r="F356" s="2"/>
      <c r="G356" s="33">
        <f>G357</f>
        <v>23746044.81</v>
      </c>
      <c r="H356" s="33"/>
    </row>
    <row r="357" spans="1:8" ht="78.75">
      <c r="A357" s="3" t="s">
        <v>549</v>
      </c>
      <c r="B357" s="4" t="s">
        <v>355</v>
      </c>
      <c r="C357" s="4" t="s">
        <v>653</v>
      </c>
      <c r="D357" s="4" t="s">
        <v>656</v>
      </c>
      <c r="E357" s="4" t="s">
        <v>328</v>
      </c>
      <c r="F357" s="4"/>
      <c r="G357" s="29">
        <f>G358+G363</f>
        <v>23746044.81</v>
      </c>
      <c r="H357" s="29"/>
    </row>
    <row r="358" spans="1:8" ht="63">
      <c r="A358" s="3" t="s">
        <v>202</v>
      </c>
      <c r="B358" s="4" t="s">
        <v>355</v>
      </c>
      <c r="C358" s="4" t="s">
        <v>653</v>
      </c>
      <c r="D358" s="4" t="s">
        <v>656</v>
      </c>
      <c r="E358" s="4" t="s">
        <v>203</v>
      </c>
      <c r="F358" s="4"/>
      <c r="G358" s="29">
        <f>G359+G361</f>
        <v>1171757.21</v>
      </c>
      <c r="H358" s="29"/>
    </row>
    <row r="359" spans="1:8" ht="47.25">
      <c r="A359" s="3" t="s">
        <v>514</v>
      </c>
      <c r="B359" s="4" t="s">
        <v>355</v>
      </c>
      <c r="C359" s="4" t="s">
        <v>653</v>
      </c>
      <c r="D359" s="4" t="s">
        <v>656</v>
      </c>
      <c r="E359" s="4" t="s">
        <v>515</v>
      </c>
      <c r="F359" s="4"/>
      <c r="G359" s="29">
        <f>G360</f>
        <v>1171757.21</v>
      </c>
      <c r="H359" s="29"/>
    </row>
    <row r="360" spans="1:13" ht="47.25">
      <c r="A360" s="3" t="s">
        <v>702</v>
      </c>
      <c r="B360" s="4" t="s">
        <v>355</v>
      </c>
      <c r="C360" s="4" t="s">
        <v>653</v>
      </c>
      <c r="D360" s="4" t="s">
        <v>656</v>
      </c>
      <c r="E360" s="4" t="s">
        <v>515</v>
      </c>
      <c r="F360" s="4" t="s">
        <v>313</v>
      </c>
      <c r="G360" s="29">
        <f>2302300-230230-119784.71+1184202.02-1964730.1</f>
        <v>1171757.21</v>
      </c>
      <c r="H360" s="29"/>
      <c r="J360" s="26"/>
      <c r="M360" s="208">
        <f>-1964730.1</f>
        <v>-1964730.1</v>
      </c>
    </row>
    <row r="361" spans="1:8" ht="31.5" hidden="1">
      <c r="A361" s="3" t="s">
        <v>719</v>
      </c>
      <c r="B361" s="4" t="s">
        <v>355</v>
      </c>
      <c r="C361" s="4" t="s">
        <v>653</v>
      </c>
      <c r="D361" s="4" t="s">
        <v>656</v>
      </c>
      <c r="E361" s="4" t="s">
        <v>231</v>
      </c>
      <c r="F361" s="4"/>
      <c r="G361" s="29">
        <f>G362</f>
        <v>0</v>
      </c>
      <c r="H361" s="29"/>
    </row>
    <row r="362" spans="1:10" ht="47.25" hidden="1">
      <c r="A362" s="3" t="s">
        <v>702</v>
      </c>
      <c r="B362" s="4" t="s">
        <v>355</v>
      </c>
      <c r="C362" s="4" t="s">
        <v>653</v>
      </c>
      <c r="D362" s="4" t="s">
        <v>656</v>
      </c>
      <c r="E362" s="4" t="s">
        <v>231</v>
      </c>
      <c r="F362" s="4" t="s">
        <v>313</v>
      </c>
      <c r="G362" s="29"/>
      <c r="H362" s="29"/>
      <c r="J362" s="26"/>
    </row>
    <row r="363" spans="1:14" ht="78.75">
      <c r="A363" s="3" t="s">
        <v>204</v>
      </c>
      <c r="B363" s="4" t="s">
        <v>355</v>
      </c>
      <c r="C363" s="4" t="s">
        <v>653</v>
      </c>
      <c r="D363" s="4" t="s">
        <v>656</v>
      </c>
      <c r="E363" s="4" t="s">
        <v>205</v>
      </c>
      <c r="F363" s="4"/>
      <c r="G363" s="29">
        <f>G364+G366</f>
        <v>22574287.599999998</v>
      </c>
      <c r="H363" s="29"/>
      <c r="M363" s="208">
        <f>22574287.6-22777276.77</f>
        <v>-202989.16999999806</v>
      </c>
      <c r="N363" s="26"/>
    </row>
    <row r="364" spans="1:8" ht="31.5">
      <c r="A364" s="3" t="s">
        <v>719</v>
      </c>
      <c r="B364" s="4" t="s">
        <v>355</v>
      </c>
      <c r="C364" s="4" t="s">
        <v>653</v>
      </c>
      <c r="D364" s="4" t="s">
        <v>656</v>
      </c>
      <c r="E364" s="4" t="s">
        <v>206</v>
      </c>
      <c r="F364" s="4"/>
      <c r="G364" s="29">
        <f>G365</f>
        <v>840463.6599999999</v>
      </c>
      <c r="H364" s="29"/>
    </row>
    <row r="365" spans="1:14" ht="47.25">
      <c r="A365" s="3" t="s">
        <v>702</v>
      </c>
      <c r="B365" s="4" t="s">
        <v>355</v>
      </c>
      <c r="C365" s="4" t="s">
        <v>653</v>
      </c>
      <c r="D365" s="4" t="s">
        <v>656</v>
      </c>
      <c r="E365" s="4" t="s">
        <v>206</v>
      </c>
      <c r="F365" s="4" t="s">
        <v>313</v>
      </c>
      <c r="G365" s="29">
        <f>2047940-17429.78-204794-985252.56</f>
        <v>840463.6599999999</v>
      </c>
      <c r="H365" s="29"/>
      <c r="M365" s="208">
        <f>840463.66-G365</f>
        <v>0</v>
      </c>
      <c r="N365" s="26"/>
    </row>
    <row r="366" spans="1:8" ht="43.5" customHeight="1">
      <c r="A366" s="3" t="s">
        <v>207</v>
      </c>
      <c r="B366" s="4" t="s">
        <v>355</v>
      </c>
      <c r="C366" s="4" t="s">
        <v>653</v>
      </c>
      <c r="D366" s="4" t="s">
        <v>656</v>
      </c>
      <c r="E366" s="4" t="s">
        <v>208</v>
      </c>
      <c r="F366" s="4"/>
      <c r="G366" s="29">
        <f>G367</f>
        <v>21733823.939999998</v>
      </c>
      <c r="H366" s="29"/>
    </row>
    <row r="367" spans="1:14" ht="46.5" customHeight="1">
      <c r="A367" s="3" t="s">
        <v>556</v>
      </c>
      <c r="B367" s="4" t="s">
        <v>355</v>
      </c>
      <c r="C367" s="4" t="s">
        <v>653</v>
      </c>
      <c r="D367" s="4" t="s">
        <v>656</v>
      </c>
      <c r="E367" s="4" t="s">
        <v>208</v>
      </c>
      <c r="F367" s="4" t="s">
        <v>316</v>
      </c>
      <c r="G367" s="29">
        <f>27255360-4417678-1141884.1-744237.35+782263.39</f>
        <v>21733823.939999998</v>
      </c>
      <c r="H367" s="29"/>
      <c r="M367" s="208">
        <f>21733823.94-20951560.55</f>
        <v>782263.3900000006</v>
      </c>
      <c r="N367" s="26"/>
    </row>
    <row r="368" spans="1:14" ht="24.75" customHeight="1">
      <c r="A368" s="1" t="s">
        <v>564</v>
      </c>
      <c r="B368" s="2" t="s">
        <v>355</v>
      </c>
      <c r="C368" s="2" t="s">
        <v>653</v>
      </c>
      <c r="D368" s="2" t="s">
        <v>658</v>
      </c>
      <c r="E368" s="2"/>
      <c r="F368" s="2"/>
      <c r="G368" s="33">
        <f>G369</f>
        <v>37585189.400000006</v>
      </c>
      <c r="H368" s="33">
        <f>H369</f>
        <v>0</v>
      </c>
      <c r="M368" s="208">
        <f>37434246.48-38256494.48</f>
        <v>-822248</v>
      </c>
      <c r="N368" s="26"/>
    </row>
    <row r="369" spans="1:8" ht="108" customHeight="1">
      <c r="A369" s="3" t="s">
        <v>549</v>
      </c>
      <c r="B369" s="4" t="s">
        <v>355</v>
      </c>
      <c r="C369" s="4" t="s">
        <v>653</v>
      </c>
      <c r="D369" s="4" t="s">
        <v>658</v>
      </c>
      <c r="E369" s="4" t="s">
        <v>328</v>
      </c>
      <c r="F369" s="4"/>
      <c r="G369" s="29">
        <f>G370</f>
        <v>37585189.400000006</v>
      </c>
      <c r="H369" s="29">
        <f>H370</f>
        <v>0</v>
      </c>
    </row>
    <row r="370" spans="1:8" ht="72" customHeight="1">
      <c r="A370" s="3" t="s">
        <v>211</v>
      </c>
      <c r="B370" s="4" t="s">
        <v>355</v>
      </c>
      <c r="C370" s="4" t="s">
        <v>653</v>
      </c>
      <c r="D370" s="4" t="s">
        <v>658</v>
      </c>
      <c r="E370" s="4" t="s">
        <v>212</v>
      </c>
      <c r="F370" s="4"/>
      <c r="G370" s="29">
        <f>G371+G373+G375+G377+G379+G381+G385+G387+G383</f>
        <v>37585189.400000006</v>
      </c>
      <c r="H370" s="29">
        <f>H371+H373+H375+H377+H379+H381+H385+H387+H383</f>
        <v>0</v>
      </c>
    </row>
    <row r="371" spans="1:8" ht="47.25">
      <c r="A371" s="3" t="s">
        <v>213</v>
      </c>
      <c r="B371" s="4" t="s">
        <v>355</v>
      </c>
      <c r="C371" s="4" t="s">
        <v>653</v>
      </c>
      <c r="D371" s="4" t="s">
        <v>658</v>
      </c>
      <c r="E371" s="4" t="s">
        <v>214</v>
      </c>
      <c r="F371" s="4"/>
      <c r="G371" s="29">
        <f>G372</f>
        <v>20204816.5</v>
      </c>
      <c r="H371" s="29"/>
    </row>
    <row r="372" spans="1:13" ht="47.25">
      <c r="A372" s="3" t="s">
        <v>702</v>
      </c>
      <c r="B372" s="4" t="s">
        <v>355</v>
      </c>
      <c r="C372" s="4" t="s">
        <v>653</v>
      </c>
      <c r="D372" s="4" t="s">
        <v>658</v>
      </c>
      <c r="E372" s="4" t="s">
        <v>214</v>
      </c>
      <c r="F372" s="4" t="s">
        <v>313</v>
      </c>
      <c r="G372" s="29">
        <f>6864000+13406840-66023.5</f>
        <v>20204816.5</v>
      </c>
      <c r="H372" s="33"/>
      <c r="J372" s="26"/>
      <c r="M372" s="208">
        <f>-49820.5</f>
        <v>-49820.5</v>
      </c>
    </row>
    <row r="373" spans="1:8" ht="63">
      <c r="A373" s="3" t="s">
        <v>217</v>
      </c>
      <c r="B373" s="4" t="s">
        <v>355</v>
      </c>
      <c r="C373" s="4" t="s">
        <v>653</v>
      </c>
      <c r="D373" s="4" t="s">
        <v>658</v>
      </c>
      <c r="E373" s="4" t="s">
        <v>218</v>
      </c>
      <c r="F373" s="4"/>
      <c r="G373" s="29">
        <f>G374</f>
        <v>13207055.48</v>
      </c>
      <c r="H373" s="29"/>
    </row>
    <row r="374" spans="1:14" ht="47.25">
      <c r="A374" s="3" t="s">
        <v>702</v>
      </c>
      <c r="B374" s="4" t="s">
        <v>355</v>
      </c>
      <c r="C374" s="4" t="s">
        <v>653</v>
      </c>
      <c r="D374" s="4" t="s">
        <v>658</v>
      </c>
      <c r="E374" s="4" t="s">
        <v>218</v>
      </c>
      <c r="F374" s="4" t="s">
        <v>313</v>
      </c>
      <c r="G374" s="29">
        <f>15824820-600000-37500-1216220-366262+374644.98-822248+49820.5</f>
        <v>13207055.48</v>
      </c>
      <c r="H374" s="29"/>
      <c r="M374" s="208">
        <f>13157234.98-13979482.98+49820.5</f>
        <v>-772427.5</v>
      </c>
      <c r="N374" s="26"/>
    </row>
    <row r="375" spans="1:8" ht="47.25">
      <c r="A375" s="3" t="s">
        <v>219</v>
      </c>
      <c r="B375" s="4" t="s">
        <v>355</v>
      </c>
      <c r="C375" s="4" t="s">
        <v>653</v>
      </c>
      <c r="D375" s="4" t="s">
        <v>658</v>
      </c>
      <c r="E375" s="4" t="s">
        <v>220</v>
      </c>
      <c r="F375" s="4"/>
      <c r="G375" s="29">
        <f>G376</f>
        <v>680500</v>
      </c>
      <c r="H375" s="29"/>
    </row>
    <row r="376" spans="1:8" ht="47.25">
      <c r="A376" s="3" t="s">
        <v>702</v>
      </c>
      <c r="B376" s="4" t="s">
        <v>355</v>
      </c>
      <c r="C376" s="4" t="s">
        <v>653</v>
      </c>
      <c r="D376" s="4" t="s">
        <v>658</v>
      </c>
      <c r="E376" s="4" t="s">
        <v>220</v>
      </c>
      <c r="F376" s="4" t="s">
        <v>313</v>
      </c>
      <c r="G376" s="29">
        <f>643000+37500</f>
        <v>680500</v>
      </c>
      <c r="H376" s="29"/>
    </row>
    <row r="377" spans="1:8" ht="47.25" hidden="1">
      <c r="A377" s="3" t="s">
        <v>512</v>
      </c>
      <c r="B377" s="4" t="s">
        <v>355</v>
      </c>
      <c r="C377" s="4" t="s">
        <v>653</v>
      </c>
      <c r="D377" s="4" t="s">
        <v>658</v>
      </c>
      <c r="E377" s="4" t="s">
        <v>221</v>
      </c>
      <c r="F377" s="4"/>
      <c r="G377" s="29">
        <f>G378</f>
        <v>0</v>
      </c>
      <c r="H377" s="29"/>
    </row>
    <row r="378" spans="1:8" ht="47.25" hidden="1">
      <c r="A378" s="3" t="s">
        <v>702</v>
      </c>
      <c r="B378" s="4" t="s">
        <v>355</v>
      </c>
      <c r="C378" s="4" t="s">
        <v>653</v>
      </c>
      <c r="D378" s="4" t="s">
        <v>658</v>
      </c>
      <c r="E378" s="4" t="s">
        <v>221</v>
      </c>
      <c r="F378" s="4" t="s">
        <v>313</v>
      </c>
      <c r="G378" s="29">
        <f>5000000-5000000</f>
        <v>0</v>
      </c>
      <c r="H378" s="29"/>
    </row>
    <row r="379" spans="1:8" ht="47.25" hidden="1">
      <c r="A379" s="3" t="s">
        <v>514</v>
      </c>
      <c r="B379" s="4" t="s">
        <v>355</v>
      </c>
      <c r="C379" s="4" t="s">
        <v>653</v>
      </c>
      <c r="D379" s="4" t="s">
        <v>658</v>
      </c>
      <c r="E379" s="4" t="s">
        <v>222</v>
      </c>
      <c r="F379" s="4"/>
      <c r="G379" s="29">
        <f>G380</f>
        <v>0</v>
      </c>
      <c r="H379" s="29"/>
    </row>
    <row r="380" spans="1:8" ht="47.25" hidden="1">
      <c r="A380" s="3" t="s">
        <v>702</v>
      </c>
      <c r="B380" s="4" t="s">
        <v>355</v>
      </c>
      <c r="C380" s="4" t="s">
        <v>653</v>
      </c>
      <c r="D380" s="4" t="s">
        <v>658</v>
      </c>
      <c r="E380" s="4" t="s">
        <v>222</v>
      </c>
      <c r="F380" s="4" t="s">
        <v>313</v>
      </c>
      <c r="G380" s="29"/>
      <c r="H380" s="29"/>
    </row>
    <row r="381" spans="1:8" ht="31.5">
      <c r="A381" s="3" t="s">
        <v>719</v>
      </c>
      <c r="B381" s="4" t="s">
        <v>355</v>
      </c>
      <c r="C381" s="4" t="s">
        <v>653</v>
      </c>
      <c r="D381" s="4" t="s">
        <v>658</v>
      </c>
      <c r="E381" s="4" t="s">
        <v>223</v>
      </c>
      <c r="F381" s="4"/>
      <c r="G381" s="29">
        <f>G382</f>
        <v>3492817.42</v>
      </c>
      <c r="H381" s="29"/>
    </row>
    <row r="382" spans="1:13" ht="47.25">
      <c r="A382" s="3" t="s">
        <v>702</v>
      </c>
      <c r="B382" s="4" t="s">
        <v>355</v>
      </c>
      <c r="C382" s="4" t="s">
        <v>653</v>
      </c>
      <c r="D382" s="4" t="s">
        <v>658</v>
      </c>
      <c r="E382" s="4" t="s">
        <v>223</v>
      </c>
      <c r="F382" s="4" t="s">
        <v>313</v>
      </c>
      <c r="G382" s="29">
        <f>100000+3468550+200000-10000-366855+101122.42</f>
        <v>3492817.42</v>
      </c>
      <c r="H382" s="29"/>
      <c r="J382" s="26"/>
      <c r="M382" s="208">
        <f>101122.42</f>
        <v>101122.42</v>
      </c>
    </row>
    <row r="383" spans="1:10" ht="126" hidden="1">
      <c r="A383" s="3" t="s">
        <v>533</v>
      </c>
      <c r="B383" s="4" t="s">
        <v>355</v>
      </c>
      <c r="C383" s="4" t="s">
        <v>653</v>
      </c>
      <c r="D383" s="4" t="s">
        <v>658</v>
      </c>
      <c r="E383" s="4" t="s">
        <v>532</v>
      </c>
      <c r="F383" s="4"/>
      <c r="G383" s="29">
        <f>G384</f>
        <v>0</v>
      </c>
      <c r="H383" s="29">
        <f>H384</f>
        <v>0</v>
      </c>
      <c r="J383" s="26"/>
    </row>
    <row r="384" spans="1:10" ht="47.25" hidden="1">
      <c r="A384" s="3" t="s">
        <v>702</v>
      </c>
      <c r="B384" s="4" t="s">
        <v>355</v>
      </c>
      <c r="C384" s="4" t="s">
        <v>653</v>
      </c>
      <c r="D384" s="4" t="s">
        <v>658</v>
      </c>
      <c r="E384" s="4" t="s">
        <v>532</v>
      </c>
      <c r="F384" s="4" t="s">
        <v>313</v>
      </c>
      <c r="G384" s="29"/>
      <c r="H384" s="29">
        <f>G384</f>
        <v>0</v>
      </c>
      <c r="J384" s="26"/>
    </row>
    <row r="385" spans="1:8" ht="110.25" hidden="1">
      <c r="A385" s="3" t="s">
        <v>224</v>
      </c>
      <c r="B385" s="4" t="s">
        <v>355</v>
      </c>
      <c r="C385" s="4" t="s">
        <v>653</v>
      </c>
      <c r="D385" s="4" t="s">
        <v>658</v>
      </c>
      <c r="E385" s="4" t="s">
        <v>225</v>
      </c>
      <c r="F385" s="4"/>
      <c r="G385" s="29">
        <f>G386</f>
        <v>0</v>
      </c>
      <c r="H385" s="29"/>
    </row>
    <row r="386" spans="1:8" ht="15.75" hidden="1">
      <c r="A386" s="3" t="s">
        <v>556</v>
      </c>
      <c r="B386" s="4" t="s">
        <v>355</v>
      </c>
      <c r="C386" s="4" t="s">
        <v>653</v>
      </c>
      <c r="D386" s="4" t="s">
        <v>658</v>
      </c>
      <c r="E386" s="4" t="s">
        <v>225</v>
      </c>
      <c r="F386" s="4" t="s">
        <v>316</v>
      </c>
      <c r="G386" s="29"/>
      <c r="H386" s="29"/>
    </row>
    <row r="387" spans="1:8" ht="110.25" hidden="1">
      <c r="A387" s="3" t="s">
        <v>226</v>
      </c>
      <c r="B387" s="4" t="s">
        <v>355</v>
      </c>
      <c r="C387" s="4" t="s">
        <v>653</v>
      </c>
      <c r="D387" s="4" t="s">
        <v>658</v>
      </c>
      <c r="E387" s="4" t="s">
        <v>227</v>
      </c>
      <c r="F387" s="4"/>
      <c r="G387" s="29">
        <f>G388</f>
        <v>0</v>
      </c>
      <c r="H387" s="29"/>
    </row>
    <row r="388" spans="1:8" ht="15.75" hidden="1">
      <c r="A388" s="3" t="s">
        <v>556</v>
      </c>
      <c r="B388" s="4" t="s">
        <v>355</v>
      </c>
      <c r="C388" s="4" t="s">
        <v>653</v>
      </c>
      <c r="D388" s="4" t="s">
        <v>658</v>
      </c>
      <c r="E388" s="4" t="s">
        <v>227</v>
      </c>
      <c r="F388" s="4" t="s">
        <v>316</v>
      </c>
      <c r="G388" s="29"/>
      <c r="H388" s="29"/>
    </row>
    <row r="389" spans="1:14" ht="47.25">
      <c r="A389" s="1" t="s">
        <v>678</v>
      </c>
      <c r="B389" s="2" t="s">
        <v>355</v>
      </c>
      <c r="C389" s="2" t="s">
        <v>653</v>
      </c>
      <c r="D389" s="2" t="s">
        <v>653</v>
      </c>
      <c r="E389" s="4"/>
      <c r="F389" s="4"/>
      <c r="G389" s="33">
        <f>G401+G390</f>
        <v>21019555</v>
      </c>
      <c r="H389" s="33">
        <f>H401</f>
        <v>0</v>
      </c>
      <c r="M389" s="208" t="s">
        <v>874</v>
      </c>
      <c r="N389" s="26"/>
    </row>
    <row r="390" spans="1:8" ht="116.25" customHeight="1">
      <c r="A390" s="3" t="s">
        <v>549</v>
      </c>
      <c r="B390" s="4" t="s">
        <v>355</v>
      </c>
      <c r="C390" s="4" t="s">
        <v>653</v>
      </c>
      <c r="D390" s="4" t="s">
        <v>653</v>
      </c>
      <c r="E390" s="4" t="s">
        <v>328</v>
      </c>
      <c r="F390" s="4"/>
      <c r="G390" s="29">
        <f>G391+G394</f>
        <v>21019555</v>
      </c>
      <c r="H390" s="29"/>
    </row>
    <row r="391" spans="1:8" ht="78.75">
      <c r="A391" s="3" t="s">
        <v>204</v>
      </c>
      <c r="B391" s="4" t="s">
        <v>355</v>
      </c>
      <c r="C391" s="4" t="s">
        <v>653</v>
      </c>
      <c r="D391" s="4" t="s">
        <v>653</v>
      </c>
      <c r="E391" s="4" t="s">
        <v>205</v>
      </c>
      <c r="F391" s="4"/>
      <c r="G391" s="29">
        <f>G392</f>
        <v>5574039.5</v>
      </c>
      <c r="H391" s="29"/>
    </row>
    <row r="392" spans="1:8" ht="94.5">
      <c r="A392" s="3" t="s">
        <v>209</v>
      </c>
      <c r="B392" s="4" t="s">
        <v>355</v>
      </c>
      <c r="C392" s="4" t="s">
        <v>653</v>
      </c>
      <c r="D392" s="4" t="s">
        <v>653</v>
      </c>
      <c r="E392" s="4" t="s">
        <v>210</v>
      </c>
      <c r="F392" s="4"/>
      <c r="G392" s="29">
        <f>G393</f>
        <v>5574039.5</v>
      </c>
      <c r="H392" s="29"/>
    </row>
    <row r="393" spans="1:8" ht="63">
      <c r="A393" s="3" t="s">
        <v>723</v>
      </c>
      <c r="B393" s="4" t="s">
        <v>355</v>
      </c>
      <c r="C393" s="4" t="s">
        <v>653</v>
      </c>
      <c r="D393" s="4" t="s">
        <v>653</v>
      </c>
      <c r="E393" s="4" t="s">
        <v>210</v>
      </c>
      <c r="F393" s="4" t="s">
        <v>317</v>
      </c>
      <c r="G393" s="29">
        <f>6519410-652000-293370.5</f>
        <v>5574039.5</v>
      </c>
      <c r="H393" s="29"/>
    </row>
    <row r="394" spans="1:8" ht="63">
      <c r="A394" s="3" t="s">
        <v>228</v>
      </c>
      <c r="B394" s="4" t="s">
        <v>355</v>
      </c>
      <c r="C394" s="4" t="s">
        <v>653</v>
      </c>
      <c r="D394" s="4" t="s">
        <v>653</v>
      </c>
      <c r="E394" s="4" t="s">
        <v>229</v>
      </c>
      <c r="F394" s="4"/>
      <c r="G394" s="29">
        <f>G395+G399</f>
        <v>15445515.5</v>
      </c>
      <c r="H394" s="29"/>
    </row>
    <row r="395" spans="1:8" ht="94.5">
      <c r="A395" s="3" t="s">
        <v>493</v>
      </c>
      <c r="B395" s="4" t="s">
        <v>355</v>
      </c>
      <c r="C395" s="4" t="s">
        <v>653</v>
      </c>
      <c r="D395" s="4" t="s">
        <v>653</v>
      </c>
      <c r="E395" s="4" t="s">
        <v>230</v>
      </c>
      <c r="F395" s="4"/>
      <c r="G395" s="29">
        <f>G396+G397+G398</f>
        <v>15303015.5</v>
      </c>
      <c r="H395" s="29"/>
    </row>
    <row r="396" spans="1:13" ht="110.25">
      <c r="A396" s="3" t="s">
        <v>701</v>
      </c>
      <c r="B396" s="4" t="s">
        <v>355</v>
      </c>
      <c r="C396" s="4" t="s">
        <v>653</v>
      </c>
      <c r="D396" s="4" t="s">
        <v>653</v>
      </c>
      <c r="E396" s="4" t="s">
        <v>230</v>
      </c>
      <c r="F396" s="4" t="s">
        <v>312</v>
      </c>
      <c r="G396" s="29">
        <f>11222500+3069000+5000-561125-153450-250-13976.39</f>
        <v>13567698.61</v>
      </c>
      <c r="H396" s="29"/>
      <c r="M396" s="208">
        <v>-13976.39</v>
      </c>
    </row>
    <row r="397" spans="1:13" ht="47.25">
      <c r="A397" s="3" t="s">
        <v>702</v>
      </c>
      <c r="B397" s="4" t="s">
        <v>355</v>
      </c>
      <c r="C397" s="4" t="s">
        <v>653</v>
      </c>
      <c r="D397" s="4" t="s">
        <v>653</v>
      </c>
      <c r="E397" s="4" t="s">
        <v>230</v>
      </c>
      <c r="F397" s="4" t="s">
        <v>313</v>
      </c>
      <c r="G397" s="29">
        <f>787990-1052.5-6015-240-30000-2092-11300</f>
        <v>737290.5</v>
      </c>
      <c r="H397" s="29"/>
      <c r="J397" s="26"/>
      <c r="M397" s="208">
        <f>-11300</f>
        <v>-11300</v>
      </c>
    </row>
    <row r="398" spans="1:13" ht="47.25" customHeight="1">
      <c r="A398" s="3" t="s">
        <v>556</v>
      </c>
      <c r="B398" s="4" t="s">
        <v>355</v>
      </c>
      <c r="C398" s="4" t="s">
        <v>653</v>
      </c>
      <c r="D398" s="4" t="s">
        <v>653</v>
      </c>
      <c r="E398" s="4" t="s">
        <v>230</v>
      </c>
      <c r="F398" s="4" t="s">
        <v>316</v>
      </c>
      <c r="G398" s="29">
        <f>75000+900000-2250+25276.39</f>
        <v>998026.39</v>
      </c>
      <c r="H398" s="29"/>
      <c r="M398" s="208">
        <v>25276.39</v>
      </c>
    </row>
    <row r="399" spans="1:8" ht="94.5">
      <c r="A399" s="3" t="s">
        <v>235</v>
      </c>
      <c r="B399" s="4" t="s">
        <v>355</v>
      </c>
      <c r="C399" s="4" t="s">
        <v>653</v>
      </c>
      <c r="D399" s="4" t="s">
        <v>653</v>
      </c>
      <c r="E399" s="4" t="s">
        <v>260</v>
      </c>
      <c r="F399" s="4"/>
      <c r="G399" s="29">
        <f>G400</f>
        <v>142500</v>
      </c>
      <c r="H399" s="29"/>
    </row>
    <row r="400" spans="1:8" ht="110.25">
      <c r="A400" s="3" t="s">
        <v>245</v>
      </c>
      <c r="B400" s="4" t="s">
        <v>355</v>
      </c>
      <c r="C400" s="4" t="s">
        <v>653</v>
      </c>
      <c r="D400" s="4" t="s">
        <v>653</v>
      </c>
      <c r="E400" s="4" t="s">
        <v>260</v>
      </c>
      <c r="F400" s="4" t="s">
        <v>312</v>
      </c>
      <c r="G400" s="29">
        <f>150000-7500</f>
        <v>142500</v>
      </c>
      <c r="H400" s="29"/>
    </row>
    <row r="401" spans="1:8" ht="88.5" customHeight="1" hidden="1">
      <c r="A401" s="27" t="s">
        <v>541</v>
      </c>
      <c r="B401" s="4" t="s">
        <v>355</v>
      </c>
      <c r="C401" s="4" t="s">
        <v>653</v>
      </c>
      <c r="D401" s="4" t="s">
        <v>653</v>
      </c>
      <c r="E401" s="4" t="s">
        <v>708</v>
      </c>
      <c r="F401" s="4"/>
      <c r="G401" s="29">
        <f aca="true" t="shared" si="2" ref="G401:H403">G402</f>
        <v>0</v>
      </c>
      <c r="H401" s="29">
        <f t="shared" si="2"/>
        <v>0</v>
      </c>
    </row>
    <row r="402" spans="1:8" ht="78.75" hidden="1">
      <c r="A402" s="3" t="s">
        <v>338</v>
      </c>
      <c r="B402" s="4" t="s">
        <v>355</v>
      </c>
      <c r="C402" s="4" t="s">
        <v>653</v>
      </c>
      <c r="D402" s="4" t="s">
        <v>653</v>
      </c>
      <c r="E402" s="4" t="s">
        <v>339</v>
      </c>
      <c r="F402" s="4"/>
      <c r="G402" s="29">
        <f t="shared" si="2"/>
        <v>0</v>
      </c>
      <c r="H402" s="29">
        <f t="shared" si="2"/>
        <v>0</v>
      </c>
    </row>
    <row r="403" spans="1:8" ht="84" customHeight="1" hidden="1">
      <c r="A403" s="3" t="s">
        <v>795</v>
      </c>
      <c r="B403" s="4" t="s">
        <v>355</v>
      </c>
      <c r="C403" s="4" t="s">
        <v>653</v>
      </c>
      <c r="D403" s="4" t="s">
        <v>653</v>
      </c>
      <c r="E403" s="4" t="s">
        <v>340</v>
      </c>
      <c r="F403" s="4"/>
      <c r="G403" s="29">
        <f t="shared" si="2"/>
        <v>0</v>
      </c>
      <c r="H403" s="29">
        <f t="shared" si="2"/>
        <v>0</v>
      </c>
    </row>
    <row r="404" spans="1:8" ht="47.25" hidden="1">
      <c r="A404" s="3" t="s">
        <v>189</v>
      </c>
      <c r="B404" s="4" t="s">
        <v>355</v>
      </c>
      <c r="C404" s="4" t="s">
        <v>653</v>
      </c>
      <c r="D404" s="4" t="s">
        <v>653</v>
      </c>
      <c r="E404" s="4" t="s">
        <v>340</v>
      </c>
      <c r="F404" s="4" t="s">
        <v>693</v>
      </c>
      <c r="G404" s="29">
        <v>0</v>
      </c>
      <c r="H404" s="29">
        <f>G404</f>
        <v>0</v>
      </c>
    </row>
    <row r="405" spans="1:8" ht="15.75">
      <c r="A405" s="13" t="s">
        <v>319</v>
      </c>
      <c r="B405" s="5" t="s">
        <v>355</v>
      </c>
      <c r="C405" s="5" t="s">
        <v>652</v>
      </c>
      <c r="D405" s="5"/>
      <c r="E405" s="5"/>
      <c r="F405" s="5"/>
      <c r="G405" s="28">
        <f>G410+G406</f>
        <v>17200000</v>
      </c>
      <c r="H405" s="28">
        <f>H406</f>
        <v>0</v>
      </c>
    </row>
    <row r="406" spans="1:8" ht="62.25" customHeight="1" hidden="1">
      <c r="A406" s="1" t="s">
        <v>482</v>
      </c>
      <c r="B406" s="2" t="s">
        <v>355</v>
      </c>
      <c r="C406" s="2" t="s">
        <v>652</v>
      </c>
      <c r="D406" s="2" t="s">
        <v>658</v>
      </c>
      <c r="E406" s="2"/>
      <c r="F406" s="2"/>
      <c r="G406" s="33">
        <f>G407</f>
        <v>0</v>
      </c>
      <c r="H406" s="33">
        <f>H407</f>
        <v>0</v>
      </c>
    </row>
    <row r="407" spans="1:8" ht="63" hidden="1">
      <c r="A407" s="3" t="s">
        <v>551</v>
      </c>
      <c r="B407" s="4" t="s">
        <v>355</v>
      </c>
      <c r="C407" s="4" t="s">
        <v>652</v>
      </c>
      <c r="D407" s="4" t="s">
        <v>658</v>
      </c>
      <c r="E407" s="4" t="s">
        <v>298</v>
      </c>
      <c r="F407" s="2"/>
      <c r="G407" s="29">
        <f>G408</f>
        <v>0</v>
      </c>
      <c r="H407" s="29">
        <f>H408</f>
        <v>0</v>
      </c>
    </row>
    <row r="408" spans="1:8" ht="162.75" customHeight="1" hidden="1">
      <c r="A408" s="3" t="s">
        <v>483</v>
      </c>
      <c r="B408" s="4" t="s">
        <v>355</v>
      </c>
      <c r="C408" s="4" t="s">
        <v>652</v>
      </c>
      <c r="D408" s="4" t="s">
        <v>658</v>
      </c>
      <c r="E408" s="4" t="s">
        <v>484</v>
      </c>
      <c r="F408" s="4"/>
      <c r="G408" s="29">
        <f>G409</f>
        <v>0</v>
      </c>
      <c r="H408" s="29">
        <f>H409</f>
        <v>0</v>
      </c>
    </row>
    <row r="409" spans="1:8" ht="47.25" hidden="1">
      <c r="A409" s="3" t="s">
        <v>702</v>
      </c>
      <c r="B409" s="4" t="s">
        <v>355</v>
      </c>
      <c r="C409" s="4" t="s">
        <v>652</v>
      </c>
      <c r="D409" s="4" t="s">
        <v>658</v>
      </c>
      <c r="E409" s="4" t="s">
        <v>484</v>
      </c>
      <c r="F409" s="4" t="s">
        <v>313</v>
      </c>
      <c r="G409" s="29"/>
      <c r="H409" s="29">
        <f>G409</f>
        <v>0</v>
      </c>
    </row>
    <row r="410" spans="1:8" ht="31.5">
      <c r="A410" s="1" t="s">
        <v>320</v>
      </c>
      <c r="B410" s="2" t="s">
        <v>355</v>
      </c>
      <c r="C410" s="2" t="s">
        <v>652</v>
      </c>
      <c r="D410" s="2" t="s">
        <v>653</v>
      </c>
      <c r="E410" s="2"/>
      <c r="F410" s="2"/>
      <c r="G410" s="33">
        <f>G411</f>
        <v>17200000</v>
      </c>
      <c r="H410" s="33"/>
    </row>
    <row r="411" spans="1:8" ht="47.25">
      <c r="A411" s="3" t="s">
        <v>551</v>
      </c>
      <c r="B411" s="4" t="s">
        <v>355</v>
      </c>
      <c r="C411" s="4" t="s">
        <v>652</v>
      </c>
      <c r="D411" s="4" t="s">
        <v>653</v>
      </c>
      <c r="E411" s="4" t="s">
        <v>298</v>
      </c>
      <c r="F411" s="4"/>
      <c r="G411" s="29">
        <f>G412</f>
        <v>17200000</v>
      </c>
      <c r="H411" s="29"/>
    </row>
    <row r="412" spans="1:8" ht="63">
      <c r="A412" s="213" t="s">
        <v>506</v>
      </c>
      <c r="B412" s="4" t="s">
        <v>355</v>
      </c>
      <c r="C412" s="4" t="s">
        <v>652</v>
      </c>
      <c r="D412" s="4" t="s">
        <v>653</v>
      </c>
      <c r="E412" s="214" t="s">
        <v>880</v>
      </c>
      <c r="F412" s="4"/>
      <c r="G412" s="29">
        <f>G413</f>
        <v>17200000</v>
      </c>
      <c r="H412" s="29"/>
    </row>
    <row r="413" spans="1:8" ht="63.75" customHeight="1">
      <c r="A413" s="3" t="s">
        <v>189</v>
      </c>
      <c r="B413" s="4" t="s">
        <v>355</v>
      </c>
      <c r="C413" s="4" t="s">
        <v>652</v>
      </c>
      <c r="D413" s="4" t="s">
        <v>653</v>
      </c>
      <c r="E413" s="214" t="s">
        <v>880</v>
      </c>
      <c r="F413" s="4" t="s">
        <v>693</v>
      </c>
      <c r="G413" s="29">
        <f>20000000-2800000-17200000+17200000</f>
        <v>17200000</v>
      </c>
      <c r="H413" s="29"/>
    </row>
    <row r="414" spans="1:11" ht="15.75">
      <c r="A414" s="13" t="s">
        <v>662</v>
      </c>
      <c r="B414" s="5" t="s">
        <v>355</v>
      </c>
      <c r="C414" s="5" t="s">
        <v>654</v>
      </c>
      <c r="D414" s="5"/>
      <c r="E414" s="5"/>
      <c r="F414" s="5"/>
      <c r="G414" s="28">
        <f>G415+G422</f>
        <v>236411773</v>
      </c>
      <c r="H414" s="28">
        <f>H415+H422</f>
        <v>48714400</v>
      </c>
      <c r="J414" s="26"/>
      <c r="K414" s="26"/>
    </row>
    <row r="415" spans="1:8" ht="15.75">
      <c r="A415" s="1" t="s">
        <v>663</v>
      </c>
      <c r="B415" s="2" t="s">
        <v>355</v>
      </c>
      <c r="C415" s="2" t="s">
        <v>654</v>
      </c>
      <c r="D415" s="2" t="s">
        <v>651</v>
      </c>
      <c r="E415" s="2"/>
      <c r="F415" s="4"/>
      <c r="G415" s="33">
        <f>G416</f>
        <v>151189893</v>
      </c>
      <c r="H415" s="33">
        <f>H416</f>
        <v>48714400</v>
      </c>
    </row>
    <row r="416" spans="1:8" ht="47.25">
      <c r="A416" s="3" t="s">
        <v>539</v>
      </c>
      <c r="B416" s="4" t="s">
        <v>355</v>
      </c>
      <c r="C416" s="4" t="s">
        <v>654</v>
      </c>
      <c r="D416" s="4" t="s">
        <v>651</v>
      </c>
      <c r="E416" s="4" t="s">
        <v>724</v>
      </c>
      <c r="F416" s="4"/>
      <c r="G416" s="29">
        <f>G417</f>
        <v>151189893</v>
      </c>
      <c r="H416" s="29">
        <f>H417</f>
        <v>48714400</v>
      </c>
    </row>
    <row r="417" spans="1:8" ht="63">
      <c r="A417" s="3" t="s">
        <v>347</v>
      </c>
      <c r="B417" s="4" t="s">
        <v>355</v>
      </c>
      <c r="C417" s="4" t="s">
        <v>654</v>
      </c>
      <c r="D417" s="4" t="s">
        <v>651</v>
      </c>
      <c r="E417" s="4" t="s">
        <v>348</v>
      </c>
      <c r="F417" s="4"/>
      <c r="G417" s="29">
        <f>G420+G418</f>
        <v>151189893</v>
      </c>
      <c r="H417" s="29">
        <f>H420</f>
        <v>48714400</v>
      </c>
    </row>
    <row r="418" spans="1:8" ht="63">
      <c r="A418" s="3" t="s">
        <v>506</v>
      </c>
      <c r="B418" s="4" t="s">
        <v>355</v>
      </c>
      <c r="C418" s="4" t="s">
        <v>654</v>
      </c>
      <c r="D418" s="4" t="s">
        <v>651</v>
      </c>
      <c r="E418" s="4" t="s">
        <v>507</v>
      </c>
      <c r="F418" s="4"/>
      <c r="G418" s="29">
        <f>G419</f>
        <v>102475493.00000001</v>
      </c>
      <c r="H418" s="29"/>
    </row>
    <row r="419" spans="1:8" ht="47.25">
      <c r="A419" s="3" t="s">
        <v>189</v>
      </c>
      <c r="B419" s="4" t="s">
        <v>355</v>
      </c>
      <c r="C419" s="4" t="s">
        <v>654</v>
      </c>
      <c r="D419" s="4" t="s">
        <v>651</v>
      </c>
      <c r="E419" s="4" t="s">
        <v>507</v>
      </c>
      <c r="F419" s="4" t="s">
        <v>693</v>
      </c>
      <c r="G419" s="29">
        <f>111684490+4061000+52430000-25975546.76-22524450.24-17200000</f>
        <v>102475493.00000001</v>
      </c>
      <c r="H419" s="29"/>
    </row>
    <row r="420" spans="1:8" ht="31.5" customHeight="1">
      <c r="A420" s="3" t="s">
        <v>284</v>
      </c>
      <c r="B420" s="4" t="s">
        <v>355</v>
      </c>
      <c r="C420" s="4" t="s">
        <v>654</v>
      </c>
      <c r="D420" s="4" t="s">
        <v>651</v>
      </c>
      <c r="E420" s="4" t="s">
        <v>285</v>
      </c>
      <c r="F420" s="4"/>
      <c r="G420" s="29">
        <f>G421</f>
        <v>48714400</v>
      </c>
      <c r="H420" s="29">
        <f>H421</f>
        <v>48714400</v>
      </c>
    </row>
    <row r="421" spans="1:8" ht="47.25">
      <c r="A421" s="3" t="s">
        <v>189</v>
      </c>
      <c r="B421" s="4" t="s">
        <v>355</v>
      </c>
      <c r="C421" s="4" t="s">
        <v>654</v>
      </c>
      <c r="D421" s="4" t="s">
        <v>651</v>
      </c>
      <c r="E421" s="4" t="s">
        <v>285</v>
      </c>
      <c r="F421" s="4" t="s">
        <v>693</v>
      </c>
      <c r="G421" s="29">
        <v>48714400</v>
      </c>
      <c r="H421" s="29">
        <f>G421</f>
        <v>48714400</v>
      </c>
    </row>
    <row r="422" spans="1:8" ht="15.75">
      <c r="A422" s="13" t="s">
        <v>664</v>
      </c>
      <c r="B422" s="5" t="s">
        <v>355</v>
      </c>
      <c r="C422" s="5" t="s">
        <v>654</v>
      </c>
      <c r="D422" s="5" t="s">
        <v>656</v>
      </c>
      <c r="E422" s="23"/>
      <c r="F422" s="23"/>
      <c r="G422" s="28">
        <f>G423</f>
        <v>85221880</v>
      </c>
      <c r="H422" s="28">
        <f>H423</f>
        <v>0</v>
      </c>
    </row>
    <row r="423" spans="1:8" ht="47.25">
      <c r="A423" s="3" t="s">
        <v>539</v>
      </c>
      <c r="B423" s="4" t="s">
        <v>355</v>
      </c>
      <c r="C423" s="4" t="s">
        <v>654</v>
      </c>
      <c r="D423" s="4" t="s">
        <v>656</v>
      </c>
      <c r="E423" s="4" t="s">
        <v>724</v>
      </c>
      <c r="F423" s="4"/>
      <c r="G423" s="29">
        <f>G424</f>
        <v>85221880</v>
      </c>
      <c r="H423" s="29">
        <f>H424</f>
        <v>0</v>
      </c>
    </row>
    <row r="424" spans="1:8" ht="63">
      <c r="A424" s="3" t="s">
        <v>347</v>
      </c>
      <c r="B424" s="4" t="s">
        <v>355</v>
      </c>
      <c r="C424" s="4" t="s">
        <v>654</v>
      </c>
      <c r="D424" s="4" t="s">
        <v>656</v>
      </c>
      <c r="E424" s="4" t="s">
        <v>348</v>
      </c>
      <c r="F424" s="4"/>
      <c r="G424" s="29">
        <f>G425+G428</f>
        <v>85221880</v>
      </c>
      <c r="H424" s="29">
        <f>H425+H428</f>
        <v>0</v>
      </c>
    </row>
    <row r="425" spans="1:8" ht="63">
      <c r="A425" s="3" t="s">
        <v>506</v>
      </c>
      <c r="B425" s="4" t="s">
        <v>355</v>
      </c>
      <c r="C425" s="4" t="s">
        <v>654</v>
      </c>
      <c r="D425" s="4" t="s">
        <v>656</v>
      </c>
      <c r="E425" s="4" t="s">
        <v>507</v>
      </c>
      <c r="F425" s="4"/>
      <c r="G425" s="29">
        <f>G427+G426</f>
        <v>85221880</v>
      </c>
      <c r="H425" s="29"/>
    </row>
    <row r="426" spans="1:8" ht="47.25">
      <c r="A426" s="3" t="s">
        <v>702</v>
      </c>
      <c r="B426" s="4" t="s">
        <v>355</v>
      </c>
      <c r="C426" s="4" t="s">
        <v>654</v>
      </c>
      <c r="D426" s="4" t="s">
        <v>656</v>
      </c>
      <c r="E426" s="4" t="s">
        <v>507</v>
      </c>
      <c r="F426" s="4" t="s">
        <v>313</v>
      </c>
      <c r="G426" s="29">
        <f>6126765.91</f>
        <v>6126765.91</v>
      </c>
      <c r="H426" s="29"/>
    </row>
    <row r="427" spans="1:10" ht="47.25">
      <c r="A427" s="3" t="s">
        <v>189</v>
      </c>
      <c r="B427" s="4" t="s">
        <v>355</v>
      </c>
      <c r="C427" s="4" t="s">
        <v>654</v>
      </c>
      <c r="D427" s="4" t="s">
        <v>656</v>
      </c>
      <c r="E427" s="4" t="s">
        <v>507</v>
      </c>
      <c r="F427" s="4" t="s">
        <v>693</v>
      </c>
      <c r="G427" s="29">
        <f>51287260+47434620-13500000-6126765.91</f>
        <v>79095114.09</v>
      </c>
      <c r="H427" s="29"/>
      <c r="J427" s="26"/>
    </row>
    <row r="428" spans="1:8" ht="63" hidden="1">
      <c r="A428" s="3" t="s">
        <v>277</v>
      </c>
      <c r="B428" s="4" t="s">
        <v>355</v>
      </c>
      <c r="C428" s="4" t="s">
        <v>654</v>
      </c>
      <c r="D428" s="4" t="s">
        <v>656</v>
      </c>
      <c r="E428" s="4" t="s">
        <v>276</v>
      </c>
      <c r="F428" s="4"/>
      <c r="G428" s="29">
        <f>G429</f>
        <v>0</v>
      </c>
      <c r="H428" s="29">
        <f>G428</f>
        <v>0</v>
      </c>
    </row>
    <row r="429" spans="1:8" ht="47.25" hidden="1">
      <c r="A429" s="3" t="s">
        <v>189</v>
      </c>
      <c r="B429" s="4" t="s">
        <v>355</v>
      </c>
      <c r="C429" s="4" t="s">
        <v>654</v>
      </c>
      <c r="D429" s="4" t="s">
        <v>656</v>
      </c>
      <c r="E429" s="4" t="s">
        <v>276</v>
      </c>
      <c r="F429" s="4" t="s">
        <v>693</v>
      </c>
      <c r="G429" s="29"/>
      <c r="H429" s="29">
        <f>G429</f>
        <v>0</v>
      </c>
    </row>
    <row r="430" spans="1:8" ht="15.75">
      <c r="A430" s="13" t="s">
        <v>314</v>
      </c>
      <c r="B430" s="5" t="s">
        <v>355</v>
      </c>
      <c r="C430" s="5" t="s">
        <v>655</v>
      </c>
      <c r="D430" s="5" t="s">
        <v>681</v>
      </c>
      <c r="E430" s="5"/>
      <c r="F430" s="5"/>
      <c r="G430" s="28">
        <f>G431</f>
        <v>1166717.5899999999</v>
      </c>
      <c r="H430" s="28"/>
    </row>
    <row r="431" spans="1:8" ht="15.75">
      <c r="A431" s="1" t="s">
        <v>676</v>
      </c>
      <c r="B431" s="2" t="s">
        <v>355</v>
      </c>
      <c r="C431" s="2" t="s">
        <v>655</v>
      </c>
      <c r="D431" s="2" t="s">
        <v>651</v>
      </c>
      <c r="E431" s="2"/>
      <c r="F431" s="2"/>
      <c r="G431" s="33">
        <f>G432</f>
        <v>1166717.5899999999</v>
      </c>
      <c r="H431" s="33"/>
    </row>
    <row r="432" spans="1:8" ht="63">
      <c r="A432" s="3" t="s">
        <v>544</v>
      </c>
      <c r="B432" s="4" t="s">
        <v>355</v>
      </c>
      <c r="C432" s="4" t="s">
        <v>655</v>
      </c>
      <c r="D432" s="4" t="s">
        <v>651</v>
      </c>
      <c r="E432" s="4" t="s">
        <v>341</v>
      </c>
      <c r="F432" s="4"/>
      <c r="G432" s="29">
        <f>G433</f>
        <v>1166717.5899999999</v>
      </c>
      <c r="H432" s="29"/>
    </row>
    <row r="433" spans="1:8" ht="63">
      <c r="A433" s="3" t="s">
        <v>431</v>
      </c>
      <c r="B433" s="4" t="s">
        <v>355</v>
      </c>
      <c r="C433" s="4" t="s">
        <v>655</v>
      </c>
      <c r="D433" s="4" t="s">
        <v>651</v>
      </c>
      <c r="E433" s="4" t="s">
        <v>432</v>
      </c>
      <c r="F433" s="4"/>
      <c r="G433" s="29">
        <f>G434</f>
        <v>1166717.5899999999</v>
      </c>
      <c r="H433" s="29"/>
    </row>
    <row r="434" spans="1:8" ht="47.25">
      <c r="A434" s="3" t="s">
        <v>512</v>
      </c>
      <c r="B434" s="4" t="s">
        <v>355</v>
      </c>
      <c r="C434" s="4" t="s">
        <v>655</v>
      </c>
      <c r="D434" s="4" t="s">
        <v>651</v>
      </c>
      <c r="E434" s="4" t="s">
        <v>433</v>
      </c>
      <c r="F434" s="4"/>
      <c r="G434" s="29">
        <f>G435</f>
        <v>1166717.5899999999</v>
      </c>
      <c r="H434" s="29"/>
    </row>
    <row r="435" spans="1:13" ht="47.25">
      <c r="A435" s="3" t="s">
        <v>702</v>
      </c>
      <c r="B435" s="4" t="s">
        <v>355</v>
      </c>
      <c r="C435" s="4" t="s">
        <v>655</v>
      </c>
      <c r="D435" s="4" t="s">
        <v>651</v>
      </c>
      <c r="E435" s="4" t="s">
        <v>433</v>
      </c>
      <c r="F435" s="4" t="s">
        <v>313</v>
      </c>
      <c r="G435" s="29">
        <f>1000000-96246.41+262964</f>
        <v>1166717.5899999999</v>
      </c>
      <c r="H435" s="29"/>
      <c r="M435" s="208">
        <f>262964</f>
        <v>262964</v>
      </c>
    </row>
    <row r="436" spans="1:14" ht="18.75" customHeight="1">
      <c r="A436" s="13" t="s">
        <v>665</v>
      </c>
      <c r="B436" s="5" t="s">
        <v>355</v>
      </c>
      <c r="C436" s="5" t="s">
        <v>659</v>
      </c>
      <c r="D436" s="5"/>
      <c r="E436" s="5"/>
      <c r="F436" s="5"/>
      <c r="G436" s="28">
        <f>G446+G437</f>
        <v>1396911</v>
      </c>
      <c r="H436" s="28">
        <f>H446+H437</f>
        <v>1126261</v>
      </c>
      <c r="J436" s="26"/>
      <c r="K436" s="26"/>
      <c r="M436" s="208" t="s">
        <v>874</v>
      </c>
      <c r="N436" s="26"/>
    </row>
    <row r="437" spans="1:8" ht="31.5">
      <c r="A437" s="1" t="s">
        <v>677</v>
      </c>
      <c r="B437" s="2" t="s">
        <v>355</v>
      </c>
      <c r="C437" s="2" t="s">
        <v>659</v>
      </c>
      <c r="D437" s="2" t="s">
        <v>658</v>
      </c>
      <c r="E437" s="2"/>
      <c r="F437" s="2"/>
      <c r="G437" s="33">
        <f>G438</f>
        <v>1396911</v>
      </c>
      <c r="H437" s="33">
        <f>H438</f>
        <v>1126261</v>
      </c>
    </row>
    <row r="438" spans="1:8" ht="78.75">
      <c r="A438" s="3" t="s">
        <v>549</v>
      </c>
      <c r="B438" s="4" t="s">
        <v>355</v>
      </c>
      <c r="C438" s="4" t="s">
        <v>659</v>
      </c>
      <c r="D438" s="4" t="s">
        <v>658</v>
      </c>
      <c r="E438" s="4" t="s">
        <v>328</v>
      </c>
      <c r="F438" s="2"/>
      <c r="G438" s="29">
        <f>G439</f>
        <v>1396911</v>
      </c>
      <c r="H438" s="29">
        <f>H439</f>
        <v>1126261</v>
      </c>
    </row>
    <row r="439" spans="1:8" ht="47.25">
      <c r="A439" s="3" t="s">
        <v>55</v>
      </c>
      <c r="B439" s="4" t="s">
        <v>355</v>
      </c>
      <c r="C439" s="4" t="s">
        <v>659</v>
      </c>
      <c r="D439" s="4" t="s">
        <v>658</v>
      </c>
      <c r="E439" s="4" t="s">
        <v>56</v>
      </c>
      <c r="F439" s="2"/>
      <c r="G439" s="29">
        <f>G440+G442+G444</f>
        <v>1396911</v>
      </c>
      <c r="H439" s="29">
        <f>H440+H442+H444</f>
        <v>1126261</v>
      </c>
    </row>
    <row r="440" spans="1:8" ht="31.5">
      <c r="A440" s="3" t="s">
        <v>719</v>
      </c>
      <c r="B440" s="4" t="s">
        <v>355</v>
      </c>
      <c r="C440" s="4" t="s">
        <v>659</v>
      </c>
      <c r="D440" s="4" t="s">
        <v>658</v>
      </c>
      <c r="E440" s="4" t="s">
        <v>57</v>
      </c>
      <c r="F440" s="2"/>
      <c r="G440" s="29">
        <f>G441</f>
        <v>270650</v>
      </c>
      <c r="H440" s="33"/>
    </row>
    <row r="441" spans="1:8" ht="31.5">
      <c r="A441" s="60" t="s">
        <v>560</v>
      </c>
      <c r="B441" s="4" t="s">
        <v>355</v>
      </c>
      <c r="C441" s="4" t="s">
        <v>659</v>
      </c>
      <c r="D441" s="4" t="s">
        <v>658</v>
      </c>
      <c r="E441" s="4" t="s">
        <v>57</v>
      </c>
      <c r="F441" s="4" t="s">
        <v>561</v>
      </c>
      <c r="G441" s="29">
        <f>239420+31230</f>
        <v>270650</v>
      </c>
      <c r="H441" s="33"/>
    </row>
    <row r="442" spans="1:8" ht="157.5">
      <c r="A442" s="60" t="s">
        <v>876</v>
      </c>
      <c r="B442" s="4" t="s">
        <v>355</v>
      </c>
      <c r="C442" s="4" t="s">
        <v>659</v>
      </c>
      <c r="D442" s="4" t="s">
        <v>658</v>
      </c>
      <c r="E442" s="4" t="s">
        <v>877</v>
      </c>
      <c r="F442" s="4"/>
      <c r="G442" s="29">
        <f>G443</f>
        <v>373805</v>
      </c>
      <c r="H442" s="29">
        <f>H443</f>
        <v>373805</v>
      </c>
    </row>
    <row r="443" spans="1:8" ht="31.5">
      <c r="A443" s="60" t="s">
        <v>560</v>
      </c>
      <c r="B443" s="4" t="s">
        <v>355</v>
      </c>
      <c r="C443" s="4" t="s">
        <v>659</v>
      </c>
      <c r="D443" s="4" t="s">
        <v>658</v>
      </c>
      <c r="E443" s="4" t="s">
        <v>877</v>
      </c>
      <c r="F443" s="4" t="s">
        <v>561</v>
      </c>
      <c r="G443" s="29">
        <v>373805</v>
      </c>
      <c r="H443" s="29">
        <f>G443</f>
        <v>373805</v>
      </c>
    </row>
    <row r="444" spans="1:8" ht="63">
      <c r="A444" s="60" t="s">
        <v>878</v>
      </c>
      <c r="B444" s="4" t="s">
        <v>355</v>
      </c>
      <c r="C444" s="4" t="s">
        <v>659</v>
      </c>
      <c r="D444" s="4" t="s">
        <v>658</v>
      </c>
      <c r="E444" s="4" t="s">
        <v>879</v>
      </c>
      <c r="F444" s="4"/>
      <c r="G444" s="29">
        <f>G445</f>
        <v>752456</v>
      </c>
      <c r="H444" s="29">
        <f>H445</f>
        <v>752456</v>
      </c>
    </row>
    <row r="445" spans="1:8" ht="31.5">
      <c r="A445" s="60" t="s">
        <v>560</v>
      </c>
      <c r="B445" s="4" t="s">
        <v>355</v>
      </c>
      <c r="C445" s="4" t="s">
        <v>659</v>
      </c>
      <c r="D445" s="4" t="s">
        <v>658</v>
      </c>
      <c r="E445" s="4" t="s">
        <v>879</v>
      </c>
      <c r="F445" s="4" t="s">
        <v>561</v>
      </c>
      <c r="G445" s="29">
        <v>752456</v>
      </c>
      <c r="H445" s="29">
        <f>G445</f>
        <v>752456</v>
      </c>
    </row>
    <row r="446" spans="1:8" ht="31.5" hidden="1">
      <c r="A446" s="1" t="s">
        <v>686</v>
      </c>
      <c r="B446" s="2" t="s">
        <v>355</v>
      </c>
      <c r="C446" s="2" t="s">
        <v>659</v>
      </c>
      <c r="D446" s="2" t="s">
        <v>652</v>
      </c>
      <c r="E446" s="2"/>
      <c r="F446" s="2"/>
      <c r="G446" s="33">
        <f aca="true" t="shared" si="3" ref="G446:H449">G447</f>
        <v>0</v>
      </c>
      <c r="H446" s="33">
        <f t="shared" si="3"/>
        <v>0</v>
      </c>
    </row>
    <row r="447" spans="1:8" ht="75" customHeight="1" hidden="1">
      <c r="A447" s="27" t="s">
        <v>541</v>
      </c>
      <c r="B447" s="4" t="s">
        <v>355</v>
      </c>
      <c r="C447" s="4" t="s">
        <v>659</v>
      </c>
      <c r="D447" s="4" t="s">
        <v>652</v>
      </c>
      <c r="E447" s="4" t="s">
        <v>708</v>
      </c>
      <c r="F447" s="4"/>
      <c r="G447" s="29">
        <f t="shared" si="3"/>
        <v>0</v>
      </c>
      <c r="H447" s="29">
        <f t="shared" si="3"/>
        <v>0</v>
      </c>
    </row>
    <row r="448" spans="1:8" ht="92.25" customHeight="1" hidden="1">
      <c r="A448" s="3" t="s">
        <v>338</v>
      </c>
      <c r="B448" s="4" t="s">
        <v>355</v>
      </c>
      <c r="C448" s="4" t="s">
        <v>659</v>
      </c>
      <c r="D448" s="4" t="s">
        <v>652</v>
      </c>
      <c r="E448" s="4" t="s">
        <v>339</v>
      </c>
      <c r="F448" s="4"/>
      <c r="G448" s="29">
        <f t="shared" si="3"/>
        <v>0</v>
      </c>
      <c r="H448" s="29">
        <f t="shared" si="3"/>
        <v>0</v>
      </c>
    </row>
    <row r="449" spans="1:8" ht="47.25" hidden="1">
      <c r="A449" s="3" t="s">
        <v>794</v>
      </c>
      <c r="B449" s="4" t="s">
        <v>355</v>
      </c>
      <c r="C449" s="4" t="s">
        <v>659</v>
      </c>
      <c r="D449" s="4" t="s">
        <v>652</v>
      </c>
      <c r="E449" s="4" t="s">
        <v>340</v>
      </c>
      <c r="F449" s="4"/>
      <c r="G449" s="29">
        <f t="shared" si="3"/>
        <v>0</v>
      </c>
      <c r="H449" s="29">
        <f t="shared" si="3"/>
        <v>0</v>
      </c>
    </row>
    <row r="450" spans="1:8" ht="31.5" hidden="1">
      <c r="A450" s="60" t="s">
        <v>560</v>
      </c>
      <c r="B450" s="4" t="s">
        <v>355</v>
      </c>
      <c r="C450" s="4" t="s">
        <v>659</v>
      </c>
      <c r="D450" s="4" t="s">
        <v>652</v>
      </c>
      <c r="E450" s="4" t="s">
        <v>340</v>
      </c>
      <c r="F450" s="4" t="s">
        <v>561</v>
      </c>
      <c r="G450" s="29">
        <v>0</v>
      </c>
      <c r="H450" s="29">
        <f>G450</f>
        <v>0</v>
      </c>
    </row>
    <row r="451" spans="1:8" ht="15.75" hidden="1">
      <c r="A451" s="39" t="s">
        <v>455</v>
      </c>
      <c r="B451" s="5" t="s">
        <v>355</v>
      </c>
      <c r="C451" s="5" t="s">
        <v>458</v>
      </c>
      <c r="D451" s="5" t="s">
        <v>681</v>
      </c>
      <c r="E451" s="23"/>
      <c r="F451" s="23"/>
      <c r="G451" s="28">
        <f aca="true" t="shared" si="4" ref="G451:H453">G452</f>
        <v>0</v>
      </c>
      <c r="H451" s="28">
        <f t="shared" si="4"/>
        <v>0</v>
      </c>
    </row>
    <row r="452" spans="1:8" ht="15.75" hidden="1">
      <c r="A452" s="50" t="s">
        <v>302</v>
      </c>
      <c r="B452" s="2" t="s">
        <v>355</v>
      </c>
      <c r="C452" s="2" t="s">
        <v>458</v>
      </c>
      <c r="D452" s="2" t="s">
        <v>651</v>
      </c>
      <c r="E452" s="4"/>
      <c r="F452" s="4"/>
      <c r="G452" s="33">
        <f t="shared" si="4"/>
        <v>0</v>
      </c>
      <c r="H452" s="33">
        <f t="shared" si="4"/>
        <v>0</v>
      </c>
    </row>
    <row r="453" spans="1:8" ht="78.75" hidden="1">
      <c r="A453" s="27" t="s">
        <v>543</v>
      </c>
      <c r="B453" s="4" t="s">
        <v>355</v>
      </c>
      <c r="C453" s="4" t="s">
        <v>458</v>
      </c>
      <c r="D453" s="4" t="s">
        <v>651</v>
      </c>
      <c r="E453" s="4" t="s">
        <v>735</v>
      </c>
      <c r="F453" s="38"/>
      <c r="G453" s="29">
        <f t="shared" si="4"/>
        <v>0</v>
      </c>
      <c r="H453" s="29">
        <f t="shared" si="4"/>
        <v>0</v>
      </c>
    </row>
    <row r="454" spans="1:8" ht="31.5" hidden="1">
      <c r="A454" s="27" t="s">
        <v>738</v>
      </c>
      <c r="B454" s="4" t="s">
        <v>355</v>
      </c>
      <c r="C454" s="4" t="s">
        <v>458</v>
      </c>
      <c r="D454" s="4" t="s">
        <v>651</v>
      </c>
      <c r="E454" s="4" t="s">
        <v>739</v>
      </c>
      <c r="F454" s="38"/>
      <c r="G454" s="29">
        <f>G455+G457</f>
        <v>0</v>
      </c>
      <c r="H454" s="29">
        <f>H455+H457</f>
        <v>0</v>
      </c>
    </row>
    <row r="455" spans="1:8" ht="31.5" hidden="1">
      <c r="A455" s="27" t="s">
        <v>719</v>
      </c>
      <c r="B455" s="4" t="s">
        <v>355</v>
      </c>
      <c r="C455" s="4" t="s">
        <v>458</v>
      </c>
      <c r="D455" s="4" t="s">
        <v>651</v>
      </c>
      <c r="E455" s="4" t="s">
        <v>439</v>
      </c>
      <c r="F455" s="38"/>
      <c r="G455" s="29">
        <f>G456</f>
        <v>0</v>
      </c>
      <c r="H455" s="29"/>
    </row>
    <row r="456" spans="1:8" ht="47.25" hidden="1">
      <c r="A456" s="3" t="s">
        <v>702</v>
      </c>
      <c r="B456" s="4" t="s">
        <v>355</v>
      </c>
      <c r="C456" s="4" t="s">
        <v>458</v>
      </c>
      <c r="D456" s="4" t="s">
        <v>651</v>
      </c>
      <c r="E456" s="4" t="s">
        <v>439</v>
      </c>
      <c r="F456" s="4" t="s">
        <v>313</v>
      </c>
      <c r="G456" s="29">
        <f>3000000-3000000</f>
        <v>0</v>
      </c>
      <c r="H456" s="29"/>
    </row>
    <row r="457" spans="1:8" ht="63" hidden="1">
      <c r="A457" s="3" t="s">
        <v>286</v>
      </c>
      <c r="B457" s="4" t="s">
        <v>355</v>
      </c>
      <c r="C457" s="4" t="s">
        <v>458</v>
      </c>
      <c r="D457" s="4" t="s">
        <v>651</v>
      </c>
      <c r="E457" s="4" t="s">
        <v>287</v>
      </c>
      <c r="F457" s="4"/>
      <c r="G457" s="29">
        <f>G458</f>
        <v>0</v>
      </c>
      <c r="H457" s="29">
        <f>H458</f>
        <v>0</v>
      </c>
    </row>
    <row r="458" spans="1:8" ht="63" customHeight="1" hidden="1">
      <c r="A458" s="3" t="s">
        <v>702</v>
      </c>
      <c r="B458" s="4" t="s">
        <v>355</v>
      </c>
      <c r="C458" s="4" t="s">
        <v>458</v>
      </c>
      <c r="D458" s="4" t="s">
        <v>651</v>
      </c>
      <c r="E458" s="4" t="s">
        <v>287</v>
      </c>
      <c r="F458" s="4" t="s">
        <v>313</v>
      </c>
      <c r="G458" s="29"/>
      <c r="H458" s="29">
        <f>G458</f>
        <v>0</v>
      </c>
    </row>
    <row r="459" spans="1:8" ht="58.5">
      <c r="A459" s="34" t="s">
        <v>565</v>
      </c>
      <c r="B459" s="24" t="s">
        <v>357</v>
      </c>
      <c r="C459" s="24"/>
      <c r="D459" s="24"/>
      <c r="E459" s="5"/>
      <c r="F459" s="5"/>
      <c r="G459" s="28">
        <f>G460+G490+G484</f>
        <v>24950169.29</v>
      </c>
      <c r="H459" s="28"/>
    </row>
    <row r="460" spans="1:8" ht="31.5">
      <c r="A460" s="1" t="s">
        <v>670</v>
      </c>
      <c r="B460" s="2" t="s">
        <v>357</v>
      </c>
      <c r="C460" s="2" t="s">
        <v>651</v>
      </c>
      <c r="D460" s="2"/>
      <c r="E460" s="2"/>
      <c r="F460" s="2"/>
      <c r="G460" s="33">
        <f>G461+G475+G471</f>
        <v>12994363</v>
      </c>
      <c r="H460" s="33"/>
    </row>
    <row r="461" spans="1:8" ht="94.5">
      <c r="A461" s="1" t="s">
        <v>306</v>
      </c>
      <c r="B461" s="2" t="s">
        <v>357</v>
      </c>
      <c r="C461" s="2" t="s">
        <v>651</v>
      </c>
      <c r="D461" s="2" t="s">
        <v>661</v>
      </c>
      <c r="E461" s="2"/>
      <c r="F461" s="2"/>
      <c r="G461" s="33">
        <f>G462</f>
        <v>10938767.49</v>
      </c>
      <c r="H461" s="33"/>
    </row>
    <row r="462" spans="1:8" ht="94.5">
      <c r="A462" s="60" t="s">
        <v>540</v>
      </c>
      <c r="B462" s="4" t="s">
        <v>357</v>
      </c>
      <c r="C462" s="4" t="s">
        <v>651</v>
      </c>
      <c r="D462" s="4" t="s">
        <v>661</v>
      </c>
      <c r="E462" s="4" t="s">
        <v>301</v>
      </c>
      <c r="F462" s="4"/>
      <c r="G462" s="29">
        <f>G463</f>
        <v>10938767.49</v>
      </c>
      <c r="H462" s="29"/>
    </row>
    <row r="463" spans="1:10" ht="47.25">
      <c r="A463" s="60" t="s">
        <v>392</v>
      </c>
      <c r="B463" s="4" t="s">
        <v>357</v>
      </c>
      <c r="C463" s="4" t="s">
        <v>651</v>
      </c>
      <c r="D463" s="4" t="s">
        <v>661</v>
      </c>
      <c r="E463" s="4" t="s">
        <v>393</v>
      </c>
      <c r="F463" s="4"/>
      <c r="G463" s="29">
        <f>G464+G466+G469</f>
        <v>10938767.49</v>
      </c>
      <c r="H463" s="29"/>
      <c r="J463" s="26"/>
    </row>
    <row r="464" spans="1:8" ht="47.25">
      <c r="A464" s="60" t="s">
        <v>239</v>
      </c>
      <c r="B464" s="4" t="s">
        <v>357</v>
      </c>
      <c r="C464" s="4" t="s">
        <v>651</v>
      </c>
      <c r="D464" s="4" t="s">
        <v>661</v>
      </c>
      <c r="E464" s="4" t="s">
        <v>261</v>
      </c>
      <c r="F464" s="4"/>
      <c r="G464" s="29">
        <f>G465</f>
        <v>10309258.6</v>
      </c>
      <c r="H464" s="29"/>
    </row>
    <row r="465" spans="1:10" ht="110.25">
      <c r="A465" s="60" t="s">
        <v>262</v>
      </c>
      <c r="B465" s="4" t="s">
        <v>357</v>
      </c>
      <c r="C465" s="4" t="s">
        <v>651</v>
      </c>
      <c r="D465" s="4" t="s">
        <v>661</v>
      </c>
      <c r="E465" s="4" t="s">
        <v>261</v>
      </c>
      <c r="F465" s="4" t="s">
        <v>312</v>
      </c>
      <c r="G465" s="29">
        <f>10693956.42-534697.82+150000</f>
        <v>10309258.6</v>
      </c>
      <c r="H465" s="29"/>
      <c r="J465" s="26"/>
    </row>
    <row r="466" spans="1:10" ht="47.25">
      <c r="A466" s="60" t="s">
        <v>241</v>
      </c>
      <c r="B466" s="4" t="s">
        <v>357</v>
      </c>
      <c r="C466" s="4" t="s">
        <v>651</v>
      </c>
      <c r="D466" s="4" t="s">
        <v>661</v>
      </c>
      <c r="E466" s="4" t="s">
        <v>263</v>
      </c>
      <c r="F466" s="4"/>
      <c r="G466" s="29">
        <f>G467+G468</f>
        <v>255936.89</v>
      </c>
      <c r="H466" s="29"/>
      <c r="J466" s="26"/>
    </row>
    <row r="467" spans="1:8" ht="110.25">
      <c r="A467" s="60" t="s">
        <v>245</v>
      </c>
      <c r="B467" s="4" t="s">
        <v>357</v>
      </c>
      <c r="C467" s="4" t="s">
        <v>651</v>
      </c>
      <c r="D467" s="4" t="s">
        <v>661</v>
      </c>
      <c r="E467" s="4" t="s">
        <v>263</v>
      </c>
      <c r="F467" s="4" t="s">
        <v>312</v>
      </c>
      <c r="G467" s="29">
        <f>29340-20000</f>
        <v>9340</v>
      </c>
      <c r="H467" s="29"/>
    </row>
    <row r="468" spans="1:8" ht="47.25">
      <c r="A468" s="60" t="s">
        <v>702</v>
      </c>
      <c r="B468" s="4" t="s">
        <v>357</v>
      </c>
      <c r="C468" s="4" t="s">
        <v>651</v>
      </c>
      <c r="D468" s="4" t="s">
        <v>661</v>
      </c>
      <c r="E468" s="4" t="s">
        <v>263</v>
      </c>
      <c r="F468" s="4" t="s">
        <v>313</v>
      </c>
      <c r="G468" s="29">
        <f>197330+103756.73+106939.57-47883.5-56545.91-57000</f>
        <v>246596.89</v>
      </c>
      <c r="H468" s="29"/>
    </row>
    <row r="469" spans="1:10" ht="94.5">
      <c r="A469" s="3" t="s">
        <v>235</v>
      </c>
      <c r="B469" s="4" t="s">
        <v>357</v>
      </c>
      <c r="C469" s="4" t="s">
        <v>651</v>
      </c>
      <c r="D469" s="4" t="s">
        <v>661</v>
      </c>
      <c r="E469" s="4" t="s">
        <v>264</v>
      </c>
      <c r="F469" s="4"/>
      <c r="G469" s="29">
        <f>G470</f>
        <v>373572</v>
      </c>
      <c r="H469" s="29"/>
      <c r="J469" s="26"/>
    </row>
    <row r="470" spans="1:8" ht="110.25">
      <c r="A470" s="3" t="s">
        <v>245</v>
      </c>
      <c r="B470" s="4" t="s">
        <v>357</v>
      </c>
      <c r="C470" s="4" t="s">
        <v>651</v>
      </c>
      <c r="D470" s="4" t="s">
        <v>661</v>
      </c>
      <c r="E470" s="4" t="s">
        <v>264</v>
      </c>
      <c r="F470" s="4" t="s">
        <v>312</v>
      </c>
      <c r="G470" s="29">
        <f>471620-25048-73000</f>
        <v>373572</v>
      </c>
      <c r="H470" s="29"/>
    </row>
    <row r="471" spans="1:8" ht="15.75">
      <c r="A471" s="13" t="s">
        <v>679</v>
      </c>
      <c r="B471" s="5" t="s">
        <v>357</v>
      </c>
      <c r="C471" s="5" t="s">
        <v>651</v>
      </c>
      <c r="D471" s="5" t="s">
        <v>458</v>
      </c>
      <c r="E471" s="5"/>
      <c r="F471" s="5"/>
      <c r="G471" s="28">
        <f>G472</f>
        <v>414000</v>
      </c>
      <c r="H471" s="136"/>
    </row>
    <row r="472" spans="1:8" ht="15.75">
      <c r="A472" s="3" t="s">
        <v>711</v>
      </c>
      <c r="B472" s="4" t="s">
        <v>357</v>
      </c>
      <c r="C472" s="4" t="s">
        <v>651</v>
      </c>
      <c r="D472" s="4" t="s">
        <v>458</v>
      </c>
      <c r="E472" s="4" t="s">
        <v>700</v>
      </c>
      <c r="F472" s="4"/>
      <c r="G472" s="29">
        <f>G473</f>
        <v>414000</v>
      </c>
      <c r="H472" s="29"/>
    </row>
    <row r="473" spans="1:8" ht="31.5">
      <c r="A473" s="3" t="s">
        <v>712</v>
      </c>
      <c r="B473" s="4" t="s">
        <v>357</v>
      </c>
      <c r="C473" s="4" t="s">
        <v>651</v>
      </c>
      <c r="D473" s="4" t="s">
        <v>458</v>
      </c>
      <c r="E473" s="4" t="s">
        <v>783</v>
      </c>
      <c r="F473" s="4"/>
      <c r="G473" s="29">
        <f>G474</f>
        <v>414000</v>
      </c>
      <c r="H473" s="29"/>
    </row>
    <row r="474" spans="1:8" ht="15.75">
      <c r="A474" s="3" t="s">
        <v>556</v>
      </c>
      <c r="B474" s="4" t="s">
        <v>357</v>
      </c>
      <c r="C474" s="4" t="s">
        <v>651</v>
      </c>
      <c r="D474" s="4" t="s">
        <v>458</v>
      </c>
      <c r="E474" s="4" t="s">
        <v>783</v>
      </c>
      <c r="F474" s="4" t="s">
        <v>316</v>
      </c>
      <c r="G474" s="29">
        <f>500000-86000</f>
        <v>414000</v>
      </c>
      <c r="H474" s="29"/>
    </row>
    <row r="475" spans="1:8" ht="31.5">
      <c r="A475" s="13" t="s">
        <v>680</v>
      </c>
      <c r="B475" s="5" t="s">
        <v>357</v>
      </c>
      <c r="C475" s="5" t="s">
        <v>651</v>
      </c>
      <c r="D475" s="5" t="s">
        <v>310</v>
      </c>
      <c r="E475" s="5"/>
      <c r="F475" s="5"/>
      <c r="G475" s="28">
        <f>G481+G476</f>
        <v>1641595.5099999998</v>
      </c>
      <c r="H475" s="136"/>
    </row>
    <row r="476" spans="1:8" ht="63">
      <c r="A476" s="27" t="s">
        <v>541</v>
      </c>
      <c r="B476" s="4" t="s">
        <v>357</v>
      </c>
      <c r="C476" s="4" t="s">
        <v>651</v>
      </c>
      <c r="D476" s="4" t="s">
        <v>310</v>
      </c>
      <c r="E476" s="4" t="s">
        <v>708</v>
      </c>
      <c r="F476" s="4"/>
      <c r="G476" s="29">
        <f>G477</f>
        <v>93100</v>
      </c>
      <c r="H476" s="29"/>
    </row>
    <row r="477" spans="1:8" ht="47.25">
      <c r="A477" s="3" t="s">
        <v>419</v>
      </c>
      <c r="B477" s="4" t="s">
        <v>357</v>
      </c>
      <c r="C477" s="4" t="s">
        <v>651</v>
      </c>
      <c r="D477" s="4" t="s">
        <v>310</v>
      </c>
      <c r="E477" s="4" t="s">
        <v>420</v>
      </c>
      <c r="F477" s="4"/>
      <c r="G477" s="29">
        <f>G478</f>
        <v>93100</v>
      </c>
      <c r="H477" s="29"/>
    </row>
    <row r="478" spans="1:8" ht="31.5">
      <c r="A478" s="3" t="s">
        <v>719</v>
      </c>
      <c r="B478" s="4" t="s">
        <v>357</v>
      </c>
      <c r="C478" s="4" t="s">
        <v>651</v>
      </c>
      <c r="D478" s="4" t="s">
        <v>310</v>
      </c>
      <c r="E478" s="4" t="s">
        <v>421</v>
      </c>
      <c r="F478" s="4"/>
      <c r="G478" s="29">
        <f>G480+G479</f>
        <v>93100</v>
      </c>
      <c r="H478" s="29"/>
    </row>
    <row r="479" spans="1:8" ht="110.25">
      <c r="A479" s="3" t="s">
        <v>245</v>
      </c>
      <c r="B479" s="4" t="s">
        <v>357</v>
      </c>
      <c r="C479" s="4" t="s">
        <v>651</v>
      </c>
      <c r="D479" s="4" t="s">
        <v>310</v>
      </c>
      <c r="E479" s="4" t="s">
        <v>421</v>
      </c>
      <c r="F479" s="4" t="s">
        <v>312</v>
      </c>
      <c r="G479" s="29">
        <v>15000</v>
      </c>
      <c r="H479" s="29"/>
    </row>
    <row r="480" spans="1:8" ht="47.25">
      <c r="A480" s="3" t="s">
        <v>702</v>
      </c>
      <c r="B480" s="4" t="s">
        <v>357</v>
      </c>
      <c r="C480" s="4" t="s">
        <v>651</v>
      </c>
      <c r="D480" s="4" t="s">
        <v>310</v>
      </c>
      <c r="E480" s="4" t="s">
        <v>421</v>
      </c>
      <c r="F480" s="4" t="s">
        <v>313</v>
      </c>
      <c r="G480" s="29">
        <f>93100-15000</f>
        <v>78100</v>
      </c>
      <c r="H480" s="29"/>
    </row>
    <row r="481" spans="1:8" ht="31.5">
      <c r="A481" s="3" t="s">
        <v>215</v>
      </c>
      <c r="B481" s="4" t="s">
        <v>357</v>
      </c>
      <c r="C481" s="4" t="s">
        <v>651</v>
      </c>
      <c r="D481" s="4" t="s">
        <v>310</v>
      </c>
      <c r="E481" s="4" t="s">
        <v>216</v>
      </c>
      <c r="F481" s="61"/>
      <c r="G481" s="29">
        <f>G482+G483</f>
        <v>1548495.5099999998</v>
      </c>
      <c r="H481" s="29"/>
    </row>
    <row r="482" spans="1:8" ht="47.25">
      <c r="A482" s="3" t="s">
        <v>702</v>
      </c>
      <c r="B482" s="4" t="s">
        <v>357</v>
      </c>
      <c r="C482" s="4" t="s">
        <v>651</v>
      </c>
      <c r="D482" s="4" t="s">
        <v>310</v>
      </c>
      <c r="E482" s="4" t="s">
        <v>216</v>
      </c>
      <c r="F482" s="4" t="s">
        <v>313</v>
      </c>
      <c r="G482" s="29">
        <f>785791.83-24596.14+246328.83+453669.37</f>
        <v>1461193.89</v>
      </c>
      <c r="H482" s="29"/>
    </row>
    <row r="483" spans="1:8" ht="15.75">
      <c r="A483" s="3" t="s">
        <v>556</v>
      </c>
      <c r="B483" s="4" t="s">
        <v>357</v>
      </c>
      <c r="C483" s="4" t="s">
        <v>651</v>
      </c>
      <c r="D483" s="4" t="s">
        <v>310</v>
      </c>
      <c r="E483" s="4" t="s">
        <v>216</v>
      </c>
      <c r="F483" s="61">
        <v>800</v>
      </c>
      <c r="G483" s="29">
        <f>18466.33+24596.14+10424.5+7238.86+896.21+25679.58</f>
        <v>87301.62</v>
      </c>
      <c r="H483" s="29"/>
    </row>
    <row r="484" spans="1:8" ht="15.75">
      <c r="A484" s="1" t="s">
        <v>672</v>
      </c>
      <c r="B484" s="2" t="s">
        <v>357</v>
      </c>
      <c r="C484" s="2" t="s">
        <v>661</v>
      </c>
      <c r="D484" s="2"/>
      <c r="E484" s="2"/>
      <c r="F484" s="2"/>
      <c r="G484" s="33">
        <f>G485</f>
        <v>801670</v>
      </c>
      <c r="H484" s="29"/>
    </row>
    <row r="485" spans="1:8" ht="15.75">
      <c r="A485" s="3" t="s">
        <v>304</v>
      </c>
      <c r="B485" s="4" t="s">
        <v>357</v>
      </c>
      <c r="C485" s="4" t="s">
        <v>661</v>
      </c>
      <c r="D485" s="4" t="s">
        <v>659</v>
      </c>
      <c r="E485" s="4"/>
      <c r="F485" s="4"/>
      <c r="G485" s="29">
        <f>G486</f>
        <v>801670</v>
      </c>
      <c r="H485" s="29"/>
    </row>
    <row r="486" spans="1:8" ht="47.25">
      <c r="A486" s="3" t="s">
        <v>548</v>
      </c>
      <c r="B486" s="4" t="s">
        <v>357</v>
      </c>
      <c r="C486" s="4" t="s">
        <v>661</v>
      </c>
      <c r="D486" s="4" t="s">
        <v>659</v>
      </c>
      <c r="E486" s="4" t="s">
        <v>703</v>
      </c>
      <c r="F486" s="4"/>
      <c r="G486" s="29">
        <f>G487</f>
        <v>801670</v>
      </c>
      <c r="H486" s="29"/>
    </row>
    <row r="487" spans="1:8" ht="63">
      <c r="A487" s="3" t="s">
        <v>704</v>
      </c>
      <c r="B487" s="4" t="s">
        <v>357</v>
      </c>
      <c r="C487" s="4" t="s">
        <v>661</v>
      </c>
      <c r="D487" s="4" t="s">
        <v>659</v>
      </c>
      <c r="E487" s="4" t="s">
        <v>705</v>
      </c>
      <c r="F487" s="4"/>
      <c r="G487" s="29">
        <f>G488</f>
        <v>801670</v>
      </c>
      <c r="H487" s="29"/>
    </row>
    <row r="488" spans="1:8" ht="31.5">
      <c r="A488" s="3" t="s">
        <v>706</v>
      </c>
      <c r="B488" s="4" t="s">
        <v>357</v>
      </c>
      <c r="C488" s="4" t="s">
        <v>661</v>
      </c>
      <c r="D488" s="4" t="s">
        <v>659</v>
      </c>
      <c r="E488" s="4" t="s">
        <v>707</v>
      </c>
      <c r="F488" s="4"/>
      <c r="G488" s="29">
        <f>G489</f>
        <v>801670</v>
      </c>
      <c r="H488" s="29"/>
    </row>
    <row r="489" spans="1:8" ht="47.25">
      <c r="A489" s="3" t="s">
        <v>702</v>
      </c>
      <c r="B489" s="4" t="s">
        <v>357</v>
      </c>
      <c r="C489" s="4" t="s">
        <v>661</v>
      </c>
      <c r="D489" s="4" t="s">
        <v>659</v>
      </c>
      <c r="E489" s="4" t="s">
        <v>707</v>
      </c>
      <c r="F489" s="4" t="s">
        <v>313</v>
      </c>
      <c r="G489" s="29">
        <f>389170+412500</f>
        <v>801670</v>
      </c>
      <c r="H489" s="29"/>
    </row>
    <row r="490" spans="1:8" ht="31.5">
      <c r="A490" s="72" t="s">
        <v>457</v>
      </c>
      <c r="B490" s="2" t="s">
        <v>357</v>
      </c>
      <c r="C490" s="2" t="s">
        <v>310</v>
      </c>
      <c r="D490" s="2"/>
      <c r="E490" s="2"/>
      <c r="F490" s="2"/>
      <c r="G490" s="33">
        <f>G491</f>
        <v>11154136.29</v>
      </c>
      <c r="H490" s="33"/>
    </row>
    <row r="491" spans="1:8" ht="47.25">
      <c r="A491" s="72" t="s">
        <v>394</v>
      </c>
      <c r="B491" s="2" t="s">
        <v>357</v>
      </c>
      <c r="C491" s="2" t="s">
        <v>310</v>
      </c>
      <c r="D491" s="2" t="s">
        <v>651</v>
      </c>
      <c r="E491" s="4"/>
      <c r="F491" s="4"/>
      <c r="G491" s="33">
        <f>G492</f>
        <v>11154136.29</v>
      </c>
      <c r="H491" s="33"/>
    </row>
    <row r="492" spans="1:8" ht="94.5">
      <c r="A492" s="60" t="s">
        <v>540</v>
      </c>
      <c r="B492" s="4" t="s">
        <v>357</v>
      </c>
      <c r="C492" s="4" t="s">
        <v>310</v>
      </c>
      <c r="D492" s="4" t="s">
        <v>651</v>
      </c>
      <c r="E492" s="4" t="s">
        <v>301</v>
      </c>
      <c r="F492" s="4"/>
      <c r="G492" s="29">
        <f>G493</f>
        <v>11154136.29</v>
      </c>
      <c r="H492" s="29"/>
    </row>
    <row r="493" spans="1:8" ht="47.25">
      <c r="A493" s="60" t="s">
        <v>395</v>
      </c>
      <c r="B493" s="4" t="s">
        <v>357</v>
      </c>
      <c r="C493" s="4" t="s">
        <v>310</v>
      </c>
      <c r="D493" s="4" t="s">
        <v>651</v>
      </c>
      <c r="E493" s="4" t="s">
        <v>396</v>
      </c>
      <c r="F493" s="4"/>
      <c r="G493" s="29">
        <f>G494</f>
        <v>11154136.29</v>
      </c>
      <c r="H493" s="29"/>
    </row>
    <row r="494" spans="1:11" ht="31.5">
      <c r="A494" s="60" t="s">
        <v>397</v>
      </c>
      <c r="B494" s="4" t="s">
        <v>357</v>
      </c>
      <c r="C494" s="4" t="s">
        <v>310</v>
      </c>
      <c r="D494" s="4" t="s">
        <v>651</v>
      </c>
      <c r="E494" s="4" t="s">
        <v>398</v>
      </c>
      <c r="F494" s="4"/>
      <c r="G494" s="29">
        <f>G495</f>
        <v>11154136.29</v>
      </c>
      <c r="H494" s="29"/>
      <c r="K494" s="52"/>
    </row>
    <row r="495" spans="1:10" ht="31.5">
      <c r="A495" s="60" t="s">
        <v>694</v>
      </c>
      <c r="B495" s="4" t="s">
        <v>357</v>
      </c>
      <c r="C495" s="4" t="s">
        <v>310</v>
      </c>
      <c r="D495" s="4" t="s">
        <v>651</v>
      </c>
      <c r="E495" s="4" t="s">
        <v>398</v>
      </c>
      <c r="F495" s="4" t="s">
        <v>315</v>
      </c>
      <c r="G495" s="29">
        <f>11153540+9306030-300000-1993705.55-639470-160000-804258.16-5408000</f>
        <v>11154136.29</v>
      </c>
      <c r="H495" s="29"/>
      <c r="J495" s="26"/>
    </row>
    <row r="496" spans="1:10" ht="58.5">
      <c r="A496" s="34" t="s">
        <v>358</v>
      </c>
      <c r="B496" s="11" t="s">
        <v>359</v>
      </c>
      <c r="C496" s="5"/>
      <c r="D496" s="5"/>
      <c r="E496" s="5"/>
      <c r="F496" s="5"/>
      <c r="G496" s="28">
        <f>G535+G626+G497+G528+G522</f>
        <v>1231920746.26</v>
      </c>
      <c r="H496" s="28">
        <f>H535+H626+H497+H528+H522</f>
        <v>651450808</v>
      </c>
      <c r="J496" s="26"/>
    </row>
    <row r="497" spans="1:10" ht="31.5">
      <c r="A497" s="1" t="s">
        <v>670</v>
      </c>
      <c r="B497" s="2" t="s">
        <v>359</v>
      </c>
      <c r="C497" s="2" t="s">
        <v>651</v>
      </c>
      <c r="D497" s="9"/>
      <c r="E497" s="2"/>
      <c r="F497" s="2"/>
      <c r="G497" s="33">
        <f>G498+G516</f>
        <v>13342638.830000002</v>
      </c>
      <c r="H497" s="33"/>
      <c r="J497" s="26"/>
    </row>
    <row r="498" spans="1:10" ht="94.5">
      <c r="A498" s="1" t="s">
        <v>306</v>
      </c>
      <c r="B498" s="2" t="s">
        <v>359</v>
      </c>
      <c r="C498" s="2" t="s">
        <v>651</v>
      </c>
      <c r="D498" s="2" t="s">
        <v>661</v>
      </c>
      <c r="E498" s="2"/>
      <c r="F498" s="2"/>
      <c r="G498" s="33">
        <f>G499</f>
        <v>13168598.840000002</v>
      </c>
      <c r="H498" s="33"/>
      <c r="J498" s="26"/>
    </row>
    <row r="499" spans="1:8" ht="47.25">
      <c r="A499" s="3" t="s">
        <v>539</v>
      </c>
      <c r="B499" s="4" t="s">
        <v>359</v>
      </c>
      <c r="C499" s="4" t="s">
        <v>651</v>
      </c>
      <c r="D499" s="4" t="s">
        <v>661</v>
      </c>
      <c r="E499" s="4" t="s">
        <v>724</v>
      </c>
      <c r="F499" s="2"/>
      <c r="G499" s="29">
        <f>G500</f>
        <v>13168598.840000002</v>
      </c>
      <c r="H499" s="33"/>
    </row>
    <row r="500" spans="1:8" ht="63">
      <c r="A500" s="21" t="s">
        <v>759</v>
      </c>
      <c r="B500" s="4" t="s">
        <v>359</v>
      </c>
      <c r="C500" s="4" t="s">
        <v>651</v>
      </c>
      <c r="D500" s="4" t="s">
        <v>661</v>
      </c>
      <c r="E500" s="4" t="s">
        <v>760</v>
      </c>
      <c r="F500" s="4"/>
      <c r="G500" s="29">
        <f>G501+G503+G506+G514+G510+G508</f>
        <v>13168598.840000002</v>
      </c>
      <c r="H500" s="33"/>
    </row>
    <row r="501" spans="1:8" ht="47.25">
      <c r="A501" s="21" t="s">
        <v>239</v>
      </c>
      <c r="B501" s="4" t="s">
        <v>359</v>
      </c>
      <c r="C501" s="4" t="s">
        <v>651</v>
      </c>
      <c r="D501" s="4" t="s">
        <v>661</v>
      </c>
      <c r="E501" s="4" t="s">
        <v>266</v>
      </c>
      <c r="F501" s="4"/>
      <c r="G501" s="29">
        <f>G502</f>
        <v>10884631.57</v>
      </c>
      <c r="H501" s="33"/>
    </row>
    <row r="502" spans="1:10" ht="110.25">
      <c r="A502" s="21" t="s">
        <v>245</v>
      </c>
      <c r="B502" s="4" t="s">
        <v>359</v>
      </c>
      <c r="C502" s="4" t="s">
        <v>651</v>
      </c>
      <c r="D502" s="4" t="s">
        <v>661</v>
      </c>
      <c r="E502" s="4" t="s">
        <v>266</v>
      </c>
      <c r="F502" s="4" t="s">
        <v>312</v>
      </c>
      <c r="G502" s="29">
        <f>12775744.68-578479.15-356618.44-36903.84-85029.11-10000-782.44-1286.16-168167.24-316606.72-33000-139436.04-94803.97-70000</f>
        <v>10884631.57</v>
      </c>
      <c r="H502" s="33"/>
      <c r="J502" s="26"/>
    </row>
    <row r="503" spans="1:8" ht="47.25">
      <c r="A503" s="21" t="s">
        <v>241</v>
      </c>
      <c r="B503" s="4" t="s">
        <v>359</v>
      </c>
      <c r="C503" s="4" t="s">
        <v>651</v>
      </c>
      <c r="D503" s="4" t="s">
        <v>661</v>
      </c>
      <c r="E503" s="4" t="s">
        <v>267</v>
      </c>
      <c r="F503" s="4"/>
      <c r="G503" s="29">
        <f>G504+G505</f>
        <v>390942.3900000001</v>
      </c>
      <c r="H503" s="33"/>
    </row>
    <row r="504" spans="1:10" ht="110.25">
      <c r="A504" s="21" t="s">
        <v>245</v>
      </c>
      <c r="B504" s="4" t="s">
        <v>359</v>
      </c>
      <c r="C504" s="4" t="s">
        <v>651</v>
      </c>
      <c r="D504" s="4" t="s">
        <v>661</v>
      </c>
      <c r="E504" s="4" t="s">
        <v>267</v>
      </c>
      <c r="F504" s="4" t="s">
        <v>312</v>
      </c>
      <c r="G504" s="29">
        <f>900-45</f>
        <v>855</v>
      </c>
      <c r="H504" s="33"/>
      <c r="J504" s="26"/>
    </row>
    <row r="505" spans="1:10" ht="47.25">
      <c r="A505" s="21" t="s">
        <v>702</v>
      </c>
      <c r="B505" s="4" t="s">
        <v>359</v>
      </c>
      <c r="C505" s="4" t="s">
        <v>651</v>
      </c>
      <c r="D505" s="4" t="s">
        <v>661</v>
      </c>
      <c r="E505" s="4" t="s">
        <v>267</v>
      </c>
      <c r="F505" s="4" t="s">
        <v>313</v>
      </c>
      <c r="G505" s="29">
        <f>811518.3-400000-900-900-11522.7-411.6-350-7346.61</f>
        <v>390087.3900000001</v>
      </c>
      <c r="H505" s="33"/>
      <c r="J505" s="26"/>
    </row>
    <row r="506" spans="1:8" ht="110.25">
      <c r="A506" s="21" t="s">
        <v>265</v>
      </c>
      <c r="B506" s="4" t="s">
        <v>359</v>
      </c>
      <c r="C506" s="4" t="s">
        <v>651</v>
      </c>
      <c r="D506" s="4" t="s">
        <v>661</v>
      </c>
      <c r="E506" s="4" t="s">
        <v>268</v>
      </c>
      <c r="F506" s="4"/>
      <c r="G506" s="29">
        <f>G507</f>
        <v>183476.15000000002</v>
      </c>
      <c r="H506" s="33"/>
    </row>
    <row r="507" spans="1:8" ht="110.25">
      <c r="A507" s="21" t="s">
        <v>245</v>
      </c>
      <c r="B507" s="4" t="s">
        <v>359</v>
      </c>
      <c r="C507" s="4" t="s">
        <v>651</v>
      </c>
      <c r="D507" s="4" t="s">
        <v>661</v>
      </c>
      <c r="E507" s="4" t="s">
        <v>268</v>
      </c>
      <c r="F507" s="4" t="s">
        <v>312</v>
      </c>
      <c r="G507" s="29">
        <f>400000-166300.96-50222.89</f>
        <v>183476.15000000002</v>
      </c>
      <c r="H507" s="33"/>
    </row>
    <row r="508" spans="1:8" ht="78.75">
      <c r="A508" s="21" t="s">
        <v>530</v>
      </c>
      <c r="B508" s="4" t="s">
        <v>359</v>
      </c>
      <c r="C508" s="4" t="s">
        <v>651</v>
      </c>
      <c r="D508" s="4" t="s">
        <v>661</v>
      </c>
      <c r="E508" s="4" t="s">
        <v>12</v>
      </c>
      <c r="F508" s="4"/>
      <c r="G508" s="29">
        <f>G509</f>
        <v>398069.57</v>
      </c>
      <c r="H508" s="33"/>
    </row>
    <row r="509" spans="1:8" ht="110.25">
      <c r="A509" s="21" t="s">
        <v>245</v>
      </c>
      <c r="B509" s="4" t="s">
        <v>359</v>
      </c>
      <c r="C509" s="4" t="s">
        <v>651</v>
      </c>
      <c r="D509" s="4" t="s">
        <v>661</v>
      </c>
      <c r="E509" s="4" t="s">
        <v>12</v>
      </c>
      <c r="F509" s="4" t="s">
        <v>312</v>
      </c>
      <c r="G509" s="29">
        <f>305737+92332.57</f>
        <v>398069.57</v>
      </c>
      <c r="H509" s="33"/>
    </row>
    <row r="510" spans="1:8" ht="154.5" customHeight="1">
      <c r="A510" s="21" t="s">
        <v>72</v>
      </c>
      <c r="B510" s="235" t="s">
        <v>359</v>
      </c>
      <c r="C510" s="235" t="s">
        <v>651</v>
      </c>
      <c r="D510" s="235" t="s">
        <v>661</v>
      </c>
      <c r="E510" s="235" t="s">
        <v>73</v>
      </c>
      <c r="F510" s="235"/>
      <c r="G510" s="233">
        <f>G512+G513</f>
        <v>980780.1599999999</v>
      </c>
      <c r="H510" s="234"/>
    </row>
    <row r="511" spans="1:8" ht="78.75">
      <c r="A511" s="21" t="s">
        <v>71</v>
      </c>
      <c r="B511" s="235"/>
      <c r="C511" s="235"/>
      <c r="D511" s="235"/>
      <c r="E511" s="235"/>
      <c r="F511" s="235"/>
      <c r="G511" s="233"/>
      <c r="H511" s="234"/>
    </row>
    <row r="512" spans="1:8" ht="110.25">
      <c r="A512" s="21" t="s">
        <v>245</v>
      </c>
      <c r="B512" s="4" t="s">
        <v>359</v>
      </c>
      <c r="C512" s="4" t="s">
        <v>651</v>
      </c>
      <c r="D512" s="4" t="s">
        <v>661</v>
      </c>
      <c r="E512" s="4" t="s">
        <v>73</v>
      </c>
      <c r="F512" s="4" t="s">
        <v>312</v>
      </c>
      <c r="G512" s="29">
        <f>150319.81+151980.49+45898.11</f>
        <v>348198.41</v>
      </c>
      <c r="H512" s="33"/>
    </row>
    <row r="513" spans="1:8" ht="31.5">
      <c r="A513" s="60" t="s">
        <v>560</v>
      </c>
      <c r="B513" s="4" t="s">
        <v>359</v>
      </c>
      <c r="C513" s="4" t="s">
        <v>651</v>
      </c>
      <c r="D513" s="4" t="s">
        <v>661</v>
      </c>
      <c r="E513" s="4" t="s">
        <v>73</v>
      </c>
      <c r="F513" s="4" t="s">
        <v>561</v>
      </c>
      <c r="G513" s="29">
        <f>428159.34+204422.41</f>
        <v>632581.75</v>
      </c>
      <c r="H513" s="33"/>
    </row>
    <row r="514" spans="1:8" ht="94.5">
      <c r="A514" s="21" t="s">
        <v>235</v>
      </c>
      <c r="B514" s="4" t="s">
        <v>359</v>
      </c>
      <c r="C514" s="4" t="s">
        <v>651</v>
      </c>
      <c r="D514" s="4" t="s">
        <v>661</v>
      </c>
      <c r="E514" s="4" t="s">
        <v>269</v>
      </c>
      <c r="F514" s="4"/>
      <c r="G514" s="29">
        <f>G515</f>
        <v>330699</v>
      </c>
      <c r="H514" s="33"/>
    </row>
    <row r="515" spans="1:10" ht="110.25">
      <c r="A515" s="21" t="s">
        <v>245</v>
      </c>
      <c r="B515" s="4" t="s">
        <v>359</v>
      </c>
      <c r="C515" s="4" t="s">
        <v>651</v>
      </c>
      <c r="D515" s="4" t="s">
        <v>661</v>
      </c>
      <c r="E515" s="4" t="s">
        <v>269</v>
      </c>
      <c r="F515" s="4" t="s">
        <v>312</v>
      </c>
      <c r="G515" s="29">
        <f>274420-13721+70000</f>
        <v>330699</v>
      </c>
      <c r="H515" s="33"/>
      <c r="J515" s="26"/>
    </row>
    <row r="516" spans="1:13" s="16" customFormat="1" ht="31.5">
      <c r="A516" s="1" t="s">
        <v>680</v>
      </c>
      <c r="B516" s="2" t="s">
        <v>359</v>
      </c>
      <c r="C516" s="2" t="s">
        <v>651</v>
      </c>
      <c r="D516" s="2" t="s">
        <v>310</v>
      </c>
      <c r="E516" s="2"/>
      <c r="F516" s="2"/>
      <c r="G516" s="33">
        <f>G517</f>
        <v>174039.99</v>
      </c>
      <c r="H516" s="33"/>
      <c r="I516" s="48"/>
      <c r="J516" s="48"/>
      <c r="M516" s="209"/>
    </row>
    <row r="517" spans="1:10" ht="63">
      <c r="A517" s="27" t="s">
        <v>541</v>
      </c>
      <c r="B517" s="4" t="s">
        <v>359</v>
      </c>
      <c r="C517" s="4" t="s">
        <v>651</v>
      </c>
      <c r="D517" s="4" t="s">
        <v>310</v>
      </c>
      <c r="E517" s="4" t="s">
        <v>708</v>
      </c>
      <c r="F517" s="4"/>
      <c r="G517" s="29">
        <f>G518</f>
        <v>174039.99</v>
      </c>
      <c r="H517" s="33"/>
      <c r="J517" s="26"/>
    </row>
    <row r="518" spans="1:10" ht="47.25">
      <c r="A518" s="3" t="s">
        <v>419</v>
      </c>
      <c r="B518" s="4" t="s">
        <v>359</v>
      </c>
      <c r="C518" s="4" t="s">
        <v>651</v>
      </c>
      <c r="D518" s="4" t="s">
        <v>310</v>
      </c>
      <c r="E518" s="4" t="s">
        <v>420</v>
      </c>
      <c r="F518" s="4"/>
      <c r="G518" s="29">
        <f>G519</f>
        <v>174039.99</v>
      </c>
      <c r="H518" s="33"/>
      <c r="J518" s="26"/>
    </row>
    <row r="519" spans="1:10" ht="31.5">
      <c r="A519" s="3" t="s">
        <v>719</v>
      </c>
      <c r="B519" s="4" t="s">
        <v>359</v>
      </c>
      <c r="C519" s="4" t="s">
        <v>651</v>
      </c>
      <c r="D519" s="4" t="s">
        <v>310</v>
      </c>
      <c r="E519" s="4" t="s">
        <v>421</v>
      </c>
      <c r="F519" s="61"/>
      <c r="G519" s="29">
        <f>G520+G521</f>
        <v>174039.99</v>
      </c>
      <c r="H519" s="33"/>
      <c r="J519" s="26"/>
    </row>
    <row r="520" spans="1:10" ht="110.25">
      <c r="A520" s="3" t="s">
        <v>245</v>
      </c>
      <c r="B520" s="4" t="s">
        <v>359</v>
      </c>
      <c r="C520" s="4" t="s">
        <v>651</v>
      </c>
      <c r="D520" s="4" t="s">
        <v>310</v>
      </c>
      <c r="E520" s="4" t="s">
        <v>421</v>
      </c>
      <c r="F520" s="61">
        <v>100</v>
      </c>
      <c r="G520" s="29">
        <f>13200-50-36-574</f>
        <v>12540</v>
      </c>
      <c r="H520" s="33"/>
      <c r="J520" s="26"/>
    </row>
    <row r="521" spans="1:10" ht="47.25">
      <c r="A521" s="3" t="s">
        <v>702</v>
      </c>
      <c r="B521" s="4" t="s">
        <v>359</v>
      </c>
      <c r="C521" s="4" t="s">
        <v>651</v>
      </c>
      <c r="D521" s="4" t="s">
        <v>310</v>
      </c>
      <c r="E521" s="4" t="s">
        <v>421</v>
      </c>
      <c r="F521" s="61">
        <v>200</v>
      </c>
      <c r="G521" s="29">
        <f>170000-8500.01</f>
        <v>161499.99</v>
      </c>
      <c r="H521" s="33"/>
      <c r="J521" s="26"/>
    </row>
    <row r="522" spans="1:8" ht="75" hidden="1">
      <c r="A522" s="10" t="s">
        <v>671</v>
      </c>
      <c r="B522" s="5" t="s">
        <v>359</v>
      </c>
      <c r="C522" s="5" t="s">
        <v>658</v>
      </c>
      <c r="D522" s="5" t="s">
        <v>681</v>
      </c>
      <c r="E522" s="5"/>
      <c r="F522" s="5"/>
      <c r="G522" s="28">
        <f>G523</f>
        <v>0</v>
      </c>
      <c r="H522" s="28"/>
    </row>
    <row r="523" spans="1:8" ht="63" hidden="1">
      <c r="A523" s="1" t="s">
        <v>685</v>
      </c>
      <c r="B523" s="2" t="s">
        <v>359</v>
      </c>
      <c r="C523" s="2" t="s">
        <v>658</v>
      </c>
      <c r="D523" s="2" t="s">
        <v>563</v>
      </c>
      <c r="E523" s="2"/>
      <c r="F523" s="2"/>
      <c r="G523" s="33">
        <f>G524</f>
        <v>0</v>
      </c>
      <c r="H523" s="33"/>
    </row>
    <row r="524" spans="1:8" ht="78.75" hidden="1">
      <c r="A524" s="3" t="s">
        <v>545</v>
      </c>
      <c r="B524" s="4" t="s">
        <v>359</v>
      </c>
      <c r="C524" s="4" t="s">
        <v>658</v>
      </c>
      <c r="D524" s="4" t="s">
        <v>563</v>
      </c>
      <c r="E524" s="4" t="s">
        <v>406</v>
      </c>
      <c r="F524" s="4"/>
      <c r="G524" s="29">
        <f>G525</f>
        <v>0</v>
      </c>
      <c r="H524" s="29"/>
    </row>
    <row r="525" spans="1:8" ht="63" hidden="1">
      <c r="A525" s="3" t="s">
        <v>407</v>
      </c>
      <c r="B525" s="4" t="s">
        <v>359</v>
      </c>
      <c r="C525" s="4" t="s">
        <v>658</v>
      </c>
      <c r="D525" s="4" t="s">
        <v>563</v>
      </c>
      <c r="E525" s="4" t="s">
        <v>408</v>
      </c>
      <c r="F525" s="4"/>
      <c r="G525" s="29">
        <f>G526</f>
        <v>0</v>
      </c>
      <c r="H525" s="29"/>
    </row>
    <row r="526" spans="1:8" ht="47.25" hidden="1">
      <c r="A526" s="3" t="s">
        <v>409</v>
      </c>
      <c r="B526" s="4" t="s">
        <v>359</v>
      </c>
      <c r="C526" s="4" t="s">
        <v>658</v>
      </c>
      <c r="D526" s="4" t="s">
        <v>563</v>
      </c>
      <c r="E526" s="4" t="s">
        <v>410</v>
      </c>
      <c r="F526" s="4"/>
      <c r="G526" s="29">
        <f>G527</f>
        <v>0</v>
      </c>
      <c r="H526" s="29"/>
    </row>
    <row r="527" spans="1:8" ht="87" customHeight="1" hidden="1">
      <c r="A527" s="3" t="s">
        <v>723</v>
      </c>
      <c r="B527" s="4" t="s">
        <v>359</v>
      </c>
      <c r="C527" s="4" t="s">
        <v>658</v>
      </c>
      <c r="D527" s="4" t="s">
        <v>563</v>
      </c>
      <c r="E527" s="4" t="s">
        <v>410</v>
      </c>
      <c r="F527" s="4" t="s">
        <v>317</v>
      </c>
      <c r="G527" s="29"/>
      <c r="H527" s="29"/>
    </row>
    <row r="528" spans="1:8" ht="15.75">
      <c r="A528" s="13" t="s">
        <v>672</v>
      </c>
      <c r="B528" s="5" t="s">
        <v>359</v>
      </c>
      <c r="C528" s="5" t="s">
        <v>661</v>
      </c>
      <c r="D528" s="5"/>
      <c r="E528" s="5"/>
      <c r="F528" s="5"/>
      <c r="G528" s="28">
        <f>G529</f>
        <v>6135903.029999999</v>
      </c>
      <c r="H528" s="28"/>
    </row>
    <row r="529" spans="1:8" ht="15.75">
      <c r="A529" s="3" t="s">
        <v>304</v>
      </c>
      <c r="B529" s="4" t="s">
        <v>359</v>
      </c>
      <c r="C529" s="4" t="s">
        <v>661</v>
      </c>
      <c r="D529" s="4" t="s">
        <v>659</v>
      </c>
      <c r="E529" s="4"/>
      <c r="F529" s="4"/>
      <c r="G529" s="29">
        <f>G530</f>
        <v>6135903.029999999</v>
      </c>
      <c r="H529" s="33"/>
    </row>
    <row r="530" spans="1:8" ht="47.25">
      <c r="A530" s="3" t="s">
        <v>548</v>
      </c>
      <c r="B530" s="4" t="s">
        <v>359</v>
      </c>
      <c r="C530" s="4" t="s">
        <v>661</v>
      </c>
      <c r="D530" s="4" t="s">
        <v>659</v>
      </c>
      <c r="E530" s="4" t="s">
        <v>703</v>
      </c>
      <c r="F530" s="4"/>
      <c r="G530" s="29">
        <f>G531</f>
        <v>6135903.029999999</v>
      </c>
      <c r="H530" s="33"/>
    </row>
    <row r="531" spans="1:8" ht="63">
      <c r="A531" s="3" t="s">
        <v>704</v>
      </c>
      <c r="B531" s="4" t="s">
        <v>359</v>
      </c>
      <c r="C531" s="4" t="s">
        <v>661</v>
      </c>
      <c r="D531" s="4" t="s">
        <v>659</v>
      </c>
      <c r="E531" s="4" t="s">
        <v>705</v>
      </c>
      <c r="F531" s="4"/>
      <c r="G531" s="29">
        <f>G532</f>
        <v>6135903.029999999</v>
      </c>
      <c r="H531" s="33"/>
    </row>
    <row r="532" spans="1:8" ht="31.5">
      <c r="A532" s="3" t="s">
        <v>706</v>
      </c>
      <c r="B532" s="4" t="s">
        <v>359</v>
      </c>
      <c r="C532" s="4" t="s">
        <v>661</v>
      </c>
      <c r="D532" s="4" t="s">
        <v>659</v>
      </c>
      <c r="E532" s="4" t="s">
        <v>707</v>
      </c>
      <c r="F532" s="4"/>
      <c r="G532" s="29">
        <f>G533+G534</f>
        <v>6135903.029999999</v>
      </c>
      <c r="H532" s="33"/>
    </row>
    <row r="533" spans="1:8" ht="47.25">
      <c r="A533" s="3" t="s">
        <v>702</v>
      </c>
      <c r="B533" s="4" t="s">
        <v>359</v>
      </c>
      <c r="C533" s="4" t="s">
        <v>661</v>
      </c>
      <c r="D533" s="4" t="s">
        <v>659</v>
      </c>
      <c r="E533" s="4" t="s">
        <v>707</v>
      </c>
      <c r="F533" s="4" t="s">
        <v>313</v>
      </c>
      <c r="G533" s="29">
        <f>517231.3-1425-3299.07-16107.5-280-4750</f>
        <v>491369.73</v>
      </c>
      <c r="H533" s="33"/>
    </row>
    <row r="534" spans="1:8" ht="63">
      <c r="A534" s="3" t="s">
        <v>723</v>
      </c>
      <c r="B534" s="4" t="s">
        <v>359</v>
      </c>
      <c r="C534" s="4" t="s">
        <v>661</v>
      </c>
      <c r="D534" s="4" t="s">
        <v>659</v>
      </c>
      <c r="E534" s="4" t="s">
        <v>707</v>
      </c>
      <c r="F534" s="4" t="s">
        <v>317</v>
      </c>
      <c r="G534" s="29">
        <f>6134548-247185.5-59541.9-109341.2-73946.1</f>
        <v>5644533.3</v>
      </c>
      <c r="H534" s="33"/>
    </row>
    <row r="535" spans="1:8" ht="18.75">
      <c r="A535" s="10" t="s">
        <v>662</v>
      </c>
      <c r="B535" s="11" t="s">
        <v>359</v>
      </c>
      <c r="C535" s="11" t="s">
        <v>654</v>
      </c>
      <c r="D535" s="23"/>
      <c r="E535" s="23"/>
      <c r="F535" s="23"/>
      <c r="G535" s="28">
        <f>G558+G582+G589+G536</f>
        <v>1162787398.4</v>
      </c>
      <c r="H535" s="28">
        <f>H558+H582+H589+H536</f>
        <v>601796002</v>
      </c>
    </row>
    <row r="536" spans="1:8" ht="23.25" customHeight="1">
      <c r="A536" s="1" t="s">
        <v>663</v>
      </c>
      <c r="B536" s="2" t="s">
        <v>359</v>
      </c>
      <c r="C536" s="2" t="s">
        <v>654</v>
      </c>
      <c r="D536" s="2" t="s">
        <v>651</v>
      </c>
      <c r="E536" s="2"/>
      <c r="F536" s="4"/>
      <c r="G536" s="29">
        <f>G537+G554</f>
        <v>469421603.32</v>
      </c>
      <c r="H536" s="29">
        <f>H537</f>
        <v>276466589</v>
      </c>
    </row>
    <row r="537" spans="1:8" ht="73.5" customHeight="1">
      <c r="A537" s="3" t="s">
        <v>539</v>
      </c>
      <c r="B537" s="4" t="s">
        <v>359</v>
      </c>
      <c r="C537" s="4" t="s">
        <v>654</v>
      </c>
      <c r="D537" s="4" t="s">
        <v>651</v>
      </c>
      <c r="E537" s="4" t="s">
        <v>724</v>
      </c>
      <c r="F537" s="4"/>
      <c r="G537" s="29">
        <f>G538+G549</f>
        <v>469316732.82</v>
      </c>
      <c r="H537" s="29">
        <f>H538+H549+H554</f>
        <v>276466589</v>
      </c>
    </row>
    <row r="538" spans="1:8" ht="47.25">
      <c r="A538" s="3" t="s">
        <v>745</v>
      </c>
      <c r="B538" s="4" t="s">
        <v>359</v>
      </c>
      <c r="C538" s="4" t="s">
        <v>654</v>
      </c>
      <c r="D538" s="4" t="s">
        <v>651</v>
      </c>
      <c r="E538" s="4" t="s">
        <v>746</v>
      </c>
      <c r="F538" s="4"/>
      <c r="G538" s="29">
        <f>G547+G543+G545+G539+G541</f>
        <v>455298585.52</v>
      </c>
      <c r="H538" s="29">
        <f>H547+H543+H545+H539+H541</f>
        <v>276466589</v>
      </c>
    </row>
    <row r="539" spans="1:8" ht="94.5">
      <c r="A539" s="3" t="s">
        <v>493</v>
      </c>
      <c r="B539" s="4" t="s">
        <v>359</v>
      </c>
      <c r="C539" s="4" t="s">
        <v>654</v>
      </c>
      <c r="D539" s="4" t="s">
        <v>651</v>
      </c>
      <c r="E539" s="4" t="s">
        <v>494</v>
      </c>
      <c r="F539" s="4"/>
      <c r="G539" s="29">
        <f>G540</f>
        <v>178831996.52</v>
      </c>
      <c r="H539" s="29"/>
    </row>
    <row r="540" spans="1:8" ht="63">
      <c r="A540" s="3" t="s">
        <v>723</v>
      </c>
      <c r="B540" s="4" t="s">
        <v>359</v>
      </c>
      <c r="C540" s="4" t="s">
        <v>654</v>
      </c>
      <c r="D540" s="4" t="s">
        <v>651</v>
      </c>
      <c r="E540" s="4" t="s">
        <v>494</v>
      </c>
      <c r="F540" s="4" t="s">
        <v>317</v>
      </c>
      <c r="G540" s="29">
        <f>186930052.7+294659+1156870+470300-7734911.66-940945.71-306290.76-980553.13-26418.47-30765.45</f>
        <v>178831996.52</v>
      </c>
      <c r="H540" s="29"/>
    </row>
    <row r="541" spans="1:8" ht="126">
      <c r="A541" s="3" t="s">
        <v>750</v>
      </c>
      <c r="B541" s="4" t="s">
        <v>359</v>
      </c>
      <c r="C541" s="4" t="s">
        <v>654</v>
      </c>
      <c r="D541" s="4" t="s">
        <v>651</v>
      </c>
      <c r="E541" s="4" t="s">
        <v>751</v>
      </c>
      <c r="F541" s="4"/>
      <c r="G541" s="29">
        <f>G542</f>
        <v>924600</v>
      </c>
      <c r="H541" s="29">
        <f>H542</f>
        <v>924600</v>
      </c>
    </row>
    <row r="542" spans="1:8" ht="63">
      <c r="A542" s="3" t="s">
        <v>723</v>
      </c>
      <c r="B542" s="4" t="s">
        <v>359</v>
      </c>
      <c r="C542" s="4" t="s">
        <v>654</v>
      </c>
      <c r="D542" s="4" t="s">
        <v>651</v>
      </c>
      <c r="E542" s="4" t="s">
        <v>751</v>
      </c>
      <c r="F542" s="4" t="s">
        <v>317</v>
      </c>
      <c r="G542" s="29">
        <v>924600</v>
      </c>
      <c r="H542" s="29">
        <f>G542</f>
        <v>924600</v>
      </c>
    </row>
    <row r="543" spans="1:8" ht="126">
      <c r="A543" s="3" t="s">
        <v>349</v>
      </c>
      <c r="B543" s="4" t="s">
        <v>359</v>
      </c>
      <c r="C543" s="4" t="s">
        <v>654</v>
      </c>
      <c r="D543" s="4" t="s">
        <v>651</v>
      </c>
      <c r="E543" s="4" t="s">
        <v>466</v>
      </c>
      <c r="F543" s="4"/>
      <c r="G543" s="29">
        <f>G544</f>
        <v>573289</v>
      </c>
      <c r="H543" s="29">
        <f>H544</f>
        <v>573289</v>
      </c>
    </row>
    <row r="544" spans="1:8" ht="63">
      <c r="A544" s="3" t="s">
        <v>723</v>
      </c>
      <c r="B544" s="4" t="s">
        <v>359</v>
      </c>
      <c r="C544" s="4" t="s">
        <v>654</v>
      </c>
      <c r="D544" s="4" t="s">
        <v>651</v>
      </c>
      <c r="E544" s="4" t="s">
        <v>466</v>
      </c>
      <c r="F544" s="4" t="s">
        <v>317</v>
      </c>
      <c r="G544" s="29">
        <v>573289</v>
      </c>
      <c r="H544" s="29">
        <f>G544</f>
        <v>573289</v>
      </c>
    </row>
    <row r="545" spans="1:8" ht="110.25" hidden="1">
      <c r="A545" s="3" t="s">
        <v>698</v>
      </c>
      <c r="B545" s="4" t="s">
        <v>359</v>
      </c>
      <c r="C545" s="4" t="s">
        <v>654</v>
      </c>
      <c r="D545" s="4" t="s">
        <v>651</v>
      </c>
      <c r="E545" s="4" t="s">
        <v>472</v>
      </c>
      <c r="F545" s="4"/>
      <c r="G545" s="29">
        <f>G546</f>
        <v>0</v>
      </c>
      <c r="H545" s="29">
        <f>H546</f>
        <v>0</v>
      </c>
    </row>
    <row r="546" spans="1:8" ht="63" hidden="1">
      <c r="A546" s="3" t="s">
        <v>723</v>
      </c>
      <c r="B546" s="4" t="s">
        <v>359</v>
      </c>
      <c r="C546" s="4" t="s">
        <v>654</v>
      </c>
      <c r="D546" s="4" t="s">
        <v>651</v>
      </c>
      <c r="E546" s="4" t="s">
        <v>472</v>
      </c>
      <c r="F546" s="4" t="s">
        <v>317</v>
      </c>
      <c r="G546" s="29"/>
      <c r="H546" s="29">
        <f>G546</f>
        <v>0</v>
      </c>
    </row>
    <row r="547" spans="1:8" ht="94.5">
      <c r="A547" s="3" t="s">
        <v>747</v>
      </c>
      <c r="B547" s="4" t="s">
        <v>359</v>
      </c>
      <c r="C547" s="4" t="s">
        <v>654</v>
      </c>
      <c r="D547" s="4" t="s">
        <v>651</v>
      </c>
      <c r="E547" s="4" t="s">
        <v>748</v>
      </c>
      <c r="F547" s="4"/>
      <c r="G547" s="29">
        <f>G548</f>
        <v>274968700</v>
      </c>
      <c r="H547" s="29">
        <f>H548</f>
        <v>274968700</v>
      </c>
    </row>
    <row r="548" spans="1:8" ht="63">
      <c r="A548" s="3" t="s">
        <v>723</v>
      </c>
      <c r="B548" s="4" t="s">
        <v>359</v>
      </c>
      <c r="C548" s="4" t="s">
        <v>654</v>
      </c>
      <c r="D548" s="4" t="s">
        <v>651</v>
      </c>
      <c r="E548" s="4" t="s">
        <v>748</v>
      </c>
      <c r="F548" s="4" t="s">
        <v>317</v>
      </c>
      <c r="G548" s="29">
        <f>290058500-15089800</f>
        <v>274968700</v>
      </c>
      <c r="H548" s="29">
        <f>G548</f>
        <v>274968700</v>
      </c>
    </row>
    <row r="549" spans="1:8" ht="63">
      <c r="A549" s="3" t="s">
        <v>347</v>
      </c>
      <c r="B549" s="4" t="s">
        <v>359</v>
      </c>
      <c r="C549" s="4" t="s">
        <v>654</v>
      </c>
      <c r="D549" s="4" t="s">
        <v>651</v>
      </c>
      <c r="E549" s="4" t="s">
        <v>348</v>
      </c>
      <c r="F549" s="4"/>
      <c r="G549" s="29">
        <f>G550+G552</f>
        <v>14018147.3</v>
      </c>
      <c r="H549" s="29"/>
    </row>
    <row r="550" spans="1:13" ht="47.25">
      <c r="A550" s="3" t="s">
        <v>512</v>
      </c>
      <c r="B550" s="4" t="s">
        <v>359</v>
      </c>
      <c r="C550" s="4" t="s">
        <v>654</v>
      </c>
      <c r="D550" s="4" t="s">
        <v>651</v>
      </c>
      <c r="E550" s="4" t="s">
        <v>460</v>
      </c>
      <c r="F550" s="4"/>
      <c r="G550" s="29">
        <f>G551</f>
        <v>4575436.62</v>
      </c>
      <c r="H550" s="29"/>
      <c r="M550" s="208" t="s">
        <v>875</v>
      </c>
    </row>
    <row r="551" spans="1:14" ht="63">
      <c r="A551" s="3" t="s">
        <v>723</v>
      </c>
      <c r="B551" s="4" t="s">
        <v>359</v>
      </c>
      <c r="C551" s="4" t="s">
        <v>654</v>
      </c>
      <c r="D551" s="4" t="s">
        <v>651</v>
      </c>
      <c r="E551" s="4" t="s">
        <v>460</v>
      </c>
      <c r="F551" s="4" t="s">
        <v>317</v>
      </c>
      <c r="G551" s="29">
        <f>3412472+1000000+162964.62</f>
        <v>4575436.62</v>
      </c>
      <c r="H551" s="29"/>
      <c r="J551" s="26"/>
      <c r="M551" s="208">
        <f>4575436.62-4412472</f>
        <v>162964.6200000001</v>
      </c>
      <c r="N551" s="26"/>
    </row>
    <row r="552" spans="1:8" ht="31.5">
      <c r="A552" s="3" t="s">
        <v>706</v>
      </c>
      <c r="B552" s="4" t="s">
        <v>359</v>
      </c>
      <c r="C552" s="4" t="s">
        <v>654</v>
      </c>
      <c r="D552" s="4" t="s">
        <v>651</v>
      </c>
      <c r="E552" s="4" t="s">
        <v>232</v>
      </c>
      <c r="F552" s="4"/>
      <c r="G552" s="29">
        <f>G553</f>
        <v>9442710.68</v>
      </c>
      <c r="H552" s="29"/>
    </row>
    <row r="553" spans="1:10" ht="63">
      <c r="A553" s="3" t="s">
        <v>723</v>
      </c>
      <c r="B553" s="4" t="s">
        <v>359</v>
      </c>
      <c r="C553" s="4" t="s">
        <v>654</v>
      </c>
      <c r="D553" s="4" t="s">
        <v>651</v>
      </c>
      <c r="E553" s="4" t="s">
        <v>232</v>
      </c>
      <c r="F553" s="4" t="s">
        <v>317</v>
      </c>
      <c r="G553" s="29">
        <f>17098791-854939.55-4337746.77-511000+742941-2695335</f>
        <v>9442710.68</v>
      </c>
      <c r="H553" s="29"/>
      <c r="J553" s="26"/>
    </row>
    <row r="554" spans="1:8" ht="71.25" customHeight="1">
      <c r="A554" s="3" t="s">
        <v>545</v>
      </c>
      <c r="B554" s="4" t="s">
        <v>359</v>
      </c>
      <c r="C554" s="4" t="s">
        <v>654</v>
      </c>
      <c r="D554" s="4" t="s">
        <v>651</v>
      </c>
      <c r="E554" s="4" t="s">
        <v>406</v>
      </c>
      <c r="F554" s="4"/>
      <c r="G554" s="29">
        <f>G555</f>
        <v>104870.5</v>
      </c>
      <c r="H554" s="29"/>
    </row>
    <row r="555" spans="1:8" ht="78.75">
      <c r="A555" s="3" t="s">
        <v>411</v>
      </c>
      <c r="B555" s="4" t="s">
        <v>359</v>
      </c>
      <c r="C555" s="4" t="s">
        <v>654</v>
      </c>
      <c r="D555" s="4" t="s">
        <v>651</v>
      </c>
      <c r="E555" s="4" t="s">
        <v>412</v>
      </c>
      <c r="F555" s="4"/>
      <c r="G555" s="29">
        <f>G556</f>
        <v>104870.5</v>
      </c>
      <c r="H555" s="29"/>
    </row>
    <row r="556" spans="1:10" ht="31.5">
      <c r="A556" s="3" t="s">
        <v>719</v>
      </c>
      <c r="B556" s="4" t="s">
        <v>359</v>
      </c>
      <c r="C556" s="4" t="s">
        <v>654</v>
      </c>
      <c r="D556" s="4" t="s">
        <v>651</v>
      </c>
      <c r="E556" s="4" t="s">
        <v>413</v>
      </c>
      <c r="F556" s="4"/>
      <c r="G556" s="29">
        <f>G557</f>
        <v>104870.5</v>
      </c>
      <c r="H556" s="29"/>
      <c r="J556" s="26"/>
    </row>
    <row r="557" spans="1:8" ht="63">
      <c r="A557" s="3" t="s">
        <v>723</v>
      </c>
      <c r="B557" s="4" t="s">
        <v>359</v>
      </c>
      <c r="C557" s="4" t="s">
        <v>654</v>
      </c>
      <c r="D557" s="4" t="s">
        <v>651</v>
      </c>
      <c r="E557" s="4" t="s">
        <v>413</v>
      </c>
      <c r="F557" s="4" t="s">
        <v>317</v>
      </c>
      <c r="G557" s="29">
        <f>110390-4819.5-700</f>
        <v>104870.5</v>
      </c>
      <c r="H557" s="29"/>
    </row>
    <row r="558" spans="1:14" ht="15.75">
      <c r="A558" s="1" t="s">
        <v>664</v>
      </c>
      <c r="B558" s="2" t="s">
        <v>359</v>
      </c>
      <c r="C558" s="2" t="s">
        <v>654</v>
      </c>
      <c r="D558" s="2" t="s">
        <v>656</v>
      </c>
      <c r="E558" s="4"/>
      <c r="F558" s="4"/>
      <c r="G558" s="33">
        <f>G559+G578</f>
        <v>610403425.53</v>
      </c>
      <c r="H558" s="33">
        <f>H559+H578</f>
        <v>306613109</v>
      </c>
      <c r="M558" s="208">
        <f>610403425.53-610566390.15</f>
        <v>-162964.62000000477</v>
      </c>
      <c r="N558" s="26"/>
    </row>
    <row r="559" spans="1:8" ht="47.25">
      <c r="A559" s="3" t="s">
        <v>539</v>
      </c>
      <c r="B559" s="4" t="s">
        <v>359</v>
      </c>
      <c r="C559" s="4" t="s">
        <v>654</v>
      </c>
      <c r="D559" s="4" t="s">
        <v>656</v>
      </c>
      <c r="E559" s="4" t="s">
        <v>724</v>
      </c>
      <c r="F559" s="4"/>
      <c r="G559" s="29">
        <f>G560+G571</f>
        <v>610327083.53</v>
      </c>
      <c r="H559" s="29">
        <f>H560+H571</f>
        <v>306613109</v>
      </c>
    </row>
    <row r="560" spans="1:8" ht="63">
      <c r="A560" s="3" t="s">
        <v>742</v>
      </c>
      <c r="B560" s="4" t="s">
        <v>359</v>
      </c>
      <c r="C560" s="4" t="s">
        <v>654</v>
      </c>
      <c r="D560" s="4" t="s">
        <v>656</v>
      </c>
      <c r="E560" s="4" t="s">
        <v>743</v>
      </c>
      <c r="F560" s="4"/>
      <c r="G560" s="29">
        <f>G567+G565+G569+G561+G563</f>
        <v>589811168.65</v>
      </c>
      <c r="H560" s="29">
        <f>H567+H565+H569+H561+H563</f>
        <v>301807009</v>
      </c>
    </row>
    <row r="561" spans="1:8" ht="94.5">
      <c r="A561" s="3" t="s">
        <v>493</v>
      </c>
      <c r="B561" s="4" t="s">
        <v>359</v>
      </c>
      <c r="C561" s="4" t="s">
        <v>654</v>
      </c>
      <c r="D561" s="4" t="s">
        <v>656</v>
      </c>
      <c r="E561" s="4" t="s">
        <v>495</v>
      </c>
      <c r="F561" s="4"/>
      <c r="G561" s="29">
        <f>G562</f>
        <v>288004159.65</v>
      </c>
      <c r="H561" s="29"/>
    </row>
    <row r="562" spans="1:8" ht="63">
      <c r="A562" s="3" t="s">
        <v>723</v>
      </c>
      <c r="B562" s="4" t="s">
        <v>359</v>
      </c>
      <c r="C562" s="4" t="s">
        <v>654</v>
      </c>
      <c r="D562" s="4" t="s">
        <v>656</v>
      </c>
      <c r="E562" s="4" t="s">
        <v>495</v>
      </c>
      <c r="F562" s="4" t="s">
        <v>317</v>
      </c>
      <c r="G562" s="29">
        <f>293315655.7+1158900+71400+9750680-9772149.05-1410057.13-302231.43-4295016.57-331344.75-46541.02-135136.1</f>
        <v>288004159.65</v>
      </c>
      <c r="H562" s="29"/>
    </row>
    <row r="563" spans="1:8" ht="126">
      <c r="A563" s="3" t="s">
        <v>750</v>
      </c>
      <c r="B563" s="4" t="s">
        <v>359</v>
      </c>
      <c r="C563" s="4" t="s">
        <v>654</v>
      </c>
      <c r="D563" s="4" t="s">
        <v>656</v>
      </c>
      <c r="E563" s="4" t="s">
        <v>752</v>
      </c>
      <c r="F563" s="4"/>
      <c r="G563" s="29">
        <f>G564</f>
        <v>2376010</v>
      </c>
      <c r="H563" s="29">
        <f>H564</f>
        <v>2376010</v>
      </c>
    </row>
    <row r="564" spans="1:8" ht="63">
      <c r="A564" s="3" t="s">
        <v>723</v>
      </c>
      <c r="B564" s="4" t="s">
        <v>359</v>
      </c>
      <c r="C564" s="4" t="s">
        <v>654</v>
      </c>
      <c r="D564" s="4" t="s">
        <v>656</v>
      </c>
      <c r="E564" s="4" t="s">
        <v>752</v>
      </c>
      <c r="F564" s="4" t="s">
        <v>317</v>
      </c>
      <c r="G564" s="29">
        <v>2376010</v>
      </c>
      <c r="H564" s="29">
        <f>G564</f>
        <v>2376010</v>
      </c>
    </row>
    <row r="565" spans="1:8" ht="126">
      <c r="A565" s="3" t="s">
        <v>349</v>
      </c>
      <c r="B565" s="4" t="s">
        <v>359</v>
      </c>
      <c r="C565" s="4" t="s">
        <v>654</v>
      </c>
      <c r="D565" s="4" t="s">
        <v>656</v>
      </c>
      <c r="E565" s="4" t="s">
        <v>467</v>
      </c>
      <c r="F565" s="4"/>
      <c r="G565" s="29">
        <f>G566</f>
        <v>460299</v>
      </c>
      <c r="H565" s="29">
        <f>H566</f>
        <v>460299</v>
      </c>
    </row>
    <row r="566" spans="1:10" ht="63">
      <c r="A566" s="3" t="s">
        <v>723</v>
      </c>
      <c r="B566" s="4" t="s">
        <v>359</v>
      </c>
      <c r="C566" s="4" t="s">
        <v>654</v>
      </c>
      <c r="D566" s="4" t="s">
        <v>656</v>
      </c>
      <c r="E566" s="4" t="s">
        <v>467</v>
      </c>
      <c r="F566" s="4" t="s">
        <v>317</v>
      </c>
      <c r="G566" s="29">
        <v>460299</v>
      </c>
      <c r="H566" s="29">
        <f>G566</f>
        <v>460299</v>
      </c>
      <c r="J566" s="26"/>
    </row>
    <row r="567" spans="1:8" ht="123" customHeight="1">
      <c r="A567" s="3" t="s">
        <v>323</v>
      </c>
      <c r="B567" s="4" t="s">
        <v>359</v>
      </c>
      <c r="C567" s="4" t="s">
        <v>654</v>
      </c>
      <c r="D567" s="4" t="s">
        <v>656</v>
      </c>
      <c r="E567" s="4" t="s">
        <v>744</v>
      </c>
      <c r="F567" s="4"/>
      <c r="G567" s="29">
        <f>G568</f>
        <v>298970700</v>
      </c>
      <c r="H567" s="29">
        <f>H568</f>
        <v>298970700</v>
      </c>
    </row>
    <row r="568" spans="1:8" ht="63">
      <c r="A568" s="3" t="s">
        <v>723</v>
      </c>
      <c r="B568" s="4" t="s">
        <v>359</v>
      </c>
      <c r="C568" s="4" t="s">
        <v>654</v>
      </c>
      <c r="D568" s="4" t="s">
        <v>656</v>
      </c>
      <c r="E568" s="4" t="s">
        <v>744</v>
      </c>
      <c r="F568" s="4" t="s">
        <v>317</v>
      </c>
      <c r="G568" s="29">
        <f>318964800-19994100</f>
        <v>298970700</v>
      </c>
      <c r="H568" s="29">
        <f>G568</f>
        <v>298970700</v>
      </c>
    </row>
    <row r="569" spans="1:8" ht="110.25" hidden="1">
      <c r="A569" s="3" t="s">
        <v>698</v>
      </c>
      <c r="B569" s="4" t="s">
        <v>359</v>
      </c>
      <c r="C569" s="4" t="s">
        <v>654</v>
      </c>
      <c r="D569" s="4" t="s">
        <v>656</v>
      </c>
      <c r="E569" s="4" t="s">
        <v>473</v>
      </c>
      <c r="F569" s="4"/>
      <c r="G569" s="29">
        <f>G570</f>
        <v>0</v>
      </c>
      <c r="H569" s="29">
        <f>H570</f>
        <v>0</v>
      </c>
    </row>
    <row r="570" spans="1:8" ht="63" hidden="1">
      <c r="A570" s="3" t="s">
        <v>723</v>
      </c>
      <c r="B570" s="4" t="s">
        <v>359</v>
      </c>
      <c r="C570" s="4" t="s">
        <v>654</v>
      </c>
      <c r="D570" s="4" t="s">
        <v>656</v>
      </c>
      <c r="E570" s="4" t="s">
        <v>473</v>
      </c>
      <c r="F570" s="4" t="s">
        <v>317</v>
      </c>
      <c r="G570" s="29"/>
      <c r="H570" s="29">
        <f>G570</f>
        <v>0</v>
      </c>
    </row>
    <row r="571" spans="1:8" ht="63">
      <c r="A571" s="3" t="s">
        <v>347</v>
      </c>
      <c r="B571" s="4" t="s">
        <v>359</v>
      </c>
      <c r="C571" s="4" t="s">
        <v>654</v>
      </c>
      <c r="D571" s="4" t="s">
        <v>656</v>
      </c>
      <c r="E571" s="4" t="s">
        <v>348</v>
      </c>
      <c r="F571" s="4"/>
      <c r="G571" s="29">
        <f>G574+G572+G576</f>
        <v>20515914.880000003</v>
      </c>
      <c r="H571" s="29">
        <f>H574+H572+H576</f>
        <v>4806100</v>
      </c>
    </row>
    <row r="572" spans="1:8" ht="47.25">
      <c r="A572" s="3" t="s">
        <v>512</v>
      </c>
      <c r="B572" s="4" t="s">
        <v>359</v>
      </c>
      <c r="C572" s="4" t="s">
        <v>654</v>
      </c>
      <c r="D572" s="4" t="s">
        <v>656</v>
      </c>
      <c r="E572" s="4" t="s">
        <v>460</v>
      </c>
      <c r="F572" s="4"/>
      <c r="G572" s="29">
        <f>G573</f>
        <v>8774563.38</v>
      </c>
      <c r="H572" s="29"/>
    </row>
    <row r="573" spans="1:14" ht="63">
      <c r="A573" s="3" t="s">
        <v>723</v>
      </c>
      <c r="B573" s="4" t="s">
        <v>359</v>
      </c>
      <c r="C573" s="4" t="s">
        <v>654</v>
      </c>
      <c r="D573" s="4" t="s">
        <v>656</v>
      </c>
      <c r="E573" s="4" t="s">
        <v>460</v>
      </c>
      <c r="F573" s="4" t="s">
        <v>317</v>
      </c>
      <c r="G573" s="29">
        <f>8897687.76+1039840.24-1000000-162964.62</f>
        <v>8774563.38</v>
      </c>
      <c r="H573" s="29"/>
      <c r="J573" s="26"/>
      <c r="M573" s="208">
        <f>8774563.38-8937528</f>
        <v>-162964.61999999918</v>
      </c>
      <c r="N573" s="26"/>
    </row>
    <row r="574" spans="1:8" ht="42.75" customHeight="1">
      <c r="A574" s="3" t="s">
        <v>719</v>
      </c>
      <c r="B574" s="4" t="s">
        <v>359</v>
      </c>
      <c r="C574" s="4" t="s">
        <v>654</v>
      </c>
      <c r="D574" s="4" t="s">
        <v>656</v>
      </c>
      <c r="E574" s="4" t="s">
        <v>232</v>
      </c>
      <c r="F574" s="4"/>
      <c r="G574" s="29">
        <f>G575</f>
        <v>6935251.5</v>
      </c>
      <c r="H574" s="29"/>
    </row>
    <row r="575" spans="1:8" ht="74.25" customHeight="1">
      <c r="A575" s="3" t="s">
        <v>723</v>
      </c>
      <c r="B575" s="4" t="s">
        <v>359</v>
      </c>
      <c r="C575" s="4" t="s">
        <v>654</v>
      </c>
      <c r="D575" s="4" t="s">
        <v>656</v>
      </c>
      <c r="E575" s="4" t="s">
        <v>232</v>
      </c>
      <c r="F575" s="4" t="s">
        <v>317</v>
      </c>
      <c r="G575" s="29">
        <f>4463070-223153.5+2695335</f>
        <v>6935251.5</v>
      </c>
      <c r="H575" s="29"/>
    </row>
    <row r="576" spans="1:8" ht="98.25" customHeight="1">
      <c r="A576" s="3" t="s">
        <v>638</v>
      </c>
      <c r="B576" s="4" t="s">
        <v>359</v>
      </c>
      <c r="C576" s="4" t="s">
        <v>654</v>
      </c>
      <c r="D576" s="4" t="s">
        <v>656</v>
      </c>
      <c r="E576" s="4" t="s">
        <v>639</v>
      </c>
      <c r="F576" s="4"/>
      <c r="G576" s="29">
        <f>G577</f>
        <v>4806100</v>
      </c>
      <c r="H576" s="29">
        <f>H577</f>
        <v>4806100</v>
      </c>
    </row>
    <row r="577" spans="1:8" ht="74.25" customHeight="1">
      <c r="A577" s="3" t="s">
        <v>723</v>
      </c>
      <c r="B577" s="4" t="s">
        <v>359</v>
      </c>
      <c r="C577" s="4" t="s">
        <v>654</v>
      </c>
      <c r="D577" s="4" t="s">
        <v>656</v>
      </c>
      <c r="E577" s="4" t="s">
        <v>639</v>
      </c>
      <c r="F577" s="4" t="s">
        <v>317</v>
      </c>
      <c r="G577" s="29">
        <v>4806100</v>
      </c>
      <c r="H577" s="29">
        <f>G577</f>
        <v>4806100</v>
      </c>
    </row>
    <row r="578" spans="1:8" ht="63">
      <c r="A578" s="3" t="s">
        <v>545</v>
      </c>
      <c r="B578" s="4" t="s">
        <v>359</v>
      </c>
      <c r="C578" s="4" t="s">
        <v>654</v>
      </c>
      <c r="D578" s="4" t="s">
        <v>656</v>
      </c>
      <c r="E578" s="4" t="s">
        <v>406</v>
      </c>
      <c r="F578" s="4"/>
      <c r="G578" s="29">
        <f>G579</f>
        <v>76342</v>
      </c>
      <c r="H578" s="29"/>
    </row>
    <row r="579" spans="1:8" ht="75.75" customHeight="1">
      <c r="A579" s="3" t="s">
        <v>411</v>
      </c>
      <c r="B579" s="4" t="s">
        <v>359</v>
      </c>
      <c r="C579" s="4" t="s">
        <v>654</v>
      </c>
      <c r="D579" s="4" t="s">
        <v>656</v>
      </c>
      <c r="E579" s="4" t="s">
        <v>412</v>
      </c>
      <c r="F579" s="4"/>
      <c r="G579" s="29">
        <f>G580</f>
        <v>76342</v>
      </c>
      <c r="H579" s="29"/>
    </row>
    <row r="580" spans="1:10" ht="31.5">
      <c r="A580" s="3" t="s">
        <v>719</v>
      </c>
      <c r="B580" s="4" t="s">
        <v>359</v>
      </c>
      <c r="C580" s="4" t="s">
        <v>654</v>
      </c>
      <c r="D580" s="4" t="s">
        <v>656</v>
      </c>
      <c r="E580" s="4" t="s">
        <v>413</v>
      </c>
      <c r="F580" s="4"/>
      <c r="G580" s="29">
        <f>G581</f>
        <v>76342</v>
      </c>
      <c r="H580" s="29"/>
      <c r="J580" s="26"/>
    </row>
    <row r="581" spans="1:8" ht="63">
      <c r="A581" s="3" t="s">
        <v>723</v>
      </c>
      <c r="B581" s="4" t="s">
        <v>359</v>
      </c>
      <c r="C581" s="4" t="s">
        <v>654</v>
      </c>
      <c r="D581" s="4" t="s">
        <v>656</v>
      </c>
      <c r="E581" s="4" t="s">
        <v>413</v>
      </c>
      <c r="F581" s="4" t="s">
        <v>317</v>
      </c>
      <c r="G581" s="29">
        <f>80360-4018</f>
        <v>76342</v>
      </c>
      <c r="H581" s="29"/>
    </row>
    <row r="582" spans="1:8" ht="31.5">
      <c r="A582" s="13" t="s">
        <v>351</v>
      </c>
      <c r="B582" s="5" t="s">
        <v>359</v>
      </c>
      <c r="C582" s="5" t="s">
        <v>654</v>
      </c>
      <c r="D582" s="5" t="s">
        <v>654</v>
      </c>
      <c r="E582" s="23"/>
      <c r="F582" s="23"/>
      <c r="G582" s="28">
        <f aca="true" t="shared" si="5" ref="G582:H585">G583</f>
        <v>12256484.96</v>
      </c>
      <c r="H582" s="28">
        <f t="shared" si="5"/>
        <v>2824004</v>
      </c>
    </row>
    <row r="583" spans="1:8" ht="47.25">
      <c r="A583" s="3" t="s">
        <v>539</v>
      </c>
      <c r="B583" s="4" t="s">
        <v>359</v>
      </c>
      <c r="C583" s="4" t="s">
        <v>654</v>
      </c>
      <c r="D583" s="4" t="s">
        <v>654</v>
      </c>
      <c r="E583" s="4" t="s">
        <v>724</v>
      </c>
      <c r="F583" s="4"/>
      <c r="G583" s="29">
        <f>G584</f>
        <v>12256484.96</v>
      </c>
      <c r="H583" s="29">
        <f>H584</f>
        <v>2824004</v>
      </c>
    </row>
    <row r="584" spans="1:8" ht="70.5" customHeight="1">
      <c r="A584" s="3" t="s">
        <v>503</v>
      </c>
      <c r="B584" s="4" t="s">
        <v>359</v>
      </c>
      <c r="C584" s="4" t="s">
        <v>654</v>
      </c>
      <c r="D584" s="4" t="s">
        <v>654</v>
      </c>
      <c r="E584" s="4" t="s">
        <v>504</v>
      </c>
      <c r="F584" s="4"/>
      <c r="G584" s="29">
        <f>G585+G587</f>
        <v>12256484.96</v>
      </c>
      <c r="H584" s="29">
        <f>H585+H587</f>
        <v>2824004</v>
      </c>
    </row>
    <row r="585" spans="1:8" ht="78.75">
      <c r="A585" s="3" t="s">
        <v>559</v>
      </c>
      <c r="B585" s="4" t="s">
        <v>359</v>
      </c>
      <c r="C585" s="4" t="s">
        <v>654</v>
      </c>
      <c r="D585" s="4" t="s">
        <v>654</v>
      </c>
      <c r="E585" s="4" t="s">
        <v>736</v>
      </c>
      <c r="F585" s="4"/>
      <c r="G585" s="29">
        <f t="shared" si="5"/>
        <v>2824004</v>
      </c>
      <c r="H585" s="29">
        <f t="shared" si="5"/>
        <v>2824004</v>
      </c>
    </row>
    <row r="586" spans="1:8" ht="63">
      <c r="A586" s="3" t="s">
        <v>723</v>
      </c>
      <c r="B586" s="4" t="s">
        <v>359</v>
      </c>
      <c r="C586" s="4" t="s">
        <v>654</v>
      </c>
      <c r="D586" s="4" t="s">
        <v>654</v>
      </c>
      <c r="E586" s="4" t="s">
        <v>736</v>
      </c>
      <c r="F586" s="4" t="s">
        <v>317</v>
      </c>
      <c r="G586" s="29">
        <f>2920100-96096</f>
        <v>2824004</v>
      </c>
      <c r="H586" s="29">
        <f>G586</f>
        <v>2824004</v>
      </c>
    </row>
    <row r="587" spans="1:8" ht="37.5" customHeight="1">
      <c r="A587" s="3" t="s">
        <v>719</v>
      </c>
      <c r="B587" s="4" t="s">
        <v>359</v>
      </c>
      <c r="C587" s="4" t="s">
        <v>654</v>
      </c>
      <c r="D587" s="4" t="s">
        <v>654</v>
      </c>
      <c r="E587" s="4" t="s">
        <v>505</v>
      </c>
      <c r="F587" s="4"/>
      <c r="G587" s="29">
        <f>G588</f>
        <v>9432480.96</v>
      </c>
      <c r="H587" s="29"/>
    </row>
    <row r="588" spans="1:13" ht="63">
      <c r="A588" s="3" t="s">
        <v>723</v>
      </c>
      <c r="B588" s="4" t="s">
        <v>359</v>
      </c>
      <c r="C588" s="4" t="s">
        <v>654</v>
      </c>
      <c r="D588" s="4" t="s">
        <v>654</v>
      </c>
      <c r="E588" s="4" t="s">
        <v>505</v>
      </c>
      <c r="F588" s="4" t="s">
        <v>317</v>
      </c>
      <c r="G588" s="29">
        <f>7409059+2250088-393939.4-119637.44+393939.4-107028.6</f>
        <v>9432480.96</v>
      </c>
      <c r="H588" s="29"/>
      <c r="M588" s="208">
        <v>-107028.6</v>
      </c>
    </row>
    <row r="589" spans="1:10" ht="31.5">
      <c r="A589" s="13" t="s">
        <v>675</v>
      </c>
      <c r="B589" s="5" t="s">
        <v>359</v>
      </c>
      <c r="C589" s="5" t="s">
        <v>654</v>
      </c>
      <c r="D589" s="5" t="s">
        <v>657</v>
      </c>
      <c r="E589" s="23"/>
      <c r="F589" s="23"/>
      <c r="G589" s="28">
        <f>G590+G614+G610+G618</f>
        <v>70705884.59</v>
      </c>
      <c r="H589" s="28">
        <f>H590+H614</f>
        <v>15892300</v>
      </c>
      <c r="J589" s="26"/>
    </row>
    <row r="590" spans="1:10" ht="69" customHeight="1">
      <c r="A590" s="3" t="s">
        <v>539</v>
      </c>
      <c r="B590" s="4" t="s">
        <v>359</v>
      </c>
      <c r="C590" s="4" t="s">
        <v>654</v>
      </c>
      <c r="D590" s="4" t="s">
        <v>657</v>
      </c>
      <c r="E590" s="4" t="s">
        <v>724</v>
      </c>
      <c r="F590" s="4"/>
      <c r="G590" s="29">
        <f>G600+G591+G594+G597+G623+G607</f>
        <v>70705884.59</v>
      </c>
      <c r="H590" s="29">
        <f>H600+H591+H594+H597+H623+H607</f>
        <v>15892300</v>
      </c>
      <c r="J590" s="26"/>
    </row>
    <row r="591" spans="1:8" ht="119.25" customHeight="1" hidden="1">
      <c r="A591" s="3" t="s">
        <v>742</v>
      </c>
      <c r="B591" s="4" t="s">
        <v>359</v>
      </c>
      <c r="C591" s="4" t="s">
        <v>654</v>
      </c>
      <c r="D591" s="4" t="s">
        <v>657</v>
      </c>
      <c r="E591" s="4" t="s">
        <v>743</v>
      </c>
      <c r="F591" s="4"/>
      <c r="G591" s="29">
        <f>G592</f>
        <v>0</v>
      </c>
      <c r="H591" s="29"/>
    </row>
    <row r="592" spans="1:8" ht="130.5" customHeight="1" hidden="1">
      <c r="A592" s="3" t="s">
        <v>493</v>
      </c>
      <c r="B592" s="4" t="s">
        <v>359</v>
      </c>
      <c r="C592" s="4" t="s">
        <v>654</v>
      </c>
      <c r="D592" s="4" t="s">
        <v>657</v>
      </c>
      <c r="E592" s="4" t="s">
        <v>495</v>
      </c>
      <c r="F592" s="4"/>
      <c r="G592" s="29">
        <f>G593</f>
        <v>0</v>
      </c>
      <c r="H592" s="29"/>
    </row>
    <row r="593" spans="1:8" ht="84.75" customHeight="1" hidden="1">
      <c r="A593" s="3" t="s">
        <v>723</v>
      </c>
      <c r="B593" s="4" t="s">
        <v>359</v>
      </c>
      <c r="C593" s="4" t="s">
        <v>654</v>
      </c>
      <c r="D593" s="4" t="s">
        <v>657</v>
      </c>
      <c r="E593" s="4" t="s">
        <v>495</v>
      </c>
      <c r="F593" s="4" t="s">
        <v>317</v>
      </c>
      <c r="G593" s="29"/>
      <c r="H593" s="29"/>
    </row>
    <row r="594" spans="1:8" ht="122.25" customHeight="1">
      <c r="A594" s="3" t="s">
        <v>496</v>
      </c>
      <c r="B594" s="4" t="s">
        <v>359</v>
      </c>
      <c r="C594" s="4" t="s">
        <v>654</v>
      </c>
      <c r="D594" s="4" t="s">
        <v>657</v>
      </c>
      <c r="E594" s="4" t="s">
        <v>497</v>
      </c>
      <c r="F594" s="4"/>
      <c r="G594" s="29">
        <f>G595</f>
        <v>22369933.68</v>
      </c>
      <c r="H594" s="29"/>
    </row>
    <row r="595" spans="1:8" ht="131.25" customHeight="1">
      <c r="A595" s="3" t="s">
        <v>493</v>
      </c>
      <c r="B595" s="4" t="s">
        <v>359</v>
      </c>
      <c r="C595" s="4" t="s">
        <v>654</v>
      </c>
      <c r="D595" s="4" t="s">
        <v>657</v>
      </c>
      <c r="E595" s="4" t="s">
        <v>498</v>
      </c>
      <c r="F595" s="4"/>
      <c r="G595" s="29">
        <f>G596</f>
        <v>22369933.68</v>
      </c>
      <c r="H595" s="29"/>
    </row>
    <row r="596" spans="1:8" ht="93.75" customHeight="1">
      <c r="A596" s="3" t="s">
        <v>723</v>
      </c>
      <c r="B596" s="4" t="s">
        <v>359</v>
      </c>
      <c r="C596" s="4" t="s">
        <v>654</v>
      </c>
      <c r="D596" s="4" t="s">
        <v>657</v>
      </c>
      <c r="E596" s="4" t="s">
        <v>498</v>
      </c>
      <c r="F596" s="4" t="s">
        <v>317</v>
      </c>
      <c r="G596" s="29">
        <f>23273176+432269-1228579.22-24741.1-6675-75516</f>
        <v>22369933.68</v>
      </c>
      <c r="H596" s="29"/>
    </row>
    <row r="597" spans="1:8" ht="101.25" customHeight="1">
      <c r="A597" s="3" t="s">
        <v>499</v>
      </c>
      <c r="B597" s="4" t="s">
        <v>359</v>
      </c>
      <c r="C597" s="4" t="s">
        <v>654</v>
      </c>
      <c r="D597" s="4" t="s">
        <v>657</v>
      </c>
      <c r="E597" s="4" t="s">
        <v>500</v>
      </c>
      <c r="F597" s="4"/>
      <c r="G597" s="29">
        <f>G598</f>
        <v>26558392.9</v>
      </c>
      <c r="H597" s="29"/>
    </row>
    <row r="598" spans="1:8" ht="93.75" customHeight="1">
      <c r="A598" s="3" t="s">
        <v>493</v>
      </c>
      <c r="B598" s="4" t="s">
        <v>359</v>
      </c>
      <c r="C598" s="4" t="s">
        <v>654</v>
      </c>
      <c r="D598" s="4" t="s">
        <v>657</v>
      </c>
      <c r="E598" s="4" t="s">
        <v>501</v>
      </c>
      <c r="F598" s="4"/>
      <c r="G598" s="29">
        <f>G599</f>
        <v>26558392.9</v>
      </c>
      <c r="H598" s="29"/>
    </row>
    <row r="599" spans="1:8" ht="93.75" customHeight="1">
      <c r="A599" s="3" t="s">
        <v>723</v>
      </c>
      <c r="B599" s="4" t="s">
        <v>359</v>
      </c>
      <c r="C599" s="4" t="s">
        <v>654</v>
      </c>
      <c r="D599" s="4" t="s">
        <v>657</v>
      </c>
      <c r="E599" s="4" t="s">
        <v>501</v>
      </c>
      <c r="F599" s="4" t="s">
        <v>317</v>
      </c>
      <c r="G599" s="29">
        <f>27926781+123275-1481141.78-4021.32-6500</f>
        <v>26558392.9</v>
      </c>
      <c r="H599" s="29"/>
    </row>
    <row r="600" spans="1:8" ht="39" customHeight="1">
      <c r="A600" s="3" t="s">
        <v>725</v>
      </c>
      <c r="B600" s="4" t="s">
        <v>359</v>
      </c>
      <c r="C600" s="4" t="s">
        <v>654</v>
      </c>
      <c r="D600" s="4" t="s">
        <v>657</v>
      </c>
      <c r="E600" s="4" t="s">
        <v>727</v>
      </c>
      <c r="F600" s="4"/>
      <c r="G600" s="29">
        <f>G603+G605+G601</f>
        <v>21520529.41</v>
      </c>
      <c r="H600" s="29">
        <f>H603+H605</f>
        <v>15892300</v>
      </c>
    </row>
    <row r="601" spans="1:8" ht="139.5" customHeight="1">
      <c r="A601" s="3" t="s">
        <v>493</v>
      </c>
      <c r="B601" s="4" t="s">
        <v>359</v>
      </c>
      <c r="C601" s="4" t="s">
        <v>654</v>
      </c>
      <c r="D601" s="4" t="s">
        <v>657</v>
      </c>
      <c r="E601" s="4" t="s">
        <v>502</v>
      </c>
      <c r="F601" s="4"/>
      <c r="G601" s="29">
        <f>G602</f>
        <v>5628229.41</v>
      </c>
      <c r="H601" s="29"/>
    </row>
    <row r="602" spans="1:8" ht="96.75" customHeight="1">
      <c r="A602" s="3" t="s">
        <v>723</v>
      </c>
      <c r="B602" s="4" t="s">
        <v>359</v>
      </c>
      <c r="C602" s="4" t="s">
        <v>654</v>
      </c>
      <c r="D602" s="4" t="s">
        <v>657</v>
      </c>
      <c r="E602" s="4" t="s">
        <v>502</v>
      </c>
      <c r="F602" s="4" t="s">
        <v>317</v>
      </c>
      <c r="G602" s="29">
        <f>5907922+35724-305254.17-587.32-9575.1</f>
        <v>5628229.41</v>
      </c>
      <c r="H602" s="29"/>
    </row>
    <row r="603" spans="1:8" ht="126">
      <c r="A603" s="3" t="s">
        <v>459</v>
      </c>
      <c r="B603" s="4" t="s">
        <v>359</v>
      </c>
      <c r="C603" s="4" t="s">
        <v>654</v>
      </c>
      <c r="D603" s="4" t="s">
        <v>657</v>
      </c>
      <c r="E603" s="4" t="s">
        <v>726</v>
      </c>
      <c r="F603" s="4"/>
      <c r="G603" s="29">
        <f>G604</f>
        <v>1142000</v>
      </c>
      <c r="H603" s="29">
        <f>H604</f>
        <v>1142000</v>
      </c>
    </row>
    <row r="604" spans="1:8" ht="63">
      <c r="A604" s="3" t="s">
        <v>723</v>
      </c>
      <c r="B604" s="4" t="s">
        <v>359</v>
      </c>
      <c r="C604" s="4" t="s">
        <v>654</v>
      </c>
      <c r="D604" s="4" t="s">
        <v>657</v>
      </c>
      <c r="E604" s="4" t="s">
        <v>726</v>
      </c>
      <c r="F604" s="4" t="s">
        <v>317</v>
      </c>
      <c r="G604" s="29">
        <f>1119300+22700</f>
        <v>1142000</v>
      </c>
      <c r="H604" s="29">
        <f>G604</f>
        <v>1142000</v>
      </c>
    </row>
    <row r="605" spans="1:8" ht="47.25">
      <c r="A605" s="3" t="s">
        <v>690</v>
      </c>
      <c r="B605" s="4" t="s">
        <v>359</v>
      </c>
      <c r="C605" s="4" t="s">
        <v>654</v>
      </c>
      <c r="D605" s="4" t="s">
        <v>657</v>
      </c>
      <c r="E605" s="4" t="s">
        <v>758</v>
      </c>
      <c r="F605" s="4"/>
      <c r="G605" s="29">
        <f>G606</f>
        <v>14750300</v>
      </c>
      <c r="H605" s="29">
        <f>H606</f>
        <v>14750300</v>
      </c>
    </row>
    <row r="606" spans="1:8" ht="63">
      <c r="A606" s="3" t="s">
        <v>723</v>
      </c>
      <c r="B606" s="4" t="s">
        <v>359</v>
      </c>
      <c r="C606" s="4" t="s">
        <v>654</v>
      </c>
      <c r="D606" s="4" t="s">
        <v>657</v>
      </c>
      <c r="E606" s="4" t="s">
        <v>758</v>
      </c>
      <c r="F606" s="4" t="s">
        <v>317</v>
      </c>
      <c r="G606" s="29">
        <f>14768500-18200</f>
        <v>14750300</v>
      </c>
      <c r="H606" s="29">
        <f>G606</f>
        <v>14750300</v>
      </c>
    </row>
    <row r="607" spans="1:8" ht="78" customHeight="1">
      <c r="A607" s="3" t="s">
        <v>503</v>
      </c>
      <c r="B607" s="4" t="s">
        <v>359</v>
      </c>
      <c r="C607" s="4" t="s">
        <v>654</v>
      </c>
      <c r="D607" s="4" t="s">
        <v>657</v>
      </c>
      <c r="E607" s="4" t="s">
        <v>504</v>
      </c>
      <c r="F607" s="4"/>
      <c r="G607" s="29">
        <f>G608</f>
        <v>107028.6</v>
      </c>
      <c r="H607" s="29"/>
    </row>
    <row r="608" spans="1:8" ht="31.5">
      <c r="A608" s="3" t="s">
        <v>719</v>
      </c>
      <c r="B608" s="4" t="s">
        <v>359</v>
      </c>
      <c r="C608" s="4" t="s">
        <v>654</v>
      </c>
      <c r="D608" s="4" t="s">
        <v>657</v>
      </c>
      <c r="E608" s="4" t="s">
        <v>505</v>
      </c>
      <c r="F608" s="4"/>
      <c r="G608" s="29">
        <f>G609</f>
        <v>107028.6</v>
      </c>
      <c r="H608" s="29"/>
    </row>
    <row r="609" spans="1:13" ht="63">
      <c r="A609" s="3" t="s">
        <v>723</v>
      </c>
      <c r="B609" s="4" t="s">
        <v>359</v>
      </c>
      <c r="C609" s="4" t="s">
        <v>654</v>
      </c>
      <c r="D609" s="4" t="s">
        <v>657</v>
      </c>
      <c r="E609" s="4" t="s">
        <v>505</v>
      </c>
      <c r="F609" s="4" t="s">
        <v>317</v>
      </c>
      <c r="G609" s="29">
        <v>107028.6</v>
      </c>
      <c r="H609" s="29"/>
      <c r="M609" s="208">
        <v>107028.6</v>
      </c>
    </row>
    <row r="610" spans="1:8" ht="78.75" hidden="1">
      <c r="A610" s="3" t="s">
        <v>543</v>
      </c>
      <c r="B610" s="4" t="s">
        <v>359</v>
      </c>
      <c r="C610" s="4" t="s">
        <v>654</v>
      </c>
      <c r="D610" s="4" t="s">
        <v>657</v>
      </c>
      <c r="E610" s="4" t="s">
        <v>735</v>
      </c>
      <c r="F610" s="4"/>
      <c r="G610" s="29">
        <f>G611</f>
        <v>0</v>
      </c>
      <c r="H610" s="29"/>
    </row>
    <row r="611" spans="1:8" ht="15.75" hidden="1">
      <c r="A611" s="60" t="s">
        <v>448</v>
      </c>
      <c r="B611" s="4" t="s">
        <v>359</v>
      </c>
      <c r="C611" s="4" t="s">
        <v>654</v>
      </c>
      <c r="D611" s="4" t="s">
        <v>657</v>
      </c>
      <c r="E611" s="4" t="s">
        <v>449</v>
      </c>
      <c r="F611" s="4"/>
      <c r="G611" s="29">
        <f>G612</f>
        <v>0</v>
      </c>
      <c r="H611" s="29"/>
    </row>
    <row r="612" spans="1:8" ht="31.5" hidden="1">
      <c r="A612" s="3" t="s">
        <v>719</v>
      </c>
      <c r="B612" s="4" t="s">
        <v>359</v>
      </c>
      <c r="C612" s="4" t="s">
        <v>654</v>
      </c>
      <c r="D612" s="4" t="s">
        <v>657</v>
      </c>
      <c r="E612" s="4" t="s">
        <v>450</v>
      </c>
      <c r="F612" s="4"/>
      <c r="G612" s="29">
        <f>G613</f>
        <v>0</v>
      </c>
      <c r="H612" s="29"/>
    </row>
    <row r="613" spans="1:8" ht="63" hidden="1">
      <c r="A613" s="3" t="s">
        <v>723</v>
      </c>
      <c r="B613" s="4" t="s">
        <v>359</v>
      </c>
      <c r="C613" s="4" t="s">
        <v>654</v>
      </c>
      <c r="D613" s="4" t="s">
        <v>657</v>
      </c>
      <c r="E613" s="4" t="s">
        <v>450</v>
      </c>
      <c r="F613" s="4" t="s">
        <v>317</v>
      </c>
      <c r="G613" s="29"/>
      <c r="H613" s="29"/>
    </row>
    <row r="614" spans="1:8" ht="78.75" hidden="1">
      <c r="A614" s="3" t="s">
        <v>545</v>
      </c>
      <c r="B614" s="4" t="s">
        <v>359</v>
      </c>
      <c r="C614" s="4" t="s">
        <v>654</v>
      </c>
      <c r="D614" s="4" t="s">
        <v>657</v>
      </c>
      <c r="E614" s="4" t="s">
        <v>406</v>
      </c>
      <c r="F614" s="4"/>
      <c r="G614" s="29">
        <f>G615</f>
        <v>0</v>
      </c>
      <c r="H614" s="29"/>
    </row>
    <row r="615" spans="1:8" ht="78.75" hidden="1">
      <c r="A615" s="3" t="s">
        <v>411</v>
      </c>
      <c r="B615" s="4" t="s">
        <v>359</v>
      </c>
      <c r="C615" s="4" t="s">
        <v>654</v>
      </c>
      <c r="D615" s="4" t="s">
        <v>657</v>
      </c>
      <c r="E615" s="4" t="s">
        <v>412</v>
      </c>
      <c r="F615" s="4"/>
      <c r="G615" s="29">
        <f>G616</f>
        <v>0</v>
      </c>
      <c r="H615" s="29"/>
    </row>
    <row r="616" spans="1:8" ht="31.5" hidden="1">
      <c r="A616" s="3" t="s">
        <v>719</v>
      </c>
      <c r="B616" s="4" t="s">
        <v>359</v>
      </c>
      <c r="C616" s="4" t="s">
        <v>654</v>
      </c>
      <c r="D616" s="4" t="s">
        <v>657</v>
      </c>
      <c r="E616" s="4" t="s">
        <v>413</v>
      </c>
      <c r="F616" s="4"/>
      <c r="G616" s="29">
        <f>G617</f>
        <v>0</v>
      </c>
      <c r="H616" s="29"/>
    </row>
    <row r="617" spans="1:8" ht="63" hidden="1">
      <c r="A617" s="3" t="s">
        <v>723</v>
      </c>
      <c r="B617" s="4" t="s">
        <v>359</v>
      </c>
      <c r="C617" s="4" t="s">
        <v>654</v>
      </c>
      <c r="D617" s="4" t="s">
        <v>657</v>
      </c>
      <c r="E617" s="4" t="s">
        <v>413</v>
      </c>
      <c r="F617" s="4" t="s">
        <v>317</v>
      </c>
      <c r="G617" s="29"/>
      <c r="H617" s="29"/>
    </row>
    <row r="618" spans="1:8" ht="63" hidden="1">
      <c r="A618" s="3" t="s">
        <v>546</v>
      </c>
      <c r="B618" s="4" t="s">
        <v>359</v>
      </c>
      <c r="C618" s="4" t="s">
        <v>654</v>
      </c>
      <c r="D618" s="4" t="s">
        <v>657</v>
      </c>
      <c r="E618" s="4" t="s">
        <v>363</v>
      </c>
      <c r="F618" s="4"/>
      <c r="G618" s="29">
        <f>G619+G621</f>
        <v>0</v>
      </c>
      <c r="H618" s="29"/>
    </row>
    <row r="619" spans="1:8" ht="47.25" hidden="1">
      <c r="A619" s="3" t="s">
        <v>512</v>
      </c>
      <c r="B619" s="4" t="s">
        <v>359</v>
      </c>
      <c r="C619" s="4" t="s">
        <v>654</v>
      </c>
      <c r="D619" s="4" t="s">
        <v>657</v>
      </c>
      <c r="E619" s="4" t="s">
        <v>364</v>
      </c>
      <c r="F619" s="4"/>
      <c r="G619" s="29">
        <f>G620</f>
        <v>0</v>
      </c>
      <c r="H619" s="29"/>
    </row>
    <row r="620" spans="1:10" ht="63" hidden="1">
      <c r="A620" s="3" t="s">
        <v>723</v>
      </c>
      <c r="B620" s="4" t="s">
        <v>359</v>
      </c>
      <c r="C620" s="4" t="s">
        <v>654</v>
      </c>
      <c r="D620" s="4" t="s">
        <v>657</v>
      </c>
      <c r="E620" s="4" t="s">
        <v>364</v>
      </c>
      <c r="F620" s="4" t="s">
        <v>317</v>
      </c>
      <c r="G620" s="29"/>
      <c r="H620" s="29"/>
      <c r="J620" s="26"/>
    </row>
    <row r="621" spans="1:8" ht="31.5" hidden="1">
      <c r="A621" s="3" t="s">
        <v>719</v>
      </c>
      <c r="B621" s="4" t="s">
        <v>359</v>
      </c>
      <c r="C621" s="4" t="s">
        <v>654</v>
      </c>
      <c r="D621" s="4" t="s">
        <v>657</v>
      </c>
      <c r="E621" s="4" t="s">
        <v>365</v>
      </c>
      <c r="F621" s="4"/>
      <c r="G621" s="29">
        <f>G622</f>
        <v>0</v>
      </c>
      <c r="H621" s="29"/>
    </row>
    <row r="622" spans="1:10" ht="63" hidden="1">
      <c r="A622" s="3" t="s">
        <v>723</v>
      </c>
      <c r="B622" s="4" t="s">
        <v>359</v>
      </c>
      <c r="C622" s="4" t="s">
        <v>654</v>
      </c>
      <c r="D622" s="4" t="s">
        <v>657</v>
      </c>
      <c r="E622" s="4" t="s">
        <v>365</v>
      </c>
      <c r="F622" s="4" t="s">
        <v>317</v>
      </c>
      <c r="G622" s="29"/>
      <c r="H622" s="29"/>
      <c r="J622" s="26"/>
    </row>
    <row r="623" spans="1:10" ht="63">
      <c r="A623" s="3" t="s">
        <v>347</v>
      </c>
      <c r="B623" s="4" t="s">
        <v>359</v>
      </c>
      <c r="C623" s="4" t="s">
        <v>654</v>
      </c>
      <c r="D623" s="4" t="s">
        <v>657</v>
      </c>
      <c r="E623" s="4" t="s">
        <v>348</v>
      </c>
      <c r="F623" s="4"/>
      <c r="G623" s="29">
        <f>G624</f>
        <v>150000</v>
      </c>
      <c r="H623" s="29"/>
      <c r="J623" s="26"/>
    </row>
    <row r="624" spans="1:10" ht="47.25">
      <c r="A624" s="3" t="s">
        <v>512</v>
      </c>
      <c r="B624" s="4" t="s">
        <v>359</v>
      </c>
      <c r="C624" s="4" t="s">
        <v>654</v>
      </c>
      <c r="D624" s="4" t="s">
        <v>657</v>
      </c>
      <c r="E624" s="4" t="s">
        <v>460</v>
      </c>
      <c r="F624" s="4"/>
      <c r="G624" s="29">
        <f>G625</f>
        <v>150000</v>
      </c>
      <c r="H624" s="29"/>
      <c r="J624" s="26"/>
    </row>
    <row r="625" spans="1:10" ht="74.25" customHeight="1">
      <c r="A625" s="3" t="s">
        <v>723</v>
      </c>
      <c r="B625" s="4" t="s">
        <v>359</v>
      </c>
      <c r="C625" s="4" t="s">
        <v>654</v>
      </c>
      <c r="D625" s="4" t="s">
        <v>657</v>
      </c>
      <c r="E625" s="4" t="s">
        <v>460</v>
      </c>
      <c r="F625" s="4" t="s">
        <v>317</v>
      </c>
      <c r="G625" s="29">
        <v>150000</v>
      </c>
      <c r="H625" s="29"/>
      <c r="J625" s="26"/>
    </row>
    <row r="626" spans="1:8" ht="15.75">
      <c r="A626" s="13" t="s">
        <v>665</v>
      </c>
      <c r="B626" s="5" t="s">
        <v>359</v>
      </c>
      <c r="C626" s="5" t="s">
        <v>659</v>
      </c>
      <c r="D626" s="5"/>
      <c r="E626" s="5"/>
      <c r="F626" s="5"/>
      <c r="G626" s="28">
        <f>G627+G648</f>
        <v>49654806</v>
      </c>
      <c r="H626" s="28">
        <f>H627+H648</f>
        <v>49654806</v>
      </c>
    </row>
    <row r="627" spans="1:8" ht="31.5">
      <c r="A627" s="1" t="s">
        <v>677</v>
      </c>
      <c r="B627" s="2" t="s">
        <v>359</v>
      </c>
      <c r="C627" s="2" t="s">
        <v>659</v>
      </c>
      <c r="D627" s="2" t="s">
        <v>658</v>
      </c>
      <c r="E627" s="2"/>
      <c r="F627" s="2"/>
      <c r="G627" s="33">
        <f>G628</f>
        <v>3959106</v>
      </c>
      <c r="H627" s="33">
        <f>H628</f>
        <v>3959106</v>
      </c>
    </row>
    <row r="628" spans="1:8" ht="69" customHeight="1">
      <c r="A628" s="3" t="s">
        <v>539</v>
      </c>
      <c r="B628" s="4" t="s">
        <v>359</v>
      </c>
      <c r="C628" s="4" t="s">
        <v>659</v>
      </c>
      <c r="D628" s="4" t="s">
        <v>658</v>
      </c>
      <c r="E628" s="4" t="s">
        <v>724</v>
      </c>
      <c r="F628" s="4"/>
      <c r="G628" s="29">
        <f>G639+G629+G634</f>
        <v>3959106</v>
      </c>
      <c r="H628" s="29">
        <f>H639+H629+H634</f>
        <v>3959106</v>
      </c>
    </row>
    <row r="629" spans="1:8" ht="57" customHeight="1">
      <c r="A629" s="3" t="s">
        <v>745</v>
      </c>
      <c r="B629" s="4" t="s">
        <v>359</v>
      </c>
      <c r="C629" s="4" t="s">
        <v>659</v>
      </c>
      <c r="D629" s="4" t="s">
        <v>658</v>
      </c>
      <c r="E629" s="4" t="s">
        <v>746</v>
      </c>
      <c r="F629" s="4"/>
      <c r="G629" s="29">
        <f>G632+G630</f>
        <v>889305</v>
      </c>
      <c r="H629" s="29">
        <f>H632+H630</f>
        <v>889305</v>
      </c>
    </row>
    <row r="630" spans="1:8" ht="126">
      <c r="A630" s="3" t="s">
        <v>487</v>
      </c>
      <c r="B630" s="4" t="s">
        <v>359</v>
      </c>
      <c r="C630" s="4" t="s">
        <v>659</v>
      </c>
      <c r="D630" s="4" t="s">
        <v>658</v>
      </c>
      <c r="E630" s="4" t="s">
        <v>490</v>
      </c>
      <c r="F630" s="4"/>
      <c r="G630" s="29">
        <f>G631</f>
        <v>4745</v>
      </c>
      <c r="H630" s="29">
        <f>H631</f>
        <v>4745</v>
      </c>
    </row>
    <row r="631" spans="1:8" ht="63">
      <c r="A631" s="3" t="s">
        <v>723</v>
      </c>
      <c r="B631" s="4" t="s">
        <v>359</v>
      </c>
      <c r="C631" s="4" t="s">
        <v>659</v>
      </c>
      <c r="D631" s="4" t="s">
        <v>658</v>
      </c>
      <c r="E631" s="4" t="s">
        <v>490</v>
      </c>
      <c r="F631" s="4" t="s">
        <v>317</v>
      </c>
      <c r="G631" s="29">
        <v>4745</v>
      </c>
      <c r="H631" s="29">
        <f>G631</f>
        <v>4745</v>
      </c>
    </row>
    <row r="632" spans="1:8" ht="110.25">
      <c r="A632" s="3" t="s">
        <v>475</v>
      </c>
      <c r="B632" s="4" t="s">
        <v>359</v>
      </c>
      <c r="C632" s="4" t="s">
        <v>659</v>
      </c>
      <c r="D632" s="4" t="s">
        <v>658</v>
      </c>
      <c r="E632" s="4" t="s">
        <v>476</v>
      </c>
      <c r="F632" s="4"/>
      <c r="G632" s="29">
        <f>G633</f>
        <v>884560</v>
      </c>
      <c r="H632" s="29">
        <f>H633</f>
        <v>884560</v>
      </c>
    </row>
    <row r="633" spans="1:8" ht="63">
      <c r="A633" s="3" t="s">
        <v>723</v>
      </c>
      <c r="B633" s="4" t="s">
        <v>359</v>
      </c>
      <c r="C633" s="4" t="s">
        <v>659</v>
      </c>
      <c r="D633" s="4" t="s">
        <v>658</v>
      </c>
      <c r="E633" s="4" t="s">
        <v>476</v>
      </c>
      <c r="F633" s="4" t="s">
        <v>317</v>
      </c>
      <c r="G633" s="29">
        <v>884560</v>
      </c>
      <c r="H633" s="29">
        <f>G633</f>
        <v>884560</v>
      </c>
    </row>
    <row r="634" spans="1:8" ht="121.5" customHeight="1">
      <c r="A634" s="3" t="s">
        <v>742</v>
      </c>
      <c r="B634" s="4" t="s">
        <v>359</v>
      </c>
      <c r="C634" s="4" t="s">
        <v>659</v>
      </c>
      <c r="D634" s="4" t="s">
        <v>658</v>
      </c>
      <c r="E634" s="4" t="s">
        <v>743</v>
      </c>
      <c r="F634" s="4"/>
      <c r="G634" s="29">
        <f>G637+G635</f>
        <v>1002601</v>
      </c>
      <c r="H634" s="29">
        <f>H637+H635</f>
        <v>1002601</v>
      </c>
    </row>
    <row r="635" spans="1:8" ht="165.75" customHeight="1">
      <c r="A635" s="3" t="s">
        <v>487</v>
      </c>
      <c r="B635" s="4" t="s">
        <v>359</v>
      </c>
      <c r="C635" s="4" t="s">
        <v>659</v>
      </c>
      <c r="D635" s="4" t="s">
        <v>658</v>
      </c>
      <c r="E635" s="4" t="s">
        <v>491</v>
      </c>
      <c r="F635" s="4"/>
      <c r="G635" s="29">
        <f>G636</f>
        <v>5385</v>
      </c>
      <c r="H635" s="29">
        <f>H636</f>
        <v>5385</v>
      </c>
    </row>
    <row r="636" spans="1:10" ht="84" customHeight="1">
      <c r="A636" s="3" t="s">
        <v>723</v>
      </c>
      <c r="B636" s="4" t="s">
        <v>359</v>
      </c>
      <c r="C636" s="4" t="s">
        <v>659</v>
      </c>
      <c r="D636" s="4" t="s">
        <v>658</v>
      </c>
      <c r="E636" s="4" t="s">
        <v>491</v>
      </c>
      <c r="F636" s="4" t="s">
        <v>317</v>
      </c>
      <c r="G636" s="29">
        <v>5385</v>
      </c>
      <c r="H636" s="29">
        <f>G636</f>
        <v>5385</v>
      </c>
      <c r="J636" s="26"/>
    </row>
    <row r="637" spans="1:8" ht="175.5" customHeight="1">
      <c r="A637" s="3" t="s">
        <v>475</v>
      </c>
      <c r="B637" s="4" t="s">
        <v>359</v>
      </c>
      <c r="C637" s="4" t="s">
        <v>659</v>
      </c>
      <c r="D637" s="4" t="s">
        <v>658</v>
      </c>
      <c r="E637" s="4" t="s">
        <v>477</v>
      </c>
      <c r="F637" s="4"/>
      <c r="G637" s="29">
        <f>G638</f>
        <v>997216</v>
      </c>
      <c r="H637" s="29">
        <f>H638</f>
        <v>997216</v>
      </c>
    </row>
    <row r="638" spans="1:10" ht="86.25" customHeight="1">
      <c r="A638" s="3" t="s">
        <v>723</v>
      </c>
      <c r="B638" s="4" t="s">
        <v>359</v>
      </c>
      <c r="C638" s="4" t="s">
        <v>659</v>
      </c>
      <c r="D638" s="4" t="s">
        <v>658</v>
      </c>
      <c r="E638" s="4" t="s">
        <v>477</v>
      </c>
      <c r="F638" s="4" t="s">
        <v>317</v>
      </c>
      <c r="G638" s="29">
        <v>997216</v>
      </c>
      <c r="H638" s="29">
        <f>G638</f>
        <v>997216</v>
      </c>
      <c r="J638" s="26"/>
    </row>
    <row r="639" spans="1:8" ht="63">
      <c r="A639" s="21" t="s">
        <v>759</v>
      </c>
      <c r="B639" s="4" t="s">
        <v>359</v>
      </c>
      <c r="C639" s="4" t="s">
        <v>659</v>
      </c>
      <c r="D639" s="4" t="s">
        <v>658</v>
      </c>
      <c r="E639" s="4" t="s">
        <v>760</v>
      </c>
      <c r="F639" s="4"/>
      <c r="G639" s="29">
        <f>G640+G642+G644+G646</f>
        <v>2067200</v>
      </c>
      <c r="H639" s="29">
        <f>H640+H642+H644+H646</f>
        <v>2067200</v>
      </c>
    </row>
    <row r="640" spans="1:8" ht="126">
      <c r="A640" s="21" t="s">
        <v>190</v>
      </c>
      <c r="B640" s="4" t="s">
        <v>359</v>
      </c>
      <c r="C640" s="4" t="s">
        <v>659</v>
      </c>
      <c r="D640" s="4" t="s">
        <v>658</v>
      </c>
      <c r="E640" s="4" t="s">
        <v>191</v>
      </c>
      <c r="F640" s="4"/>
      <c r="G640" s="37">
        <f>G641</f>
        <v>1701600</v>
      </c>
      <c r="H640" s="37">
        <f>H641</f>
        <v>1701600</v>
      </c>
    </row>
    <row r="641" spans="1:8" ht="31.5">
      <c r="A641" s="3" t="s">
        <v>560</v>
      </c>
      <c r="B641" s="4" t="s">
        <v>359</v>
      </c>
      <c r="C641" s="4" t="s">
        <v>659</v>
      </c>
      <c r="D641" s="4" t="s">
        <v>658</v>
      </c>
      <c r="E641" s="4" t="s">
        <v>191</v>
      </c>
      <c r="F641" s="4" t="s">
        <v>561</v>
      </c>
      <c r="G641" s="37">
        <f>1414300+287300</f>
        <v>1701600</v>
      </c>
      <c r="H641" s="37">
        <f>G641</f>
        <v>1701600</v>
      </c>
    </row>
    <row r="642" spans="1:8" ht="126">
      <c r="A642" s="3" t="s">
        <v>192</v>
      </c>
      <c r="B642" s="4" t="s">
        <v>359</v>
      </c>
      <c r="C642" s="4" t="s">
        <v>659</v>
      </c>
      <c r="D642" s="4" t="s">
        <v>658</v>
      </c>
      <c r="E642" s="4" t="s">
        <v>193</v>
      </c>
      <c r="F642" s="4"/>
      <c r="G642" s="37">
        <f>G643</f>
        <v>24600</v>
      </c>
      <c r="H642" s="37">
        <f>H643</f>
        <v>24600</v>
      </c>
    </row>
    <row r="643" spans="1:8" ht="110.25">
      <c r="A643" s="3" t="s">
        <v>701</v>
      </c>
      <c r="B643" s="4" t="s">
        <v>359</v>
      </c>
      <c r="C643" s="4" t="s">
        <v>659</v>
      </c>
      <c r="D643" s="4" t="s">
        <v>658</v>
      </c>
      <c r="E643" s="4" t="s">
        <v>193</v>
      </c>
      <c r="F643" s="4" t="s">
        <v>312</v>
      </c>
      <c r="G643" s="37">
        <f>21800+2800</f>
        <v>24600</v>
      </c>
      <c r="H643" s="37">
        <f>G643</f>
        <v>24600</v>
      </c>
    </row>
    <row r="644" spans="1:8" ht="220.5">
      <c r="A644" s="3" t="s">
        <v>333</v>
      </c>
      <c r="B644" s="4" t="s">
        <v>359</v>
      </c>
      <c r="C644" s="4" t="s">
        <v>659</v>
      </c>
      <c r="D644" s="4" t="s">
        <v>658</v>
      </c>
      <c r="E644" s="4" t="s">
        <v>334</v>
      </c>
      <c r="F644" s="4"/>
      <c r="G644" s="37">
        <f>G645</f>
        <v>131600</v>
      </c>
      <c r="H644" s="37">
        <f>H645</f>
        <v>131600</v>
      </c>
    </row>
    <row r="645" spans="1:8" ht="31.5">
      <c r="A645" s="3" t="s">
        <v>560</v>
      </c>
      <c r="B645" s="4" t="s">
        <v>359</v>
      </c>
      <c r="C645" s="4" t="s">
        <v>659</v>
      </c>
      <c r="D645" s="4" t="s">
        <v>658</v>
      </c>
      <c r="E645" s="4" t="s">
        <v>334</v>
      </c>
      <c r="F645" s="4" t="s">
        <v>561</v>
      </c>
      <c r="G645" s="37">
        <f>263200-131600</f>
        <v>131600</v>
      </c>
      <c r="H645" s="37">
        <f>G645</f>
        <v>131600</v>
      </c>
    </row>
    <row r="646" spans="1:8" ht="157.5">
      <c r="A646" s="3" t="s">
        <v>335</v>
      </c>
      <c r="B646" s="4" t="s">
        <v>359</v>
      </c>
      <c r="C646" s="4" t="s">
        <v>659</v>
      </c>
      <c r="D646" s="4" t="s">
        <v>658</v>
      </c>
      <c r="E646" s="4" t="s">
        <v>336</v>
      </c>
      <c r="F646" s="4"/>
      <c r="G646" s="37">
        <f>G647</f>
        <v>209400</v>
      </c>
      <c r="H646" s="37">
        <f>H647</f>
        <v>209400</v>
      </c>
    </row>
    <row r="647" spans="1:8" ht="31.5">
      <c r="A647" s="3" t="s">
        <v>560</v>
      </c>
      <c r="B647" s="4" t="s">
        <v>359</v>
      </c>
      <c r="C647" s="4" t="s">
        <v>659</v>
      </c>
      <c r="D647" s="4" t="s">
        <v>658</v>
      </c>
      <c r="E647" s="4" t="s">
        <v>336</v>
      </c>
      <c r="F647" s="4" t="s">
        <v>561</v>
      </c>
      <c r="G647" s="37">
        <v>209400</v>
      </c>
      <c r="H647" s="37">
        <f>G647</f>
        <v>209400</v>
      </c>
    </row>
    <row r="648" spans="1:8" ht="15.75">
      <c r="A648" s="13" t="s">
        <v>691</v>
      </c>
      <c r="B648" s="5" t="s">
        <v>359</v>
      </c>
      <c r="C648" s="5" t="s">
        <v>659</v>
      </c>
      <c r="D648" s="5" t="s">
        <v>661</v>
      </c>
      <c r="E648" s="23"/>
      <c r="F648" s="23"/>
      <c r="G648" s="45">
        <f>G649</f>
        <v>45695700</v>
      </c>
      <c r="H648" s="45">
        <f>H649</f>
        <v>45695700</v>
      </c>
    </row>
    <row r="649" spans="1:8" ht="47.25">
      <c r="A649" s="3" t="s">
        <v>539</v>
      </c>
      <c r="B649" s="4" t="s">
        <v>359</v>
      </c>
      <c r="C649" s="4" t="s">
        <v>659</v>
      </c>
      <c r="D649" s="4" t="s">
        <v>661</v>
      </c>
      <c r="E649" s="4" t="s">
        <v>724</v>
      </c>
      <c r="F649" s="4"/>
      <c r="G649" s="37">
        <f>G657+G650</f>
        <v>45695700</v>
      </c>
      <c r="H649" s="37">
        <f>H657+H650</f>
        <v>45695700</v>
      </c>
    </row>
    <row r="650" spans="1:8" ht="47.25">
      <c r="A650" s="3" t="s">
        <v>745</v>
      </c>
      <c r="B650" s="4" t="s">
        <v>359</v>
      </c>
      <c r="C650" s="4" t="s">
        <v>659</v>
      </c>
      <c r="D650" s="4" t="s">
        <v>661</v>
      </c>
      <c r="E650" s="4" t="s">
        <v>746</v>
      </c>
      <c r="F650" s="4"/>
      <c r="G650" s="37">
        <f>G651+G655</f>
        <v>15505400</v>
      </c>
      <c r="H650" s="37">
        <f>H651+H655</f>
        <v>15505400</v>
      </c>
    </row>
    <row r="651" spans="1:8" ht="110.25">
      <c r="A651" s="21" t="s">
        <v>197</v>
      </c>
      <c r="B651" s="235" t="s">
        <v>359</v>
      </c>
      <c r="C651" s="235" t="s">
        <v>659</v>
      </c>
      <c r="D651" s="235" t="s">
        <v>661</v>
      </c>
      <c r="E651" s="235" t="s">
        <v>199</v>
      </c>
      <c r="F651" s="235"/>
      <c r="G651" s="233">
        <f>G653+G654</f>
        <v>378200</v>
      </c>
      <c r="H651" s="233">
        <f>H653+H654</f>
        <v>378200</v>
      </c>
    </row>
    <row r="652" spans="1:8" ht="78.75">
      <c r="A652" s="3" t="s">
        <v>198</v>
      </c>
      <c r="B652" s="235"/>
      <c r="C652" s="235"/>
      <c r="D652" s="235"/>
      <c r="E652" s="235"/>
      <c r="F652" s="235"/>
      <c r="G652" s="233"/>
      <c r="H652" s="233"/>
    </row>
    <row r="653" spans="1:8" ht="31.5">
      <c r="A653" s="3" t="s">
        <v>560</v>
      </c>
      <c r="B653" s="4" t="s">
        <v>359</v>
      </c>
      <c r="C653" s="4" t="s">
        <v>659</v>
      </c>
      <c r="D653" s="4" t="s">
        <v>661</v>
      </c>
      <c r="E653" s="4" t="s">
        <v>199</v>
      </c>
      <c r="F653" s="4" t="s">
        <v>561</v>
      </c>
      <c r="G653" s="37">
        <f>169760-18504</f>
        <v>151256</v>
      </c>
      <c r="H653" s="37">
        <f>G653</f>
        <v>151256</v>
      </c>
    </row>
    <row r="654" spans="1:8" ht="63">
      <c r="A654" s="3" t="s">
        <v>723</v>
      </c>
      <c r="B654" s="4" t="s">
        <v>359</v>
      </c>
      <c r="C654" s="4" t="s">
        <v>659</v>
      </c>
      <c r="D654" s="4" t="s">
        <v>661</v>
      </c>
      <c r="E654" s="4" t="s">
        <v>199</v>
      </c>
      <c r="F654" s="4" t="s">
        <v>317</v>
      </c>
      <c r="G654" s="37">
        <f>254640-27696</f>
        <v>226944</v>
      </c>
      <c r="H654" s="37">
        <f>G654</f>
        <v>226944</v>
      </c>
    </row>
    <row r="655" spans="1:8" ht="94.5">
      <c r="A655" s="3" t="s">
        <v>200</v>
      </c>
      <c r="B655" s="4" t="s">
        <v>359</v>
      </c>
      <c r="C655" s="4" t="s">
        <v>659</v>
      </c>
      <c r="D655" s="4" t="s">
        <v>661</v>
      </c>
      <c r="E655" s="4" t="s">
        <v>201</v>
      </c>
      <c r="F655" s="4"/>
      <c r="G655" s="37">
        <f>G656</f>
        <v>15127200</v>
      </c>
      <c r="H655" s="37">
        <f>H656</f>
        <v>15127200</v>
      </c>
    </row>
    <row r="656" spans="1:8" ht="31.5">
      <c r="A656" s="3" t="s">
        <v>560</v>
      </c>
      <c r="B656" s="4" t="s">
        <v>359</v>
      </c>
      <c r="C656" s="4" t="s">
        <v>659</v>
      </c>
      <c r="D656" s="4" t="s">
        <v>661</v>
      </c>
      <c r="E656" s="4" t="s">
        <v>201</v>
      </c>
      <c r="F656" s="4" t="s">
        <v>561</v>
      </c>
      <c r="G656" s="37">
        <f>16977600-1850400</f>
        <v>15127200</v>
      </c>
      <c r="H656" s="37">
        <f>G656</f>
        <v>15127200</v>
      </c>
    </row>
    <row r="657" spans="1:8" ht="63">
      <c r="A657" s="21" t="s">
        <v>759</v>
      </c>
      <c r="B657" s="4" t="s">
        <v>359</v>
      </c>
      <c r="C657" s="4" t="s">
        <v>659</v>
      </c>
      <c r="D657" s="4" t="s">
        <v>661</v>
      </c>
      <c r="E657" s="4" t="s">
        <v>760</v>
      </c>
      <c r="F657" s="4"/>
      <c r="G657" s="37">
        <f>G658+G661+G663</f>
        <v>30190300</v>
      </c>
      <c r="H657" s="37">
        <f>H658+H661+H663</f>
        <v>30190300</v>
      </c>
    </row>
    <row r="658" spans="1:8" ht="129.75" customHeight="1">
      <c r="A658" s="58" t="s">
        <v>194</v>
      </c>
      <c r="B658" s="4" t="s">
        <v>359</v>
      </c>
      <c r="C658" s="4" t="s">
        <v>659</v>
      </c>
      <c r="D658" s="4" t="s">
        <v>661</v>
      </c>
      <c r="E658" s="4" t="s">
        <v>195</v>
      </c>
      <c r="F658" s="4"/>
      <c r="G658" s="37">
        <f>G659+G660</f>
        <v>25346100</v>
      </c>
      <c r="H658" s="37">
        <f>H659+H660</f>
        <v>25346100</v>
      </c>
    </row>
    <row r="659" spans="1:8" ht="47.25">
      <c r="A659" s="3" t="s">
        <v>702</v>
      </c>
      <c r="B659" s="4" t="s">
        <v>359</v>
      </c>
      <c r="C659" s="4" t="s">
        <v>659</v>
      </c>
      <c r="D659" s="4" t="s">
        <v>661</v>
      </c>
      <c r="E659" s="4" t="s">
        <v>195</v>
      </c>
      <c r="F659" s="4" t="s">
        <v>313</v>
      </c>
      <c r="G659" s="37">
        <f>8640900+936800</f>
        <v>9577700</v>
      </c>
      <c r="H659" s="37">
        <f>G659</f>
        <v>9577700</v>
      </c>
    </row>
    <row r="660" spans="1:8" ht="31.5">
      <c r="A660" s="3" t="s">
        <v>560</v>
      </c>
      <c r="B660" s="4" t="s">
        <v>359</v>
      </c>
      <c r="C660" s="4" t="s">
        <v>659</v>
      </c>
      <c r="D660" s="4" t="s">
        <v>661</v>
      </c>
      <c r="E660" s="4" t="s">
        <v>195</v>
      </c>
      <c r="F660" s="4" t="s">
        <v>561</v>
      </c>
      <c r="G660" s="37">
        <v>15768400</v>
      </c>
      <c r="H660" s="37">
        <f>G660</f>
        <v>15768400</v>
      </c>
    </row>
    <row r="661" spans="1:8" ht="141.75">
      <c r="A661" s="49" t="s">
        <v>456</v>
      </c>
      <c r="B661" s="4" t="s">
        <v>359</v>
      </c>
      <c r="C661" s="4" t="s">
        <v>659</v>
      </c>
      <c r="D661" s="4" t="s">
        <v>661</v>
      </c>
      <c r="E661" s="4" t="s">
        <v>196</v>
      </c>
      <c r="F661" s="4"/>
      <c r="G661" s="37">
        <f>G662</f>
        <v>439200</v>
      </c>
      <c r="H661" s="37">
        <f>H662</f>
        <v>439200</v>
      </c>
    </row>
    <row r="662" spans="1:8" ht="47.25">
      <c r="A662" s="3" t="s">
        <v>702</v>
      </c>
      <c r="B662" s="4" t="s">
        <v>359</v>
      </c>
      <c r="C662" s="4" t="s">
        <v>659</v>
      </c>
      <c r="D662" s="4" t="s">
        <v>661</v>
      </c>
      <c r="E662" s="4" t="s">
        <v>196</v>
      </c>
      <c r="F662" s="4" t="s">
        <v>313</v>
      </c>
      <c r="G662" s="37">
        <f>506800-67600</f>
        <v>439200</v>
      </c>
      <c r="H662" s="37">
        <f>G662</f>
        <v>439200</v>
      </c>
    </row>
    <row r="663" spans="1:8" ht="157.5">
      <c r="A663" s="71" t="s">
        <v>554</v>
      </c>
      <c r="B663" s="4" t="s">
        <v>359</v>
      </c>
      <c r="C663" s="4" t="s">
        <v>659</v>
      </c>
      <c r="D663" s="4" t="s">
        <v>661</v>
      </c>
      <c r="E663" s="4" t="s">
        <v>474</v>
      </c>
      <c r="F663" s="4"/>
      <c r="G663" s="37">
        <f>G664+G665</f>
        <v>4405000</v>
      </c>
      <c r="H663" s="37">
        <f>H664+H665</f>
        <v>4405000</v>
      </c>
    </row>
    <row r="664" spans="1:14" ht="126">
      <c r="A664" s="3" t="s">
        <v>701</v>
      </c>
      <c r="B664" s="4" t="s">
        <v>359</v>
      </c>
      <c r="C664" s="4" t="s">
        <v>659</v>
      </c>
      <c r="D664" s="4" t="s">
        <v>661</v>
      </c>
      <c r="E664" s="4" t="s">
        <v>474</v>
      </c>
      <c r="F664" s="4" t="s">
        <v>312</v>
      </c>
      <c r="G664" s="37">
        <f>3667500-129680.78-13095.96</f>
        <v>3524723.2600000002</v>
      </c>
      <c r="H664" s="37">
        <f>G664</f>
        <v>3524723.2600000002</v>
      </c>
      <c r="J664" s="26"/>
      <c r="M664" s="208">
        <f>3537819.22-3667500-13095.96</f>
        <v>-142776.7399999998</v>
      </c>
      <c r="N664" s="26"/>
    </row>
    <row r="665" spans="1:14" ht="47.25">
      <c r="A665" s="3" t="s">
        <v>702</v>
      </c>
      <c r="B665" s="4" t="s">
        <v>359</v>
      </c>
      <c r="C665" s="4" t="s">
        <v>659</v>
      </c>
      <c r="D665" s="4" t="s">
        <v>661</v>
      </c>
      <c r="E665" s="4" t="s">
        <v>474</v>
      </c>
      <c r="F665" s="4" t="s">
        <v>313</v>
      </c>
      <c r="G665" s="37">
        <f>737500+129680.78+13095.96</f>
        <v>880276.74</v>
      </c>
      <c r="H665" s="37">
        <f>G665</f>
        <v>880276.74</v>
      </c>
      <c r="J665" s="26"/>
      <c r="M665" s="208">
        <f>867180.78-737500+13095.96</f>
        <v>142776.74000000002</v>
      </c>
      <c r="N665" s="26"/>
    </row>
    <row r="666" spans="1:13" s="14" customFormat="1" ht="78">
      <c r="A666" s="34" t="s">
        <v>688</v>
      </c>
      <c r="B666" s="24" t="s">
        <v>356</v>
      </c>
      <c r="C666" s="11"/>
      <c r="D666" s="11"/>
      <c r="E666" s="11"/>
      <c r="F666" s="11"/>
      <c r="G666" s="35">
        <f>G809+G739+G796+G691+G667+G684</f>
        <v>259296265.89</v>
      </c>
      <c r="H666" s="35">
        <f>H809+H739+H796+H691+H667+H684</f>
        <v>10217716</v>
      </c>
      <c r="I666" s="51"/>
      <c r="J666" s="51"/>
      <c r="M666" s="210"/>
    </row>
    <row r="667" spans="1:13" s="14" customFormat="1" ht="18.75">
      <c r="A667" s="1" t="s">
        <v>670</v>
      </c>
      <c r="B667" s="2" t="s">
        <v>356</v>
      </c>
      <c r="C667" s="2" t="s">
        <v>651</v>
      </c>
      <c r="D667" s="9"/>
      <c r="E667" s="2"/>
      <c r="F667" s="2"/>
      <c r="G667" s="33">
        <f>G668+G678</f>
        <v>7778534.26</v>
      </c>
      <c r="H667" s="36"/>
      <c r="I667" s="51"/>
      <c r="M667" s="210"/>
    </row>
    <row r="668" spans="1:13" s="14" customFormat="1" ht="126">
      <c r="A668" s="1" t="s">
        <v>306</v>
      </c>
      <c r="B668" s="2" t="s">
        <v>356</v>
      </c>
      <c r="C668" s="2" t="s">
        <v>651</v>
      </c>
      <c r="D668" s="2" t="s">
        <v>661</v>
      </c>
      <c r="E668" s="2"/>
      <c r="F668" s="2"/>
      <c r="G668" s="33">
        <f>G669</f>
        <v>7698469.26</v>
      </c>
      <c r="H668" s="36"/>
      <c r="I668" s="51"/>
      <c r="M668" s="210"/>
    </row>
    <row r="669" spans="1:13" s="14" customFormat="1" ht="63">
      <c r="A669" s="3" t="s">
        <v>541</v>
      </c>
      <c r="B669" s="4" t="s">
        <v>356</v>
      </c>
      <c r="C669" s="4" t="s">
        <v>651</v>
      </c>
      <c r="D669" s="4" t="s">
        <v>661</v>
      </c>
      <c r="E669" s="4" t="s">
        <v>708</v>
      </c>
      <c r="F669" s="2"/>
      <c r="G669" s="29">
        <f>G670</f>
        <v>7698469.26</v>
      </c>
      <c r="H669" s="36"/>
      <c r="I669" s="51"/>
      <c r="M669" s="210"/>
    </row>
    <row r="670" spans="1:13" s="14" customFormat="1" ht="78.75">
      <c r="A670" s="21" t="s">
        <v>451</v>
      </c>
      <c r="B670" s="4" t="s">
        <v>356</v>
      </c>
      <c r="C670" s="4" t="s">
        <v>651</v>
      </c>
      <c r="D670" s="4" t="s">
        <v>661</v>
      </c>
      <c r="E670" s="4" t="s">
        <v>452</v>
      </c>
      <c r="F670" s="4"/>
      <c r="G670" s="29">
        <f>G671+G673+G676</f>
        <v>7698469.26</v>
      </c>
      <c r="H670" s="36"/>
      <c r="I670" s="51"/>
      <c r="M670" s="210"/>
    </row>
    <row r="671" spans="1:13" s="14" customFormat="1" ht="47.25">
      <c r="A671" s="21" t="s">
        <v>239</v>
      </c>
      <c r="B671" s="4" t="s">
        <v>356</v>
      </c>
      <c r="C671" s="4" t="s">
        <v>651</v>
      </c>
      <c r="D671" s="4" t="s">
        <v>661</v>
      </c>
      <c r="E671" s="4" t="s">
        <v>270</v>
      </c>
      <c r="F671" s="4"/>
      <c r="G671" s="29">
        <f>G672</f>
        <v>7074817.4799999995</v>
      </c>
      <c r="H671" s="36"/>
      <c r="I671" s="51"/>
      <c r="M671" s="210"/>
    </row>
    <row r="672" spans="1:13" s="14" customFormat="1" ht="126">
      <c r="A672" s="21" t="s">
        <v>245</v>
      </c>
      <c r="B672" s="4" t="s">
        <v>356</v>
      </c>
      <c r="C672" s="4" t="s">
        <v>651</v>
      </c>
      <c r="D672" s="4" t="s">
        <v>661</v>
      </c>
      <c r="E672" s="4" t="s">
        <v>270</v>
      </c>
      <c r="F672" s="4" t="s">
        <v>312</v>
      </c>
      <c r="G672" s="29">
        <f>7447176.29-285989.87-86368.94</f>
        <v>7074817.4799999995</v>
      </c>
      <c r="H672" s="36"/>
      <c r="I672" s="51"/>
      <c r="M672" s="210"/>
    </row>
    <row r="673" spans="1:13" s="14" customFormat="1" ht="47.25">
      <c r="A673" s="21" t="s">
        <v>241</v>
      </c>
      <c r="B673" s="4" t="s">
        <v>356</v>
      </c>
      <c r="C673" s="4" t="s">
        <v>651</v>
      </c>
      <c r="D673" s="4" t="s">
        <v>661</v>
      </c>
      <c r="E673" s="4" t="s">
        <v>271</v>
      </c>
      <c r="F673" s="4"/>
      <c r="G673" s="29">
        <f>G674+G675</f>
        <v>473651.77999999997</v>
      </c>
      <c r="H673" s="36"/>
      <c r="I673" s="51"/>
      <c r="J673" s="51"/>
      <c r="M673" s="210"/>
    </row>
    <row r="674" spans="1:13" s="14" customFormat="1" ht="126">
      <c r="A674" s="21" t="s">
        <v>245</v>
      </c>
      <c r="B674" s="4" t="s">
        <v>356</v>
      </c>
      <c r="C674" s="4" t="s">
        <v>651</v>
      </c>
      <c r="D674" s="4" t="s">
        <v>661</v>
      </c>
      <c r="E674" s="4" t="s">
        <v>271</v>
      </c>
      <c r="F674" s="4" t="s">
        <v>312</v>
      </c>
      <c r="G674" s="29">
        <f>27540+35866.15-9358.2</f>
        <v>54047.95</v>
      </c>
      <c r="H674" s="36"/>
      <c r="I674" s="51"/>
      <c r="M674" s="210"/>
    </row>
    <row r="675" spans="1:13" s="14" customFormat="1" ht="47.25">
      <c r="A675" s="21" t="s">
        <v>702</v>
      </c>
      <c r="B675" s="4" t="s">
        <v>356</v>
      </c>
      <c r="C675" s="4" t="s">
        <v>651</v>
      </c>
      <c r="D675" s="4" t="s">
        <v>661</v>
      </c>
      <c r="E675" s="4" t="s">
        <v>271</v>
      </c>
      <c r="F675" s="4" t="s">
        <v>313</v>
      </c>
      <c r="G675" s="29">
        <f>590469.98-514057.69+379057.69-35866.15</f>
        <v>419603.82999999996</v>
      </c>
      <c r="H675" s="36"/>
      <c r="I675" s="51"/>
      <c r="M675" s="210"/>
    </row>
    <row r="676" spans="1:13" s="14" customFormat="1" ht="110.25">
      <c r="A676" s="21" t="s">
        <v>235</v>
      </c>
      <c r="B676" s="4" t="s">
        <v>356</v>
      </c>
      <c r="C676" s="4" t="s">
        <v>651</v>
      </c>
      <c r="D676" s="4" t="s">
        <v>661</v>
      </c>
      <c r="E676" s="4" t="s">
        <v>272</v>
      </c>
      <c r="F676" s="4"/>
      <c r="G676" s="29">
        <f>G677</f>
        <v>150000</v>
      </c>
      <c r="H676" s="36"/>
      <c r="I676" s="51"/>
      <c r="M676" s="210"/>
    </row>
    <row r="677" spans="1:13" s="14" customFormat="1" ht="126">
      <c r="A677" s="21" t="s">
        <v>245</v>
      </c>
      <c r="B677" s="4" t="s">
        <v>356</v>
      </c>
      <c r="C677" s="4" t="s">
        <v>651</v>
      </c>
      <c r="D677" s="4" t="s">
        <v>661</v>
      </c>
      <c r="E677" s="4" t="s">
        <v>272</v>
      </c>
      <c r="F677" s="4" t="s">
        <v>312</v>
      </c>
      <c r="G677" s="29">
        <f>15000+135000</f>
        <v>150000</v>
      </c>
      <c r="H677" s="36"/>
      <c r="I677" s="51"/>
      <c r="M677" s="210"/>
    </row>
    <row r="678" spans="1:13" s="14" customFormat="1" ht="31.5">
      <c r="A678" s="1" t="s">
        <v>680</v>
      </c>
      <c r="B678" s="2" t="s">
        <v>356</v>
      </c>
      <c r="C678" s="2" t="s">
        <v>651</v>
      </c>
      <c r="D678" s="2" t="s">
        <v>310</v>
      </c>
      <c r="E678" s="2"/>
      <c r="F678" s="2"/>
      <c r="G678" s="33">
        <f>G679</f>
        <v>80065</v>
      </c>
      <c r="H678" s="36"/>
      <c r="I678" s="51"/>
      <c r="M678" s="210"/>
    </row>
    <row r="679" spans="1:13" s="14" customFormat="1" ht="63">
      <c r="A679" s="27" t="s">
        <v>541</v>
      </c>
      <c r="B679" s="4" t="s">
        <v>356</v>
      </c>
      <c r="C679" s="4" t="s">
        <v>651</v>
      </c>
      <c r="D679" s="4" t="s">
        <v>310</v>
      </c>
      <c r="E679" s="4" t="s">
        <v>708</v>
      </c>
      <c r="F679" s="4"/>
      <c r="G679" s="29">
        <f>G680</f>
        <v>80065</v>
      </c>
      <c r="H679" s="36"/>
      <c r="I679" s="51"/>
      <c r="M679" s="210"/>
    </row>
    <row r="680" spans="1:13" s="14" customFormat="1" ht="47.25">
      <c r="A680" s="3" t="s">
        <v>419</v>
      </c>
      <c r="B680" s="4" t="s">
        <v>356</v>
      </c>
      <c r="C680" s="4" t="s">
        <v>651</v>
      </c>
      <c r="D680" s="4" t="s">
        <v>310</v>
      </c>
      <c r="E680" s="4" t="s">
        <v>420</v>
      </c>
      <c r="F680" s="4"/>
      <c r="G680" s="29">
        <f>G681</f>
        <v>80065</v>
      </c>
      <c r="H680" s="36"/>
      <c r="I680" s="51"/>
      <c r="M680" s="210"/>
    </row>
    <row r="681" spans="1:13" s="14" customFormat="1" ht="31.5">
      <c r="A681" s="3" t="s">
        <v>719</v>
      </c>
      <c r="B681" s="4" t="s">
        <v>356</v>
      </c>
      <c r="C681" s="4" t="s">
        <v>651</v>
      </c>
      <c r="D681" s="4" t="s">
        <v>310</v>
      </c>
      <c r="E681" s="4" t="s">
        <v>421</v>
      </c>
      <c r="F681" s="61"/>
      <c r="G681" s="29">
        <f>G683+G682</f>
        <v>80065</v>
      </c>
      <c r="H681" s="36"/>
      <c r="I681" s="51"/>
      <c r="M681" s="210"/>
    </row>
    <row r="682" spans="1:13" s="14" customFormat="1" ht="126">
      <c r="A682" s="3" t="s">
        <v>245</v>
      </c>
      <c r="B682" s="4" t="s">
        <v>356</v>
      </c>
      <c r="C682" s="4" t="s">
        <v>651</v>
      </c>
      <c r="D682" s="4" t="s">
        <v>310</v>
      </c>
      <c r="E682" s="4" t="s">
        <v>421</v>
      </c>
      <c r="F682" s="61">
        <v>100</v>
      </c>
      <c r="G682" s="29">
        <f>9624+2996</f>
        <v>12620</v>
      </c>
      <c r="H682" s="36"/>
      <c r="I682" s="51"/>
      <c r="M682" s="210"/>
    </row>
    <row r="683" spans="1:13" s="14" customFormat="1" ht="47.25">
      <c r="A683" s="3" t="s">
        <v>702</v>
      </c>
      <c r="B683" s="4" t="s">
        <v>356</v>
      </c>
      <c r="C683" s="4" t="s">
        <v>651</v>
      </c>
      <c r="D683" s="4" t="s">
        <v>310</v>
      </c>
      <c r="E683" s="4" t="s">
        <v>421</v>
      </c>
      <c r="F683" s="4" t="s">
        <v>313</v>
      </c>
      <c r="G683" s="29">
        <f>70441-2996</f>
        <v>67445</v>
      </c>
      <c r="H683" s="36"/>
      <c r="I683" s="51"/>
      <c r="M683" s="210"/>
    </row>
    <row r="684" spans="1:13" s="14" customFormat="1" ht="18.75">
      <c r="A684" s="13" t="s">
        <v>672</v>
      </c>
      <c r="B684" s="5" t="s">
        <v>356</v>
      </c>
      <c r="C684" s="5" t="s">
        <v>661</v>
      </c>
      <c r="D684" s="5"/>
      <c r="E684" s="5"/>
      <c r="F684" s="5"/>
      <c r="G684" s="28">
        <f>G685</f>
        <v>1897177.8900000001</v>
      </c>
      <c r="H684" s="35"/>
      <c r="I684" s="51"/>
      <c r="M684" s="210"/>
    </row>
    <row r="685" spans="1:13" s="14" customFormat="1" ht="18.75">
      <c r="A685" s="3" t="s">
        <v>304</v>
      </c>
      <c r="B685" s="4" t="s">
        <v>356</v>
      </c>
      <c r="C685" s="4" t="s">
        <v>661</v>
      </c>
      <c r="D685" s="4" t="s">
        <v>659</v>
      </c>
      <c r="E685" s="4"/>
      <c r="F685" s="4"/>
      <c r="G685" s="29">
        <f>G686</f>
        <v>1897177.8900000001</v>
      </c>
      <c r="H685" s="36"/>
      <c r="I685" s="51"/>
      <c r="M685" s="210"/>
    </row>
    <row r="686" spans="1:13" s="14" customFormat="1" ht="47.25">
      <c r="A686" s="3" t="s">
        <v>548</v>
      </c>
      <c r="B686" s="4" t="s">
        <v>356</v>
      </c>
      <c r="C686" s="4" t="s">
        <v>661</v>
      </c>
      <c r="D686" s="4" t="s">
        <v>659</v>
      </c>
      <c r="E686" s="4" t="s">
        <v>703</v>
      </c>
      <c r="F686" s="4"/>
      <c r="G686" s="29">
        <f>G687</f>
        <v>1897177.8900000001</v>
      </c>
      <c r="H686" s="36"/>
      <c r="I686" s="51"/>
      <c r="M686" s="210"/>
    </row>
    <row r="687" spans="1:13" s="14" customFormat="1" ht="63">
      <c r="A687" s="3" t="s">
        <v>704</v>
      </c>
      <c r="B687" s="4" t="s">
        <v>356</v>
      </c>
      <c r="C687" s="4" t="s">
        <v>661</v>
      </c>
      <c r="D687" s="4" t="s">
        <v>659</v>
      </c>
      <c r="E687" s="4" t="s">
        <v>705</v>
      </c>
      <c r="F687" s="4"/>
      <c r="G687" s="29">
        <f>G688</f>
        <v>1897177.8900000001</v>
      </c>
      <c r="H687" s="36"/>
      <c r="I687" s="51"/>
      <c r="M687" s="210"/>
    </row>
    <row r="688" spans="1:13" s="14" customFormat="1" ht="31.5">
      <c r="A688" s="3" t="s">
        <v>706</v>
      </c>
      <c r="B688" s="4" t="s">
        <v>356</v>
      </c>
      <c r="C688" s="4" t="s">
        <v>661</v>
      </c>
      <c r="D688" s="4" t="s">
        <v>659</v>
      </c>
      <c r="E688" s="4" t="s">
        <v>707</v>
      </c>
      <c r="F688" s="4"/>
      <c r="G688" s="29">
        <f>G689+G690</f>
        <v>1897177.8900000001</v>
      </c>
      <c r="H688" s="36"/>
      <c r="I688" s="51"/>
      <c r="M688" s="210"/>
    </row>
    <row r="689" spans="1:13" s="14" customFormat="1" ht="47.25">
      <c r="A689" s="3" t="s">
        <v>702</v>
      </c>
      <c r="B689" s="4" t="s">
        <v>356</v>
      </c>
      <c r="C689" s="4" t="s">
        <v>661</v>
      </c>
      <c r="D689" s="4" t="s">
        <v>659</v>
      </c>
      <c r="E689" s="4" t="s">
        <v>707</v>
      </c>
      <c r="F689" s="4" t="s">
        <v>313</v>
      </c>
      <c r="G689" s="29">
        <f>225630-15102.11</f>
        <v>210527.89</v>
      </c>
      <c r="H689" s="36"/>
      <c r="I689" s="51"/>
      <c r="M689" s="210"/>
    </row>
    <row r="690" spans="1:13" s="14" customFormat="1" ht="63">
      <c r="A690" s="3" t="s">
        <v>723</v>
      </c>
      <c r="B690" s="4" t="s">
        <v>356</v>
      </c>
      <c r="C690" s="4" t="s">
        <v>661</v>
      </c>
      <c r="D690" s="4" t="s">
        <v>659</v>
      </c>
      <c r="E690" s="4" t="s">
        <v>707</v>
      </c>
      <c r="F690" s="4" t="s">
        <v>317</v>
      </c>
      <c r="G690" s="29">
        <v>1686650</v>
      </c>
      <c r="H690" s="36"/>
      <c r="I690" s="51"/>
      <c r="M690" s="210"/>
    </row>
    <row r="691" spans="1:13" s="14" customFormat="1" ht="18.75">
      <c r="A691" s="13" t="s">
        <v>662</v>
      </c>
      <c r="B691" s="5" t="s">
        <v>356</v>
      </c>
      <c r="C691" s="5" t="s">
        <v>654</v>
      </c>
      <c r="D691" s="5"/>
      <c r="E691" s="5"/>
      <c r="F691" s="5"/>
      <c r="G691" s="28">
        <f>G692+G714</f>
        <v>72731570.67</v>
      </c>
      <c r="H691" s="28">
        <f>H692+H714</f>
        <v>212870</v>
      </c>
      <c r="I691" s="51"/>
      <c r="M691" s="210"/>
    </row>
    <row r="692" spans="1:13" s="14" customFormat="1" ht="18.75">
      <c r="A692" s="1" t="s">
        <v>664</v>
      </c>
      <c r="B692" s="2" t="s">
        <v>356</v>
      </c>
      <c r="C692" s="2" t="s">
        <v>654</v>
      </c>
      <c r="D692" s="2" t="s">
        <v>656</v>
      </c>
      <c r="E692" s="2"/>
      <c r="F692" s="2"/>
      <c r="G692" s="33">
        <f>G693+G698+G709</f>
        <v>57152888.22</v>
      </c>
      <c r="H692" s="33">
        <f>H693+H698+H709</f>
        <v>212870</v>
      </c>
      <c r="I692" s="51"/>
      <c r="M692" s="210"/>
    </row>
    <row r="693" spans="1:13" s="14" customFormat="1" ht="78.75" hidden="1">
      <c r="A693" s="3" t="s">
        <v>542</v>
      </c>
      <c r="B693" s="4" t="s">
        <v>356</v>
      </c>
      <c r="C693" s="4" t="s">
        <v>654</v>
      </c>
      <c r="D693" s="4" t="s">
        <v>656</v>
      </c>
      <c r="E693" s="4" t="s">
        <v>718</v>
      </c>
      <c r="F693" s="4"/>
      <c r="G693" s="29">
        <f>G694+G696</f>
        <v>0</v>
      </c>
      <c r="H693" s="29">
        <f>H694+H696</f>
        <v>0</v>
      </c>
      <c r="I693" s="51"/>
      <c r="M693" s="210"/>
    </row>
    <row r="694" spans="1:13" s="14" customFormat="1" ht="47.25" hidden="1">
      <c r="A694" s="3" t="s">
        <v>512</v>
      </c>
      <c r="B694" s="4" t="s">
        <v>356</v>
      </c>
      <c r="C694" s="4" t="s">
        <v>654</v>
      </c>
      <c r="D694" s="4" t="s">
        <v>656</v>
      </c>
      <c r="E694" s="4" t="s">
        <v>399</v>
      </c>
      <c r="F694" s="4"/>
      <c r="G694" s="29">
        <f>G695</f>
        <v>0</v>
      </c>
      <c r="H694" s="29"/>
      <c r="I694" s="51"/>
      <c r="M694" s="210"/>
    </row>
    <row r="695" spans="1:13" s="16" customFormat="1" ht="63" hidden="1">
      <c r="A695" s="3" t="s">
        <v>723</v>
      </c>
      <c r="B695" s="4" t="s">
        <v>356</v>
      </c>
      <c r="C695" s="4" t="s">
        <v>654</v>
      </c>
      <c r="D695" s="4" t="s">
        <v>656</v>
      </c>
      <c r="E695" s="4" t="s">
        <v>399</v>
      </c>
      <c r="F695" s="4" t="s">
        <v>317</v>
      </c>
      <c r="G695" s="29"/>
      <c r="H695" s="33"/>
      <c r="I695" s="48"/>
      <c r="M695" s="209"/>
    </row>
    <row r="696" spans="1:13" s="16" customFormat="1" ht="63" hidden="1">
      <c r="A696" s="3" t="s">
        <v>280</v>
      </c>
      <c r="B696" s="4" t="s">
        <v>356</v>
      </c>
      <c r="C696" s="4" t="s">
        <v>654</v>
      </c>
      <c r="D696" s="4" t="s">
        <v>656</v>
      </c>
      <c r="E696" s="4" t="s">
        <v>281</v>
      </c>
      <c r="F696" s="4"/>
      <c r="G696" s="29">
        <f>G697</f>
        <v>0</v>
      </c>
      <c r="H696" s="29">
        <f>H697</f>
        <v>0</v>
      </c>
      <c r="I696" s="48"/>
      <c r="M696" s="209"/>
    </row>
    <row r="697" spans="1:13" s="16" customFormat="1" ht="63" hidden="1">
      <c r="A697" s="3" t="s">
        <v>723</v>
      </c>
      <c r="B697" s="4" t="s">
        <v>356</v>
      </c>
      <c r="C697" s="4" t="s">
        <v>654</v>
      </c>
      <c r="D697" s="4" t="s">
        <v>656</v>
      </c>
      <c r="E697" s="4" t="s">
        <v>281</v>
      </c>
      <c r="F697" s="4" t="s">
        <v>317</v>
      </c>
      <c r="G697" s="29"/>
      <c r="H697" s="29">
        <f>G697</f>
        <v>0</v>
      </c>
      <c r="I697" s="48"/>
      <c r="M697" s="209"/>
    </row>
    <row r="698" spans="1:13" s="16" customFormat="1" ht="63">
      <c r="A698" s="3" t="s">
        <v>544</v>
      </c>
      <c r="B698" s="4" t="s">
        <v>356</v>
      </c>
      <c r="C698" s="4" t="s">
        <v>654</v>
      </c>
      <c r="D698" s="4" t="s">
        <v>656</v>
      </c>
      <c r="E698" s="4" t="s">
        <v>341</v>
      </c>
      <c r="F698" s="4"/>
      <c r="G698" s="29">
        <f>G699+G706</f>
        <v>57152888.22</v>
      </c>
      <c r="H698" s="29">
        <f>H699+H706</f>
        <v>212870</v>
      </c>
      <c r="I698" s="48"/>
      <c r="M698" s="209"/>
    </row>
    <row r="699" spans="1:13" s="16" customFormat="1" ht="63">
      <c r="A699" s="3" t="s">
        <v>468</v>
      </c>
      <c r="B699" s="4" t="s">
        <v>356</v>
      </c>
      <c r="C699" s="4" t="s">
        <v>654</v>
      </c>
      <c r="D699" s="4" t="s">
        <v>656</v>
      </c>
      <c r="E699" s="4" t="s">
        <v>469</v>
      </c>
      <c r="F699" s="4"/>
      <c r="G699" s="29">
        <f>G700+G702+G704</f>
        <v>57152888.22</v>
      </c>
      <c r="H699" s="29">
        <f>H700+H702+H704</f>
        <v>212870</v>
      </c>
      <c r="I699" s="48"/>
      <c r="M699" s="209"/>
    </row>
    <row r="700" spans="1:13" s="16" customFormat="1" ht="110.25">
      <c r="A700" s="3" t="s">
        <v>493</v>
      </c>
      <c r="B700" s="4" t="s">
        <v>356</v>
      </c>
      <c r="C700" s="4" t="s">
        <v>654</v>
      </c>
      <c r="D700" s="4" t="s">
        <v>656</v>
      </c>
      <c r="E700" s="4" t="s">
        <v>426</v>
      </c>
      <c r="F700" s="4"/>
      <c r="G700" s="29">
        <f>G701</f>
        <v>56940018.22</v>
      </c>
      <c r="H700" s="33"/>
      <c r="I700" s="48"/>
      <c r="M700" s="209"/>
    </row>
    <row r="701" spans="1:13" s="16" customFormat="1" ht="63">
      <c r="A701" s="3" t="s">
        <v>723</v>
      </c>
      <c r="B701" s="4" t="s">
        <v>356</v>
      </c>
      <c r="C701" s="4" t="s">
        <v>654</v>
      </c>
      <c r="D701" s="4" t="s">
        <v>656</v>
      </c>
      <c r="E701" s="4" t="s">
        <v>426</v>
      </c>
      <c r="F701" s="4" t="s">
        <v>317</v>
      </c>
      <c r="G701" s="29">
        <f>64289580-7349561.78</f>
        <v>56940018.22</v>
      </c>
      <c r="H701" s="33"/>
      <c r="I701" s="48"/>
      <c r="M701" s="209"/>
    </row>
    <row r="702" spans="1:13" s="16" customFormat="1" ht="39.75" customHeight="1" hidden="1">
      <c r="A702" s="3" t="s">
        <v>719</v>
      </c>
      <c r="B702" s="4" t="s">
        <v>356</v>
      </c>
      <c r="C702" s="4" t="s">
        <v>654</v>
      </c>
      <c r="D702" s="4" t="s">
        <v>656</v>
      </c>
      <c r="E702" s="4" t="s">
        <v>425</v>
      </c>
      <c r="F702" s="4"/>
      <c r="G702" s="29">
        <f>G703</f>
        <v>0</v>
      </c>
      <c r="H702" s="33"/>
      <c r="I702" s="48"/>
      <c r="M702" s="209"/>
    </row>
    <row r="703" spans="1:13" s="16" customFormat="1" ht="67.5" customHeight="1" hidden="1">
      <c r="A703" s="3" t="s">
        <v>723</v>
      </c>
      <c r="B703" s="4" t="s">
        <v>356</v>
      </c>
      <c r="C703" s="4" t="s">
        <v>654</v>
      </c>
      <c r="D703" s="4" t="s">
        <v>656</v>
      </c>
      <c r="E703" s="4" t="s">
        <v>425</v>
      </c>
      <c r="F703" s="4" t="s">
        <v>317</v>
      </c>
      <c r="G703" s="29"/>
      <c r="H703" s="33"/>
      <c r="I703" s="48"/>
      <c r="M703" s="209"/>
    </row>
    <row r="704" spans="1:13" s="16" customFormat="1" ht="126">
      <c r="A704" s="3" t="s">
        <v>765</v>
      </c>
      <c r="B704" s="4" t="s">
        <v>356</v>
      </c>
      <c r="C704" s="4" t="s">
        <v>654</v>
      </c>
      <c r="D704" s="4" t="s">
        <v>656</v>
      </c>
      <c r="E704" s="4" t="s">
        <v>753</v>
      </c>
      <c r="F704" s="4"/>
      <c r="G704" s="29">
        <f>G705</f>
        <v>212870</v>
      </c>
      <c r="H704" s="29">
        <f>H705</f>
        <v>212870</v>
      </c>
      <c r="I704" s="48"/>
      <c r="M704" s="209"/>
    </row>
    <row r="705" spans="1:13" s="16" customFormat="1" ht="67.5" customHeight="1">
      <c r="A705" s="3" t="s">
        <v>723</v>
      </c>
      <c r="B705" s="4" t="s">
        <v>356</v>
      </c>
      <c r="C705" s="4" t="s">
        <v>654</v>
      </c>
      <c r="D705" s="4" t="s">
        <v>656</v>
      </c>
      <c r="E705" s="4" t="s">
        <v>753</v>
      </c>
      <c r="F705" s="4" t="s">
        <v>317</v>
      </c>
      <c r="G705" s="29">
        <v>212870</v>
      </c>
      <c r="H705" s="29">
        <f>G705</f>
        <v>212870</v>
      </c>
      <c r="I705" s="48"/>
      <c r="M705" s="209"/>
    </row>
    <row r="706" spans="1:13" s="16" customFormat="1" ht="78.75" hidden="1">
      <c r="A706" s="3" t="s">
        <v>435</v>
      </c>
      <c r="B706" s="4" t="s">
        <v>356</v>
      </c>
      <c r="C706" s="4" t="s">
        <v>654</v>
      </c>
      <c r="D706" s="4" t="s">
        <v>656</v>
      </c>
      <c r="E706" s="4" t="s">
        <v>436</v>
      </c>
      <c r="F706" s="4"/>
      <c r="G706" s="29">
        <f>G707</f>
        <v>0</v>
      </c>
      <c r="H706" s="33"/>
      <c r="I706" s="48"/>
      <c r="M706" s="209"/>
    </row>
    <row r="707" spans="1:13" s="16" customFormat="1" ht="31.5" hidden="1">
      <c r="A707" s="3" t="s">
        <v>719</v>
      </c>
      <c r="B707" s="4" t="s">
        <v>356</v>
      </c>
      <c r="C707" s="4" t="s">
        <v>654</v>
      </c>
      <c r="D707" s="4" t="s">
        <v>656</v>
      </c>
      <c r="E707" s="4" t="s">
        <v>438</v>
      </c>
      <c r="F707" s="4"/>
      <c r="G707" s="29">
        <f>G708</f>
        <v>0</v>
      </c>
      <c r="H707" s="33"/>
      <c r="I707" s="48"/>
      <c r="M707" s="209"/>
    </row>
    <row r="708" spans="1:13" s="16" customFormat="1" ht="63" hidden="1">
      <c r="A708" s="3" t="s">
        <v>723</v>
      </c>
      <c r="B708" s="4" t="s">
        <v>356</v>
      </c>
      <c r="C708" s="4" t="s">
        <v>654</v>
      </c>
      <c r="D708" s="4" t="s">
        <v>656</v>
      </c>
      <c r="E708" s="4" t="s">
        <v>438</v>
      </c>
      <c r="F708" s="4" t="s">
        <v>317</v>
      </c>
      <c r="G708" s="29"/>
      <c r="H708" s="33"/>
      <c r="I708" s="48"/>
      <c r="M708" s="209"/>
    </row>
    <row r="709" spans="1:13" s="16" customFormat="1" ht="63" hidden="1">
      <c r="A709" s="3" t="s">
        <v>546</v>
      </c>
      <c r="B709" s="4" t="s">
        <v>356</v>
      </c>
      <c r="C709" s="4" t="s">
        <v>654</v>
      </c>
      <c r="D709" s="4" t="s">
        <v>656</v>
      </c>
      <c r="E709" s="4" t="s">
        <v>363</v>
      </c>
      <c r="F709" s="4"/>
      <c r="G709" s="29">
        <f>G710+G712</f>
        <v>0</v>
      </c>
      <c r="H709" s="33"/>
      <c r="I709" s="48"/>
      <c r="M709" s="209"/>
    </row>
    <row r="710" spans="1:13" s="16" customFormat="1" ht="47.25" hidden="1">
      <c r="A710" s="3" t="s">
        <v>512</v>
      </c>
      <c r="B710" s="4" t="s">
        <v>356</v>
      </c>
      <c r="C710" s="4" t="s">
        <v>654</v>
      </c>
      <c r="D710" s="4" t="s">
        <v>656</v>
      </c>
      <c r="E710" s="4" t="s">
        <v>364</v>
      </c>
      <c r="F710" s="4"/>
      <c r="G710" s="29">
        <f>G711</f>
        <v>0</v>
      </c>
      <c r="H710" s="33"/>
      <c r="I710" s="48"/>
      <c r="M710" s="209"/>
    </row>
    <row r="711" spans="1:13" s="16" customFormat="1" ht="63" hidden="1">
      <c r="A711" s="3" t="s">
        <v>723</v>
      </c>
      <c r="B711" s="4" t="s">
        <v>356</v>
      </c>
      <c r="C711" s="4" t="s">
        <v>654</v>
      </c>
      <c r="D711" s="4" t="s">
        <v>656</v>
      </c>
      <c r="E711" s="4" t="s">
        <v>364</v>
      </c>
      <c r="F711" s="4" t="s">
        <v>317</v>
      </c>
      <c r="G711" s="29"/>
      <c r="H711" s="33"/>
      <c r="I711" s="48"/>
      <c r="M711" s="209"/>
    </row>
    <row r="712" spans="1:13" s="16" customFormat="1" ht="31.5" hidden="1">
      <c r="A712" s="3" t="s">
        <v>719</v>
      </c>
      <c r="B712" s="4" t="s">
        <v>356</v>
      </c>
      <c r="C712" s="4" t="s">
        <v>654</v>
      </c>
      <c r="D712" s="4" t="s">
        <v>656</v>
      </c>
      <c r="E712" s="4" t="s">
        <v>365</v>
      </c>
      <c r="F712" s="4"/>
      <c r="G712" s="29">
        <f>G713</f>
        <v>0</v>
      </c>
      <c r="H712" s="33"/>
      <c r="I712" s="48"/>
      <c r="M712" s="209"/>
    </row>
    <row r="713" spans="1:13" s="16" customFormat="1" ht="63" hidden="1">
      <c r="A713" s="3" t="s">
        <v>723</v>
      </c>
      <c r="B713" s="4" t="s">
        <v>356</v>
      </c>
      <c r="C713" s="4" t="s">
        <v>654</v>
      </c>
      <c r="D713" s="4" t="s">
        <v>656</v>
      </c>
      <c r="E713" s="4" t="s">
        <v>365</v>
      </c>
      <c r="F713" s="4" t="s">
        <v>317</v>
      </c>
      <c r="G713" s="29"/>
      <c r="H713" s="33"/>
      <c r="I713" s="48"/>
      <c r="M713" s="209"/>
    </row>
    <row r="714" spans="1:13" s="16" customFormat="1" ht="31.5">
      <c r="A714" s="1" t="s">
        <v>351</v>
      </c>
      <c r="B714" s="2" t="s">
        <v>356</v>
      </c>
      <c r="C714" s="2" t="s">
        <v>654</v>
      </c>
      <c r="D714" s="2" t="s">
        <v>654</v>
      </c>
      <c r="E714" s="2"/>
      <c r="F714" s="2"/>
      <c r="G714" s="33">
        <f>G728+G715+G732</f>
        <v>15578682.45</v>
      </c>
      <c r="H714" s="33"/>
      <c r="I714" s="48"/>
      <c r="M714" s="209"/>
    </row>
    <row r="715" spans="1:13" s="16" customFormat="1" ht="78.75">
      <c r="A715" s="3" t="s">
        <v>543</v>
      </c>
      <c r="B715" s="4" t="s">
        <v>356</v>
      </c>
      <c r="C715" s="4" t="s">
        <v>654</v>
      </c>
      <c r="D715" s="4" t="s">
        <v>654</v>
      </c>
      <c r="E715" s="4" t="s">
        <v>735</v>
      </c>
      <c r="F715" s="2"/>
      <c r="G715" s="29">
        <f>G716+G722+G725</f>
        <v>15578682.45</v>
      </c>
      <c r="H715" s="33"/>
      <c r="I715" s="48"/>
      <c r="M715" s="209"/>
    </row>
    <row r="716" spans="1:13" s="16" customFormat="1" ht="40.5" customHeight="1">
      <c r="A716" s="3" t="s">
        <v>440</v>
      </c>
      <c r="B716" s="4" t="s">
        <v>356</v>
      </c>
      <c r="C716" s="4" t="s">
        <v>654</v>
      </c>
      <c r="D716" s="4" t="s">
        <v>654</v>
      </c>
      <c r="E716" s="4" t="s">
        <v>441</v>
      </c>
      <c r="F716" s="4"/>
      <c r="G716" s="29">
        <f>G717+G719</f>
        <v>875000</v>
      </c>
      <c r="H716" s="29"/>
      <c r="I716" s="48"/>
      <c r="M716" s="209"/>
    </row>
    <row r="717" spans="1:13" s="16" customFormat="1" ht="47.25">
      <c r="A717" s="3" t="s">
        <v>442</v>
      </c>
      <c r="B717" s="4" t="s">
        <v>356</v>
      </c>
      <c r="C717" s="4" t="s">
        <v>654</v>
      </c>
      <c r="D717" s="4" t="s">
        <v>654</v>
      </c>
      <c r="E717" s="4" t="s">
        <v>443</v>
      </c>
      <c r="F717" s="4"/>
      <c r="G717" s="29">
        <f>G718</f>
        <v>300000</v>
      </c>
      <c r="H717" s="29"/>
      <c r="I717" s="48"/>
      <c r="M717" s="209"/>
    </row>
    <row r="718" spans="1:13" s="16" customFormat="1" ht="47.25">
      <c r="A718" s="3" t="s">
        <v>702</v>
      </c>
      <c r="B718" s="4" t="s">
        <v>356</v>
      </c>
      <c r="C718" s="4" t="s">
        <v>654</v>
      </c>
      <c r="D718" s="4" t="s">
        <v>654</v>
      </c>
      <c r="E718" s="4" t="s">
        <v>443</v>
      </c>
      <c r="F718" s="4" t="s">
        <v>313</v>
      </c>
      <c r="G718" s="29">
        <v>300000</v>
      </c>
      <c r="H718" s="29"/>
      <c r="I718" s="48"/>
      <c r="M718" s="209"/>
    </row>
    <row r="719" spans="1:13" s="16" customFormat="1" ht="31.5">
      <c r="A719" s="3" t="s">
        <v>719</v>
      </c>
      <c r="B719" s="4" t="s">
        <v>356</v>
      </c>
      <c r="C719" s="4" t="s">
        <v>654</v>
      </c>
      <c r="D719" s="4" t="s">
        <v>654</v>
      </c>
      <c r="E719" s="4" t="s">
        <v>444</v>
      </c>
      <c r="F719" s="4"/>
      <c r="G719" s="29">
        <f>G720+G721</f>
        <v>575000</v>
      </c>
      <c r="H719" s="29"/>
      <c r="I719" s="48"/>
      <c r="M719" s="209"/>
    </row>
    <row r="720" spans="1:13" s="16" customFormat="1" ht="47.25">
      <c r="A720" s="3" t="s">
        <v>702</v>
      </c>
      <c r="B720" s="4" t="s">
        <v>356</v>
      </c>
      <c r="C720" s="4" t="s">
        <v>654</v>
      </c>
      <c r="D720" s="4" t="s">
        <v>654</v>
      </c>
      <c r="E720" s="4" t="s">
        <v>444</v>
      </c>
      <c r="F720" s="4" t="s">
        <v>313</v>
      </c>
      <c r="G720" s="29">
        <f>575000-215000</f>
        <v>360000</v>
      </c>
      <c r="H720" s="29"/>
      <c r="I720" s="48"/>
      <c r="M720" s="209"/>
    </row>
    <row r="721" spans="1:13" s="16" customFormat="1" ht="63">
      <c r="A721" s="3" t="s">
        <v>723</v>
      </c>
      <c r="B721" s="4" t="s">
        <v>356</v>
      </c>
      <c r="C721" s="4" t="s">
        <v>654</v>
      </c>
      <c r="D721" s="4" t="s">
        <v>654</v>
      </c>
      <c r="E721" s="4" t="s">
        <v>444</v>
      </c>
      <c r="F721" s="4" t="s">
        <v>317</v>
      </c>
      <c r="G721" s="29">
        <v>215000</v>
      </c>
      <c r="H721" s="29"/>
      <c r="I721" s="48"/>
      <c r="M721" s="209"/>
    </row>
    <row r="722" spans="1:13" s="16" customFormat="1" ht="31.5">
      <c r="A722" s="3" t="s">
        <v>445</v>
      </c>
      <c r="B722" s="4" t="s">
        <v>356</v>
      </c>
      <c r="C722" s="4" t="s">
        <v>654</v>
      </c>
      <c r="D722" s="4" t="s">
        <v>654</v>
      </c>
      <c r="E722" s="4" t="s">
        <v>446</v>
      </c>
      <c r="F722" s="4"/>
      <c r="G722" s="29">
        <f>G723+G737</f>
        <v>14703682.45</v>
      </c>
      <c r="H722" s="29"/>
      <c r="I722" s="48"/>
      <c r="M722" s="209"/>
    </row>
    <row r="723" spans="1:13" s="16" customFormat="1" ht="110.25">
      <c r="A723" s="3" t="s">
        <v>493</v>
      </c>
      <c r="B723" s="4" t="s">
        <v>356</v>
      </c>
      <c r="C723" s="4" t="s">
        <v>654</v>
      </c>
      <c r="D723" s="4" t="s">
        <v>654</v>
      </c>
      <c r="E723" s="4" t="s">
        <v>447</v>
      </c>
      <c r="F723" s="4"/>
      <c r="G723" s="29">
        <f>G724</f>
        <v>14451532.45</v>
      </c>
      <c r="H723" s="29"/>
      <c r="I723" s="48"/>
      <c r="M723" s="209"/>
    </row>
    <row r="724" spans="1:13" s="16" customFormat="1" ht="63">
      <c r="A724" s="3" t="s">
        <v>723</v>
      </c>
      <c r="B724" s="4" t="s">
        <v>356</v>
      </c>
      <c r="C724" s="4" t="s">
        <v>654</v>
      </c>
      <c r="D724" s="4" t="s">
        <v>654</v>
      </c>
      <c r="E724" s="4" t="s">
        <v>447</v>
      </c>
      <c r="F724" s="4" t="s">
        <v>317</v>
      </c>
      <c r="G724" s="29">
        <f>16314000+252150-1862467.55-252150</f>
        <v>14451532.45</v>
      </c>
      <c r="H724" s="29"/>
      <c r="I724" s="48"/>
      <c r="M724" s="209"/>
    </row>
    <row r="725" spans="1:13" s="16" customFormat="1" ht="15.75" hidden="1">
      <c r="A725" s="60" t="s">
        <v>448</v>
      </c>
      <c r="B725" s="4" t="s">
        <v>356</v>
      </c>
      <c r="C725" s="4" t="s">
        <v>654</v>
      </c>
      <c r="D725" s="4" t="s">
        <v>654</v>
      </c>
      <c r="E725" s="4" t="s">
        <v>449</v>
      </c>
      <c r="F725" s="4"/>
      <c r="G725" s="29">
        <f>G726</f>
        <v>0</v>
      </c>
      <c r="H725" s="29"/>
      <c r="I725" s="48"/>
      <c r="M725" s="209"/>
    </row>
    <row r="726" spans="1:13" s="16" customFormat="1" ht="31.5" hidden="1">
      <c r="A726" s="3" t="s">
        <v>719</v>
      </c>
      <c r="B726" s="4" t="s">
        <v>356</v>
      </c>
      <c r="C726" s="4" t="s">
        <v>654</v>
      </c>
      <c r="D726" s="4" t="s">
        <v>654</v>
      </c>
      <c r="E726" s="4" t="s">
        <v>450</v>
      </c>
      <c r="F726" s="4"/>
      <c r="G726" s="29">
        <f>G727</f>
        <v>0</v>
      </c>
      <c r="H726" s="29"/>
      <c r="I726" s="48"/>
      <c r="M726" s="209"/>
    </row>
    <row r="727" spans="1:13" s="16" customFormat="1" ht="63" hidden="1">
      <c r="A727" s="3" t="s">
        <v>723</v>
      </c>
      <c r="B727" s="4" t="s">
        <v>356</v>
      </c>
      <c r="C727" s="4" t="s">
        <v>654</v>
      </c>
      <c r="D727" s="4" t="s">
        <v>654</v>
      </c>
      <c r="E727" s="4" t="s">
        <v>450</v>
      </c>
      <c r="F727" s="4" t="s">
        <v>317</v>
      </c>
      <c r="G727" s="29"/>
      <c r="H727" s="29"/>
      <c r="I727" s="48"/>
      <c r="M727" s="209"/>
    </row>
    <row r="728" spans="1:13" s="16" customFormat="1" ht="78.75" hidden="1">
      <c r="A728" s="3" t="s">
        <v>545</v>
      </c>
      <c r="B728" s="4" t="s">
        <v>356</v>
      </c>
      <c r="C728" s="4" t="s">
        <v>654</v>
      </c>
      <c r="D728" s="4" t="s">
        <v>654</v>
      </c>
      <c r="E728" s="4" t="s">
        <v>406</v>
      </c>
      <c r="F728" s="4"/>
      <c r="G728" s="29">
        <f>G729</f>
        <v>0</v>
      </c>
      <c r="H728" s="33"/>
      <c r="I728" s="48"/>
      <c r="M728" s="209"/>
    </row>
    <row r="729" spans="1:13" s="16" customFormat="1" ht="78.75" hidden="1">
      <c r="A729" s="3" t="s">
        <v>411</v>
      </c>
      <c r="B729" s="4" t="s">
        <v>356</v>
      </c>
      <c r="C729" s="4" t="s">
        <v>654</v>
      </c>
      <c r="D729" s="4" t="s">
        <v>654</v>
      </c>
      <c r="E729" s="4" t="s">
        <v>412</v>
      </c>
      <c r="F729" s="4"/>
      <c r="G729" s="29">
        <f>G730</f>
        <v>0</v>
      </c>
      <c r="H729" s="33"/>
      <c r="I729" s="48"/>
      <c r="M729" s="209"/>
    </row>
    <row r="730" spans="1:13" s="16" customFormat="1" ht="31.5" hidden="1">
      <c r="A730" s="3" t="s">
        <v>719</v>
      </c>
      <c r="B730" s="4" t="s">
        <v>356</v>
      </c>
      <c r="C730" s="4" t="s">
        <v>654</v>
      </c>
      <c r="D730" s="4" t="s">
        <v>654</v>
      </c>
      <c r="E730" s="4" t="s">
        <v>413</v>
      </c>
      <c r="F730" s="4"/>
      <c r="G730" s="29">
        <f>G731</f>
        <v>0</v>
      </c>
      <c r="H730" s="33"/>
      <c r="I730" s="48"/>
      <c r="M730" s="209"/>
    </row>
    <row r="731" spans="1:13" s="16" customFormat="1" ht="63" hidden="1">
      <c r="A731" s="3" t="s">
        <v>723</v>
      </c>
      <c r="B731" s="4" t="s">
        <v>356</v>
      </c>
      <c r="C731" s="4" t="s">
        <v>654</v>
      </c>
      <c r="D731" s="4" t="s">
        <v>654</v>
      </c>
      <c r="E731" s="4" t="s">
        <v>413</v>
      </c>
      <c r="F731" s="4" t="s">
        <v>317</v>
      </c>
      <c r="G731" s="29"/>
      <c r="H731" s="33"/>
      <c r="I731" s="48"/>
      <c r="M731" s="209"/>
    </row>
    <row r="732" spans="1:13" s="16" customFormat="1" ht="63" hidden="1">
      <c r="A732" s="3" t="s">
        <v>546</v>
      </c>
      <c r="B732" s="4" t="s">
        <v>356</v>
      </c>
      <c r="C732" s="4" t="s">
        <v>654</v>
      </c>
      <c r="D732" s="4" t="s">
        <v>654</v>
      </c>
      <c r="E732" s="4" t="s">
        <v>363</v>
      </c>
      <c r="F732" s="4"/>
      <c r="G732" s="29">
        <f>G733+G735</f>
        <v>0</v>
      </c>
      <c r="H732" s="33"/>
      <c r="I732" s="48"/>
      <c r="M732" s="209"/>
    </row>
    <row r="733" spans="1:13" s="16" customFormat="1" ht="47.25" hidden="1">
      <c r="A733" s="3" t="s">
        <v>512</v>
      </c>
      <c r="B733" s="4" t="s">
        <v>356</v>
      </c>
      <c r="C733" s="4" t="s">
        <v>654</v>
      </c>
      <c r="D733" s="4" t="s">
        <v>654</v>
      </c>
      <c r="E733" s="4" t="s">
        <v>364</v>
      </c>
      <c r="F733" s="4"/>
      <c r="G733" s="29">
        <f>G734</f>
        <v>0</v>
      </c>
      <c r="H733" s="33"/>
      <c r="I733" s="48"/>
      <c r="M733" s="209"/>
    </row>
    <row r="734" spans="1:13" s="16" customFormat="1" ht="63" hidden="1">
      <c r="A734" s="3" t="s">
        <v>723</v>
      </c>
      <c r="B734" s="4" t="s">
        <v>356</v>
      </c>
      <c r="C734" s="4" t="s">
        <v>654</v>
      </c>
      <c r="D734" s="4" t="s">
        <v>654</v>
      </c>
      <c r="E734" s="4" t="s">
        <v>364</v>
      </c>
      <c r="F734" s="4" t="s">
        <v>317</v>
      </c>
      <c r="G734" s="29"/>
      <c r="H734" s="33"/>
      <c r="I734" s="48"/>
      <c r="J734" s="26"/>
      <c r="M734" s="209"/>
    </row>
    <row r="735" spans="1:13" s="16" customFormat="1" ht="31.5" hidden="1">
      <c r="A735" s="3" t="s">
        <v>719</v>
      </c>
      <c r="B735" s="4" t="s">
        <v>356</v>
      </c>
      <c r="C735" s="4" t="s">
        <v>654</v>
      </c>
      <c r="D735" s="4" t="s">
        <v>654</v>
      </c>
      <c r="E735" s="4" t="s">
        <v>365</v>
      </c>
      <c r="F735" s="4"/>
      <c r="G735" s="29">
        <f>G736</f>
        <v>0</v>
      </c>
      <c r="H735" s="33"/>
      <c r="I735" s="48"/>
      <c r="M735" s="209"/>
    </row>
    <row r="736" spans="1:13" s="16" customFormat="1" ht="63" hidden="1">
      <c r="A736" s="3" t="s">
        <v>723</v>
      </c>
      <c r="B736" s="4" t="s">
        <v>356</v>
      </c>
      <c r="C736" s="4" t="s">
        <v>654</v>
      </c>
      <c r="D736" s="4" t="s">
        <v>654</v>
      </c>
      <c r="E736" s="4" t="s">
        <v>365</v>
      </c>
      <c r="F736" s="4" t="s">
        <v>317</v>
      </c>
      <c r="G736" s="29"/>
      <c r="H736" s="33"/>
      <c r="I736" s="48"/>
      <c r="J736" s="26"/>
      <c r="M736" s="209"/>
    </row>
    <row r="737" spans="1:13" s="16" customFormat="1" ht="31.5">
      <c r="A737" s="3" t="s">
        <v>719</v>
      </c>
      <c r="B737" s="4" t="s">
        <v>356</v>
      </c>
      <c r="C737" s="4" t="s">
        <v>654</v>
      </c>
      <c r="D737" s="4" t="s">
        <v>654</v>
      </c>
      <c r="E737" s="4" t="s">
        <v>802</v>
      </c>
      <c r="F737" s="4"/>
      <c r="G737" s="29">
        <f>G738</f>
        <v>252150</v>
      </c>
      <c r="H737" s="33"/>
      <c r="I737" s="48"/>
      <c r="J737" s="26"/>
      <c r="M737" s="209"/>
    </row>
    <row r="738" spans="1:13" s="16" customFormat="1" ht="63">
      <c r="A738" s="3" t="s">
        <v>723</v>
      </c>
      <c r="B738" s="4" t="s">
        <v>356</v>
      </c>
      <c r="C738" s="4" t="s">
        <v>654</v>
      </c>
      <c r="D738" s="4" t="s">
        <v>654</v>
      </c>
      <c r="E738" s="4" t="s">
        <v>802</v>
      </c>
      <c r="F738" s="4" t="s">
        <v>317</v>
      </c>
      <c r="G738" s="29">
        <v>252150</v>
      </c>
      <c r="H738" s="33"/>
      <c r="I738" s="48"/>
      <c r="J738" s="26"/>
      <c r="M738" s="209"/>
    </row>
    <row r="739" spans="1:8" ht="15.75">
      <c r="A739" s="13" t="s">
        <v>314</v>
      </c>
      <c r="B739" s="5" t="s">
        <v>356</v>
      </c>
      <c r="C739" s="5" t="s">
        <v>655</v>
      </c>
      <c r="D739" s="5" t="s">
        <v>681</v>
      </c>
      <c r="E739" s="23"/>
      <c r="F739" s="23"/>
      <c r="G739" s="28">
        <f>G740</f>
        <v>173981739.07</v>
      </c>
      <c r="H739" s="28">
        <f>H740</f>
        <v>8497652</v>
      </c>
    </row>
    <row r="740" spans="1:11" ht="15.75">
      <c r="A740" s="1" t="s">
        <v>676</v>
      </c>
      <c r="B740" s="2" t="s">
        <v>356</v>
      </c>
      <c r="C740" s="2" t="s">
        <v>655</v>
      </c>
      <c r="D740" s="2" t="s">
        <v>651</v>
      </c>
      <c r="E740" s="4"/>
      <c r="F740" s="4"/>
      <c r="G740" s="33">
        <f>G755+G741+G787+G748+G791+G752</f>
        <v>173981739.07</v>
      </c>
      <c r="H740" s="33">
        <f>H755+H741+H787+H748+H791+H752</f>
        <v>8497652</v>
      </c>
      <c r="I740" s="33">
        <f>I755+I741+I787+I748+I791+I752</f>
        <v>0</v>
      </c>
      <c r="J740" s="33">
        <f>J755+J741+J787+J748+J791+J752</f>
        <v>0</v>
      </c>
      <c r="K740" s="33">
        <f>K755+K741+K787+K748+K791+K752</f>
        <v>0</v>
      </c>
    </row>
    <row r="741" spans="1:8" ht="78.75" hidden="1">
      <c r="A741" s="3" t="s">
        <v>542</v>
      </c>
      <c r="B741" s="4" t="s">
        <v>356</v>
      </c>
      <c r="C741" s="4" t="s">
        <v>655</v>
      </c>
      <c r="D741" s="4" t="s">
        <v>651</v>
      </c>
      <c r="E741" s="4" t="s">
        <v>718</v>
      </c>
      <c r="F741" s="4"/>
      <c r="G741" s="29">
        <f>G742+G744+G746</f>
        <v>0</v>
      </c>
      <c r="H741" s="29">
        <f>H742+H744+H746</f>
        <v>0</v>
      </c>
    </row>
    <row r="742" spans="1:8" ht="47.25" hidden="1">
      <c r="A742" s="3" t="s">
        <v>512</v>
      </c>
      <c r="B742" s="4" t="s">
        <v>356</v>
      </c>
      <c r="C742" s="4" t="s">
        <v>655</v>
      </c>
      <c r="D742" s="4" t="s">
        <v>651</v>
      </c>
      <c r="E742" s="4" t="s">
        <v>399</v>
      </c>
      <c r="F742" s="4"/>
      <c r="G742" s="29">
        <f>G743</f>
        <v>0</v>
      </c>
      <c r="H742" s="29"/>
    </row>
    <row r="743" spans="1:10" ht="63" hidden="1">
      <c r="A743" s="3" t="s">
        <v>723</v>
      </c>
      <c r="B743" s="4" t="s">
        <v>356</v>
      </c>
      <c r="C743" s="4" t="s">
        <v>655</v>
      </c>
      <c r="D743" s="4" t="s">
        <v>651</v>
      </c>
      <c r="E743" s="4" t="s">
        <v>399</v>
      </c>
      <c r="F743" s="4" t="s">
        <v>317</v>
      </c>
      <c r="G743" s="29"/>
      <c r="H743" s="29"/>
      <c r="J743" s="26"/>
    </row>
    <row r="744" spans="1:8" ht="31.5" hidden="1">
      <c r="A744" s="3" t="s">
        <v>719</v>
      </c>
      <c r="B744" s="4" t="s">
        <v>356</v>
      </c>
      <c r="C744" s="4" t="s">
        <v>655</v>
      </c>
      <c r="D744" s="4" t="s">
        <v>651</v>
      </c>
      <c r="E744" s="4" t="s">
        <v>720</v>
      </c>
      <c r="F744" s="4"/>
      <c r="G744" s="29">
        <f>G745</f>
        <v>0</v>
      </c>
      <c r="H744" s="29"/>
    </row>
    <row r="745" spans="1:10" ht="63" hidden="1">
      <c r="A745" s="3" t="s">
        <v>723</v>
      </c>
      <c r="B745" s="4" t="s">
        <v>356</v>
      </c>
      <c r="C745" s="4" t="s">
        <v>655</v>
      </c>
      <c r="D745" s="4" t="s">
        <v>651</v>
      </c>
      <c r="E745" s="4" t="s">
        <v>720</v>
      </c>
      <c r="F745" s="4" t="s">
        <v>317</v>
      </c>
      <c r="G745" s="29"/>
      <c r="H745" s="29"/>
      <c r="J745" s="26"/>
    </row>
    <row r="746" spans="1:8" ht="63" hidden="1">
      <c r="A746" s="3" t="s">
        <v>280</v>
      </c>
      <c r="B746" s="4" t="s">
        <v>356</v>
      </c>
      <c r="C746" s="4" t="s">
        <v>655</v>
      </c>
      <c r="D746" s="4" t="s">
        <v>651</v>
      </c>
      <c r="E746" s="4" t="s">
        <v>281</v>
      </c>
      <c r="F746" s="4"/>
      <c r="G746" s="29">
        <f>G747</f>
        <v>0</v>
      </c>
      <c r="H746" s="29">
        <f>H747</f>
        <v>0</v>
      </c>
    </row>
    <row r="747" spans="1:8" ht="63" hidden="1">
      <c r="A747" s="3" t="s">
        <v>723</v>
      </c>
      <c r="B747" s="4" t="s">
        <v>356</v>
      </c>
      <c r="C747" s="4" t="s">
        <v>655</v>
      </c>
      <c r="D747" s="4" t="s">
        <v>651</v>
      </c>
      <c r="E747" s="4" t="s">
        <v>281</v>
      </c>
      <c r="F747" s="4" t="s">
        <v>317</v>
      </c>
      <c r="G747" s="29">
        <v>0</v>
      </c>
      <c r="H747" s="29">
        <f>G747</f>
        <v>0</v>
      </c>
    </row>
    <row r="748" spans="1:8" ht="78.75" hidden="1">
      <c r="A748" s="3" t="s">
        <v>543</v>
      </c>
      <c r="B748" s="4" t="s">
        <v>356</v>
      </c>
      <c r="C748" s="4" t="s">
        <v>655</v>
      </c>
      <c r="D748" s="4" t="s">
        <v>651</v>
      </c>
      <c r="E748" s="4" t="s">
        <v>735</v>
      </c>
      <c r="F748" s="4"/>
      <c r="G748" s="29">
        <f>G749</f>
        <v>0</v>
      </c>
      <c r="H748" s="29"/>
    </row>
    <row r="749" spans="1:8" ht="15.75" hidden="1">
      <c r="A749" s="60" t="s">
        <v>448</v>
      </c>
      <c r="B749" s="4" t="s">
        <v>356</v>
      </c>
      <c r="C749" s="4" t="s">
        <v>655</v>
      </c>
      <c r="D749" s="4" t="s">
        <v>651</v>
      </c>
      <c r="E749" s="4" t="s">
        <v>449</v>
      </c>
      <c r="F749" s="4"/>
      <c r="G749" s="29">
        <f>G750</f>
        <v>0</v>
      </c>
      <c r="H749" s="29"/>
    </row>
    <row r="750" spans="1:8" ht="31.5" hidden="1">
      <c r="A750" s="3" t="s">
        <v>719</v>
      </c>
      <c r="B750" s="4" t="s">
        <v>356</v>
      </c>
      <c r="C750" s="4" t="s">
        <v>655</v>
      </c>
      <c r="D750" s="4" t="s">
        <v>651</v>
      </c>
      <c r="E750" s="4" t="s">
        <v>450</v>
      </c>
      <c r="F750" s="4"/>
      <c r="G750" s="29">
        <f>G751</f>
        <v>0</v>
      </c>
      <c r="H750" s="29"/>
    </row>
    <row r="751" spans="1:8" ht="63" hidden="1">
      <c r="A751" s="3" t="s">
        <v>723</v>
      </c>
      <c r="B751" s="4" t="s">
        <v>356</v>
      </c>
      <c r="C751" s="4" t="s">
        <v>655</v>
      </c>
      <c r="D751" s="4" t="s">
        <v>651</v>
      </c>
      <c r="E751" s="4" t="s">
        <v>450</v>
      </c>
      <c r="F751" s="4" t="s">
        <v>317</v>
      </c>
      <c r="G751" s="29"/>
      <c r="H751" s="29"/>
    </row>
    <row r="752" spans="1:8" ht="78.75">
      <c r="A752" s="3" t="s">
        <v>542</v>
      </c>
      <c r="B752" s="4" t="s">
        <v>356</v>
      </c>
      <c r="C752" s="4" t="s">
        <v>655</v>
      </c>
      <c r="D752" s="4" t="s">
        <v>651</v>
      </c>
      <c r="E752" s="4" t="s">
        <v>718</v>
      </c>
      <c r="F752" s="4"/>
      <c r="G752" s="29">
        <f>G753</f>
        <v>1112400</v>
      </c>
      <c r="H752" s="29">
        <f>H753</f>
        <v>1112400</v>
      </c>
    </row>
    <row r="753" spans="1:8" ht="63">
      <c r="A753" s="3" t="s">
        <v>280</v>
      </c>
      <c r="B753" s="4" t="s">
        <v>356</v>
      </c>
      <c r="C753" s="4" t="s">
        <v>655</v>
      </c>
      <c r="D753" s="4" t="s">
        <v>651</v>
      </c>
      <c r="E753" s="4" t="s">
        <v>281</v>
      </c>
      <c r="F753" s="4"/>
      <c r="G753" s="29">
        <f>G754</f>
        <v>1112400</v>
      </c>
      <c r="H753" s="29">
        <f>H754</f>
        <v>1112400</v>
      </c>
    </row>
    <row r="754" spans="1:8" ht="63">
      <c r="A754" s="3" t="s">
        <v>723</v>
      </c>
      <c r="B754" s="4" t="s">
        <v>356</v>
      </c>
      <c r="C754" s="4" t="s">
        <v>655</v>
      </c>
      <c r="D754" s="4" t="s">
        <v>651</v>
      </c>
      <c r="E754" s="4" t="s">
        <v>281</v>
      </c>
      <c r="F754" s="4" t="s">
        <v>317</v>
      </c>
      <c r="G754" s="29">
        <f>1112400</f>
        <v>1112400</v>
      </c>
      <c r="H754" s="29">
        <f>G754</f>
        <v>1112400</v>
      </c>
    </row>
    <row r="755" spans="1:8" ht="63">
      <c r="A755" s="3" t="s">
        <v>544</v>
      </c>
      <c r="B755" s="4" t="s">
        <v>356</v>
      </c>
      <c r="C755" s="4" t="s">
        <v>655</v>
      </c>
      <c r="D755" s="4" t="s">
        <v>651</v>
      </c>
      <c r="E755" s="4" t="s">
        <v>341</v>
      </c>
      <c r="F755" s="4"/>
      <c r="G755" s="29">
        <f>G766+G756+G775+G782</f>
        <v>172821711.07</v>
      </c>
      <c r="H755" s="29">
        <f>H766+H756+H775+H782</f>
        <v>7385252</v>
      </c>
    </row>
    <row r="756" spans="1:8" ht="63">
      <c r="A756" s="3" t="s">
        <v>468</v>
      </c>
      <c r="B756" s="4" t="s">
        <v>356</v>
      </c>
      <c r="C756" s="4" t="s">
        <v>655</v>
      </c>
      <c r="D756" s="4" t="s">
        <v>651</v>
      </c>
      <c r="E756" s="4" t="s">
        <v>469</v>
      </c>
      <c r="F756" s="4"/>
      <c r="G756" s="29">
        <f>G764+G759+G757+G762</f>
        <v>100856593.61999997</v>
      </c>
      <c r="H756" s="29">
        <f>H764+H759+H757+H762</f>
        <v>4852870</v>
      </c>
    </row>
    <row r="757" spans="1:8" ht="110.25">
      <c r="A757" s="3" t="s">
        <v>493</v>
      </c>
      <c r="B757" s="4" t="s">
        <v>356</v>
      </c>
      <c r="C757" s="4" t="s">
        <v>655</v>
      </c>
      <c r="D757" s="4" t="s">
        <v>651</v>
      </c>
      <c r="E757" s="4" t="s">
        <v>426</v>
      </c>
      <c r="F757" s="4"/>
      <c r="G757" s="29">
        <f>G758</f>
        <v>94342908.54999998</v>
      </c>
      <c r="H757" s="29"/>
    </row>
    <row r="758" spans="1:8" ht="63">
      <c r="A758" s="3" t="s">
        <v>723</v>
      </c>
      <c r="B758" s="4" t="s">
        <v>356</v>
      </c>
      <c r="C758" s="4" t="s">
        <v>655</v>
      </c>
      <c r="D758" s="4" t="s">
        <v>651</v>
      </c>
      <c r="E758" s="4" t="s">
        <v>426</v>
      </c>
      <c r="F758" s="4" t="s">
        <v>317</v>
      </c>
      <c r="G758" s="29">
        <f>110554320-1000000-252150-12058137.71-1000000-156416.06-1744707.68</f>
        <v>94342908.54999998</v>
      </c>
      <c r="H758" s="29"/>
    </row>
    <row r="759" spans="1:8" ht="31.5">
      <c r="A759" s="3" t="s">
        <v>719</v>
      </c>
      <c r="B759" s="4" t="s">
        <v>356</v>
      </c>
      <c r="C759" s="4" t="s">
        <v>655</v>
      </c>
      <c r="D759" s="4" t="s">
        <v>651</v>
      </c>
      <c r="E759" s="4" t="s">
        <v>425</v>
      </c>
      <c r="F759" s="4"/>
      <c r="G759" s="29">
        <f>G760+G761</f>
        <v>1660815.07</v>
      </c>
      <c r="H759" s="29"/>
    </row>
    <row r="760" spans="1:10" ht="47.25">
      <c r="A760" s="3" t="s">
        <v>702</v>
      </c>
      <c r="B760" s="4" t="s">
        <v>356</v>
      </c>
      <c r="C760" s="4" t="s">
        <v>655</v>
      </c>
      <c r="D760" s="4" t="s">
        <v>651</v>
      </c>
      <c r="E760" s="4" t="s">
        <v>425</v>
      </c>
      <c r="F760" s="4" t="s">
        <v>313</v>
      </c>
      <c r="G760" s="29">
        <f>1228350-383000-72744.93</f>
        <v>772605.0700000001</v>
      </c>
      <c r="H760" s="29"/>
      <c r="J760" s="26"/>
    </row>
    <row r="761" spans="1:10" ht="79.5" customHeight="1">
      <c r="A761" s="3" t="s">
        <v>723</v>
      </c>
      <c r="B761" s="4" t="s">
        <v>356</v>
      </c>
      <c r="C761" s="4" t="s">
        <v>655</v>
      </c>
      <c r="D761" s="4" t="s">
        <v>651</v>
      </c>
      <c r="E761" s="4" t="s">
        <v>425</v>
      </c>
      <c r="F761" s="4" t="s">
        <v>317</v>
      </c>
      <c r="G761" s="29">
        <f>505210+383000</f>
        <v>888210</v>
      </c>
      <c r="H761" s="29"/>
      <c r="J761" s="26"/>
    </row>
    <row r="762" spans="1:10" ht="113.25" customHeight="1">
      <c r="A762" s="3" t="s">
        <v>765</v>
      </c>
      <c r="B762" s="4" t="s">
        <v>356</v>
      </c>
      <c r="C762" s="4" t="s">
        <v>655</v>
      </c>
      <c r="D762" s="4" t="s">
        <v>651</v>
      </c>
      <c r="E762" s="4" t="s">
        <v>753</v>
      </c>
      <c r="F762" s="4"/>
      <c r="G762" s="29">
        <f>G763</f>
        <v>3420410</v>
      </c>
      <c r="H762" s="29">
        <f>H763</f>
        <v>3420410</v>
      </c>
      <c r="J762" s="26"/>
    </row>
    <row r="763" spans="1:10" ht="79.5" customHeight="1">
      <c r="A763" s="3" t="s">
        <v>723</v>
      </c>
      <c r="B763" s="4" t="s">
        <v>356</v>
      </c>
      <c r="C763" s="4" t="s">
        <v>655</v>
      </c>
      <c r="D763" s="4" t="s">
        <v>651</v>
      </c>
      <c r="E763" s="4" t="s">
        <v>753</v>
      </c>
      <c r="F763" s="4" t="s">
        <v>317</v>
      </c>
      <c r="G763" s="29">
        <v>3420410</v>
      </c>
      <c r="H763" s="29">
        <f>G763</f>
        <v>3420410</v>
      </c>
      <c r="J763" s="26"/>
    </row>
    <row r="764" spans="1:8" ht="141.75">
      <c r="A764" s="3" t="s">
        <v>349</v>
      </c>
      <c r="B764" s="4" t="s">
        <v>356</v>
      </c>
      <c r="C764" s="4" t="s">
        <v>655</v>
      </c>
      <c r="D764" s="4" t="s">
        <v>651</v>
      </c>
      <c r="E764" s="4" t="s">
        <v>470</v>
      </c>
      <c r="F764" s="4"/>
      <c r="G764" s="29">
        <f>G765</f>
        <v>1432460</v>
      </c>
      <c r="H764" s="29">
        <f>H765</f>
        <v>1432460</v>
      </c>
    </row>
    <row r="765" spans="1:8" ht="63">
      <c r="A765" s="3" t="s">
        <v>723</v>
      </c>
      <c r="B765" s="4" t="s">
        <v>356</v>
      </c>
      <c r="C765" s="4" t="s">
        <v>655</v>
      </c>
      <c r="D765" s="4" t="s">
        <v>651</v>
      </c>
      <c r="E765" s="4" t="s">
        <v>470</v>
      </c>
      <c r="F765" s="4" t="s">
        <v>317</v>
      </c>
      <c r="G765" s="29">
        <f>1566622-134162</f>
        <v>1432460</v>
      </c>
      <c r="H765" s="29">
        <f>G765</f>
        <v>1432460</v>
      </c>
    </row>
    <row r="766" spans="1:8" ht="31.5">
      <c r="A766" s="3" t="s">
        <v>343</v>
      </c>
      <c r="B766" s="4" t="s">
        <v>356</v>
      </c>
      <c r="C766" s="4" t="s">
        <v>655</v>
      </c>
      <c r="D766" s="4" t="s">
        <v>651</v>
      </c>
      <c r="E766" s="4" t="s">
        <v>344</v>
      </c>
      <c r="F766" s="4"/>
      <c r="G766" s="29">
        <f>G769+G773+G767+G771</f>
        <v>50028635.46</v>
      </c>
      <c r="H766" s="29">
        <f>H769+H773+H767+H771</f>
        <v>2054682</v>
      </c>
    </row>
    <row r="767" spans="1:8" ht="110.25">
      <c r="A767" s="3" t="s">
        <v>493</v>
      </c>
      <c r="B767" s="4" t="s">
        <v>356</v>
      </c>
      <c r="C767" s="4" t="s">
        <v>655</v>
      </c>
      <c r="D767" s="4" t="s">
        <v>651</v>
      </c>
      <c r="E767" s="4" t="s">
        <v>427</v>
      </c>
      <c r="F767" s="4"/>
      <c r="G767" s="29">
        <f>G768</f>
        <v>47973953.46</v>
      </c>
      <c r="H767" s="29"/>
    </row>
    <row r="768" spans="1:10" ht="63">
      <c r="A768" s="3" t="s">
        <v>723</v>
      </c>
      <c r="B768" s="4" t="s">
        <v>356</v>
      </c>
      <c r="C768" s="4" t="s">
        <v>655</v>
      </c>
      <c r="D768" s="4" t="s">
        <v>651</v>
      </c>
      <c r="E768" s="4" t="s">
        <v>427</v>
      </c>
      <c r="F768" s="4" t="s">
        <v>317</v>
      </c>
      <c r="G768" s="29">
        <f>54368810-6394856.54</f>
        <v>47973953.46</v>
      </c>
      <c r="H768" s="29"/>
      <c r="J768" s="26"/>
    </row>
    <row r="769" spans="1:13" s="16" customFormat="1" ht="94.5">
      <c r="A769" s="3" t="s">
        <v>345</v>
      </c>
      <c r="B769" s="4" t="s">
        <v>356</v>
      </c>
      <c r="C769" s="4" t="s">
        <v>655</v>
      </c>
      <c r="D769" s="4" t="s">
        <v>651</v>
      </c>
      <c r="E769" s="4" t="s">
        <v>346</v>
      </c>
      <c r="F769" s="4"/>
      <c r="G769" s="29">
        <f>G770</f>
        <v>13320</v>
      </c>
      <c r="H769" s="29">
        <f>H770</f>
        <v>13320</v>
      </c>
      <c r="I769" s="48"/>
      <c r="M769" s="209"/>
    </row>
    <row r="770" spans="1:8" ht="63">
      <c r="A770" s="3" t="s">
        <v>723</v>
      </c>
      <c r="B770" s="4" t="s">
        <v>356</v>
      </c>
      <c r="C770" s="4" t="s">
        <v>655</v>
      </c>
      <c r="D770" s="4" t="s">
        <v>651</v>
      </c>
      <c r="E770" s="4" t="s">
        <v>346</v>
      </c>
      <c r="F770" s="4" t="s">
        <v>317</v>
      </c>
      <c r="G770" s="29">
        <f>14800-1480</f>
        <v>13320</v>
      </c>
      <c r="H770" s="29">
        <f>G770</f>
        <v>13320</v>
      </c>
    </row>
    <row r="771" spans="1:8" ht="126">
      <c r="A771" s="3" t="s">
        <v>765</v>
      </c>
      <c r="B771" s="4" t="s">
        <v>356</v>
      </c>
      <c r="C771" s="4" t="s">
        <v>655</v>
      </c>
      <c r="D771" s="4" t="s">
        <v>651</v>
      </c>
      <c r="E771" s="4" t="s">
        <v>754</v>
      </c>
      <c r="F771" s="4"/>
      <c r="G771" s="29">
        <f>G772</f>
        <v>1834410</v>
      </c>
      <c r="H771" s="29">
        <f>H772</f>
        <v>1834410</v>
      </c>
    </row>
    <row r="772" spans="1:8" ht="63">
      <c r="A772" s="3" t="s">
        <v>723</v>
      </c>
      <c r="B772" s="4" t="s">
        <v>356</v>
      </c>
      <c r="C772" s="4" t="s">
        <v>655</v>
      </c>
      <c r="D772" s="4" t="s">
        <v>651</v>
      </c>
      <c r="E772" s="4" t="s">
        <v>754</v>
      </c>
      <c r="F772" s="4" t="s">
        <v>317</v>
      </c>
      <c r="G772" s="29">
        <v>1834410</v>
      </c>
      <c r="H772" s="29">
        <f>G772</f>
        <v>1834410</v>
      </c>
    </row>
    <row r="773" spans="1:8" ht="141.75">
      <c r="A773" s="3" t="s">
        <v>349</v>
      </c>
      <c r="B773" s="4" t="s">
        <v>356</v>
      </c>
      <c r="C773" s="4" t="s">
        <v>655</v>
      </c>
      <c r="D773" s="4" t="s">
        <v>651</v>
      </c>
      <c r="E773" s="4" t="s">
        <v>471</v>
      </c>
      <c r="F773" s="4"/>
      <c r="G773" s="29">
        <f>G774</f>
        <v>206952</v>
      </c>
      <c r="H773" s="29">
        <f>H774</f>
        <v>206952</v>
      </c>
    </row>
    <row r="774" spans="1:10" ht="63">
      <c r="A774" s="3" t="s">
        <v>723</v>
      </c>
      <c r="B774" s="4" t="s">
        <v>356</v>
      </c>
      <c r="C774" s="4" t="s">
        <v>655</v>
      </c>
      <c r="D774" s="4" t="s">
        <v>651</v>
      </c>
      <c r="E774" s="4" t="s">
        <v>471</v>
      </c>
      <c r="F774" s="4" t="s">
        <v>317</v>
      </c>
      <c r="G774" s="29">
        <f>72790+134162</f>
        <v>206952</v>
      </c>
      <c r="H774" s="29">
        <f>G774</f>
        <v>206952</v>
      </c>
      <c r="J774" s="26"/>
    </row>
    <row r="775" spans="1:8" ht="31.5">
      <c r="A775" s="3" t="s">
        <v>428</v>
      </c>
      <c r="B775" s="4" t="s">
        <v>356</v>
      </c>
      <c r="C775" s="4" t="s">
        <v>655</v>
      </c>
      <c r="D775" s="4" t="s">
        <v>651</v>
      </c>
      <c r="E775" s="4" t="s">
        <v>429</v>
      </c>
      <c r="F775" s="4"/>
      <c r="G775" s="29">
        <f>G776+G778+G780</f>
        <v>13250735.19</v>
      </c>
      <c r="H775" s="29">
        <f>H776+H778+H780</f>
        <v>477700</v>
      </c>
    </row>
    <row r="776" spans="1:8" ht="110.25">
      <c r="A776" s="3" t="s">
        <v>493</v>
      </c>
      <c r="B776" s="4" t="s">
        <v>356</v>
      </c>
      <c r="C776" s="4" t="s">
        <v>655</v>
      </c>
      <c r="D776" s="4" t="s">
        <v>651</v>
      </c>
      <c r="E776" s="4" t="s">
        <v>430</v>
      </c>
      <c r="F776" s="4"/>
      <c r="G776" s="29">
        <f>G777</f>
        <v>12773035.19</v>
      </c>
      <c r="H776" s="29"/>
    </row>
    <row r="777" spans="1:10" ht="63">
      <c r="A777" s="3" t="s">
        <v>723</v>
      </c>
      <c r="B777" s="4" t="s">
        <v>356</v>
      </c>
      <c r="C777" s="4" t="s">
        <v>655</v>
      </c>
      <c r="D777" s="4" t="s">
        <v>651</v>
      </c>
      <c r="E777" s="4" t="s">
        <v>430</v>
      </c>
      <c r="F777" s="4" t="s">
        <v>317</v>
      </c>
      <c r="G777" s="29">
        <f>14486790-1713754.81</f>
        <v>12773035.19</v>
      </c>
      <c r="H777" s="29"/>
      <c r="J777" s="26"/>
    </row>
    <row r="778" spans="1:10" ht="39" customHeight="1" hidden="1">
      <c r="A778" s="3" t="s">
        <v>719</v>
      </c>
      <c r="B778" s="4" t="s">
        <v>356</v>
      </c>
      <c r="C778" s="4" t="s">
        <v>655</v>
      </c>
      <c r="D778" s="4" t="s">
        <v>651</v>
      </c>
      <c r="E778" s="4" t="s">
        <v>737</v>
      </c>
      <c r="F778" s="4"/>
      <c r="G778" s="29">
        <f>G779</f>
        <v>0</v>
      </c>
      <c r="H778" s="29"/>
      <c r="J778" s="26"/>
    </row>
    <row r="779" spans="1:10" ht="66" customHeight="1" hidden="1">
      <c r="A779" s="3" t="s">
        <v>723</v>
      </c>
      <c r="B779" s="4" t="s">
        <v>356</v>
      </c>
      <c r="C779" s="4" t="s">
        <v>655</v>
      </c>
      <c r="D779" s="4" t="s">
        <v>651</v>
      </c>
      <c r="E779" s="4" t="s">
        <v>737</v>
      </c>
      <c r="F779" s="4" t="s">
        <v>317</v>
      </c>
      <c r="G779" s="29"/>
      <c r="H779" s="29"/>
      <c r="J779" s="26"/>
    </row>
    <row r="780" spans="1:10" ht="130.5" customHeight="1">
      <c r="A780" s="3" t="s">
        <v>765</v>
      </c>
      <c r="B780" s="4" t="s">
        <v>356</v>
      </c>
      <c r="C780" s="4" t="s">
        <v>655</v>
      </c>
      <c r="D780" s="4" t="s">
        <v>651</v>
      </c>
      <c r="E780" s="4" t="s">
        <v>755</v>
      </c>
      <c r="F780" s="4"/>
      <c r="G780" s="29">
        <f>G781</f>
        <v>477700</v>
      </c>
      <c r="H780" s="29">
        <f>H781</f>
        <v>477700</v>
      </c>
      <c r="J780" s="26"/>
    </row>
    <row r="781" spans="1:10" ht="66" customHeight="1">
      <c r="A781" s="3" t="s">
        <v>723</v>
      </c>
      <c r="B781" s="4" t="s">
        <v>356</v>
      </c>
      <c r="C781" s="4" t="s">
        <v>655</v>
      </c>
      <c r="D781" s="4" t="s">
        <v>651</v>
      </c>
      <c r="E781" s="4" t="s">
        <v>755</v>
      </c>
      <c r="F781" s="4" t="s">
        <v>317</v>
      </c>
      <c r="G781" s="29">
        <v>477700</v>
      </c>
      <c r="H781" s="29">
        <f>G781</f>
        <v>477700</v>
      </c>
      <c r="J781" s="26"/>
    </row>
    <row r="782" spans="1:8" ht="78.75">
      <c r="A782" s="3" t="s">
        <v>435</v>
      </c>
      <c r="B782" s="4" t="s">
        <v>356</v>
      </c>
      <c r="C782" s="4" t="s">
        <v>655</v>
      </c>
      <c r="D782" s="4" t="s">
        <v>651</v>
      </c>
      <c r="E782" s="4" t="s">
        <v>436</v>
      </c>
      <c r="F782" s="4"/>
      <c r="G782" s="29">
        <f>G783+G785</f>
        <v>8685746.8</v>
      </c>
      <c r="H782" s="29"/>
    </row>
    <row r="783" spans="1:8" ht="47.25">
      <c r="A783" s="3" t="s">
        <v>512</v>
      </c>
      <c r="B783" s="4" t="s">
        <v>356</v>
      </c>
      <c r="C783" s="4" t="s">
        <v>655</v>
      </c>
      <c r="D783" s="4" t="s">
        <v>651</v>
      </c>
      <c r="E783" s="4" t="s">
        <v>437</v>
      </c>
      <c r="F783" s="4"/>
      <c r="G783" s="29">
        <f>G784</f>
        <v>8036738.74</v>
      </c>
      <c r="H783" s="29"/>
    </row>
    <row r="784" spans="1:8" ht="63">
      <c r="A784" s="3" t="s">
        <v>723</v>
      </c>
      <c r="B784" s="4" t="s">
        <v>356</v>
      </c>
      <c r="C784" s="4" t="s">
        <v>655</v>
      </c>
      <c r="D784" s="4" t="s">
        <v>651</v>
      </c>
      <c r="E784" s="4" t="s">
        <v>437</v>
      </c>
      <c r="F784" s="4" t="s">
        <v>317</v>
      </c>
      <c r="G784" s="29">
        <f>8367160+1825000-1500000-1859908.94-540220+1744707.68</f>
        <v>8036738.74</v>
      </c>
      <c r="H784" s="29"/>
    </row>
    <row r="785" spans="1:8" ht="31.5">
      <c r="A785" s="3" t="s">
        <v>719</v>
      </c>
      <c r="B785" s="4" t="s">
        <v>356</v>
      </c>
      <c r="C785" s="4" t="s">
        <v>655</v>
      </c>
      <c r="D785" s="4" t="s">
        <v>651</v>
      </c>
      <c r="E785" s="4" t="s">
        <v>438</v>
      </c>
      <c r="F785" s="4"/>
      <c r="G785" s="29">
        <f>G786</f>
        <v>649008.06</v>
      </c>
      <c r="H785" s="29"/>
    </row>
    <row r="786" spans="1:10" ht="63">
      <c r="A786" s="3" t="s">
        <v>723</v>
      </c>
      <c r="B786" s="4" t="s">
        <v>356</v>
      </c>
      <c r="C786" s="4" t="s">
        <v>655</v>
      </c>
      <c r="D786" s="4" t="s">
        <v>651</v>
      </c>
      <c r="E786" s="4" t="s">
        <v>438</v>
      </c>
      <c r="F786" s="4" t="s">
        <v>317</v>
      </c>
      <c r="G786" s="29">
        <f>649008.06</f>
        <v>649008.06</v>
      </c>
      <c r="H786" s="29"/>
      <c r="J786" s="26"/>
    </row>
    <row r="787" spans="1:8" ht="78.75" hidden="1">
      <c r="A787" s="3" t="s">
        <v>545</v>
      </c>
      <c r="B787" s="4" t="s">
        <v>356</v>
      </c>
      <c r="C787" s="4" t="s">
        <v>655</v>
      </c>
      <c r="D787" s="4" t="s">
        <v>651</v>
      </c>
      <c r="E787" s="4" t="s">
        <v>406</v>
      </c>
      <c r="F787" s="4"/>
      <c r="G787" s="29">
        <f>G788</f>
        <v>0</v>
      </c>
      <c r="H787" s="29"/>
    </row>
    <row r="788" spans="1:8" ht="78.75" hidden="1">
      <c r="A788" s="3" t="s">
        <v>411</v>
      </c>
      <c r="B788" s="4" t="s">
        <v>356</v>
      </c>
      <c r="C788" s="4" t="s">
        <v>655</v>
      </c>
      <c r="D788" s="4" t="s">
        <v>651</v>
      </c>
      <c r="E788" s="4" t="s">
        <v>412</v>
      </c>
      <c r="F788" s="4"/>
      <c r="G788" s="29">
        <f>G789</f>
        <v>0</v>
      </c>
      <c r="H788" s="29"/>
    </row>
    <row r="789" spans="1:8" ht="31.5" hidden="1">
      <c r="A789" s="3" t="s">
        <v>719</v>
      </c>
      <c r="B789" s="4" t="s">
        <v>356</v>
      </c>
      <c r="C789" s="4" t="s">
        <v>655</v>
      </c>
      <c r="D789" s="4" t="s">
        <v>651</v>
      </c>
      <c r="E789" s="4" t="s">
        <v>413</v>
      </c>
      <c r="F789" s="4"/>
      <c r="G789" s="29">
        <f>G790</f>
        <v>0</v>
      </c>
      <c r="H789" s="29"/>
    </row>
    <row r="790" spans="1:8" ht="63" hidden="1">
      <c r="A790" s="3" t="s">
        <v>723</v>
      </c>
      <c r="B790" s="4" t="s">
        <v>356</v>
      </c>
      <c r="C790" s="4" t="s">
        <v>655</v>
      </c>
      <c r="D790" s="4" t="s">
        <v>651</v>
      </c>
      <c r="E790" s="4" t="s">
        <v>413</v>
      </c>
      <c r="F790" s="4" t="s">
        <v>317</v>
      </c>
      <c r="G790" s="29"/>
      <c r="H790" s="29"/>
    </row>
    <row r="791" spans="1:8" ht="63">
      <c r="A791" s="3" t="s">
        <v>546</v>
      </c>
      <c r="B791" s="4" t="s">
        <v>356</v>
      </c>
      <c r="C791" s="4" t="s">
        <v>655</v>
      </c>
      <c r="D791" s="4" t="s">
        <v>651</v>
      </c>
      <c r="E791" s="4" t="s">
        <v>363</v>
      </c>
      <c r="F791" s="4"/>
      <c r="G791" s="29">
        <f>G792+G794</f>
        <v>47628</v>
      </c>
      <c r="H791" s="29"/>
    </row>
    <row r="792" spans="1:8" ht="47.25">
      <c r="A792" s="3" t="s">
        <v>512</v>
      </c>
      <c r="B792" s="4" t="s">
        <v>356</v>
      </c>
      <c r="C792" s="4" t="s">
        <v>655</v>
      </c>
      <c r="D792" s="4" t="s">
        <v>651</v>
      </c>
      <c r="E792" s="4" t="s">
        <v>364</v>
      </c>
      <c r="F792" s="4"/>
      <c r="G792" s="29">
        <f>G793</f>
        <v>47628</v>
      </c>
      <c r="H792" s="29"/>
    </row>
    <row r="793" spans="1:10" ht="63">
      <c r="A793" s="3" t="s">
        <v>723</v>
      </c>
      <c r="B793" s="4" t="s">
        <v>356</v>
      </c>
      <c r="C793" s="4" t="s">
        <v>655</v>
      </c>
      <c r="D793" s="4" t="s">
        <v>651</v>
      </c>
      <c r="E793" s="4" t="s">
        <v>364</v>
      </c>
      <c r="F793" s="4" t="s">
        <v>317</v>
      </c>
      <c r="G793" s="29">
        <v>47628</v>
      </c>
      <c r="H793" s="29"/>
      <c r="J793" s="26"/>
    </row>
    <row r="794" spans="1:8" ht="31.5" hidden="1">
      <c r="A794" s="3" t="s">
        <v>719</v>
      </c>
      <c r="B794" s="4" t="s">
        <v>356</v>
      </c>
      <c r="C794" s="4" t="s">
        <v>655</v>
      </c>
      <c r="D794" s="4" t="s">
        <v>651</v>
      </c>
      <c r="E794" s="4" t="s">
        <v>365</v>
      </c>
      <c r="F794" s="4"/>
      <c r="G794" s="29">
        <f>G795</f>
        <v>0</v>
      </c>
      <c r="H794" s="29"/>
    </row>
    <row r="795" spans="1:10" ht="63" hidden="1">
      <c r="A795" s="3" t="s">
        <v>723</v>
      </c>
      <c r="B795" s="4" t="s">
        <v>356</v>
      </c>
      <c r="C795" s="4" t="s">
        <v>655</v>
      </c>
      <c r="D795" s="4" t="s">
        <v>651</v>
      </c>
      <c r="E795" s="4" t="s">
        <v>365</v>
      </c>
      <c r="F795" s="4" t="s">
        <v>317</v>
      </c>
      <c r="G795" s="29"/>
      <c r="H795" s="29"/>
      <c r="J795" s="26"/>
    </row>
    <row r="796" spans="1:8" ht="15.75">
      <c r="A796" s="13" t="s">
        <v>665</v>
      </c>
      <c r="B796" s="5" t="s">
        <v>356</v>
      </c>
      <c r="C796" s="5" t="s">
        <v>659</v>
      </c>
      <c r="D796" s="5"/>
      <c r="E796" s="5"/>
      <c r="F796" s="23"/>
      <c r="G796" s="28">
        <f>G797</f>
        <v>1449094</v>
      </c>
      <c r="H796" s="28">
        <f>H797</f>
        <v>1449094</v>
      </c>
    </row>
    <row r="797" spans="1:8" ht="31.5">
      <c r="A797" s="1" t="s">
        <v>677</v>
      </c>
      <c r="B797" s="2" t="s">
        <v>356</v>
      </c>
      <c r="C797" s="2" t="s">
        <v>659</v>
      </c>
      <c r="D797" s="2" t="s">
        <v>658</v>
      </c>
      <c r="E797" s="2"/>
      <c r="F797" s="4"/>
      <c r="G797" s="33">
        <f>G798</f>
        <v>1449094</v>
      </c>
      <c r="H797" s="33">
        <f>H798</f>
        <v>1449094</v>
      </c>
    </row>
    <row r="798" spans="1:8" ht="63">
      <c r="A798" s="3" t="s">
        <v>544</v>
      </c>
      <c r="B798" s="4" t="s">
        <v>356</v>
      </c>
      <c r="C798" s="4" t="s">
        <v>659</v>
      </c>
      <c r="D798" s="4" t="s">
        <v>658</v>
      </c>
      <c r="E798" s="4" t="s">
        <v>341</v>
      </c>
      <c r="F798" s="4"/>
      <c r="G798" s="29">
        <f>G799+G804</f>
        <v>1449094</v>
      </c>
      <c r="H798" s="29">
        <f>H799+H804</f>
        <v>1449094</v>
      </c>
    </row>
    <row r="799" spans="1:8" ht="63">
      <c r="A799" s="3" t="s">
        <v>468</v>
      </c>
      <c r="B799" s="4" t="s">
        <v>356</v>
      </c>
      <c r="C799" s="4" t="s">
        <v>659</v>
      </c>
      <c r="D799" s="4" t="s">
        <v>658</v>
      </c>
      <c r="E799" s="4" t="s">
        <v>469</v>
      </c>
      <c r="F799" s="4"/>
      <c r="G799" s="29">
        <f>G802+G800</f>
        <v>1041775</v>
      </c>
      <c r="H799" s="29">
        <f>H802+H800</f>
        <v>1041775</v>
      </c>
    </row>
    <row r="800" spans="1:8" ht="126">
      <c r="A800" s="3" t="s">
        <v>487</v>
      </c>
      <c r="B800" s="4" t="s">
        <v>356</v>
      </c>
      <c r="C800" s="4" t="s">
        <v>659</v>
      </c>
      <c r="D800" s="4" t="s">
        <v>658</v>
      </c>
      <c r="E800" s="4" t="s">
        <v>488</v>
      </c>
      <c r="F800" s="4"/>
      <c r="G800" s="29">
        <f>G801</f>
        <v>3530</v>
      </c>
      <c r="H800" s="29">
        <f>H801</f>
        <v>3530</v>
      </c>
    </row>
    <row r="801" spans="1:8" ht="63">
      <c r="A801" s="3" t="s">
        <v>723</v>
      </c>
      <c r="B801" s="4" t="s">
        <v>356</v>
      </c>
      <c r="C801" s="4" t="s">
        <v>659</v>
      </c>
      <c r="D801" s="4" t="s">
        <v>658</v>
      </c>
      <c r="E801" s="4" t="s">
        <v>488</v>
      </c>
      <c r="F801" s="4" t="s">
        <v>317</v>
      </c>
      <c r="G801" s="29">
        <v>3530</v>
      </c>
      <c r="H801" s="29">
        <f>G801</f>
        <v>3530</v>
      </c>
    </row>
    <row r="802" spans="1:8" ht="126">
      <c r="A802" s="3" t="s">
        <v>475</v>
      </c>
      <c r="B802" s="4" t="s">
        <v>356</v>
      </c>
      <c r="C802" s="4" t="s">
        <v>659</v>
      </c>
      <c r="D802" s="4" t="s">
        <v>658</v>
      </c>
      <c r="E802" s="4" t="s">
        <v>478</v>
      </c>
      <c r="F802" s="4"/>
      <c r="G802" s="29">
        <f>G803</f>
        <v>1038245</v>
      </c>
      <c r="H802" s="29">
        <f>H803</f>
        <v>1038245</v>
      </c>
    </row>
    <row r="803" spans="1:8" ht="63">
      <c r="A803" s="3" t="s">
        <v>723</v>
      </c>
      <c r="B803" s="4" t="s">
        <v>356</v>
      </c>
      <c r="C803" s="4" t="s">
        <v>659</v>
      </c>
      <c r="D803" s="4" t="s">
        <v>658</v>
      </c>
      <c r="E803" s="4" t="s">
        <v>478</v>
      </c>
      <c r="F803" s="4" t="s">
        <v>317</v>
      </c>
      <c r="G803" s="29">
        <v>1038245</v>
      </c>
      <c r="H803" s="29">
        <f>G803</f>
        <v>1038245</v>
      </c>
    </row>
    <row r="804" spans="1:8" ht="31.5">
      <c r="A804" s="3" t="s">
        <v>343</v>
      </c>
      <c r="B804" s="4" t="s">
        <v>356</v>
      </c>
      <c r="C804" s="4" t="s">
        <v>659</v>
      </c>
      <c r="D804" s="4" t="s">
        <v>658</v>
      </c>
      <c r="E804" s="4" t="s">
        <v>344</v>
      </c>
      <c r="F804" s="4"/>
      <c r="G804" s="29">
        <f>G807+G805</f>
        <v>407319</v>
      </c>
      <c r="H804" s="29">
        <f>H807+H805</f>
        <v>407319</v>
      </c>
    </row>
    <row r="805" spans="1:10" ht="126">
      <c r="A805" s="3" t="s">
        <v>487</v>
      </c>
      <c r="B805" s="4" t="s">
        <v>356</v>
      </c>
      <c r="C805" s="4" t="s">
        <v>659</v>
      </c>
      <c r="D805" s="4" t="s">
        <v>658</v>
      </c>
      <c r="E805" s="4" t="s">
        <v>489</v>
      </c>
      <c r="F805" s="4"/>
      <c r="G805" s="29">
        <f>G806</f>
        <v>1340</v>
      </c>
      <c r="H805" s="29">
        <f>H806</f>
        <v>1340</v>
      </c>
      <c r="J805" s="26"/>
    </row>
    <row r="806" spans="1:10" ht="63">
      <c r="A806" s="3" t="s">
        <v>723</v>
      </c>
      <c r="B806" s="4" t="s">
        <v>356</v>
      </c>
      <c r="C806" s="4" t="s">
        <v>659</v>
      </c>
      <c r="D806" s="4" t="s">
        <v>658</v>
      </c>
      <c r="E806" s="4" t="s">
        <v>489</v>
      </c>
      <c r="F806" s="4" t="s">
        <v>317</v>
      </c>
      <c r="G806" s="29">
        <v>1340</v>
      </c>
      <c r="H806" s="29">
        <f>G806</f>
        <v>1340</v>
      </c>
      <c r="J806" s="26"/>
    </row>
    <row r="807" spans="1:8" ht="126">
      <c r="A807" s="3" t="s">
        <v>475</v>
      </c>
      <c r="B807" s="4" t="s">
        <v>356</v>
      </c>
      <c r="C807" s="4" t="s">
        <v>659</v>
      </c>
      <c r="D807" s="4" t="s">
        <v>658</v>
      </c>
      <c r="E807" s="4" t="s">
        <v>479</v>
      </c>
      <c r="F807" s="4"/>
      <c r="G807" s="29">
        <f>G808</f>
        <v>405979</v>
      </c>
      <c r="H807" s="29">
        <f>H808</f>
        <v>405979</v>
      </c>
    </row>
    <row r="808" spans="1:8" ht="63">
      <c r="A808" s="3" t="s">
        <v>723</v>
      </c>
      <c r="B808" s="4" t="s">
        <v>356</v>
      </c>
      <c r="C808" s="4" t="s">
        <v>659</v>
      </c>
      <c r="D808" s="4" t="s">
        <v>658</v>
      </c>
      <c r="E808" s="4" t="s">
        <v>479</v>
      </c>
      <c r="F808" s="4" t="s">
        <v>317</v>
      </c>
      <c r="G808" s="29">
        <v>405979</v>
      </c>
      <c r="H808" s="29">
        <f>G808</f>
        <v>405979</v>
      </c>
    </row>
    <row r="809" spans="1:8" ht="18.75">
      <c r="A809" s="39" t="s">
        <v>455</v>
      </c>
      <c r="B809" s="5" t="s">
        <v>356</v>
      </c>
      <c r="C809" s="5" t="s">
        <v>458</v>
      </c>
      <c r="D809" s="5" t="s">
        <v>681</v>
      </c>
      <c r="E809" s="11"/>
      <c r="F809" s="11"/>
      <c r="G809" s="32">
        <f>G815+G810</f>
        <v>1458150</v>
      </c>
      <c r="H809" s="32">
        <f>H815</f>
        <v>58100</v>
      </c>
    </row>
    <row r="810" spans="1:8" ht="18.75">
      <c r="A810" s="50" t="s">
        <v>302</v>
      </c>
      <c r="B810" s="2" t="s">
        <v>356</v>
      </c>
      <c r="C810" s="2" t="s">
        <v>458</v>
      </c>
      <c r="D810" s="2" t="s">
        <v>651</v>
      </c>
      <c r="E810" s="9"/>
      <c r="F810" s="9"/>
      <c r="G810" s="33">
        <f>G811</f>
        <v>1400050</v>
      </c>
      <c r="H810" s="33"/>
    </row>
    <row r="811" spans="1:8" ht="78.75">
      <c r="A811" s="27" t="s">
        <v>543</v>
      </c>
      <c r="B811" s="4" t="s">
        <v>356</v>
      </c>
      <c r="C811" s="4" t="s">
        <v>458</v>
      </c>
      <c r="D811" s="4" t="s">
        <v>651</v>
      </c>
      <c r="E811" s="4" t="s">
        <v>735</v>
      </c>
      <c r="F811" s="38"/>
      <c r="G811" s="29">
        <f>G812</f>
        <v>1400050</v>
      </c>
      <c r="H811" s="29"/>
    </row>
    <row r="812" spans="1:8" ht="31.5">
      <c r="A812" s="27" t="s">
        <v>738</v>
      </c>
      <c r="B812" s="4" t="s">
        <v>356</v>
      </c>
      <c r="C812" s="4" t="s">
        <v>458</v>
      </c>
      <c r="D812" s="4" t="s">
        <v>651</v>
      </c>
      <c r="E812" s="4" t="s">
        <v>739</v>
      </c>
      <c r="F812" s="38"/>
      <c r="G812" s="29">
        <f>G813</f>
        <v>1400050</v>
      </c>
      <c r="H812" s="29"/>
    </row>
    <row r="813" spans="1:8" ht="31.5">
      <c r="A813" s="27" t="s">
        <v>719</v>
      </c>
      <c r="B813" s="4" t="s">
        <v>356</v>
      </c>
      <c r="C813" s="4" t="s">
        <v>458</v>
      </c>
      <c r="D813" s="4" t="s">
        <v>651</v>
      </c>
      <c r="E813" s="4" t="s">
        <v>439</v>
      </c>
      <c r="F813" s="38"/>
      <c r="G813" s="29">
        <f>G814</f>
        <v>1400050</v>
      </c>
      <c r="H813" s="29"/>
    </row>
    <row r="814" spans="1:8" ht="47.25">
      <c r="A814" s="3" t="s">
        <v>702</v>
      </c>
      <c r="B814" s="4" t="s">
        <v>356</v>
      </c>
      <c r="C814" s="4" t="s">
        <v>458</v>
      </c>
      <c r="D814" s="4" t="s">
        <v>651</v>
      </c>
      <c r="E814" s="4" t="s">
        <v>439</v>
      </c>
      <c r="F814" s="4" t="s">
        <v>313</v>
      </c>
      <c r="G814" s="29">
        <f>1500050-50000-50000</f>
        <v>1400050</v>
      </c>
      <c r="H814" s="29"/>
    </row>
    <row r="815" spans="1:8" ht="48" customHeight="1">
      <c r="A815" s="1" t="s">
        <v>734</v>
      </c>
      <c r="B815" s="2" t="s">
        <v>356</v>
      </c>
      <c r="C815" s="2" t="s">
        <v>458</v>
      </c>
      <c r="D815" s="2" t="s">
        <v>653</v>
      </c>
      <c r="E815" s="9"/>
      <c r="F815" s="9"/>
      <c r="G815" s="33">
        <f aca="true" t="shared" si="6" ref="G815:H818">G816</f>
        <v>58100</v>
      </c>
      <c r="H815" s="33">
        <f t="shared" si="6"/>
        <v>58100</v>
      </c>
    </row>
    <row r="816" spans="1:8" ht="78.75">
      <c r="A816" s="3" t="s">
        <v>543</v>
      </c>
      <c r="B816" s="4" t="s">
        <v>356</v>
      </c>
      <c r="C816" s="4" t="s">
        <v>458</v>
      </c>
      <c r="D816" s="4" t="s">
        <v>653</v>
      </c>
      <c r="E816" s="4" t="s">
        <v>735</v>
      </c>
      <c r="F816" s="4"/>
      <c r="G816" s="29">
        <f t="shared" si="6"/>
        <v>58100</v>
      </c>
      <c r="H816" s="29">
        <f t="shared" si="6"/>
        <v>58100</v>
      </c>
    </row>
    <row r="817" spans="1:8" ht="31.5">
      <c r="A817" s="27" t="s">
        <v>738</v>
      </c>
      <c r="B817" s="4" t="s">
        <v>356</v>
      </c>
      <c r="C817" s="4" t="s">
        <v>458</v>
      </c>
      <c r="D817" s="4" t="s">
        <v>653</v>
      </c>
      <c r="E817" s="4" t="s">
        <v>739</v>
      </c>
      <c r="F817" s="4"/>
      <c r="G817" s="29">
        <f t="shared" si="6"/>
        <v>58100</v>
      </c>
      <c r="H817" s="29">
        <f t="shared" si="6"/>
        <v>58100</v>
      </c>
    </row>
    <row r="818" spans="1:8" ht="141.75">
      <c r="A818" s="27" t="s">
        <v>740</v>
      </c>
      <c r="B818" s="4" t="s">
        <v>356</v>
      </c>
      <c r="C818" s="4" t="s">
        <v>458</v>
      </c>
      <c r="D818" s="4" t="s">
        <v>653</v>
      </c>
      <c r="E818" s="4" t="s">
        <v>741</v>
      </c>
      <c r="F818" s="4"/>
      <c r="G818" s="29">
        <f t="shared" si="6"/>
        <v>58100</v>
      </c>
      <c r="H818" s="29">
        <f t="shared" si="6"/>
        <v>58100</v>
      </c>
    </row>
    <row r="819" spans="1:8" ht="126">
      <c r="A819" s="3" t="s">
        <v>701</v>
      </c>
      <c r="B819" s="4" t="s">
        <v>356</v>
      </c>
      <c r="C819" s="4" t="s">
        <v>458</v>
      </c>
      <c r="D819" s="4" t="s">
        <v>653</v>
      </c>
      <c r="E819" s="4" t="s">
        <v>741</v>
      </c>
      <c r="F819" s="4" t="s">
        <v>312</v>
      </c>
      <c r="G819" s="29">
        <v>58100</v>
      </c>
      <c r="H819" s="29">
        <f>G819</f>
        <v>58100</v>
      </c>
    </row>
    <row r="820" spans="1:8" ht="58.5">
      <c r="A820" s="34" t="s">
        <v>465</v>
      </c>
      <c r="B820" s="24" t="s">
        <v>695</v>
      </c>
      <c r="C820" s="24"/>
      <c r="D820" s="24"/>
      <c r="E820" s="24"/>
      <c r="F820" s="24"/>
      <c r="G820" s="28">
        <f>G821+G841</f>
        <v>3562164.8200000003</v>
      </c>
      <c r="H820" s="28"/>
    </row>
    <row r="821" spans="1:8" ht="15.75">
      <c r="A821" s="1" t="s">
        <v>670</v>
      </c>
      <c r="B821" s="2" t="s">
        <v>695</v>
      </c>
      <c r="C821" s="2" t="s">
        <v>651</v>
      </c>
      <c r="D821" s="2"/>
      <c r="E821" s="2"/>
      <c r="F821" s="2"/>
      <c r="G821" s="33">
        <f>G822+G835</f>
        <v>3479304.8200000003</v>
      </c>
      <c r="H821" s="29"/>
    </row>
    <row r="822" spans="1:10" ht="78.75">
      <c r="A822" s="1" t="s">
        <v>697</v>
      </c>
      <c r="B822" s="2" t="s">
        <v>695</v>
      </c>
      <c r="C822" s="2" t="s">
        <v>651</v>
      </c>
      <c r="D822" s="2" t="s">
        <v>652</v>
      </c>
      <c r="E822" s="2"/>
      <c r="F822" s="2"/>
      <c r="G822" s="33">
        <f>G823</f>
        <v>3479304.8200000003</v>
      </c>
      <c r="H822" s="29"/>
      <c r="J822" s="26"/>
    </row>
    <row r="823" spans="1:8" ht="15.75">
      <c r="A823" s="27" t="s">
        <v>699</v>
      </c>
      <c r="B823" s="4" t="s">
        <v>695</v>
      </c>
      <c r="C823" s="4" t="s">
        <v>651</v>
      </c>
      <c r="D823" s="4" t="s">
        <v>652</v>
      </c>
      <c r="E823" s="4" t="s">
        <v>700</v>
      </c>
      <c r="F823" s="4"/>
      <c r="G823" s="29">
        <f>G824+G828+G830+G833+G826</f>
        <v>3479304.8200000003</v>
      </c>
      <c r="H823" s="29"/>
    </row>
    <row r="824" spans="1:10" ht="63">
      <c r="A824" s="27" t="s">
        <v>273</v>
      </c>
      <c r="B824" s="4" t="s">
        <v>695</v>
      </c>
      <c r="C824" s="4" t="s">
        <v>651</v>
      </c>
      <c r="D824" s="4" t="s">
        <v>652</v>
      </c>
      <c r="E824" s="4" t="s">
        <v>274</v>
      </c>
      <c r="F824" s="4"/>
      <c r="G824" s="29">
        <f>G825</f>
        <v>1248234.08</v>
      </c>
      <c r="H824" s="29"/>
      <c r="J824" s="26"/>
    </row>
    <row r="825" spans="1:10" ht="126">
      <c r="A825" s="27" t="s">
        <v>245</v>
      </c>
      <c r="B825" s="4" t="s">
        <v>695</v>
      </c>
      <c r="C825" s="4" t="s">
        <v>651</v>
      </c>
      <c r="D825" s="4" t="s">
        <v>652</v>
      </c>
      <c r="E825" s="4" t="s">
        <v>274</v>
      </c>
      <c r="F825" s="4" t="s">
        <v>312</v>
      </c>
      <c r="G825" s="29">
        <v>1248234.08</v>
      </c>
      <c r="H825" s="29"/>
      <c r="J825" s="26"/>
    </row>
    <row r="826" spans="1:10" ht="61.5" customHeight="1">
      <c r="A826" s="27" t="s">
        <v>58</v>
      </c>
      <c r="B826" s="4" t="s">
        <v>695</v>
      </c>
      <c r="C826" s="4" t="s">
        <v>651</v>
      </c>
      <c r="D826" s="4" t="s">
        <v>652</v>
      </c>
      <c r="E826" s="4" t="s">
        <v>59</v>
      </c>
      <c r="F826" s="4"/>
      <c r="G826" s="29">
        <f>G827</f>
        <v>86099.9</v>
      </c>
      <c r="H826" s="29"/>
      <c r="J826" s="26"/>
    </row>
    <row r="827" spans="1:10" ht="63" customHeight="1">
      <c r="A827" s="27" t="s">
        <v>702</v>
      </c>
      <c r="B827" s="4" t="s">
        <v>695</v>
      </c>
      <c r="C827" s="4" t="s">
        <v>651</v>
      </c>
      <c r="D827" s="4" t="s">
        <v>652</v>
      </c>
      <c r="E827" s="4" t="s">
        <v>59</v>
      </c>
      <c r="F827" s="4" t="s">
        <v>313</v>
      </c>
      <c r="G827" s="29">
        <f>106099.9-10000-10000-5000-5000+10000</f>
        <v>86099.9</v>
      </c>
      <c r="H827" s="29"/>
      <c r="J827" s="26"/>
    </row>
    <row r="828" spans="1:8" ht="47.25">
      <c r="A828" s="27" t="s">
        <v>239</v>
      </c>
      <c r="B828" s="4" t="s">
        <v>695</v>
      </c>
      <c r="C828" s="4" t="s">
        <v>651</v>
      </c>
      <c r="D828" s="4" t="s">
        <v>652</v>
      </c>
      <c r="E828" s="4" t="s">
        <v>240</v>
      </c>
      <c r="F828" s="4"/>
      <c r="G828" s="29">
        <f>G829</f>
        <v>1986148.24</v>
      </c>
      <c r="H828" s="29"/>
    </row>
    <row r="829" spans="1:8" ht="126">
      <c r="A829" s="27" t="s">
        <v>245</v>
      </c>
      <c r="B829" s="4" t="s">
        <v>695</v>
      </c>
      <c r="C829" s="4" t="s">
        <v>651</v>
      </c>
      <c r="D829" s="4" t="s">
        <v>652</v>
      </c>
      <c r="E829" s="4" t="s">
        <v>240</v>
      </c>
      <c r="F829" s="4" t="s">
        <v>312</v>
      </c>
      <c r="G829" s="29">
        <f>1986148.24</f>
        <v>1986148.24</v>
      </c>
      <c r="H829" s="29"/>
    </row>
    <row r="830" spans="1:8" ht="47.25">
      <c r="A830" s="27" t="s">
        <v>241</v>
      </c>
      <c r="B830" s="4" t="s">
        <v>695</v>
      </c>
      <c r="C830" s="4" t="s">
        <v>651</v>
      </c>
      <c r="D830" s="4" t="s">
        <v>652</v>
      </c>
      <c r="E830" s="4" t="s">
        <v>242</v>
      </c>
      <c r="F830" s="4"/>
      <c r="G830" s="29">
        <f>G831+G832</f>
        <v>44422.6</v>
      </c>
      <c r="H830" s="29"/>
    </row>
    <row r="831" spans="1:10" ht="126" hidden="1">
      <c r="A831" s="27" t="s">
        <v>245</v>
      </c>
      <c r="B831" s="4" t="s">
        <v>695</v>
      </c>
      <c r="C831" s="4" t="s">
        <v>651</v>
      </c>
      <c r="D831" s="4" t="s">
        <v>652</v>
      </c>
      <c r="E831" s="4" t="s">
        <v>242</v>
      </c>
      <c r="F831" s="4" t="s">
        <v>312</v>
      </c>
      <c r="G831" s="29"/>
      <c r="H831" s="29"/>
      <c r="J831" s="26"/>
    </row>
    <row r="832" spans="1:10" ht="47.25">
      <c r="A832" s="27" t="s">
        <v>702</v>
      </c>
      <c r="B832" s="4" t="s">
        <v>695</v>
      </c>
      <c r="C832" s="4" t="s">
        <v>651</v>
      </c>
      <c r="D832" s="4" t="s">
        <v>652</v>
      </c>
      <c r="E832" s="4" t="s">
        <v>242</v>
      </c>
      <c r="F832" s="4" t="s">
        <v>313</v>
      </c>
      <c r="G832" s="29">
        <f>54422.6-10000</f>
        <v>44422.6</v>
      </c>
      <c r="H832" s="29"/>
      <c r="J832" s="26"/>
    </row>
    <row r="833" spans="1:8" ht="110.25">
      <c r="A833" s="3" t="s">
        <v>235</v>
      </c>
      <c r="B833" s="4" t="s">
        <v>695</v>
      </c>
      <c r="C833" s="4" t="s">
        <v>651</v>
      </c>
      <c r="D833" s="4" t="s">
        <v>652</v>
      </c>
      <c r="E833" s="4" t="s">
        <v>236</v>
      </c>
      <c r="F833" s="4"/>
      <c r="G833" s="29">
        <f>G834</f>
        <v>114400</v>
      </c>
      <c r="H833" s="29"/>
    </row>
    <row r="834" spans="1:8" ht="126">
      <c r="A834" s="3" t="s">
        <v>245</v>
      </c>
      <c r="B834" s="4" t="s">
        <v>695</v>
      </c>
      <c r="C834" s="4" t="s">
        <v>651</v>
      </c>
      <c r="D834" s="4" t="s">
        <v>652</v>
      </c>
      <c r="E834" s="4" t="s">
        <v>236</v>
      </c>
      <c r="F834" s="4" t="s">
        <v>312</v>
      </c>
      <c r="G834" s="29">
        <v>114400</v>
      </c>
      <c r="H834" s="29"/>
    </row>
    <row r="835" spans="1:8" ht="31.5" hidden="1">
      <c r="A835" s="1" t="s">
        <v>680</v>
      </c>
      <c r="B835" s="2" t="s">
        <v>695</v>
      </c>
      <c r="C835" s="2" t="s">
        <v>651</v>
      </c>
      <c r="D835" s="2" t="s">
        <v>310</v>
      </c>
      <c r="E835" s="2"/>
      <c r="F835" s="2"/>
      <c r="G835" s="33">
        <f>G836</f>
        <v>0</v>
      </c>
      <c r="H835" s="29"/>
    </row>
    <row r="836" spans="1:8" ht="63" hidden="1">
      <c r="A836" s="27" t="s">
        <v>541</v>
      </c>
      <c r="B836" s="4" t="s">
        <v>695</v>
      </c>
      <c r="C836" s="4" t="s">
        <v>651</v>
      </c>
      <c r="D836" s="4" t="s">
        <v>310</v>
      </c>
      <c r="E836" s="4" t="s">
        <v>708</v>
      </c>
      <c r="F836" s="4"/>
      <c r="G836" s="29">
        <f>G837</f>
        <v>0</v>
      </c>
      <c r="H836" s="29"/>
    </row>
    <row r="837" spans="1:8" ht="47.25" hidden="1">
      <c r="A837" s="3" t="s">
        <v>419</v>
      </c>
      <c r="B837" s="4" t="s">
        <v>695</v>
      </c>
      <c r="C837" s="4" t="s">
        <v>651</v>
      </c>
      <c r="D837" s="4" t="s">
        <v>310</v>
      </c>
      <c r="E837" s="4" t="s">
        <v>420</v>
      </c>
      <c r="F837" s="4"/>
      <c r="G837" s="29">
        <f>G838</f>
        <v>0</v>
      </c>
      <c r="H837" s="29"/>
    </row>
    <row r="838" spans="1:8" ht="31.5" hidden="1">
      <c r="A838" s="3" t="s">
        <v>719</v>
      </c>
      <c r="B838" s="4" t="s">
        <v>695</v>
      </c>
      <c r="C838" s="4" t="s">
        <v>651</v>
      </c>
      <c r="D838" s="4" t="s">
        <v>310</v>
      </c>
      <c r="E838" s="4" t="s">
        <v>421</v>
      </c>
      <c r="F838" s="61"/>
      <c r="G838" s="29">
        <f>G839+G840</f>
        <v>0</v>
      </c>
      <c r="H838" s="29"/>
    </row>
    <row r="839" spans="1:8" ht="126" hidden="1">
      <c r="A839" s="3" t="s">
        <v>245</v>
      </c>
      <c r="B839" s="4" t="s">
        <v>695</v>
      </c>
      <c r="C839" s="4" t="s">
        <v>651</v>
      </c>
      <c r="D839" s="4" t="s">
        <v>310</v>
      </c>
      <c r="E839" s="4" t="s">
        <v>421</v>
      </c>
      <c r="F839" s="61">
        <v>100</v>
      </c>
      <c r="G839" s="29">
        <f>30000-5000-15000-10000</f>
        <v>0</v>
      </c>
      <c r="H839" s="29"/>
    </row>
    <row r="840" spans="1:8" ht="47.25" hidden="1">
      <c r="A840" s="3" t="s">
        <v>702</v>
      </c>
      <c r="B840" s="4" t="s">
        <v>695</v>
      </c>
      <c r="C840" s="4" t="s">
        <v>651</v>
      </c>
      <c r="D840" s="4" t="s">
        <v>310</v>
      </c>
      <c r="E840" s="4" t="s">
        <v>421</v>
      </c>
      <c r="F840" s="61">
        <v>200</v>
      </c>
      <c r="G840" s="29">
        <f>61100-61100</f>
        <v>0</v>
      </c>
      <c r="H840" s="29"/>
    </row>
    <row r="841" spans="1:8" ht="15.75">
      <c r="A841" s="13" t="s">
        <v>672</v>
      </c>
      <c r="B841" s="5" t="s">
        <v>695</v>
      </c>
      <c r="C841" s="5" t="s">
        <v>661</v>
      </c>
      <c r="D841" s="5"/>
      <c r="E841" s="5"/>
      <c r="F841" s="5"/>
      <c r="G841" s="28">
        <f>G842</f>
        <v>82860</v>
      </c>
      <c r="H841" s="28"/>
    </row>
    <row r="842" spans="1:8" ht="15.75">
      <c r="A842" s="3" t="s">
        <v>304</v>
      </c>
      <c r="B842" s="4" t="s">
        <v>695</v>
      </c>
      <c r="C842" s="4" t="s">
        <v>661</v>
      </c>
      <c r="D842" s="4" t="s">
        <v>659</v>
      </c>
      <c r="E842" s="4"/>
      <c r="F842" s="4"/>
      <c r="G842" s="29">
        <f>G843</f>
        <v>82860</v>
      </c>
      <c r="H842" s="33"/>
    </row>
    <row r="843" spans="1:8" ht="47.25">
      <c r="A843" s="3" t="s">
        <v>548</v>
      </c>
      <c r="B843" s="4" t="s">
        <v>695</v>
      </c>
      <c r="C843" s="4" t="s">
        <v>661</v>
      </c>
      <c r="D843" s="4" t="s">
        <v>659</v>
      </c>
      <c r="E843" s="4" t="s">
        <v>703</v>
      </c>
      <c r="F843" s="4"/>
      <c r="G843" s="29">
        <f>G844</f>
        <v>82860</v>
      </c>
      <c r="H843" s="29"/>
    </row>
    <row r="844" spans="1:8" ht="63">
      <c r="A844" s="3" t="s">
        <v>704</v>
      </c>
      <c r="B844" s="4" t="s">
        <v>695</v>
      </c>
      <c r="C844" s="4" t="s">
        <v>661</v>
      </c>
      <c r="D844" s="4" t="s">
        <v>659</v>
      </c>
      <c r="E844" s="4" t="s">
        <v>705</v>
      </c>
      <c r="F844" s="4"/>
      <c r="G844" s="29">
        <f>G845</f>
        <v>82860</v>
      </c>
      <c r="H844" s="29"/>
    </row>
    <row r="845" spans="1:8" ht="31.5">
      <c r="A845" s="3" t="s">
        <v>706</v>
      </c>
      <c r="B845" s="4" t="s">
        <v>695</v>
      </c>
      <c r="C845" s="4" t="s">
        <v>661</v>
      </c>
      <c r="D845" s="4" t="s">
        <v>659</v>
      </c>
      <c r="E845" s="4" t="s">
        <v>707</v>
      </c>
      <c r="F845" s="4"/>
      <c r="G845" s="29">
        <f>G846</f>
        <v>82860</v>
      </c>
      <c r="H845" s="29"/>
    </row>
    <row r="846" spans="1:8" ht="47.25">
      <c r="A846" s="3" t="s">
        <v>702</v>
      </c>
      <c r="B846" s="4" t="s">
        <v>695</v>
      </c>
      <c r="C846" s="4" t="s">
        <v>661</v>
      </c>
      <c r="D846" s="4" t="s">
        <v>659</v>
      </c>
      <c r="E846" s="4" t="s">
        <v>707</v>
      </c>
      <c r="F846" s="4" t="s">
        <v>313</v>
      </c>
      <c r="G846" s="29">
        <f>52860+30000</f>
        <v>82860</v>
      </c>
      <c r="H846" s="29"/>
    </row>
    <row r="847" spans="1:13" s="14" customFormat="1" ht="18.75">
      <c r="A847" s="53" t="s">
        <v>749</v>
      </c>
      <c r="B847" s="55"/>
      <c r="C847" s="55"/>
      <c r="D847" s="55"/>
      <c r="E847" s="55"/>
      <c r="F847" s="55"/>
      <c r="G847" s="57">
        <f>G11+G54+G496+G666+G208+G459+G820</f>
        <v>2230244485.0299997</v>
      </c>
      <c r="H847" s="57">
        <f>H11+H54+H496+H666+H208+H459+H820</f>
        <v>718223275</v>
      </c>
      <c r="I847" s="51"/>
      <c r="M847" s="210"/>
    </row>
    <row r="848" spans="1:8" ht="15.75">
      <c r="A848" s="17"/>
      <c r="B848" s="17"/>
      <c r="C848" s="18"/>
      <c r="D848" s="18"/>
      <c r="E848" s="242"/>
      <c r="F848" s="242"/>
      <c r="G848" s="44"/>
      <c r="H848" s="17"/>
    </row>
    <row r="849" spans="1:8" ht="63" customHeight="1" hidden="1">
      <c r="A849" s="17"/>
      <c r="B849" s="17"/>
      <c r="C849" s="18"/>
      <c r="D849" s="18"/>
      <c r="E849" s="242"/>
      <c r="F849" s="242"/>
      <c r="G849" s="44"/>
      <c r="H849" s="17"/>
    </row>
    <row r="850" spans="1:8" ht="15.75" hidden="1">
      <c r="A850" s="17"/>
      <c r="B850" s="17"/>
      <c r="C850" s="18"/>
      <c r="D850" s="18"/>
      <c r="E850" s="18"/>
      <c r="F850" s="18"/>
      <c r="G850" s="44"/>
      <c r="H850" s="17"/>
    </row>
    <row r="851" spans="1:8" ht="15.75" hidden="1">
      <c r="A851" s="17"/>
      <c r="B851" s="17"/>
      <c r="C851" s="18"/>
      <c r="D851" s="18"/>
      <c r="E851" s="240"/>
      <c r="F851" s="240"/>
      <c r="G851" s="44"/>
      <c r="H851" s="44"/>
    </row>
    <row r="852" spans="1:8" ht="15.75" hidden="1">
      <c r="A852" s="17"/>
      <c r="B852" s="17"/>
      <c r="C852" s="18"/>
      <c r="D852" s="18"/>
      <c r="E852" s="18"/>
      <c r="F852" s="18"/>
      <c r="G852" s="44"/>
      <c r="H852" s="44"/>
    </row>
    <row r="853" spans="1:8" ht="15.75" hidden="1">
      <c r="A853" s="17"/>
      <c r="B853" s="17"/>
      <c r="C853" s="18"/>
      <c r="D853" s="18"/>
      <c r="E853" s="18"/>
      <c r="F853" s="18"/>
      <c r="G853" s="44"/>
      <c r="H853" s="17"/>
    </row>
    <row r="854" spans="1:8" ht="18.75" hidden="1">
      <c r="A854" s="17"/>
      <c r="B854" s="17"/>
      <c r="C854" s="18"/>
      <c r="D854" s="18"/>
      <c r="E854" s="18"/>
      <c r="F854" s="18"/>
      <c r="G854" s="133"/>
      <c r="H854" s="17"/>
    </row>
    <row r="855" spans="1:13" s="16" customFormat="1" ht="18.75" hidden="1">
      <c r="A855" s="131"/>
      <c r="B855" s="131"/>
      <c r="C855" s="134"/>
      <c r="D855" s="134"/>
      <c r="E855" s="241"/>
      <c r="F855" s="241"/>
      <c r="G855" s="133"/>
      <c r="H855" s="131"/>
      <c r="I855" s="48"/>
      <c r="M855" s="209"/>
    </row>
    <row r="856" spans="1:13" s="16" customFormat="1" ht="15.75" hidden="1">
      <c r="A856" s="131"/>
      <c r="B856" s="131"/>
      <c r="C856" s="134"/>
      <c r="D856" s="134"/>
      <c r="E856" s="241"/>
      <c r="F856" s="241"/>
      <c r="G856" s="132"/>
      <c r="H856" s="131"/>
      <c r="I856" s="48"/>
      <c r="M856" s="209"/>
    </row>
    <row r="857" spans="1:13" s="16" customFormat="1" ht="15.75" hidden="1">
      <c r="A857" s="131"/>
      <c r="B857" s="131"/>
      <c r="C857" s="134"/>
      <c r="D857" s="134"/>
      <c r="E857" s="241"/>
      <c r="F857" s="241"/>
      <c r="G857" s="132"/>
      <c r="H857" s="131"/>
      <c r="I857" s="48"/>
      <c r="M857" s="209"/>
    </row>
    <row r="858" spans="1:13" s="16" customFormat="1" ht="15.75" hidden="1">
      <c r="A858" s="131"/>
      <c r="B858" s="131"/>
      <c r="C858" s="134"/>
      <c r="D858" s="134"/>
      <c r="E858" s="134"/>
      <c r="F858" s="134"/>
      <c r="G858" s="132"/>
      <c r="H858" s="131"/>
      <c r="I858" s="48"/>
      <c r="M858" s="209"/>
    </row>
    <row r="859" spans="1:8" ht="15.75" hidden="1">
      <c r="A859" s="17"/>
      <c r="B859" s="17"/>
      <c r="C859" s="18"/>
      <c r="D859" s="18"/>
      <c r="E859" s="18"/>
      <c r="F859" s="18"/>
      <c r="G859" s="44"/>
      <c r="H859" s="17"/>
    </row>
    <row r="860" spans="1:8" ht="15.75" hidden="1">
      <c r="A860" s="17"/>
      <c r="B860" s="17"/>
      <c r="C860" s="18"/>
      <c r="D860" s="18"/>
      <c r="E860" s="18"/>
      <c r="F860" s="18"/>
      <c r="G860" s="44"/>
      <c r="H860" s="17"/>
    </row>
    <row r="861" spans="1:8" ht="15.75" hidden="1">
      <c r="A861" s="17"/>
      <c r="B861" s="17"/>
      <c r="C861" s="18"/>
      <c r="D861" s="18"/>
      <c r="E861" s="18"/>
      <c r="F861" s="18"/>
      <c r="G861" s="44"/>
      <c r="H861" s="17"/>
    </row>
    <row r="862" spans="1:8" ht="15.75" hidden="1">
      <c r="A862" s="17"/>
      <c r="B862" s="17"/>
      <c r="C862" s="18"/>
      <c r="D862" s="18"/>
      <c r="E862" s="18"/>
      <c r="F862" s="18"/>
      <c r="G862" s="44"/>
      <c r="H862" s="17"/>
    </row>
    <row r="863" spans="1:8" ht="15.75" hidden="1">
      <c r="A863" s="17"/>
      <c r="B863" s="17"/>
      <c r="C863" s="18"/>
      <c r="D863" s="18"/>
      <c r="E863" s="18"/>
      <c r="F863" s="18"/>
      <c r="G863" s="44"/>
      <c r="H863" s="17"/>
    </row>
    <row r="864" spans="1:8" ht="15.75" hidden="1">
      <c r="A864" s="17"/>
      <c r="B864" s="17"/>
      <c r="C864" s="18"/>
      <c r="D864" s="18"/>
      <c r="E864" s="18"/>
      <c r="F864" s="18"/>
      <c r="G864" s="44">
        <f>G847-H847</f>
        <v>1512021210.0299997</v>
      </c>
      <c r="H864" s="44">
        <f>прил4!C107+прил4!C118+прил4!C127</f>
        <v>718223275</v>
      </c>
    </row>
    <row r="865" spans="1:8" ht="15.75" hidden="1">
      <c r="A865" s="17"/>
      <c r="B865" s="17"/>
      <c r="C865" s="18"/>
      <c r="D865" s="18"/>
      <c r="E865" s="18"/>
      <c r="F865" s="18"/>
      <c r="G865" s="44">
        <f>1512021210.03-G864</f>
        <v>0</v>
      </c>
      <c r="H865" s="44">
        <f>H864-H847</f>
        <v>0</v>
      </c>
    </row>
    <row r="866" spans="1:8" ht="15.75">
      <c r="A866" s="17"/>
      <c r="B866" s="17"/>
      <c r="C866" s="18"/>
      <c r="D866" s="18"/>
      <c r="E866" s="18"/>
      <c r="F866" s="18"/>
      <c r="G866" s="44"/>
      <c r="H866" s="17"/>
    </row>
    <row r="867" spans="1:8" ht="15.75">
      <c r="A867" s="17"/>
      <c r="B867" s="17"/>
      <c r="C867" s="18"/>
      <c r="D867" s="18"/>
      <c r="E867" s="18"/>
      <c r="F867" s="18"/>
      <c r="G867" s="44"/>
      <c r="H867" s="44"/>
    </row>
    <row r="868" spans="1:8" ht="15.75">
      <c r="A868" s="17"/>
      <c r="B868" s="17"/>
      <c r="C868" s="18"/>
      <c r="D868" s="18"/>
      <c r="E868" s="18"/>
      <c r="F868" s="18"/>
      <c r="G868" s="44"/>
      <c r="H868" s="17"/>
    </row>
    <row r="869" spans="1:8" ht="15.75">
      <c r="A869" s="17"/>
      <c r="B869" s="17"/>
      <c r="C869" s="18"/>
      <c r="D869" s="18"/>
      <c r="E869" s="18"/>
      <c r="F869" s="18"/>
      <c r="G869" s="44"/>
      <c r="H869" s="17"/>
    </row>
    <row r="870" spans="1:8" ht="15.75">
      <c r="A870" s="17"/>
      <c r="B870" s="17"/>
      <c r="C870" s="18"/>
      <c r="D870" s="18"/>
      <c r="E870" s="18"/>
      <c r="F870" s="18"/>
      <c r="G870" s="44"/>
      <c r="H870" s="17"/>
    </row>
    <row r="871" spans="1:8" ht="15.75">
      <c r="A871" s="17"/>
      <c r="B871" s="17"/>
      <c r="C871" s="18"/>
      <c r="D871" s="18"/>
      <c r="E871" s="18"/>
      <c r="F871" s="18"/>
      <c r="G871" s="44"/>
      <c r="H871" s="17"/>
    </row>
    <row r="872" spans="1:8" ht="15.75">
      <c r="A872" s="17"/>
      <c r="B872" s="17"/>
      <c r="C872" s="18"/>
      <c r="D872" s="18"/>
      <c r="E872" s="18"/>
      <c r="F872" s="18"/>
      <c r="G872" s="44"/>
      <c r="H872" s="17"/>
    </row>
    <row r="873" spans="1:8" ht="15.75">
      <c r="A873" s="17"/>
      <c r="B873" s="17"/>
      <c r="C873" s="18"/>
      <c r="D873" s="18"/>
      <c r="E873" s="18"/>
      <c r="F873" s="18"/>
      <c r="G873" s="44"/>
      <c r="H873" s="17"/>
    </row>
    <row r="874" spans="1:8" ht="15.75">
      <c r="A874" s="17"/>
      <c r="B874" s="17"/>
      <c r="C874" s="18"/>
      <c r="D874" s="18"/>
      <c r="E874" s="18"/>
      <c r="F874" s="18"/>
      <c r="G874" s="44"/>
      <c r="H874" s="17"/>
    </row>
    <row r="875" spans="1:8" ht="15.75">
      <c r="A875" s="17"/>
      <c r="B875" s="17"/>
      <c r="C875" s="18"/>
      <c r="D875" s="18"/>
      <c r="E875" s="18"/>
      <c r="F875" s="18"/>
      <c r="G875" s="17"/>
      <c r="H875" s="17"/>
    </row>
    <row r="876" spans="1:8" ht="15.75">
      <c r="A876" s="17"/>
      <c r="B876" s="17"/>
      <c r="C876" s="18"/>
      <c r="D876" s="18"/>
      <c r="E876" s="18"/>
      <c r="F876" s="18"/>
      <c r="G876" s="17"/>
      <c r="H876" s="17"/>
    </row>
    <row r="877" spans="1:8" ht="15.75">
      <c r="A877" s="17"/>
      <c r="B877" s="17"/>
      <c r="C877" s="18"/>
      <c r="D877" s="18"/>
      <c r="E877" s="18"/>
      <c r="F877" s="18"/>
      <c r="G877" s="17"/>
      <c r="H877" s="17"/>
    </row>
    <row r="878" spans="1:8" ht="15.75">
      <c r="A878" s="17"/>
      <c r="B878" s="17"/>
      <c r="C878" s="18"/>
      <c r="D878" s="18"/>
      <c r="E878" s="18"/>
      <c r="F878" s="18"/>
      <c r="G878" s="17"/>
      <c r="H878" s="17"/>
    </row>
    <row r="879" spans="1:8" ht="15.75">
      <c r="A879" s="17"/>
      <c r="B879" s="17"/>
      <c r="C879" s="18"/>
      <c r="D879" s="18"/>
      <c r="E879" s="18"/>
      <c r="F879" s="18"/>
      <c r="G879" s="17"/>
      <c r="H879" s="17"/>
    </row>
    <row r="880" spans="1:8" ht="15.75">
      <c r="A880" s="17"/>
      <c r="B880" s="17"/>
      <c r="C880" s="18"/>
      <c r="D880" s="18"/>
      <c r="E880" s="18"/>
      <c r="F880" s="18"/>
      <c r="G880" s="17"/>
      <c r="H880" s="17"/>
    </row>
    <row r="881" spans="1:8" ht="15.75">
      <c r="A881" s="17"/>
      <c r="B881" s="17"/>
      <c r="C881" s="18"/>
      <c r="D881" s="18"/>
      <c r="E881" s="18"/>
      <c r="F881" s="18"/>
      <c r="G881" s="17"/>
      <c r="H881" s="17"/>
    </row>
    <row r="882" spans="1:8" ht="15.75">
      <c r="A882" s="17"/>
      <c r="B882" s="17"/>
      <c r="C882" s="18"/>
      <c r="D882" s="18"/>
      <c r="E882" s="18"/>
      <c r="F882" s="18"/>
      <c r="G882" s="17"/>
      <c r="H882" s="17"/>
    </row>
    <row r="883" spans="1:8" ht="15.75">
      <c r="A883" s="17"/>
      <c r="B883" s="17"/>
      <c r="C883" s="18"/>
      <c r="D883" s="18"/>
      <c r="E883" s="18"/>
      <c r="F883" s="18"/>
      <c r="G883" s="17"/>
      <c r="H883" s="17"/>
    </row>
    <row r="884" spans="1:8" ht="15.75">
      <c r="A884" s="17"/>
      <c r="B884" s="17"/>
      <c r="C884" s="18"/>
      <c r="D884" s="18"/>
      <c r="E884" s="18"/>
      <c r="F884" s="18"/>
      <c r="G884" s="17"/>
      <c r="H884" s="17"/>
    </row>
    <row r="885" spans="1:8" ht="15.75">
      <c r="A885" s="17"/>
      <c r="B885" s="17"/>
      <c r="C885" s="18"/>
      <c r="D885" s="18"/>
      <c r="E885" s="18"/>
      <c r="F885" s="18"/>
      <c r="G885" s="17"/>
      <c r="H885" s="17"/>
    </row>
    <row r="886" spans="1:8" ht="15.75">
      <c r="A886" s="17"/>
      <c r="B886" s="17"/>
      <c r="C886" s="18"/>
      <c r="D886" s="18"/>
      <c r="E886" s="18"/>
      <c r="F886" s="18"/>
      <c r="G886" s="17"/>
      <c r="H886" s="17"/>
    </row>
    <row r="887" spans="1:8" ht="15.75">
      <c r="A887" s="17"/>
      <c r="B887" s="17"/>
      <c r="C887" s="18"/>
      <c r="D887" s="18"/>
      <c r="E887" s="18"/>
      <c r="F887" s="18"/>
      <c r="G887" s="17"/>
      <c r="H887" s="17"/>
    </row>
    <row r="888" spans="1:8" ht="15.75">
      <c r="A888" s="17"/>
      <c r="B888" s="17"/>
      <c r="C888" s="18"/>
      <c r="D888" s="18"/>
      <c r="E888" s="18"/>
      <c r="F888" s="18"/>
      <c r="G888" s="17"/>
      <c r="H888" s="17"/>
    </row>
    <row r="889" spans="1:8" ht="15.75">
      <c r="A889" s="17"/>
      <c r="B889" s="17"/>
      <c r="C889" s="18"/>
      <c r="D889" s="18"/>
      <c r="E889" s="18"/>
      <c r="F889" s="18"/>
      <c r="G889" s="17"/>
      <c r="H889" s="17"/>
    </row>
    <row r="890" spans="1:8" ht="15.75">
      <c r="A890" s="17"/>
      <c r="B890" s="17"/>
      <c r="C890" s="18"/>
      <c r="D890" s="18"/>
      <c r="E890" s="18"/>
      <c r="F890" s="18"/>
      <c r="G890" s="17"/>
      <c r="H890" s="17"/>
    </row>
    <row r="891" spans="1:8" ht="15.75">
      <c r="A891" s="17"/>
      <c r="B891" s="17"/>
      <c r="C891" s="18"/>
      <c r="D891" s="18"/>
      <c r="E891" s="18"/>
      <c r="F891" s="18"/>
      <c r="G891" s="17"/>
      <c r="H891" s="17"/>
    </row>
    <row r="892" spans="1:8" ht="15.75">
      <c r="A892" s="17"/>
      <c r="B892" s="17"/>
      <c r="C892" s="18"/>
      <c r="D892" s="18"/>
      <c r="E892" s="18"/>
      <c r="F892" s="18"/>
      <c r="G892" s="17"/>
      <c r="H892" s="17"/>
    </row>
    <row r="893" spans="1:8" ht="15.75">
      <c r="A893" s="17"/>
      <c r="B893" s="17"/>
      <c r="C893" s="18"/>
      <c r="D893" s="18"/>
      <c r="E893" s="18"/>
      <c r="F893" s="18"/>
      <c r="G893" s="17"/>
      <c r="H893" s="17"/>
    </row>
    <row r="894" spans="1:8" ht="15.75">
      <c r="A894" s="17"/>
      <c r="B894" s="17"/>
      <c r="C894" s="18"/>
      <c r="D894" s="18"/>
      <c r="E894" s="18"/>
      <c r="F894" s="18"/>
      <c r="G894" s="17"/>
      <c r="H894" s="17"/>
    </row>
    <row r="895" spans="1:8" ht="15.75">
      <c r="A895" s="17"/>
      <c r="B895" s="17"/>
      <c r="C895" s="18"/>
      <c r="D895" s="18"/>
      <c r="E895" s="18"/>
      <c r="F895" s="18"/>
      <c r="G895" s="17"/>
      <c r="H895" s="17"/>
    </row>
    <row r="896" spans="1:8" ht="15.75">
      <c r="A896" s="17"/>
      <c r="B896" s="17"/>
      <c r="C896" s="18"/>
      <c r="D896" s="18"/>
      <c r="E896" s="18"/>
      <c r="F896" s="18"/>
      <c r="G896" s="17"/>
      <c r="H896" s="17"/>
    </row>
    <row r="897" spans="1:8" ht="15.75">
      <c r="A897" s="17"/>
      <c r="B897" s="17"/>
      <c r="C897" s="18"/>
      <c r="D897" s="18"/>
      <c r="E897" s="18"/>
      <c r="F897" s="18"/>
      <c r="G897" s="17"/>
      <c r="H897" s="17"/>
    </row>
    <row r="898" spans="1:8" ht="15.75">
      <c r="A898" s="17"/>
      <c r="B898" s="17"/>
      <c r="C898" s="18"/>
      <c r="D898" s="18"/>
      <c r="E898" s="18"/>
      <c r="F898" s="18"/>
      <c r="G898" s="17"/>
      <c r="H898" s="17"/>
    </row>
    <row r="899" spans="1:8" ht="15.75">
      <c r="A899" s="17"/>
      <c r="B899" s="17"/>
      <c r="C899" s="18"/>
      <c r="D899" s="18"/>
      <c r="E899" s="18"/>
      <c r="F899" s="18"/>
      <c r="G899" s="17"/>
      <c r="H899" s="17"/>
    </row>
    <row r="900" spans="1:8" ht="15.75">
      <c r="A900" s="17"/>
      <c r="B900" s="17"/>
      <c r="C900" s="18"/>
      <c r="D900" s="18"/>
      <c r="E900" s="18"/>
      <c r="F900" s="18"/>
      <c r="G900" s="17"/>
      <c r="H900" s="17"/>
    </row>
    <row r="901" spans="1:8" ht="15.75">
      <c r="A901" s="17"/>
      <c r="B901" s="17"/>
      <c r="C901" s="18"/>
      <c r="D901" s="18"/>
      <c r="E901" s="18"/>
      <c r="F901" s="18"/>
      <c r="G901" s="17"/>
      <c r="H901" s="17"/>
    </row>
    <row r="902" spans="1:8" ht="15.75">
      <c r="A902" s="17"/>
      <c r="B902" s="17"/>
      <c r="C902" s="18"/>
      <c r="D902" s="18"/>
      <c r="E902" s="18"/>
      <c r="F902" s="18"/>
      <c r="G902" s="17"/>
      <c r="H902" s="17"/>
    </row>
    <row r="903" spans="1:8" ht="15.75">
      <c r="A903" s="17"/>
      <c r="B903" s="17"/>
      <c r="C903" s="18"/>
      <c r="D903" s="18"/>
      <c r="E903" s="18"/>
      <c r="F903" s="18"/>
      <c r="G903" s="17"/>
      <c r="H903" s="17"/>
    </row>
    <row r="904" spans="1:8" ht="15.75">
      <c r="A904" s="17"/>
      <c r="B904" s="17"/>
      <c r="C904" s="18"/>
      <c r="D904" s="18"/>
      <c r="E904" s="18"/>
      <c r="F904" s="18"/>
      <c r="G904" s="17"/>
      <c r="H904" s="17"/>
    </row>
    <row r="905" spans="1:8" ht="15.75">
      <c r="A905" s="17"/>
      <c r="B905" s="17"/>
      <c r="C905" s="18"/>
      <c r="D905" s="18"/>
      <c r="E905" s="18"/>
      <c r="F905" s="18"/>
      <c r="G905" s="17"/>
      <c r="H905" s="17"/>
    </row>
    <row r="906" spans="1:8" ht="15.75">
      <c r="A906" s="17"/>
      <c r="B906" s="17"/>
      <c r="C906" s="18"/>
      <c r="D906" s="18"/>
      <c r="E906" s="18"/>
      <c r="F906" s="18"/>
      <c r="G906" s="17"/>
      <c r="H906" s="17"/>
    </row>
    <row r="907" spans="1:8" ht="15.75">
      <c r="A907" s="17"/>
      <c r="B907" s="17"/>
      <c r="C907" s="18"/>
      <c r="D907" s="18"/>
      <c r="E907" s="18"/>
      <c r="F907" s="18"/>
      <c r="G907" s="17"/>
      <c r="H907" s="17"/>
    </row>
    <row r="908" spans="1:8" ht="15.75">
      <c r="A908" s="17"/>
      <c r="B908" s="17"/>
      <c r="C908" s="18"/>
      <c r="D908" s="18"/>
      <c r="E908" s="18"/>
      <c r="F908" s="18"/>
      <c r="G908" s="17"/>
      <c r="H908" s="17"/>
    </row>
    <row r="909" spans="1:8" ht="15.75">
      <c r="A909" s="17"/>
      <c r="B909" s="17"/>
      <c r="C909" s="18"/>
      <c r="D909" s="18"/>
      <c r="E909" s="18"/>
      <c r="F909" s="18"/>
      <c r="G909" s="17"/>
      <c r="H909" s="17"/>
    </row>
    <row r="910" spans="1:8" ht="15.75">
      <c r="A910" s="17"/>
      <c r="B910" s="17"/>
      <c r="C910" s="18"/>
      <c r="D910" s="18"/>
      <c r="E910" s="18"/>
      <c r="F910" s="18"/>
      <c r="G910" s="17"/>
      <c r="H910" s="17"/>
    </row>
    <row r="911" spans="1:8" ht="15.75">
      <c r="A911" s="17"/>
      <c r="B911" s="17"/>
      <c r="C911" s="18"/>
      <c r="D911" s="18"/>
      <c r="E911" s="18"/>
      <c r="F911" s="18"/>
      <c r="G911" s="17"/>
      <c r="H911" s="17"/>
    </row>
    <row r="912" spans="1:8" ht="15.75">
      <c r="A912" s="17"/>
      <c r="B912" s="17"/>
      <c r="C912" s="18"/>
      <c r="D912" s="18"/>
      <c r="E912" s="18"/>
      <c r="F912" s="18"/>
      <c r="G912" s="17"/>
      <c r="H912" s="17"/>
    </row>
    <row r="913" spans="1:8" ht="15.75">
      <c r="A913" s="17"/>
      <c r="B913" s="17"/>
      <c r="C913" s="18"/>
      <c r="D913" s="18"/>
      <c r="E913" s="18"/>
      <c r="F913" s="18"/>
      <c r="G913" s="17"/>
      <c r="H913" s="17"/>
    </row>
    <row r="914" spans="1:8" ht="15.75">
      <c r="A914" s="17"/>
      <c r="B914" s="17"/>
      <c r="C914" s="18"/>
      <c r="D914" s="18"/>
      <c r="E914" s="18"/>
      <c r="F914" s="18"/>
      <c r="G914" s="17"/>
      <c r="H914" s="17"/>
    </row>
    <row r="915" spans="1:8" ht="15.75">
      <c r="A915" s="17"/>
      <c r="B915" s="17"/>
      <c r="C915" s="18"/>
      <c r="D915" s="18"/>
      <c r="E915" s="18"/>
      <c r="F915" s="18"/>
      <c r="G915" s="17"/>
      <c r="H915" s="17"/>
    </row>
    <row r="916" spans="1:8" ht="15.75">
      <c r="A916" s="17"/>
      <c r="B916" s="17"/>
      <c r="C916" s="18"/>
      <c r="D916" s="18"/>
      <c r="E916" s="18"/>
      <c r="F916" s="18"/>
      <c r="G916" s="17"/>
      <c r="H916" s="17"/>
    </row>
    <row r="917" spans="1:8" ht="15.75">
      <c r="A917" s="17"/>
      <c r="B917" s="17"/>
      <c r="C917" s="18"/>
      <c r="D917" s="18"/>
      <c r="E917" s="18"/>
      <c r="F917" s="18"/>
      <c r="G917" s="17"/>
      <c r="H917" s="17"/>
    </row>
    <row r="918" spans="1:8" ht="15.75">
      <c r="A918" s="17"/>
      <c r="B918" s="17"/>
      <c r="C918" s="18"/>
      <c r="D918" s="18"/>
      <c r="E918" s="18"/>
      <c r="F918" s="18"/>
      <c r="G918" s="17"/>
      <c r="H918" s="17"/>
    </row>
    <row r="919" spans="1:8" ht="15.75">
      <c r="A919" s="17"/>
      <c r="B919" s="17"/>
      <c r="C919" s="18"/>
      <c r="D919" s="18"/>
      <c r="E919" s="18"/>
      <c r="F919" s="18"/>
      <c r="G919" s="17"/>
      <c r="H919" s="17"/>
    </row>
    <row r="920" spans="1:8" ht="15.75">
      <c r="A920" s="17"/>
      <c r="B920" s="17"/>
      <c r="C920" s="18"/>
      <c r="D920" s="18"/>
      <c r="E920" s="18"/>
      <c r="F920" s="18"/>
      <c r="G920" s="17"/>
      <c r="H920" s="17"/>
    </row>
    <row r="921" spans="1:8" ht="15.75">
      <c r="A921" s="17"/>
      <c r="B921" s="17"/>
      <c r="C921" s="18"/>
      <c r="D921" s="18"/>
      <c r="E921" s="18"/>
      <c r="F921" s="18"/>
      <c r="G921" s="17"/>
      <c r="H921" s="17"/>
    </row>
    <row r="922" spans="1:8" ht="15.75">
      <c r="A922" s="17"/>
      <c r="B922" s="17"/>
      <c r="C922" s="18"/>
      <c r="D922" s="18"/>
      <c r="E922" s="18"/>
      <c r="F922" s="18"/>
      <c r="G922" s="17"/>
      <c r="H922" s="17"/>
    </row>
    <row r="923" spans="1:8" ht="15.75">
      <c r="A923" s="17"/>
      <c r="B923" s="17"/>
      <c r="C923" s="18"/>
      <c r="D923" s="18"/>
      <c r="E923" s="18"/>
      <c r="F923" s="18"/>
      <c r="G923" s="17"/>
      <c r="H923" s="17"/>
    </row>
    <row r="924" spans="1:8" ht="15.75">
      <c r="A924" s="17"/>
      <c r="B924" s="17"/>
      <c r="C924" s="18"/>
      <c r="D924" s="18"/>
      <c r="E924" s="18"/>
      <c r="F924" s="18"/>
      <c r="G924" s="17"/>
      <c r="H924" s="17"/>
    </row>
    <row r="925" spans="1:8" ht="15.75">
      <c r="A925" s="17"/>
      <c r="B925" s="17"/>
      <c r="C925" s="18"/>
      <c r="D925" s="18"/>
      <c r="E925" s="18"/>
      <c r="F925" s="18"/>
      <c r="G925" s="17"/>
      <c r="H925" s="17"/>
    </row>
    <row r="926" spans="1:8" ht="15.75">
      <c r="A926" s="17"/>
      <c r="B926" s="17"/>
      <c r="C926" s="18"/>
      <c r="D926" s="18"/>
      <c r="E926" s="18"/>
      <c r="F926" s="18"/>
      <c r="G926" s="17"/>
      <c r="H926" s="17"/>
    </row>
    <row r="927" spans="1:8" ht="15.75">
      <c r="A927" s="17"/>
      <c r="B927" s="17"/>
      <c r="C927" s="18"/>
      <c r="D927" s="18"/>
      <c r="E927" s="18"/>
      <c r="F927" s="18"/>
      <c r="G927" s="17"/>
      <c r="H927" s="17"/>
    </row>
    <row r="928" spans="1:8" ht="15.75">
      <c r="A928" s="17"/>
      <c r="B928" s="17"/>
      <c r="C928" s="18"/>
      <c r="D928" s="18"/>
      <c r="E928" s="18"/>
      <c r="F928" s="18"/>
      <c r="G928" s="17"/>
      <c r="H928" s="17"/>
    </row>
    <row r="929" spans="1:8" ht="15.75">
      <c r="A929" s="17"/>
      <c r="B929" s="17"/>
      <c r="C929" s="18"/>
      <c r="D929" s="18"/>
      <c r="E929" s="18"/>
      <c r="F929" s="18"/>
      <c r="G929" s="17"/>
      <c r="H929" s="17"/>
    </row>
    <row r="930" spans="1:8" ht="15.75">
      <c r="A930" s="17"/>
      <c r="B930" s="17"/>
      <c r="C930" s="18"/>
      <c r="D930" s="18"/>
      <c r="E930" s="18"/>
      <c r="F930" s="18"/>
      <c r="G930" s="17"/>
      <c r="H930" s="17"/>
    </row>
    <row r="931" spans="1:8" ht="15.75">
      <c r="A931" s="17"/>
      <c r="B931" s="17"/>
      <c r="C931" s="18"/>
      <c r="D931" s="18"/>
      <c r="E931" s="18"/>
      <c r="F931" s="18"/>
      <c r="G931" s="17"/>
      <c r="H931" s="17"/>
    </row>
    <row r="932" spans="1:8" ht="15.75">
      <c r="A932" s="17"/>
      <c r="B932" s="17"/>
      <c r="C932" s="18"/>
      <c r="D932" s="18"/>
      <c r="E932" s="18"/>
      <c r="F932" s="18"/>
      <c r="G932" s="17"/>
      <c r="H932" s="17"/>
    </row>
    <row r="933" spans="1:8" ht="15.75">
      <c r="A933" s="17"/>
      <c r="B933" s="17"/>
      <c r="C933" s="18"/>
      <c r="D933" s="18"/>
      <c r="E933" s="18"/>
      <c r="F933" s="18"/>
      <c r="G933" s="17"/>
      <c r="H933" s="17"/>
    </row>
    <row r="934" spans="1:8" ht="15.75">
      <c r="A934" s="17"/>
      <c r="B934" s="17"/>
      <c r="C934" s="18"/>
      <c r="D934" s="18"/>
      <c r="E934" s="18"/>
      <c r="F934" s="18"/>
      <c r="G934" s="17"/>
      <c r="H934" s="17"/>
    </row>
    <row r="935" spans="1:8" ht="15.75">
      <c r="A935" s="17"/>
      <c r="B935" s="17"/>
      <c r="C935" s="18"/>
      <c r="D935" s="18"/>
      <c r="E935" s="18"/>
      <c r="F935" s="18"/>
      <c r="G935" s="17"/>
      <c r="H935" s="17"/>
    </row>
    <row r="936" spans="1:8" ht="15.75">
      <c r="A936" s="17"/>
      <c r="B936" s="17"/>
      <c r="C936" s="18"/>
      <c r="D936" s="18"/>
      <c r="E936" s="18"/>
      <c r="F936" s="18"/>
      <c r="G936" s="17"/>
      <c r="H936" s="17"/>
    </row>
    <row r="937" spans="1:8" ht="15.75">
      <c r="A937" s="17"/>
      <c r="B937" s="17"/>
      <c r="C937" s="18"/>
      <c r="D937" s="18"/>
      <c r="E937" s="18"/>
      <c r="F937" s="18"/>
      <c r="G937" s="17"/>
      <c r="H937" s="17"/>
    </row>
    <row r="938" spans="1:8" ht="15.75">
      <c r="A938" s="17"/>
      <c r="B938" s="17"/>
      <c r="C938" s="18"/>
      <c r="D938" s="18"/>
      <c r="E938" s="18"/>
      <c r="F938" s="18"/>
      <c r="G938" s="17"/>
      <c r="H938" s="17"/>
    </row>
    <row r="939" spans="1:8" ht="15.75">
      <c r="A939" s="17"/>
      <c r="B939" s="17"/>
      <c r="C939" s="18"/>
      <c r="D939" s="18"/>
      <c r="E939" s="18"/>
      <c r="F939" s="18"/>
      <c r="G939" s="17"/>
      <c r="H939" s="17"/>
    </row>
    <row r="940" spans="1:8" ht="15.75">
      <c r="A940" s="17"/>
      <c r="B940" s="17"/>
      <c r="C940" s="18"/>
      <c r="D940" s="18"/>
      <c r="E940" s="18"/>
      <c r="F940" s="18"/>
      <c r="G940" s="17"/>
      <c r="H940" s="17"/>
    </row>
    <row r="941" spans="1:8" ht="15.75">
      <c r="A941" s="17"/>
      <c r="B941" s="17"/>
      <c r="C941" s="18"/>
      <c r="D941" s="18"/>
      <c r="E941" s="18"/>
      <c r="F941" s="18"/>
      <c r="G941" s="17"/>
      <c r="H941" s="17"/>
    </row>
    <row r="942" spans="1:8" ht="15.75">
      <c r="A942" s="17"/>
      <c r="B942" s="17"/>
      <c r="C942" s="18"/>
      <c r="D942" s="18"/>
      <c r="E942" s="18"/>
      <c r="F942" s="18"/>
      <c r="G942" s="17"/>
      <c r="H942" s="17"/>
    </row>
    <row r="943" spans="1:8" ht="15.75">
      <c r="A943" s="17"/>
      <c r="B943" s="17"/>
      <c r="C943" s="18"/>
      <c r="D943" s="18"/>
      <c r="E943" s="18"/>
      <c r="F943" s="18"/>
      <c r="G943" s="17"/>
      <c r="H943" s="17"/>
    </row>
    <row r="944" spans="1:8" ht="15.75">
      <c r="A944" s="17"/>
      <c r="B944" s="17"/>
      <c r="C944" s="18"/>
      <c r="D944" s="18"/>
      <c r="E944" s="18"/>
      <c r="F944" s="18"/>
      <c r="G944" s="17"/>
      <c r="H944" s="17"/>
    </row>
    <row r="945" spans="1:8" ht="15.75">
      <c r="A945" s="17"/>
      <c r="B945" s="17"/>
      <c r="C945" s="18"/>
      <c r="D945" s="18"/>
      <c r="E945" s="18"/>
      <c r="F945" s="18"/>
      <c r="G945" s="17"/>
      <c r="H945" s="17"/>
    </row>
    <row r="946" spans="1:8" ht="15.75">
      <c r="A946" s="17"/>
      <c r="B946" s="17"/>
      <c r="C946" s="18"/>
      <c r="D946" s="18"/>
      <c r="E946" s="18"/>
      <c r="F946" s="18"/>
      <c r="G946" s="17"/>
      <c r="H946" s="17"/>
    </row>
    <row r="947" spans="1:8" ht="15.75">
      <c r="A947" s="17"/>
      <c r="B947" s="17"/>
      <c r="C947" s="18"/>
      <c r="D947" s="18"/>
      <c r="E947" s="18"/>
      <c r="F947" s="18"/>
      <c r="G947" s="17"/>
      <c r="H947" s="17"/>
    </row>
    <row r="948" spans="1:8" ht="15.75">
      <c r="A948" s="17"/>
      <c r="B948" s="17"/>
      <c r="C948" s="18"/>
      <c r="D948" s="18"/>
      <c r="E948" s="18"/>
      <c r="F948" s="18"/>
      <c r="G948" s="17"/>
      <c r="H948" s="17"/>
    </row>
    <row r="949" spans="1:8" ht="15.75">
      <c r="A949" s="17"/>
      <c r="B949" s="17"/>
      <c r="C949" s="18"/>
      <c r="D949" s="18"/>
      <c r="E949" s="18"/>
      <c r="F949" s="18"/>
      <c r="G949" s="17"/>
      <c r="H949" s="17"/>
    </row>
    <row r="950" spans="1:8" ht="15.75">
      <c r="A950" s="17"/>
      <c r="B950" s="17"/>
      <c r="C950" s="18"/>
      <c r="D950" s="18"/>
      <c r="E950" s="18"/>
      <c r="F950" s="18"/>
      <c r="G950" s="17"/>
      <c r="H950" s="17"/>
    </row>
    <row r="951" spans="1:8" ht="15.75">
      <c r="A951" s="17"/>
      <c r="B951" s="17"/>
      <c r="C951" s="18"/>
      <c r="D951" s="18"/>
      <c r="E951" s="18"/>
      <c r="F951" s="18"/>
      <c r="G951" s="17"/>
      <c r="H951" s="17"/>
    </row>
    <row r="952" spans="1:8" ht="15.75">
      <c r="A952" s="17"/>
      <c r="B952" s="17"/>
      <c r="C952" s="18"/>
      <c r="D952" s="18"/>
      <c r="E952" s="18"/>
      <c r="F952" s="18"/>
      <c r="G952" s="17"/>
      <c r="H952" s="17"/>
    </row>
    <row r="953" spans="1:8" ht="15.75">
      <c r="A953" s="17"/>
      <c r="B953" s="17"/>
      <c r="C953" s="18"/>
      <c r="D953" s="18"/>
      <c r="E953" s="18"/>
      <c r="F953" s="18"/>
      <c r="G953" s="17"/>
      <c r="H953" s="17"/>
    </row>
    <row r="954" spans="1:8" ht="15.75">
      <c r="A954" s="17"/>
      <c r="B954" s="17"/>
      <c r="C954" s="18"/>
      <c r="D954" s="18"/>
      <c r="E954" s="18"/>
      <c r="F954" s="18"/>
      <c r="G954" s="17"/>
      <c r="H954" s="17"/>
    </row>
    <row r="955" spans="1:8" ht="15.75">
      <c r="A955" s="17"/>
      <c r="B955" s="17"/>
      <c r="C955" s="18"/>
      <c r="D955" s="18"/>
      <c r="E955" s="18"/>
      <c r="F955" s="18"/>
      <c r="G955" s="17"/>
      <c r="H955" s="17"/>
    </row>
    <row r="956" spans="1:8" ht="15.75">
      <c r="A956" s="17"/>
      <c r="B956" s="17"/>
      <c r="C956" s="18"/>
      <c r="D956" s="18"/>
      <c r="E956" s="18"/>
      <c r="F956" s="18"/>
      <c r="G956" s="17"/>
      <c r="H956" s="17"/>
    </row>
    <row r="957" spans="1:8" ht="15.75">
      <c r="A957" s="17"/>
      <c r="B957" s="17"/>
      <c r="C957" s="18"/>
      <c r="D957" s="18"/>
      <c r="E957" s="18"/>
      <c r="F957" s="18"/>
      <c r="G957" s="17"/>
      <c r="H957" s="17"/>
    </row>
    <row r="958" spans="1:8" ht="15.75">
      <c r="A958" s="17"/>
      <c r="B958" s="17"/>
      <c r="C958" s="18"/>
      <c r="D958" s="18"/>
      <c r="E958" s="18"/>
      <c r="F958" s="18"/>
      <c r="G958" s="17"/>
      <c r="H958" s="17"/>
    </row>
    <row r="959" spans="1:8" ht="15.75">
      <c r="A959" s="17"/>
      <c r="B959" s="17"/>
      <c r="C959" s="18"/>
      <c r="D959" s="18"/>
      <c r="E959" s="18"/>
      <c r="F959" s="18"/>
      <c r="G959" s="17"/>
      <c r="H959" s="17"/>
    </row>
    <row r="960" spans="1:8" ht="15.75">
      <c r="A960" s="17"/>
      <c r="B960" s="17"/>
      <c r="C960" s="18"/>
      <c r="D960" s="18"/>
      <c r="E960" s="18"/>
      <c r="F960" s="18"/>
      <c r="G960" s="17"/>
      <c r="H960" s="17"/>
    </row>
    <row r="961" spans="1:8" ht="15.75">
      <c r="A961" s="17"/>
      <c r="B961" s="17"/>
      <c r="C961" s="18"/>
      <c r="D961" s="18"/>
      <c r="E961" s="18"/>
      <c r="F961" s="18"/>
      <c r="G961" s="17"/>
      <c r="H961" s="17"/>
    </row>
    <row r="962" spans="1:8" ht="15.75">
      <c r="A962" s="17"/>
      <c r="B962" s="17"/>
      <c r="C962" s="18"/>
      <c r="D962" s="18"/>
      <c r="E962" s="18"/>
      <c r="F962" s="18"/>
      <c r="G962" s="17"/>
      <c r="H962" s="17"/>
    </row>
    <row r="963" spans="1:8" ht="15.75">
      <c r="A963" s="17"/>
      <c r="B963" s="17"/>
      <c r="C963" s="18"/>
      <c r="D963" s="18"/>
      <c r="E963" s="18"/>
      <c r="F963" s="18"/>
      <c r="G963" s="17"/>
      <c r="H963" s="17"/>
    </row>
    <row r="964" spans="1:8" ht="15.75">
      <c r="A964" s="17"/>
      <c r="B964" s="17"/>
      <c r="C964" s="18"/>
      <c r="D964" s="18"/>
      <c r="E964" s="18"/>
      <c r="F964" s="18"/>
      <c r="G964" s="17"/>
      <c r="H964" s="17"/>
    </row>
    <row r="965" spans="1:8" ht="15.75">
      <c r="A965" s="17"/>
      <c r="B965" s="17"/>
      <c r="C965" s="18"/>
      <c r="D965" s="18"/>
      <c r="E965" s="18"/>
      <c r="F965" s="18"/>
      <c r="G965" s="17"/>
      <c r="H965" s="17"/>
    </row>
    <row r="966" spans="1:8" ht="15.75">
      <c r="A966" s="17"/>
      <c r="B966" s="17"/>
      <c r="C966" s="18"/>
      <c r="D966" s="18"/>
      <c r="E966" s="18"/>
      <c r="F966" s="18"/>
      <c r="G966" s="17"/>
      <c r="H966" s="17"/>
    </row>
    <row r="967" spans="1:8" ht="15.75">
      <c r="A967" s="17"/>
      <c r="B967" s="17"/>
      <c r="C967" s="18"/>
      <c r="D967" s="18"/>
      <c r="E967" s="18"/>
      <c r="F967" s="18"/>
      <c r="G967" s="17"/>
      <c r="H967" s="17"/>
    </row>
    <row r="968" spans="1:8" ht="15.75">
      <c r="A968" s="17"/>
      <c r="B968" s="17"/>
      <c r="C968" s="18"/>
      <c r="D968" s="18"/>
      <c r="E968" s="18"/>
      <c r="F968" s="18"/>
      <c r="G968" s="17"/>
      <c r="H968" s="17"/>
    </row>
    <row r="969" spans="1:8" ht="15.75">
      <c r="A969" s="17"/>
      <c r="B969" s="17"/>
      <c r="C969" s="18"/>
      <c r="D969" s="18"/>
      <c r="E969" s="18"/>
      <c r="F969" s="18"/>
      <c r="G969" s="17"/>
      <c r="H969" s="17"/>
    </row>
    <row r="970" spans="1:8" ht="15.75">
      <c r="A970" s="17"/>
      <c r="B970" s="17"/>
      <c r="C970" s="18"/>
      <c r="D970" s="18"/>
      <c r="E970" s="18"/>
      <c r="F970" s="18"/>
      <c r="G970" s="17"/>
      <c r="H970" s="17"/>
    </row>
    <row r="971" spans="1:8" ht="15.75">
      <c r="A971" s="17"/>
      <c r="B971" s="17"/>
      <c r="C971" s="18"/>
      <c r="D971" s="18"/>
      <c r="E971" s="18"/>
      <c r="F971" s="18"/>
      <c r="G971" s="17"/>
      <c r="H971" s="17"/>
    </row>
    <row r="972" spans="1:8" ht="15.75">
      <c r="A972" s="17"/>
      <c r="B972" s="17"/>
      <c r="C972" s="18"/>
      <c r="D972" s="18"/>
      <c r="E972" s="18"/>
      <c r="F972" s="18"/>
      <c r="G972" s="17"/>
      <c r="H972" s="17"/>
    </row>
    <row r="973" spans="1:8" ht="15.75">
      <c r="A973" s="17"/>
      <c r="B973" s="17"/>
      <c r="C973" s="18"/>
      <c r="D973" s="18"/>
      <c r="E973" s="18"/>
      <c r="F973" s="18"/>
      <c r="G973" s="17"/>
      <c r="H973" s="17"/>
    </row>
    <row r="974" spans="1:8" ht="15.75">
      <c r="A974" s="17"/>
      <c r="B974" s="17"/>
      <c r="C974" s="18"/>
      <c r="D974" s="18"/>
      <c r="E974" s="18"/>
      <c r="F974" s="18"/>
      <c r="G974" s="17"/>
      <c r="H974" s="17"/>
    </row>
    <row r="975" spans="1:8" ht="15.75">
      <c r="A975" s="17"/>
      <c r="B975" s="17"/>
      <c r="C975" s="18"/>
      <c r="D975" s="18"/>
      <c r="E975" s="18"/>
      <c r="F975" s="18"/>
      <c r="G975" s="17"/>
      <c r="H975" s="17"/>
    </row>
    <row r="976" spans="1:8" ht="15.75">
      <c r="A976" s="17"/>
      <c r="B976" s="17"/>
      <c r="C976" s="18"/>
      <c r="D976" s="18"/>
      <c r="E976" s="18"/>
      <c r="F976" s="18"/>
      <c r="G976" s="17"/>
      <c r="H976" s="17"/>
    </row>
    <row r="977" spans="1:8" ht="15.75">
      <c r="A977" s="17"/>
      <c r="B977" s="17"/>
      <c r="C977" s="18"/>
      <c r="D977" s="18"/>
      <c r="E977" s="18"/>
      <c r="F977" s="18"/>
      <c r="G977" s="17"/>
      <c r="H977" s="17"/>
    </row>
    <row r="978" spans="1:8" ht="15.75">
      <c r="A978" s="17"/>
      <c r="B978" s="17"/>
      <c r="C978" s="18"/>
      <c r="D978" s="18"/>
      <c r="E978" s="18"/>
      <c r="F978" s="18"/>
      <c r="G978" s="17"/>
      <c r="H978" s="17"/>
    </row>
    <row r="979" spans="1:8" ht="15.75">
      <c r="A979" s="17"/>
      <c r="B979" s="17"/>
      <c r="C979" s="18"/>
      <c r="D979" s="18"/>
      <c r="E979" s="18"/>
      <c r="F979" s="18"/>
      <c r="G979" s="17"/>
      <c r="H979" s="17"/>
    </row>
    <row r="980" spans="1:8" ht="15.75">
      <c r="A980" s="17"/>
      <c r="B980" s="17"/>
      <c r="C980" s="18"/>
      <c r="D980" s="18"/>
      <c r="E980" s="18"/>
      <c r="F980" s="18"/>
      <c r="G980" s="17"/>
      <c r="H980" s="17"/>
    </row>
    <row r="981" spans="1:8" ht="15.75">
      <c r="A981" s="17"/>
      <c r="B981" s="17"/>
      <c r="C981" s="18"/>
      <c r="D981" s="18"/>
      <c r="E981" s="18"/>
      <c r="F981" s="18"/>
      <c r="G981" s="17"/>
      <c r="H981" s="17"/>
    </row>
    <row r="982" spans="1:8" ht="15.75">
      <c r="A982" s="17"/>
      <c r="B982" s="17"/>
      <c r="C982" s="18"/>
      <c r="D982" s="18"/>
      <c r="E982" s="18"/>
      <c r="F982" s="18"/>
      <c r="G982" s="17"/>
      <c r="H982" s="17"/>
    </row>
    <row r="983" spans="1:8" ht="15.75">
      <c r="A983" s="17"/>
      <c r="B983" s="17"/>
      <c r="C983" s="18"/>
      <c r="D983" s="18"/>
      <c r="E983" s="18"/>
      <c r="F983" s="18"/>
      <c r="G983" s="17"/>
      <c r="H983" s="17"/>
    </row>
    <row r="984" spans="1:8" ht="15.75">
      <c r="A984" s="17"/>
      <c r="B984" s="17"/>
      <c r="C984" s="18"/>
      <c r="D984" s="18"/>
      <c r="E984" s="18"/>
      <c r="F984" s="18"/>
      <c r="G984" s="17"/>
      <c r="H984" s="17"/>
    </row>
    <row r="985" spans="1:8" ht="15.75">
      <c r="A985" s="17"/>
      <c r="B985" s="17"/>
      <c r="C985" s="18"/>
      <c r="D985" s="18"/>
      <c r="E985" s="18"/>
      <c r="F985" s="18"/>
      <c r="G985" s="17"/>
      <c r="H985" s="17"/>
    </row>
    <row r="986" spans="1:8" ht="15.75">
      <c r="A986" s="17"/>
      <c r="B986" s="17"/>
      <c r="C986" s="18"/>
      <c r="D986" s="18"/>
      <c r="E986" s="18"/>
      <c r="F986" s="18"/>
      <c r="G986" s="17"/>
      <c r="H986" s="17"/>
    </row>
    <row r="987" spans="1:8" ht="15.75">
      <c r="A987" s="17"/>
      <c r="B987" s="17"/>
      <c r="C987" s="18"/>
      <c r="D987" s="18"/>
      <c r="E987" s="18"/>
      <c r="F987" s="18"/>
      <c r="G987" s="17"/>
      <c r="H987" s="17"/>
    </row>
    <row r="988" spans="1:8" ht="15.75">
      <c r="A988" s="17"/>
      <c r="B988" s="17"/>
      <c r="C988" s="18"/>
      <c r="D988" s="18"/>
      <c r="E988" s="18"/>
      <c r="F988" s="18"/>
      <c r="G988" s="17"/>
      <c r="H988" s="17"/>
    </row>
    <row r="989" spans="1:8" ht="15.75">
      <c r="A989" s="17"/>
      <c r="B989" s="17"/>
      <c r="C989" s="18"/>
      <c r="D989" s="18"/>
      <c r="E989" s="18"/>
      <c r="F989" s="18"/>
      <c r="G989" s="17"/>
      <c r="H989" s="17"/>
    </row>
    <row r="990" spans="1:8" ht="15.75">
      <c r="A990" s="17"/>
      <c r="B990" s="17"/>
      <c r="C990" s="18"/>
      <c r="D990" s="18"/>
      <c r="E990" s="18"/>
      <c r="F990" s="18"/>
      <c r="G990" s="17"/>
      <c r="H990" s="17"/>
    </row>
    <row r="991" spans="1:8" ht="15.75">
      <c r="A991" s="17"/>
      <c r="B991" s="17"/>
      <c r="C991" s="18"/>
      <c r="D991" s="18"/>
      <c r="E991" s="18"/>
      <c r="F991" s="18"/>
      <c r="G991" s="17"/>
      <c r="H991" s="17"/>
    </row>
    <row r="992" spans="1:8" ht="15.75">
      <c r="A992" s="17"/>
      <c r="B992" s="17"/>
      <c r="C992" s="18"/>
      <c r="D992" s="18"/>
      <c r="E992" s="18"/>
      <c r="F992" s="18"/>
      <c r="G992" s="17"/>
      <c r="H992" s="17"/>
    </row>
    <row r="993" spans="1:8" ht="15.75">
      <c r="A993" s="17"/>
      <c r="B993" s="17"/>
      <c r="C993" s="18"/>
      <c r="D993" s="18"/>
      <c r="E993" s="18"/>
      <c r="F993" s="18"/>
      <c r="G993" s="17"/>
      <c r="H993" s="17"/>
    </row>
    <row r="994" spans="1:8" ht="15.75">
      <c r="A994" s="17"/>
      <c r="B994" s="17"/>
      <c r="C994" s="18"/>
      <c r="D994" s="18"/>
      <c r="E994" s="18"/>
      <c r="F994" s="18"/>
      <c r="G994" s="17"/>
      <c r="H994" s="17"/>
    </row>
    <row r="995" spans="1:8" ht="15.75">
      <c r="A995" s="17"/>
      <c r="B995" s="17"/>
      <c r="C995" s="18"/>
      <c r="D995" s="18"/>
      <c r="E995" s="18"/>
      <c r="F995" s="18"/>
      <c r="G995" s="17"/>
      <c r="H995" s="17"/>
    </row>
    <row r="996" spans="1:8" ht="15.75">
      <c r="A996" s="17"/>
      <c r="B996" s="17"/>
      <c r="C996" s="18"/>
      <c r="D996" s="18"/>
      <c r="E996" s="18"/>
      <c r="F996" s="18"/>
      <c r="G996" s="17"/>
      <c r="H996" s="17"/>
    </row>
    <row r="997" spans="1:8" ht="15.75">
      <c r="A997" s="17"/>
      <c r="B997" s="17"/>
      <c r="C997" s="18"/>
      <c r="D997" s="18"/>
      <c r="E997" s="18"/>
      <c r="F997" s="18"/>
      <c r="G997" s="17"/>
      <c r="H997" s="17"/>
    </row>
    <row r="998" spans="3:6" ht="15.75">
      <c r="C998" s="19"/>
      <c r="D998" s="19"/>
      <c r="E998" s="19"/>
      <c r="F998" s="19"/>
    </row>
    <row r="999" spans="3:6" ht="15.75">
      <c r="C999" s="19"/>
      <c r="D999" s="19"/>
      <c r="E999" s="19"/>
      <c r="F999" s="19"/>
    </row>
    <row r="1000" spans="3:6" ht="15.75">
      <c r="C1000" s="19"/>
      <c r="D1000" s="19"/>
      <c r="E1000" s="19"/>
      <c r="F1000" s="19"/>
    </row>
    <row r="1001" spans="3:6" ht="15.75">
      <c r="C1001" s="19"/>
      <c r="D1001" s="19"/>
      <c r="E1001" s="19"/>
      <c r="F1001" s="19"/>
    </row>
    <row r="1002" spans="3:6" ht="15.75">
      <c r="C1002" s="19"/>
      <c r="D1002" s="19"/>
      <c r="E1002" s="19"/>
      <c r="F1002" s="19"/>
    </row>
    <row r="1003" spans="3:6" ht="15.75">
      <c r="C1003" s="19"/>
      <c r="D1003" s="19"/>
      <c r="E1003" s="19"/>
      <c r="F1003" s="19"/>
    </row>
    <row r="1004" spans="3:6" ht="15.75">
      <c r="C1004" s="19"/>
      <c r="D1004" s="19"/>
      <c r="E1004" s="19"/>
      <c r="F1004" s="19"/>
    </row>
    <row r="1005" spans="3:6" ht="15.75">
      <c r="C1005" s="19"/>
      <c r="D1005" s="19"/>
      <c r="E1005" s="19"/>
      <c r="F1005" s="19"/>
    </row>
    <row r="1006" spans="3:6" ht="15.75">
      <c r="C1006" s="19"/>
      <c r="D1006" s="19"/>
      <c r="E1006" s="19"/>
      <c r="F1006" s="19"/>
    </row>
    <row r="1007" spans="3:6" ht="15.75">
      <c r="C1007" s="19"/>
      <c r="D1007" s="19"/>
      <c r="E1007" s="19"/>
      <c r="F1007" s="19"/>
    </row>
    <row r="1008" spans="3:6" ht="15.75">
      <c r="C1008" s="19"/>
      <c r="D1008" s="19"/>
      <c r="E1008" s="19"/>
      <c r="F1008" s="19"/>
    </row>
    <row r="1009" spans="3:6" ht="15.75">
      <c r="C1009" s="19"/>
      <c r="D1009" s="19"/>
      <c r="E1009" s="19"/>
      <c r="F1009" s="19"/>
    </row>
    <row r="1010" spans="3:6" ht="15.75">
      <c r="C1010" s="19"/>
      <c r="D1010" s="19"/>
      <c r="E1010" s="19"/>
      <c r="F1010" s="19"/>
    </row>
    <row r="1011" spans="3:6" ht="15.75">
      <c r="C1011" s="19"/>
      <c r="D1011" s="19"/>
      <c r="E1011" s="19"/>
      <c r="F1011" s="19"/>
    </row>
    <row r="1012" spans="3:6" ht="15.75">
      <c r="C1012" s="19"/>
      <c r="D1012" s="19"/>
      <c r="E1012" s="19"/>
      <c r="F1012" s="19"/>
    </row>
    <row r="1013" spans="3:6" ht="15.75">
      <c r="C1013" s="19"/>
      <c r="D1013" s="19"/>
      <c r="E1013" s="19"/>
      <c r="F1013" s="19"/>
    </row>
    <row r="1014" spans="3:6" ht="15.75">
      <c r="C1014" s="19"/>
      <c r="D1014" s="19"/>
      <c r="E1014" s="19"/>
      <c r="F1014" s="19"/>
    </row>
    <row r="1015" spans="3:6" ht="15.75">
      <c r="C1015" s="19"/>
      <c r="D1015" s="19"/>
      <c r="E1015" s="19"/>
      <c r="F1015" s="19"/>
    </row>
    <row r="1016" spans="3:6" ht="15.75">
      <c r="C1016" s="19"/>
      <c r="D1016" s="19"/>
      <c r="E1016" s="19"/>
      <c r="F1016" s="19"/>
    </row>
    <row r="1017" spans="3:6" ht="15.75">
      <c r="C1017" s="19"/>
      <c r="D1017" s="19"/>
      <c r="E1017" s="19"/>
      <c r="F1017" s="19"/>
    </row>
    <row r="1018" spans="3:6" ht="15.75">
      <c r="C1018" s="19"/>
      <c r="D1018" s="19"/>
      <c r="E1018" s="19"/>
      <c r="F1018" s="19"/>
    </row>
    <row r="1019" spans="3:6" ht="15.75">
      <c r="C1019" s="19"/>
      <c r="D1019" s="19"/>
      <c r="E1019" s="19"/>
      <c r="F1019" s="19"/>
    </row>
    <row r="1020" spans="3:6" ht="15.75">
      <c r="C1020" s="19"/>
      <c r="D1020" s="19"/>
      <c r="E1020" s="19"/>
      <c r="F1020" s="19"/>
    </row>
    <row r="1021" spans="3:6" ht="15.75">
      <c r="C1021" s="19"/>
      <c r="D1021" s="19"/>
      <c r="E1021" s="19"/>
      <c r="F1021" s="19"/>
    </row>
    <row r="1022" spans="3:6" ht="15.75">
      <c r="C1022" s="19"/>
      <c r="D1022" s="19"/>
      <c r="E1022" s="19"/>
      <c r="F1022" s="19"/>
    </row>
    <row r="1023" spans="3:6" ht="15.75">
      <c r="C1023" s="19"/>
      <c r="D1023" s="19"/>
      <c r="E1023" s="19"/>
      <c r="F1023" s="19"/>
    </row>
    <row r="1024" spans="3:6" ht="15.75">
      <c r="C1024" s="19"/>
      <c r="D1024" s="19"/>
      <c r="E1024" s="19"/>
      <c r="F1024" s="19"/>
    </row>
    <row r="1025" spans="3:6" ht="15.75">
      <c r="C1025" s="19"/>
      <c r="D1025" s="19"/>
      <c r="E1025" s="19"/>
      <c r="F1025" s="19"/>
    </row>
    <row r="1026" spans="3:6" ht="15.75">
      <c r="C1026" s="19"/>
      <c r="D1026" s="19"/>
      <c r="E1026" s="19"/>
      <c r="F1026" s="19"/>
    </row>
    <row r="1027" spans="3:6" ht="15.75">
      <c r="C1027" s="19"/>
      <c r="D1027" s="19"/>
      <c r="E1027" s="19"/>
      <c r="F1027" s="19"/>
    </row>
    <row r="1028" spans="3:6" ht="15.75">
      <c r="C1028" s="19"/>
      <c r="D1028" s="19"/>
      <c r="E1028" s="19"/>
      <c r="F1028" s="19"/>
    </row>
    <row r="1029" spans="3:6" ht="15.75">
      <c r="C1029" s="19"/>
      <c r="D1029" s="19"/>
      <c r="E1029" s="19"/>
      <c r="F1029" s="19"/>
    </row>
    <row r="1030" spans="3:6" ht="15.75">
      <c r="C1030" s="19"/>
      <c r="D1030" s="19"/>
      <c r="E1030" s="19"/>
      <c r="F1030" s="19"/>
    </row>
    <row r="1031" spans="3:6" ht="15.75">
      <c r="C1031" s="19"/>
      <c r="D1031" s="19"/>
      <c r="E1031" s="19"/>
      <c r="F1031" s="19"/>
    </row>
    <row r="1032" spans="3:6" ht="15.75">
      <c r="C1032" s="19"/>
      <c r="D1032" s="19"/>
      <c r="E1032" s="19"/>
      <c r="F1032" s="19"/>
    </row>
    <row r="1033" spans="3:6" ht="15.75">
      <c r="C1033" s="19"/>
      <c r="D1033" s="19"/>
      <c r="E1033" s="19"/>
      <c r="F1033" s="19"/>
    </row>
    <row r="1034" spans="3:6" ht="15.75">
      <c r="C1034" s="19"/>
      <c r="D1034" s="19"/>
      <c r="E1034" s="19"/>
      <c r="F1034" s="19"/>
    </row>
    <row r="1035" spans="3:6" ht="15.75">
      <c r="C1035" s="19"/>
      <c r="D1035" s="19"/>
      <c r="E1035" s="19"/>
      <c r="F1035" s="19"/>
    </row>
    <row r="1036" spans="3:6" ht="15.75">
      <c r="C1036" s="19"/>
      <c r="D1036" s="19"/>
      <c r="E1036" s="19"/>
      <c r="F1036" s="19"/>
    </row>
    <row r="1037" spans="3:6" ht="15.75">
      <c r="C1037" s="19"/>
      <c r="D1037" s="19"/>
      <c r="E1037" s="19"/>
      <c r="F1037" s="19"/>
    </row>
    <row r="1038" spans="3:6" ht="15.75">
      <c r="C1038" s="19"/>
      <c r="D1038" s="19"/>
      <c r="E1038" s="19"/>
      <c r="F1038" s="19"/>
    </row>
    <row r="1039" spans="3:6" ht="15.75">
      <c r="C1039" s="19"/>
      <c r="D1039" s="19"/>
      <c r="E1039" s="19"/>
      <c r="F1039" s="19"/>
    </row>
    <row r="1040" spans="3:6" ht="15.75">
      <c r="C1040" s="19"/>
      <c r="D1040" s="19"/>
      <c r="E1040" s="19"/>
      <c r="F1040" s="19"/>
    </row>
    <row r="1041" spans="3:6" ht="15.75">
      <c r="C1041" s="19"/>
      <c r="D1041" s="19"/>
      <c r="E1041" s="19"/>
      <c r="F1041" s="19"/>
    </row>
    <row r="1042" spans="3:6" ht="15.75">
      <c r="C1042" s="19"/>
      <c r="D1042" s="19"/>
      <c r="E1042" s="19"/>
      <c r="F1042" s="19"/>
    </row>
    <row r="1043" spans="3:6" ht="15.75">
      <c r="C1043" s="19"/>
      <c r="D1043" s="19"/>
      <c r="E1043" s="19"/>
      <c r="F1043" s="19"/>
    </row>
    <row r="1044" spans="3:6" ht="15.75">
      <c r="C1044" s="19"/>
      <c r="D1044" s="19"/>
      <c r="E1044" s="19"/>
      <c r="F1044" s="19"/>
    </row>
    <row r="1045" spans="3:6" ht="15.75">
      <c r="C1045" s="19"/>
      <c r="D1045" s="19"/>
      <c r="E1045" s="19"/>
      <c r="F1045" s="19"/>
    </row>
    <row r="1046" spans="3:6" ht="15.75">
      <c r="C1046" s="19"/>
      <c r="D1046" s="19"/>
      <c r="E1046" s="19"/>
      <c r="F1046" s="19"/>
    </row>
    <row r="1047" spans="3:6" ht="15.75">
      <c r="C1047" s="19"/>
      <c r="D1047" s="19"/>
      <c r="E1047" s="19"/>
      <c r="F1047" s="19"/>
    </row>
    <row r="1048" spans="3:6" ht="15.75">
      <c r="C1048" s="19"/>
      <c r="D1048" s="19"/>
      <c r="E1048" s="19"/>
      <c r="F1048" s="19"/>
    </row>
    <row r="1049" spans="3:6" ht="15.75">
      <c r="C1049" s="19"/>
      <c r="D1049" s="19"/>
      <c r="E1049" s="19"/>
      <c r="F1049" s="19"/>
    </row>
    <row r="1050" spans="3:6" ht="15.75">
      <c r="C1050" s="19"/>
      <c r="D1050" s="19"/>
      <c r="E1050" s="19"/>
      <c r="F1050" s="19"/>
    </row>
    <row r="1051" spans="3:6" ht="15.75">
      <c r="C1051" s="19"/>
      <c r="D1051" s="19"/>
      <c r="E1051" s="19"/>
      <c r="F1051" s="19"/>
    </row>
    <row r="1052" spans="3:6" ht="15.75">
      <c r="C1052" s="19"/>
      <c r="D1052" s="19"/>
      <c r="E1052" s="19"/>
      <c r="F1052" s="19"/>
    </row>
    <row r="1053" spans="3:6" ht="15.75">
      <c r="C1053" s="19"/>
      <c r="D1053" s="19"/>
      <c r="E1053" s="19"/>
      <c r="F1053" s="19"/>
    </row>
    <row r="1054" spans="3:6" ht="15.75">
      <c r="C1054" s="19"/>
      <c r="D1054" s="19"/>
      <c r="E1054" s="19"/>
      <c r="F1054" s="19"/>
    </row>
    <row r="1055" spans="3:6" ht="15.75">
      <c r="C1055" s="19"/>
      <c r="D1055" s="19"/>
      <c r="E1055" s="19"/>
      <c r="F1055" s="19"/>
    </row>
    <row r="1056" spans="3:6" ht="15.75">
      <c r="C1056" s="19"/>
      <c r="D1056" s="19"/>
      <c r="E1056" s="19"/>
      <c r="F1056" s="19"/>
    </row>
    <row r="1057" spans="3:6" ht="15.75">
      <c r="C1057" s="19"/>
      <c r="D1057" s="19"/>
      <c r="E1057" s="19"/>
      <c r="F1057" s="19"/>
    </row>
    <row r="1058" spans="3:6" ht="15.75">
      <c r="C1058" s="19"/>
      <c r="D1058" s="19"/>
      <c r="E1058" s="19"/>
      <c r="F1058" s="19"/>
    </row>
    <row r="1059" spans="3:6" ht="15.75">
      <c r="C1059" s="19"/>
      <c r="D1059" s="19"/>
      <c r="E1059" s="19"/>
      <c r="F1059" s="19"/>
    </row>
    <row r="1060" spans="3:6" ht="15.75">
      <c r="C1060" s="19"/>
      <c r="D1060" s="19"/>
      <c r="E1060" s="19"/>
      <c r="F1060" s="19"/>
    </row>
    <row r="1061" spans="3:6" ht="15.75">
      <c r="C1061" s="19"/>
      <c r="D1061" s="19"/>
      <c r="E1061" s="19"/>
      <c r="F1061" s="19"/>
    </row>
    <row r="1062" spans="3:6" ht="15.75">
      <c r="C1062" s="19"/>
      <c r="D1062" s="19"/>
      <c r="E1062" s="19"/>
      <c r="F1062" s="19"/>
    </row>
    <row r="1063" spans="3:6" ht="15.75">
      <c r="C1063" s="19"/>
      <c r="D1063" s="19"/>
      <c r="E1063" s="19"/>
      <c r="F1063" s="19"/>
    </row>
    <row r="1064" spans="3:6" ht="15.75">
      <c r="C1064" s="19"/>
      <c r="D1064" s="19"/>
      <c r="E1064" s="19"/>
      <c r="F1064" s="19"/>
    </row>
  </sheetData>
  <sheetProtection/>
  <mergeCells count="26">
    <mergeCell ref="E851:F851"/>
    <mergeCell ref="E856:F856"/>
    <mergeCell ref="E857:F857"/>
    <mergeCell ref="B651:B652"/>
    <mergeCell ref="C651:C652"/>
    <mergeCell ref="D651:D652"/>
    <mergeCell ref="E651:E652"/>
    <mergeCell ref="E855:F855"/>
    <mergeCell ref="E849:F849"/>
    <mergeCell ref="E848:F848"/>
    <mergeCell ref="F651:F652"/>
    <mergeCell ref="G651:G652"/>
    <mergeCell ref="H651:H652"/>
    <mergeCell ref="F510:F511"/>
    <mergeCell ref="G510:G511"/>
    <mergeCell ref="H510:H511"/>
    <mergeCell ref="B5:K5"/>
    <mergeCell ref="C510:C511"/>
    <mergeCell ref="D510:D511"/>
    <mergeCell ref="E510:E511"/>
    <mergeCell ref="A1:H1"/>
    <mergeCell ref="A7:H7"/>
    <mergeCell ref="A4:H4"/>
    <mergeCell ref="B510:B511"/>
    <mergeCell ref="E2:H2"/>
    <mergeCell ref="E3:H3"/>
  </mergeCells>
  <printOptions horizontalCentered="1"/>
  <pageMargins left="0.63" right="0.29" top="0.19" bottom="0.23" header="0.19" footer="0.23"/>
  <pageSetup fitToHeight="0" horizontalDpi="600" verticalDpi="600" orientation="portrait" paperSize="9" scale="75" r:id="rId3"/>
  <headerFooter alignWithMargins="0">
    <oddFooter>&amp;CСтраница &amp;P&amp;R&amp;A</oddFooter>
  </headerFooter>
  <legacyDrawing r:id="rId2"/>
</worksheet>
</file>

<file path=xl/worksheets/sheet6.xml><?xml version="1.0" encoding="utf-8"?>
<worksheet xmlns="http://schemas.openxmlformats.org/spreadsheetml/2006/main" xmlns:r="http://schemas.openxmlformats.org/officeDocument/2006/relationships">
  <sheetPr>
    <tabColor rgb="FF00B050"/>
  </sheetPr>
  <dimension ref="A1:G1230"/>
  <sheetViews>
    <sheetView zoomScale="85" zoomScaleNormal="85" zoomScalePageLayoutView="0" workbookViewId="0" topLeftCell="A540">
      <selection activeCell="P549" sqref="P549"/>
    </sheetView>
  </sheetViews>
  <sheetFormatPr defaultColWidth="9.00390625" defaultRowHeight="12.75"/>
  <cols>
    <col min="1" max="1" width="35.125" style="12" customWidth="1"/>
    <col min="2" max="2" width="10.875" style="12" customWidth="1"/>
    <col min="3" max="3" width="8.875" style="12" customWidth="1"/>
    <col min="4" max="4" width="12.25390625" style="12" customWidth="1"/>
    <col min="5" max="5" width="11.75390625" style="12" customWidth="1"/>
    <col min="6" max="7" width="19.75390625" style="26" customWidth="1"/>
    <col min="8" max="16384" width="9.125" style="12" customWidth="1"/>
  </cols>
  <sheetData>
    <row r="1" spans="2:7" ht="15.75">
      <c r="B1" s="30"/>
      <c r="C1" s="30"/>
      <c r="D1" s="224"/>
      <c r="E1" s="224"/>
      <c r="F1" s="224" t="s">
        <v>692</v>
      </c>
      <c r="G1" s="224"/>
    </row>
    <row r="2" spans="2:7" ht="15.75">
      <c r="B2" s="30"/>
      <c r="C2" s="30"/>
      <c r="D2" s="224" t="s">
        <v>566</v>
      </c>
      <c r="E2" s="224"/>
      <c r="F2" s="224"/>
      <c r="G2" s="224"/>
    </row>
    <row r="3" spans="2:7" ht="15.75">
      <c r="B3" s="52"/>
      <c r="C3" s="52"/>
      <c r="D3" s="224"/>
      <c r="E3" s="224"/>
      <c r="F3" s="224" t="s">
        <v>384</v>
      </c>
      <c r="G3" s="224"/>
    </row>
    <row r="4" spans="1:7" ht="15.75">
      <c r="A4" s="224" t="s">
        <v>785</v>
      </c>
      <c r="B4" s="224"/>
      <c r="C4" s="224"/>
      <c r="D4" s="224"/>
      <c r="E4" s="224"/>
      <c r="F4" s="224"/>
      <c r="G4" s="224"/>
    </row>
    <row r="5" spans="1:7" ht="15.75">
      <c r="A5" s="224" t="s">
        <v>883</v>
      </c>
      <c r="B5" s="224"/>
      <c r="C5" s="224"/>
      <c r="D5" s="224"/>
      <c r="E5" s="224"/>
      <c r="F5" s="224"/>
      <c r="G5" s="224"/>
    </row>
    <row r="7" spans="1:7" ht="58.5" customHeight="1">
      <c r="A7" s="236" t="s">
        <v>297</v>
      </c>
      <c r="B7" s="237"/>
      <c r="C7" s="237"/>
      <c r="D7" s="237"/>
      <c r="E7" s="237"/>
      <c r="F7" s="237"/>
      <c r="G7" s="237"/>
    </row>
    <row r="8" spans="6:7" ht="15.75">
      <c r="F8" s="41"/>
      <c r="G8" s="41" t="s">
        <v>682</v>
      </c>
    </row>
    <row r="9" spans="1:7" ht="126">
      <c r="A9" s="15" t="s">
        <v>649</v>
      </c>
      <c r="B9" s="62" t="s">
        <v>461</v>
      </c>
      <c r="C9" s="62" t="s">
        <v>462</v>
      </c>
      <c r="D9" s="62" t="s">
        <v>463</v>
      </c>
      <c r="E9" s="62" t="s">
        <v>464</v>
      </c>
      <c r="F9" s="40" t="s">
        <v>650</v>
      </c>
      <c r="G9" s="15" t="s">
        <v>309</v>
      </c>
    </row>
    <row r="10" spans="1:7" ht="15.75">
      <c r="A10" s="15">
        <v>1</v>
      </c>
      <c r="B10" s="15">
        <v>2</v>
      </c>
      <c r="C10" s="15">
        <v>3</v>
      </c>
      <c r="D10" s="15">
        <v>4</v>
      </c>
      <c r="E10" s="15">
        <v>5</v>
      </c>
      <c r="F10" s="42">
        <v>6</v>
      </c>
      <c r="G10" s="42">
        <v>7</v>
      </c>
    </row>
    <row r="11" spans="1:7" s="43" customFormat="1" ht="63">
      <c r="A11" s="1" t="s">
        <v>539</v>
      </c>
      <c r="B11" s="2" t="s">
        <v>724</v>
      </c>
      <c r="C11" s="2"/>
      <c r="D11" s="9"/>
      <c r="E11" s="9"/>
      <c r="F11" s="32">
        <f>F12+F52+F82+F147+F152+F157+F170+F180</f>
        <v>1461841363.7400002</v>
      </c>
      <c r="G11" s="32">
        <f>G12+G52+G82+G147+G152+G157+G170+G180</f>
        <v>700165208</v>
      </c>
    </row>
    <row r="12" spans="1:7" s="43" customFormat="1" ht="47.25">
      <c r="A12" s="3" t="s">
        <v>745</v>
      </c>
      <c r="B12" s="4" t="s">
        <v>746</v>
      </c>
      <c r="C12" s="4"/>
      <c r="D12" s="4"/>
      <c r="E12" s="4"/>
      <c r="F12" s="29">
        <f>F13+F21+F25+F29+F33+F37+F44+F48+F17</f>
        <v>471693290.52</v>
      </c>
      <c r="G12" s="29">
        <f>G13+G21+G25+G29+G33+G37+G44+G48+G17</f>
        <v>292861294</v>
      </c>
    </row>
    <row r="13" spans="1:7" s="43" customFormat="1" ht="110.25">
      <c r="A13" s="27" t="s">
        <v>493</v>
      </c>
      <c r="B13" s="4" t="s">
        <v>494</v>
      </c>
      <c r="C13" s="4"/>
      <c r="D13" s="4"/>
      <c r="E13" s="4"/>
      <c r="F13" s="29">
        <f>F14</f>
        <v>178831996.52</v>
      </c>
      <c r="G13" s="29"/>
    </row>
    <row r="14" spans="1:7" s="43" customFormat="1" ht="63">
      <c r="A14" s="3" t="s">
        <v>723</v>
      </c>
      <c r="B14" s="4" t="s">
        <v>494</v>
      </c>
      <c r="C14" s="4" t="s">
        <v>317</v>
      </c>
      <c r="D14" s="4"/>
      <c r="E14" s="4"/>
      <c r="F14" s="29">
        <f>F15</f>
        <v>178831996.52</v>
      </c>
      <c r="G14" s="29"/>
    </row>
    <row r="15" spans="1:7" s="43" customFormat="1" ht="20.25">
      <c r="A15" s="3" t="s">
        <v>662</v>
      </c>
      <c r="B15" s="4" t="s">
        <v>494</v>
      </c>
      <c r="C15" s="4" t="s">
        <v>317</v>
      </c>
      <c r="D15" s="4" t="s">
        <v>654</v>
      </c>
      <c r="E15" s="4"/>
      <c r="F15" s="29">
        <f>F16</f>
        <v>178831996.52</v>
      </c>
      <c r="G15" s="29"/>
    </row>
    <row r="16" spans="1:7" s="43" customFormat="1" ht="20.25">
      <c r="A16" s="3" t="s">
        <v>663</v>
      </c>
      <c r="B16" s="4" t="s">
        <v>494</v>
      </c>
      <c r="C16" s="4" t="s">
        <v>317</v>
      </c>
      <c r="D16" s="4" t="s">
        <v>654</v>
      </c>
      <c r="E16" s="4" t="s">
        <v>651</v>
      </c>
      <c r="F16" s="29">
        <f>прил6!F383</f>
        <v>178831996.52</v>
      </c>
      <c r="G16" s="29"/>
    </row>
    <row r="17" spans="1:7" s="43" customFormat="1" ht="141.75">
      <c r="A17" s="3" t="s">
        <v>765</v>
      </c>
      <c r="B17" s="4" t="s">
        <v>751</v>
      </c>
      <c r="C17" s="4"/>
      <c r="D17" s="4"/>
      <c r="E17" s="4"/>
      <c r="F17" s="29">
        <f aca="true" t="shared" si="0" ref="F17:G19">F18</f>
        <v>924600</v>
      </c>
      <c r="G17" s="29">
        <f t="shared" si="0"/>
        <v>924600</v>
      </c>
    </row>
    <row r="18" spans="1:7" s="43" customFormat="1" ht="63">
      <c r="A18" s="3" t="s">
        <v>723</v>
      </c>
      <c r="B18" s="4" t="s">
        <v>751</v>
      </c>
      <c r="C18" s="4" t="s">
        <v>317</v>
      </c>
      <c r="D18" s="4"/>
      <c r="E18" s="4"/>
      <c r="F18" s="29">
        <f t="shared" si="0"/>
        <v>924600</v>
      </c>
      <c r="G18" s="29">
        <f t="shared" si="0"/>
        <v>924600</v>
      </c>
    </row>
    <row r="19" spans="1:7" s="43" customFormat="1" ht="20.25">
      <c r="A19" s="3" t="s">
        <v>662</v>
      </c>
      <c r="B19" s="4" t="s">
        <v>751</v>
      </c>
      <c r="C19" s="4" t="s">
        <v>317</v>
      </c>
      <c r="D19" s="4" t="s">
        <v>654</v>
      </c>
      <c r="E19" s="4"/>
      <c r="F19" s="29">
        <f t="shared" si="0"/>
        <v>924600</v>
      </c>
      <c r="G19" s="29">
        <f t="shared" si="0"/>
        <v>924600</v>
      </c>
    </row>
    <row r="20" spans="1:7" s="43" customFormat="1" ht="20.25">
      <c r="A20" s="3" t="s">
        <v>663</v>
      </c>
      <c r="B20" s="4" t="s">
        <v>751</v>
      </c>
      <c r="C20" s="4" t="s">
        <v>317</v>
      </c>
      <c r="D20" s="4" t="s">
        <v>654</v>
      </c>
      <c r="E20" s="4" t="s">
        <v>651</v>
      </c>
      <c r="F20" s="29">
        <f>прил6!F385</f>
        <v>924600</v>
      </c>
      <c r="G20" s="29">
        <f>F20</f>
        <v>924600</v>
      </c>
    </row>
    <row r="21" spans="1:7" s="43" customFormat="1" ht="141.75">
      <c r="A21" s="27" t="s">
        <v>349</v>
      </c>
      <c r="B21" s="4" t="s">
        <v>466</v>
      </c>
      <c r="C21" s="4"/>
      <c r="D21" s="4"/>
      <c r="E21" s="4"/>
      <c r="F21" s="29">
        <f aca="true" t="shared" si="1" ref="F21:G23">F22</f>
        <v>573289</v>
      </c>
      <c r="G21" s="29">
        <f t="shared" si="1"/>
        <v>573289</v>
      </c>
    </row>
    <row r="22" spans="1:7" s="16" customFormat="1" ht="63">
      <c r="A22" s="27" t="s">
        <v>723</v>
      </c>
      <c r="B22" s="4" t="s">
        <v>466</v>
      </c>
      <c r="C22" s="4" t="s">
        <v>317</v>
      </c>
      <c r="D22" s="4"/>
      <c r="E22" s="4"/>
      <c r="F22" s="29">
        <f t="shared" si="1"/>
        <v>573289</v>
      </c>
      <c r="G22" s="29">
        <f t="shared" si="1"/>
        <v>573289</v>
      </c>
    </row>
    <row r="23" spans="1:7" ht="15.75">
      <c r="A23" s="3" t="s">
        <v>662</v>
      </c>
      <c r="B23" s="4" t="s">
        <v>466</v>
      </c>
      <c r="C23" s="4" t="s">
        <v>317</v>
      </c>
      <c r="D23" s="4" t="s">
        <v>654</v>
      </c>
      <c r="E23" s="4"/>
      <c r="F23" s="29">
        <f t="shared" si="1"/>
        <v>573289</v>
      </c>
      <c r="G23" s="29">
        <f t="shared" si="1"/>
        <v>573289</v>
      </c>
    </row>
    <row r="24" spans="1:7" ht="15.75">
      <c r="A24" s="3" t="s">
        <v>663</v>
      </c>
      <c r="B24" s="4" t="s">
        <v>466</v>
      </c>
      <c r="C24" s="4" t="s">
        <v>317</v>
      </c>
      <c r="D24" s="4" t="s">
        <v>654</v>
      </c>
      <c r="E24" s="4" t="s">
        <v>651</v>
      </c>
      <c r="F24" s="29">
        <f>прил6!F387</f>
        <v>573289</v>
      </c>
      <c r="G24" s="29">
        <f>F24</f>
        <v>573289</v>
      </c>
    </row>
    <row r="25" spans="1:7" ht="126">
      <c r="A25" s="3" t="s">
        <v>487</v>
      </c>
      <c r="B25" s="4" t="s">
        <v>490</v>
      </c>
      <c r="C25" s="4"/>
      <c r="D25" s="4"/>
      <c r="E25" s="4"/>
      <c r="F25" s="29">
        <f aca="true" t="shared" si="2" ref="F25:G27">F26</f>
        <v>4745</v>
      </c>
      <c r="G25" s="29">
        <f t="shared" si="2"/>
        <v>4745</v>
      </c>
    </row>
    <row r="26" spans="1:7" ht="63">
      <c r="A26" s="27" t="s">
        <v>723</v>
      </c>
      <c r="B26" s="4" t="s">
        <v>490</v>
      </c>
      <c r="C26" s="4" t="s">
        <v>317</v>
      </c>
      <c r="D26" s="4"/>
      <c r="E26" s="4"/>
      <c r="F26" s="29">
        <f t="shared" si="2"/>
        <v>4745</v>
      </c>
      <c r="G26" s="29">
        <f t="shared" si="2"/>
        <v>4745</v>
      </c>
    </row>
    <row r="27" spans="1:7" ht="15.75">
      <c r="A27" s="3" t="s">
        <v>665</v>
      </c>
      <c r="B27" s="4" t="s">
        <v>490</v>
      </c>
      <c r="C27" s="4" t="s">
        <v>317</v>
      </c>
      <c r="D27" s="4" t="s">
        <v>659</v>
      </c>
      <c r="E27" s="4"/>
      <c r="F27" s="29">
        <f t="shared" si="2"/>
        <v>4745</v>
      </c>
      <c r="G27" s="29">
        <f t="shared" si="2"/>
        <v>4745</v>
      </c>
    </row>
    <row r="28" spans="1:7" ht="31.5">
      <c r="A28" s="3" t="s">
        <v>677</v>
      </c>
      <c r="B28" s="4" t="s">
        <v>490</v>
      </c>
      <c r="C28" s="4" t="s">
        <v>317</v>
      </c>
      <c r="D28" s="4" t="s">
        <v>659</v>
      </c>
      <c r="E28" s="4" t="s">
        <v>658</v>
      </c>
      <c r="F28" s="29">
        <f>прил6!F589</f>
        <v>4745</v>
      </c>
      <c r="G28" s="29">
        <f>F28</f>
        <v>4745</v>
      </c>
    </row>
    <row r="29" spans="1:7" ht="126">
      <c r="A29" s="3" t="s">
        <v>475</v>
      </c>
      <c r="B29" s="4" t="s">
        <v>476</v>
      </c>
      <c r="C29" s="4"/>
      <c r="D29" s="4"/>
      <c r="E29" s="4"/>
      <c r="F29" s="29">
        <f aca="true" t="shared" si="3" ref="F29:G31">F30</f>
        <v>884560</v>
      </c>
      <c r="G29" s="29">
        <f t="shared" si="3"/>
        <v>884560</v>
      </c>
    </row>
    <row r="30" spans="1:7" ht="63">
      <c r="A30" s="27" t="s">
        <v>723</v>
      </c>
      <c r="B30" s="4" t="s">
        <v>476</v>
      </c>
      <c r="C30" s="4" t="s">
        <v>317</v>
      </c>
      <c r="D30" s="4"/>
      <c r="E30" s="2"/>
      <c r="F30" s="29">
        <f t="shared" si="3"/>
        <v>884560</v>
      </c>
      <c r="G30" s="29">
        <f t="shared" si="3"/>
        <v>884560</v>
      </c>
    </row>
    <row r="31" spans="1:7" ht="15.75">
      <c r="A31" s="3" t="s">
        <v>665</v>
      </c>
      <c r="B31" s="4" t="s">
        <v>476</v>
      </c>
      <c r="C31" s="4" t="s">
        <v>317</v>
      </c>
      <c r="D31" s="4" t="s">
        <v>659</v>
      </c>
      <c r="E31" s="4"/>
      <c r="F31" s="29">
        <f t="shared" si="3"/>
        <v>884560</v>
      </c>
      <c r="G31" s="29">
        <f t="shared" si="3"/>
        <v>884560</v>
      </c>
    </row>
    <row r="32" spans="1:7" ht="31.5">
      <c r="A32" s="3" t="s">
        <v>677</v>
      </c>
      <c r="B32" s="4" t="s">
        <v>476</v>
      </c>
      <c r="C32" s="4" t="s">
        <v>317</v>
      </c>
      <c r="D32" s="4" t="s">
        <v>659</v>
      </c>
      <c r="E32" s="4" t="s">
        <v>658</v>
      </c>
      <c r="F32" s="29">
        <f>прил6!F591</f>
        <v>884560</v>
      </c>
      <c r="G32" s="29">
        <f>F32</f>
        <v>884560</v>
      </c>
    </row>
    <row r="33" spans="1:7" ht="126" hidden="1">
      <c r="A33" s="3" t="s">
        <v>698</v>
      </c>
      <c r="B33" s="4" t="s">
        <v>472</v>
      </c>
      <c r="C33" s="4"/>
      <c r="D33" s="4"/>
      <c r="E33" s="4"/>
      <c r="F33" s="29">
        <f aca="true" t="shared" si="4" ref="F33:G35">F34</f>
        <v>0</v>
      </c>
      <c r="G33" s="29">
        <f t="shared" si="4"/>
        <v>0</v>
      </c>
    </row>
    <row r="34" spans="1:7" ht="63" hidden="1">
      <c r="A34" s="27" t="s">
        <v>723</v>
      </c>
      <c r="B34" s="4" t="s">
        <v>472</v>
      </c>
      <c r="C34" s="4" t="s">
        <v>317</v>
      </c>
      <c r="D34" s="4"/>
      <c r="E34" s="4"/>
      <c r="F34" s="29">
        <f t="shared" si="4"/>
        <v>0</v>
      </c>
      <c r="G34" s="29">
        <f t="shared" si="4"/>
        <v>0</v>
      </c>
    </row>
    <row r="35" spans="1:7" ht="15.75" hidden="1">
      <c r="A35" s="3" t="s">
        <v>662</v>
      </c>
      <c r="B35" s="4" t="s">
        <v>472</v>
      </c>
      <c r="C35" s="4" t="s">
        <v>317</v>
      </c>
      <c r="D35" s="4" t="s">
        <v>654</v>
      </c>
      <c r="E35" s="4"/>
      <c r="F35" s="29">
        <f t="shared" si="4"/>
        <v>0</v>
      </c>
      <c r="G35" s="29">
        <f t="shared" si="4"/>
        <v>0</v>
      </c>
    </row>
    <row r="36" spans="1:7" ht="15.75" hidden="1">
      <c r="A36" s="3" t="s">
        <v>663</v>
      </c>
      <c r="B36" s="4" t="s">
        <v>472</v>
      </c>
      <c r="C36" s="4" t="s">
        <v>317</v>
      </c>
      <c r="D36" s="4" t="s">
        <v>654</v>
      </c>
      <c r="E36" s="4" t="s">
        <v>651</v>
      </c>
      <c r="F36" s="29">
        <f>прил6!F389</f>
        <v>0</v>
      </c>
      <c r="G36" s="29">
        <f>F36</f>
        <v>0</v>
      </c>
    </row>
    <row r="37" spans="1:7" ht="202.5" customHeight="1">
      <c r="A37" s="3" t="s">
        <v>275</v>
      </c>
      <c r="B37" s="4" t="s">
        <v>199</v>
      </c>
      <c r="C37" s="4"/>
      <c r="D37" s="4"/>
      <c r="E37" s="4"/>
      <c r="F37" s="29">
        <f>F38+F41</f>
        <v>378200</v>
      </c>
      <c r="G37" s="29">
        <f>G38+G41</f>
        <v>378200</v>
      </c>
    </row>
    <row r="38" spans="1:7" ht="44.25" customHeight="1">
      <c r="A38" s="3" t="s">
        <v>560</v>
      </c>
      <c r="B38" s="4" t="s">
        <v>199</v>
      </c>
      <c r="C38" s="4" t="s">
        <v>561</v>
      </c>
      <c r="D38" s="4"/>
      <c r="E38" s="4"/>
      <c r="F38" s="29">
        <f>F39</f>
        <v>151256</v>
      </c>
      <c r="G38" s="29">
        <f>G39</f>
        <v>151256</v>
      </c>
    </row>
    <row r="39" spans="1:7" ht="15.75">
      <c r="A39" s="3" t="s">
        <v>665</v>
      </c>
      <c r="B39" s="4" t="s">
        <v>199</v>
      </c>
      <c r="C39" s="4" t="s">
        <v>561</v>
      </c>
      <c r="D39" s="4" t="s">
        <v>659</v>
      </c>
      <c r="E39" s="4"/>
      <c r="F39" s="29">
        <f>F40</f>
        <v>151256</v>
      </c>
      <c r="G39" s="29">
        <f>G40</f>
        <v>151256</v>
      </c>
    </row>
    <row r="40" spans="1:7" s="16" customFormat="1" ht="15.75">
      <c r="A40" s="3" t="s">
        <v>691</v>
      </c>
      <c r="B40" s="4" t="s">
        <v>199</v>
      </c>
      <c r="C40" s="4" t="s">
        <v>561</v>
      </c>
      <c r="D40" s="4" t="s">
        <v>659</v>
      </c>
      <c r="E40" s="4" t="s">
        <v>661</v>
      </c>
      <c r="F40" s="29">
        <f>прил6!F631</f>
        <v>151256</v>
      </c>
      <c r="G40" s="29">
        <f>F40</f>
        <v>151256</v>
      </c>
    </row>
    <row r="41" spans="1:7" ht="63">
      <c r="A41" s="3" t="s">
        <v>723</v>
      </c>
      <c r="B41" s="4" t="s">
        <v>199</v>
      </c>
      <c r="C41" s="4" t="s">
        <v>317</v>
      </c>
      <c r="D41" s="4"/>
      <c r="E41" s="4"/>
      <c r="F41" s="29">
        <f>F42</f>
        <v>226944</v>
      </c>
      <c r="G41" s="29">
        <f>G42</f>
        <v>226944</v>
      </c>
    </row>
    <row r="42" spans="1:7" ht="15.75">
      <c r="A42" s="3" t="s">
        <v>665</v>
      </c>
      <c r="B42" s="4" t="s">
        <v>199</v>
      </c>
      <c r="C42" s="4" t="s">
        <v>317</v>
      </c>
      <c r="D42" s="4" t="s">
        <v>659</v>
      </c>
      <c r="E42" s="4"/>
      <c r="F42" s="29">
        <f>F43</f>
        <v>226944</v>
      </c>
      <c r="G42" s="29">
        <f>F42</f>
        <v>226944</v>
      </c>
    </row>
    <row r="43" spans="1:7" ht="15.75">
      <c r="A43" s="3" t="s">
        <v>691</v>
      </c>
      <c r="B43" s="4" t="s">
        <v>199</v>
      </c>
      <c r="C43" s="4" t="s">
        <v>317</v>
      </c>
      <c r="D43" s="4" t="s">
        <v>659</v>
      </c>
      <c r="E43" s="4" t="s">
        <v>661</v>
      </c>
      <c r="F43" s="29">
        <f>прил6!F632</f>
        <v>226944</v>
      </c>
      <c r="G43" s="29">
        <f>F43</f>
        <v>226944</v>
      </c>
    </row>
    <row r="44" spans="1:7" ht="110.25">
      <c r="A44" s="3" t="s">
        <v>327</v>
      </c>
      <c r="B44" s="4" t="s">
        <v>201</v>
      </c>
      <c r="C44" s="4"/>
      <c r="D44" s="4"/>
      <c r="E44" s="4"/>
      <c r="F44" s="29">
        <f aca="true" t="shared" si="5" ref="F44:G46">F45</f>
        <v>15127200</v>
      </c>
      <c r="G44" s="29">
        <f t="shared" si="5"/>
        <v>15127200</v>
      </c>
    </row>
    <row r="45" spans="1:7" ht="31.5">
      <c r="A45" s="3" t="s">
        <v>560</v>
      </c>
      <c r="B45" s="4" t="s">
        <v>201</v>
      </c>
      <c r="C45" s="4" t="s">
        <v>561</v>
      </c>
      <c r="D45" s="4"/>
      <c r="E45" s="4"/>
      <c r="F45" s="29">
        <f t="shared" si="5"/>
        <v>15127200</v>
      </c>
      <c r="G45" s="29">
        <f t="shared" si="5"/>
        <v>15127200</v>
      </c>
    </row>
    <row r="46" spans="1:7" ht="15.75">
      <c r="A46" s="3" t="s">
        <v>665</v>
      </c>
      <c r="B46" s="4" t="s">
        <v>201</v>
      </c>
      <c r="C46" s="4" t="s">
        <v>561</v>
      </c>
      <c r="D46" s="4" t="s">
        <v>659</v>
      </c>
      <c r="E46" s="4"/>
      <c r="F46" s="29">
        <f t="shared" si="5"/>
        <v>15127200</v>
      </c>
      <c r="G46" s="29">
        <f t="shared" si="5"/>
        <v>15127200</v>
      </c>
    </row>
    <row r="47" spans="1:7" ht="15.75">
      <c r="A47" s="3" t="s">
        <v>691</v>
      </c>
      <c r="B47" s="4" t="s">
        <v>201</v>
      </c>
      <c r="C47" s="4" t="s">
        <v>561</v>
      </c>
      <c r="D47" s="4" t="s">
        <v>659</v>
      </c>
      <c r="E47" s="4" t="s">
        <v>661</v>
      </c>
      <c r="F47" s="29">
        <f>прил6!F634</f>
        <v>15127200</v>
      </c>
      <c r="G47" s="29">
        <f>F47</f>
        <v>15127200</v>
      </c>
    </row>
    <row r="48" spans="1:7" ht="94.5">
      <c r="A48" s="3" t="s">
        <v>747</v>
      </c>
      <c r="B48" s="4" t="s">
        <v>748</v>
      </c>
      <c r="C48" s="4"/>
      <c r="D48" s="4"/>
      <c r="E48" s="4"/>
      <c r="F48" s="29">
        <f aca="true" t="shared" si="6" ref="F48:G50">F49</f>
        <v>274968700</v>
      </c>
      <c r="G48" s="29">
        <f t="shared" si="6"/>
        <v>274968700</v>
      </c>
    </row>
    <row r="49" spans="1:7" ht="63">
      <c r="A49" s="3" t="s">
        <v>723</v>
      </c>
      <c r="B49" s="4" t="s">
        <v>748</v>
      </c>
      <c r="C49" s="4" t="s">
        <v>317</v>
      </c>
      <c r="D49" s="4"/>
      <c r="E49" s="4"/>
      <c r="F49" s="29">
        <f t="shared" si="6"/>
        <v>274968700</v>
      </c>
      <c r="G49" s="29">
        <f t="shared" si="6"/>
        <v>274968700</v>
      </c>
    </row>
    <row r="50" spans="1:7" ht="15.75">
      <c r="A50" s="3" t="s">
        <v>662</v>
      </c>
      <c r="B50" s="4" t="s">
        <v>748</v>
      </c>
      <c r="C50" s="4" t="s">
        <v>317</v>
      </c>
      <c r="D50" s="4" t="s">
        <v>654</v>
      </c>
      <c r="E50" s="4"/>
      <c r="F50" s="29">
        <f t="shared" si="6"/>
        <v>274968700</v>
      </c>
      <c r="G50" s="29">
        <f t="shared" si="6"/>
        <v>274968700</v>
      </c>
    </row>
    <row r="51" spans="1:7" ht="15.75">
      <c r="A51" s="3" t="s">
        <v>663</v>
      </c>
      <c r="B51" s="4" t="s">
        <v>748</v>
      </c>
      <c r="C51" s="4" t="s">
        <v>317</v>
      </c>
      <c r="D51" s="4" t="s">
        <v>654</v>
      </c>
      <c r="E51" s="4" t="s">
        <v>651</v>
      </c>
      <c r="F51" s="29">
        <f>прил6!F391</f>
        <v>274968700</v>
      </c>
      <c r="G51" s="29">
        <f>F51</f>
        <v>274968700</v>
      </c>
    </row>
    <row r="52" spans="1:7" ht="63">
      <c r="A52" s="27" t="s">
        <v>742</v>
      </c>
      <c r="B52" s="4" t="s">
        <v>743</v>
      </c>
      <c r="C52" s="4"/>
      <c r="D52" s="4"/>
      <c r="E52" s="4"/>
      <c r="F52" s="29">
        <f>F53+F62+F66+F70+F74+F78+F58</f>
        <v>590813769.65</v>
      </c>
      <c r="G52" s="29">
        <f>G53+G62+G66+G70+G74+G78+G58</f>
        <v>302809610</v>
      </c>
    </row>
    <row r="53" spans="1:7" ht="110.25">
      <c r="A53" s="27" t="s">
        <v>493</v>
      </c>
      <c r="B53" s="4" t="s">
        <v>495</v>
      </c>
      <c r="C53" s="4"/>
      <c r="D53" s="4"/>
      <c r="E53" s="4"/>
      <c r="F53" s="29">
        <f>F54</f>
        <v>288004159.65</v>
      </c>
      <c r="G53" s="29"/>
    </row>
    <row r="54" spans="1:7" ht="63">
      <c r="A54" s="3" t="s">
        <v>723</v>
      </c>
      <c r="B54" s="4" t="s">
        <v>495</v>
      </c>
      <c r="C54" s="4" t="s">
        <v>317</v>
      </c>
      <c r="D54" s="4"/>
      <c r="E54" s="4"/>
      <c r="F54" s="29">
        <f>F55</f>
        <v>288004159.65</v>
      </c>
      <c r="G54" s="29"/>
    </row>
    <row r="55" spans="1:7" ht="15.75">
      <c r="A55" s="3" t="s">
        <v>662</v>
      </c>
      <c r="B55" s="4" t="s">
        <v>495</v>
      </c>
      <c r="C55" s="4" t="s">
        <v>317</v>
      </c>
      <c r="D55" s="4" t="s">
        <v>654</v>
      </c>
      <c r="E55" s="4"/>
      <c r="F55" s="29">
        <f>F56+F57</f>
        <v>288004159.65</v>
      </c>
      <c r="G55" s="29"/>
    </row>
    <row r="56" spans="1:7" ht="15.75">
      <c r="A56" s="3" t="s">
        <v>664</v>
      </c>
      <c r="B56" s="4" t="s">
        <v>495</v>
      </c>
      <c r="C56" s="4" t="s">
        <v>317</v>
      </c>
      <c r="D56" s="4" t="s">
        <v>654</v>
      </c>
      <c r="E56" s="4" t="s">
        <v>656</v>
      </c>
      <c r="F56" s="29">
        <f>прил6!F409</f>
        <v>288004159.65</v>
      </c>
      <c r="G56" s="29"/>
    </row>
    <row r="57" spans="1:7" ht="31.5" hidden="1">
      <c r="A57" s="3" t="s">
        <v>675</v>
      </c>
      <c r="B57" s="4" t="s">
        <v>562</v>
      </c>
      <c r="C57" s="4" t="s">
        <v>317</v>
      </c>
      <c r="D57" s="4" t="s">
        <v>654</v>
      </c>
      <c r="E57" s="4" t="s">
        <v>657</v>
      </c>
      <c r="F57" s="29">
        <f>прил6!F490</f>
        <v>0</v>
      </c>
      <c r="G57" s="29"/>
    </row>
    <row r="58" spans="1:7" ht="141.75">
      <c r="A58" s="3" t="s">
        <v>765</v>
      </c>
      <c r="B58" s="4" t="s">
        <v>752</v>
      </c>
      <c r="C58" s="4"/>
      <c r="D58" s="4"/>
      <c r="E58" s="4"/>
      <c r="F58" s="29">
        <f aca="true" t="shared" si="7" ref="F58:G60">F59</f>
        <v>2376010</v>
      </c>
      <c r="G58" s="29">
        <f t="shared" si="7"/>
        <v>2376010</v>
      </c>
    </row>
    <row r="59" spans="1:7" ht="63">
      <c r="A59" s="3" t="s">
        <v>723</v>
      </c>
      <c r="B59" s="4" t="s">
        <v>752</v>
      </c>
      <c r="C59" s="4" t="s">
        <v>317</v>
      </c>
      <c r="D59" s="4"/>
      <c r="E59" s="4"/>
      <c r="F59" s="29">
        <f t="shared" si="7"/>
        <v>2376010</v>
      </c>
      <c r="G59" s="29">
        <f t="shared" si="7"/>
        <v>2376010</v>
      </c>
    </row>
    <row r="60" spans="1:7" ht="15.75">
      <c r="A60" s="3" t="s">
        <v>662</v>
      </c>
      <c r="B60" s="4" t="s">
        <v>752</v>
      </c>
      <c r="C60" s="4" t="s">
        <v>317</v>
      </c>
      <c r="D60" s="4" t="s">
        <v>654</v>
      </c>
      <c r="E60" s="4"/>
      <c r="F60" s="29">
        <f t="shared" si="7"/>
        <v>2376010</v>
      </c>
      <c r="G60" s="29">
        <f t="shared" si="7"/>
        <v>2376010</v>
      </c>
    </row>
    <row r="61" spans="1:7" ht="15.75">
      <c r="A61" s="3" t="s">
        <v>664</v>
      </c>
      <c r="B61" s="4" t="s">
        <v>752</v>
      </c>
      <c r="C61" s="4" t="s">
        <v>317</v>
      </c>
      <c r="D61" s="4" t="s">
        <v>654</v>
      </c>
      <c r="E61" s="4" t="s">
        <v>656</v>
      </c>
      <c r="F61" s="29">
        <f>прил6!F411</f>
        <v>2376010</v>
      </c>
      <c r="G61" s="29">
        <f>F61</f>
        <v>2376010</v>
      </c>
    </row>
    <row r="62" spans="1:7" ht="141.75">
      <c r="A62" s="27" t="s">
        <v>349</v>
      </c>
      <c r="B62" s="4" t="s">
        <v>467</v>
      </c>
      <c r="C62" s="4"/>
      <c r="D62" s="4"/>
      <c r="E62" s="4"/>
      <c r="F62" s="29">
        <f aca="true" t="shared" si="8" ref="F62:G64">F63</f>
        <v>460299</v>
      </c>
      <c r="G62" s="29">
        <f t="shared" si="8"/>
        <v>460299</v>
      </c>
    </row>
    <row r="63" spans="1:7" ht="63">
      <c r="A63" s="3" t="s">
        <v>723</v>
      </c>
      <c r="B63" s="4" t="s">
        <v>467</v>
      </c>
      <c r="C63" s="4" t="s">
        <v>317</v>
      </c>
      <c r="D63" s="4"/>
      <c r="E63" s="4"/>
      <c r="F63" s="29">
        <f t="shared" si="8"/>
        <v>460299</v>
      </c>
      <c r="G63" s="29">
        <f t="shared" si="8"/>
        <v>460299</v>
      </c>
    </row>
    <row r="64" spans="1:7" ht="15.75">
      <c r="A64" s="3" t="s">
        <v>662</v>
      </c>
      <c r="B64" s="4" t="s">
        <v>467</v>
      </c>
      <c r="C64" s="4" t="s">
        <v>317</v>
      </c>
      <c r="D64" s="4" t="s">
        <v>654</v>
      </c>
      <c r="E64" s="4"/>
      <c r="F64" s="29">
        <f t="shared" si="8"/>
        <v>460299</v>
      </c>
      <c r="G64" s="29">
        <f t="shared" si="8"/>
        <v>460299</v>
      </c>
    </row>
    <row r="65" spans="1:7" ht="15.75">
      <c r="A65" s="3" t="s">
        <v>664</v>
      </c>
      <c r="B65" s="4" t="s">
        <v>467</v>
      </c>
      <c r="C65" s="4" t="s">
        <v>317</v>
      </c>
      <c r="D65" s="4" t="s">
        <v>654</v>
      </c>
      <c r="E65" s="4" t="s">
        <v>656</v>
      </c>
      <c r="F65" s="29">
        <f>прил6!F413</f>
        <v>460299</v>
      </c>
      <c r="G65" s="29">
        <f>F65</f>
        <v>460299</v>
      </c>
    </row>
    <row r="66" spans="1:7" ht="126">
      <c r="A66" s="3" t="s">
        <v>487</v>
      </c>
      <c r="B66" s="4" t="s">
        <v>491</v>
      </c>
      <c r="C66" s="4"/>
      <c r="D66" s="4"/>
      <c r="E66" s="4"/>
      <c r="F66" s="29">
        <f aca="true" t="shared" si="9" ref="F66:G68">F67</f>
        <v>5385</v>
      </c>
      <c r="G66" s="29">
        <f t="shared" si="9"/>
        <v>5385</v>
      </c>
    </row>
    <row r="67" spans="1:7" s="16" customFormat="1" ht="63">
      <c r="A67" s="27" t="s">
        <v>723</v>
      </c>
      <c r="B67" s="4" t="s">
        <v>491</v>
      </c>
      <c r="C67" s="4" t="s">
        <v>317</v>
      </c>
      <c r="D67" s="4"/>
      <c r="E67" s="4"/>
      <c r="F67" s="29">
        <f t="shared" si="9"/>
        <v>5385</v>
      </c>
      <c r="G67" s="29">
        <f t="shared" si="9"/>
        <v>5385</v>
      </c>
    </row>
    <row r="68" spans="1:7" ht="15.75">
      <c r="A68" s="3" t="s">
        <v>665</v>
      </c>
      <c r="B68" s="4" t="s">
        <v>491</v>
      </c>
      <c r="C68" s="4" t="s">
        <v>317</v>
      </c>
      <c r="D68" s="4" t="s">
        <v>659</v>
      </c>
      <c r="E68" s="4"/>
      <c r="F68" s="29">
        <f t="shared" si="9"/>
        <v>5385</v>
      </c>
      <c r="G68" s="29">
        <f t="shared" si="9"/>
        <v>5385</v>
      </c>
    </row>
    <row r="69" spans="1:7" ht="31.5">
      <c r="A69" s="3" t="s">
        <v>677</v>
      </c>
      <c r="B69" s="4" t="s">
        <v>491</v>
      </c>
      <c r="C69" s="4" t="s">
        <v>317</v>
      </c>
      <c r="D69" s="4" t="s">
        <v>659</v>
      </c>
      <c r="E69" s="4" t="s">
        <v>658</v>
      </c>
      <c r="F69" s="29">
        <f>прил6!F594</f>
        <v>5385</v>
      </c>
      <c r="G69" s="29">
        <f>F69</f>
        <v>5385</v>
      </c>
    </row>
    <row r="70" spans="1:7" ht="126">
      <c r="A70" s="3" t="s">
        <v>475</v>
      </c>
      <c r="B70" s="4" t="s">
        <v>477</v>
      </c>
      <c r="C70" s="4"/>
      <c r="D70" s="4"/>
      <c r="E70" s="4"/>
      <c r="F70" s="29">
        <f aca="true" t="shared" si="10" ref="F70:G72">F71</f>
        <v>997216</v>
      </c>
      <c r="G70" s="29">
        <f t="shared" si="10"/>
        <v>997216</v>
      </c>
    </row>
    <row r="71" spans="1:7" ht="63">
      <c r="A71" s="27" t="s">
        <v>723</v>
      </c>
      <c r="B71" s="4" t="s">
        <v>477</v>
      </c>
      <c r="C71" s="4" t="s">
        <v>317</v>
      </c>
      <c r="D71" s="4"/>
      <c r="E71" s="2"/>
      <c r="F71" s="29">
        <f t="shared" si="10"/>
        <v>997216</v>
      </c>
      <c r="G71" s="29">
        <f t="shared" si="10"/>
        <v>997216</v>
      </c>
    </row>
    <row r="72" spans="1:7" ht="15.75">
      <c r="A72" s="3" t="s">
        <v>665</v>
      </c>
      <c r="B72" s="4" t="s">
        <v>477</v>
      </c>
      <c r="C72" s="4" t="s">
        <v>317</v>
      </c>
      <c r="D72" s="4" t="s">
        <v>659</v>
      </c>
      <c r="E72" s="4"/>
      <c r="F72" s="29">
        <f t="shared" si="10"/>
        <v>997216</v>
      </c>
      <c r="G72" s="29">
        <f t="shared" si="10"/>
        <v>997216</v>
      </c>
    </row>
    <row r="73" spans="1:7" ht="31.5">
      <c r="A73" s="3" t="s">
        <v>677</v>
      </c>
      <c r="B73" s="4" t="s">
        <v>477</v>
      </c>
      <c r="C73" s="4" t="s">
        <v>317</v>
      </c>
      <c r="D73" s="4" t="s">
        <v>659</v>
      </c>
      <c r="E73" s="4" t="s">
        <v>658</v>
      </c>
      <c r="F73" s="29">
        <f>прил6!F596</f>
        <v>997216</v>
      </c>
      <c r="G73" s="29">
        <f>F73</f>
        <v>997216</v>
      </c>
    </row>
    <row r="74" spans="1:7" ht="94.5">
      <c r="A74" s="3" t="s">
        <v>323</v>
      </c>
      <c r="B74" s="4" t="s">
        <v>744</v>
      </c>
      <c r="C74" s="4"/>
      <c r="D74" s="4"/>
      <c r="E74" s="2"/>
      <c r="F74" s="29">
        <f aca="true" t="shared" si="11" ref="F74:G76">F75</f>
        <v>298970700</v>
      </c>
      <c r="G74" s="29">
        <f t="shared" si="11"/>
        <v>298970700</v>
      </c>
    </row>
    <row r="75" spans="1:7" ht="63">
      <c r="A75" s="3" t="s">
        <v>723</v>
      </c>
      <c r="B75" s="4" t="s">
        <v>744</v>
      </c>
      <c r="C75" s="4" t="s">
        <v>317</v>
      </c>
      <c r="D75" s="4"/>
      <c r="E75" s="4"/>
      <c r="F75" s="29">
        <f t="shared" si="11"/>
        <v>298970700</v>
      </c>
      <c r="G75" s="29">
        <f t="shared" si="11"/>
        <v>298970700</v>
      </c>
    </row>
    <row r="76" spans="1:7" ht="15.75">
      <c r="A76" s="3" t="s">
        <v>662</v>
      </c>
      <c r="B76" s="4" t="s">
        <v>744</v>
      </c>
      <c r="C76" s="4" t="s">
        <v>317</v>
      </c>
      <c r="D76" s="4" t="s">
        <v>654</v>
      </c>
      <c r="E76" s="4"/>
      <c r="F76" s="29">
        <f t="shared" si="11"/>
        <v>298970700</v>
      </c>
      <c r="G76" s="29">
        <f t="shared" si="11"/>
        <v>298970700</v>
      </c>
    </row>
    <row r="77" spans="1:7" ht="15.75">
      <c r="A77" s="3" t="s">
        <v>664</v>
      </c>
      <c r="B77" s="4" t="s">
        <v>744</v>
      </c>
      <c r="C77" s="4" t="s">
        <v>317</v>
      </c>
      <c r="D77" s="4" t="s">
        <v>654</v>
      </c>
      <c r="E77" s="4" t="s">
        <v>656</v>
      </c>
      <c r="F77" s="29">
        <f>прил6!F415</f>
        <v>298970700</v>
      </c>
      <c r="G77" s="29">
        <f>F77</f>
        <v>298970700</v>
      </c>
    </row>
    <row r="78" spans="1:7" ht="126" hidden="1">
      <c r="A78" s="3" t="s">
        <v>698</v>
      </c>
      <c r="B78" s="4" t="s">
        <v>473</v>
      </c>
      <c r="C78" s="4"/>
      <c r="D78" s="4"/>
      <c r="E78" s="4"/>
      <c r="F78" s="29">
        <f aca="true" t="shared" si="12" ref="F78:G80">F79</f>
        <v>0</v>
      </c>
      <c r="G78" s="29">
        <f t="shared" si="12"/>
        <v>0</v>
      </c>
    </row>
    <row r="79" spans="1:7" ht="63" hidden="1">
      <c r="A79" s="27" t="s">
        <v>723</v>
      </c>
      <c r="B79" s="4" t="s">
        <v>473</v>
      </c>
      <c r="C79" s="4" t="s">
        <v>317</v>
      </c>
      <c r="D79" s="4"/>
      <c r="E79" s="4"/>
      <c r="F79" s="29">
        <f t="shared" si="12"/>
        <v>0</v>
      </c>
      <c r="G79" s="29">
        <f t="shared" si="12"/>
        <v>0</v>
      </c>
    </row>
    <row r="80" spans="1:7" ht="15.75" hidden="1">
      <c r="A80" s="3" t="s">
        <v>662</v>
      </c>
      <c r="B80" s="4" t="s">
        <v>473</v>
      </c>
      <c r="C80" s="4" t="s">
        <v>317</v>
      </c>
      <c r="D80" s="4" t="s">
        <v>654</v>
      </c>
      <c r="E80" s="4"/>
      <c r="F80" s="29">
        <f t="shared" si="12"/>
        <v>0</v>
      </c>
      <c r="G80" s="29">
        <f t="shared" si="12"/>
        <v>0</v>
      </c>
    </row>
    <row r="81" spans="1:7" ht="15.75" hidden="1">
      <c r="A81" s="3" t="s">
        <v>664</v>
      </c>
      <c r="B81" s="4" t="s">
        <v>473</v>
      </c>
      <c r="C81" s="4" t="s">
        <v>317</v>
      </c>
      <c r="D81" s="4" t="s">
        <v>654</v>
      </c>
      <c r="E81" s="4" t="s">
        <v>656</v>
      </c>
      <c r="F81" s="29">
        <f>прил6!F417</f>
        <v>0</v>
      </c>
      <c r="G81" s="29">
        <f>F81</f>
        <v>0</v>
      </c>
    </row>
    <row r="82" spans="1:7" ht="63">
      <c r="A82" s="3" t="s">
        <v>759</v>
      </c>
      <c r="B82" s="4" t="s">
        <v>760</v>
      </c>
      <c r="C82" s="4"/>
      <c r="D82" s="4"/>
      <c r="E82" s="4"/>
      <c r="F82" s="29">
        <f>F83+F113+F117+F121+F125+F129+F136+F140+F87+F94+F110+F102+F98</f>
        <v>45426098.839999996</v>
      </c>
      <c r="G82" s="29">
        <f>G83+G113+G117+G121+G125+G129+G136+G140+G87+G94+G110</f>
        <v>32257500</v>
      </c>
    </row>
    <row r="83" spans="1:7" ht="58.5" customHeight="1">
      <c r="A83" s="21" t="s">
        <v>239</v>
      </c>
      <c r="B83" s="4" t="s">
        <v>266</v>
      </c>
      <c r="C83" s="4"/>
      <c r="D83" s="4"/>
      <c r="E83" s="4"/>
      <c r="F83" s="29">
        <f>F84</f>
        <v>10884631.57</v>
      </c>
      <c r="G83" s="29"/>
    </row>
    <row r="84" spans="1:7" ht="126">
      <c r="A84" s="21" t="s">
        <v>245</v>
      </c>
      <c r="B84" s="4" t="s">
        <v>266</v>
      </c>
      <c r="C84" s="4" t="s">
        <v>312</v>
      </c>
      <c r="D84" s="4"/>
      <c r="E84" s="4"/>
      <c r="F84" s="29">
        <f>F85</f>
        <v>10884631.57</v>
      </c>
      <c r="G84" s="29"/>
    </row>
    <row r="85" spans="1:7" ht="27" customHeight="1">
      <c r="A85" s="3" t="s">
        <v>670</v>
      </c>
      <c r="B85" s="4" t="s">
        <v>266</v>
      </c>
      <c r="C85" s="4" t="s">
        <v>312</v>
      </c>
      <c r="D85" s="4" t="s">
        <v>651</v>
      </c>
      <c r="E85" s="4"/>
      <c r="F85" s="29">
        <f>F86</f>
        <v>10884631.57</v>
      </c>
      <c r="G85" s="29"/>
    </row>
    <row r="86" spans="1:7" ht="126">
      <c r="A86" s="3" t="s">
        <v>306</v>
      </c>
      <c r="B86" s="4" t="s">
        <v>266</v>
      </c>
      <c r="C86" s="4" t="s">
        <v>312</v>
      </c>
      <c r="D86" s="4" t="s">
        <v>651</v>
      </c>
      <c r="E86" s="4" t="s">
        <v>661</v>
      </c>
      <c r="F86" s="29">
        <f>прил6!F41</f>
        <v>10884631.57</v>
      </c>
      <c r="G86" s="29"/>
    </row>
    <row r="87" spans="1:7" ht="47.25">
      <c r="A87" s="21" t="s">
        <v>241</v>
      </c>
      <c r="B87" s="4" t="s">
        <v>267</v>
      </c>
      <c r="C87" s="4"/>
      <c r="D87" s="4"/>
      <c r="E87" s="4"/>
      <c r="F87" s="29">
        <f>F88+F91</f>
        <v>390942.3900000001</v>
      </c>
      <c r="G87" s="29"/>
    </row>
    <row r="88" spans="1:7" ht="126">
      <c r="A88" s="21" t="s">
        <v>245</v>
      </c>
      <c r="B88" s="4" t="s">
        <v>267</v>
      </c>
      <c r="C88" s="4" t="s">
        <v>312</v>
      </c>
      <c r="D88" s="4"/>
      <c r="E88" s="4"/>
      <c r="F88" s="29">
        <f>F89</f>
        <v>855</v>
      </c>
      <c r="G88" s="29"/>
    </row>
    <row r="89" spans="1:7" ht="27.75" customHeight="1">
      <c r="A89" s="3" t="s">
        <v>670</v>
      </c>
      <c r="B89" s="4" t="s">
        <v>267</v>
      </c>
      <c r="C89" s="4" t="s">
        <v>312</v>
      </c>
      <c r="D89" s="4" t="s">
        <v>651</v>
      </c>
      <c r="E89" s="4"/>
      <c r="F89" s="29">
        <f>F90</f>
        <v>855</v>
      </c>
      <c r="G89" s="29"/>
    </row>
    <row r="90" spans="1:7" ht="126">
      <c r="A90" s="3" t="s">
        <v>306</v>
      </c>
      <c r="B90" s="4" t="s">
        <v>267</v>
      </c>
      <c r="C90" s="4" t="s">
        <v>312</v>
      </c>
      <c r="D90" s="4" t="s">
        <v>651</v>
      </c>
      <c r="E90" s="4" t="s">
        <v>661</v>
      </c>
      <c r="F90" s="29">
        <f>прил6!F43</f>
        <v>855</v>
      </c>
      <c r="G90" s="29"/>
    </row>
    <row r="91" spans="1:7" ht="47.25">
      <c r="A91" s="21" t="s">
        <v>702</v>
      </c>
      <c r="B91" s="4" t="s">
        <v>267</v>
      </c>
      <c r="C91" s="4" t="s">
        <v>313</v>
      </c>
      <c r="D91" s="4"/>
      <c r="E91" s="4"/>
      <c r="F91" s="29">
        <f>F92</f>
        <v>390087.3900000001</v>
      </c>
      <c r="G91" s="29"/>
    </row>
    <row r="92" spans="1:7" ht="27.75" customHeight="1">
      <c r="A92" s="3" t="s">
        <v>670</v>
      </c>
      <c r="B92" s="4" t="s">
        <v>267</v>
      </c>
      <c r="C92" s="4" t="s">
        <v>313</v>
      </c>
      <c r="D92" s="4" t="s">
        <v>651</v>
      </c>
      <c r="E92" s="4"/>
      <c r="F92" s="29">
        <f>F93</f>
        <v>390087.3900000001</v>
      </c>
      <c r="G92" s="29"/>
    </row>
    <row r="93" spans="1:7" ht="126">
      <c r="A93" s="3" t="s">
        <v>306</v>
      </c>
      <c r="B93" s="4" t="s">
        <v>267</v>
      </c>
      <c r="C93" s="4" t="s">
        <v>313</v>
      </c>
      <c r="D93" s="4" t="s">
        <v>651</v>
      </c>
      <c r="E93" s="4" t="s">
        <v>661</v>
      </c>
      <c r="F93" s="29">
        <f>прил6!F44</f>
        <v>390087.3900000001</v>
      </c>
      <c r="G93" s="29"/>
    </row>
    <row r="94" spans="1:7" ht="126">
      <c r="A94" s="21" t="s">
        <v>265</v>
      </c>
      <c r="B94" s="4" t="s">
        <v>268</v>
      </c>
      <c r="C94" s="4"/>
      <c r="D94" s="4"/>
      <c r="E94" s="4"/>
      <c r="F94" s="29">
        <f>F95</f>
        <v>183476.15000000002</v>
      </c>
      <c r="G94" s="29"/>
    </row>
    <row r="95" spans="1:7" ht="126">
      <c r="A95" s="21" t="s">
        <v>245</v>
      </c>
      <c r="B95" s="4" t="s">
        <v>268</v>
      </c>
      <c r="C95" s="4" t="s">
        <v>312</v>
      </c>
      <c r="D95" s="4"/>
      <c r="E95" s="4"/>
      <c r="F95" s="29">
        <f>F96</f>
        <v>183476.15000000002</v>
      </c>
      <c r="G95" s="29"/>
    </row>
    <row r="96" spans="1:7" ht="15.75">
      <c r="A96" s="3" t="s">
        <v>670</v>
      </c>
      <c r="B96" s="4" t="s">
        <v>268</v>
      </c>
      <c r="C96" s="4" t="s">
        <v>312</v>
      </c>
      <c r="D96" s="4" t="s">
        <v>651</v>
      </c>
      <c r="E96" s="4"/>
      <c r="F96" s="29">
        <f>F97</f>
        <v>183476.15000000002</v>
      </c>
      <c r="G96" s="29"/>
    </row>
    <row r="97" spans="1:7" ht="126">
      <c r="A97" s="3" t="s">
        <v>306</v>
      </c>
      <c r="B97" s="4" t="s">
        <v>268</v>
      </c>
      <c r="C97" s="4" t="s">
        <v>312</v>
      </c>
      <c r="D97" s="4" t="s">
        <v>651</v>
      </c>
      <c r="E97" s="4" t="s">
        <v>661</v>
      </c>
      <c r="F97" s="29">
        <f>прил6!F46</f>
        <v>183476.15000000002</v>
      </c>
      <c r="G97" s="29"/>
    </row>
    <row r="98" spans="1:7" ht="78.75">
      <c r="A98" s="3" t="s">
        <v>530</v>
      </c>
      <c r="B98" s="4" t="s">
        <v>12</v>
      </c>
      <c r="C98" s="4"/>
      <c r="D98" s="4"/>
      <c r="E98" s="4"/>
      <c r="F98" s="29">
        <f>F99</f>
        <v>398069.57</v>
      </c>
      <c r="G98" s="29"/>
    </row>
    <row r="99" spans="1:7" ht="126">
      <c r="A99" s="21" t="s">
        <v>245</v>
      </c>
      <c r="B99" s="4" t="s">
        <v>12</v>
      </c>
      <c r="C99" s="4" t="s">
        <v>312</v>
      </c>
      <c r="D99" s="4"/>
      <c r="E99" s="4"/>
      <c r="F99" s="29">
        <f>F100</f>
        <v>398069.57</v>
      </c>
      <c r="G99" s="29"/>
    </row>
    <row r="100" spans="1:7" ht="15.75">
      <c r="A100" s="3" t="s">
        <v>670</v>
      </c>
      <c r="B100" s="4" t="s">
        <v>12</v>
      </c>
      <c r="C100" s="4" t="s">
        <v>312</v>
      </c>
      <c r="D100" s="4" t="s">
        <v>651</v>
      </c>
      <c r="E100" s="4"/>
      <c r="F100" s="29">
        <f>F101</f>
        <v>398069.57</v>
      </c>
      <c r="G100" s="29"/>
    </row>
    <row r="101" spans="1:7" ht="126">
      <c r="A101" s="3" t="s">
        <v>306</v>
      </c>
      <c r="B101" s="4" t="s">
        <v>12</v>
      </c>
      <c r="C101" s="4" t="s">
        <v>312</v>
      </c>
      <c r="D101" s="4" t="s">
        <v>651</v>
      </c>
      <c r="E101" s="4" t="s">
        <v>661</v>
      </c>
      <c r="F101" s="29">
        <f>прил7!G509</f>
        <v>398069.57</v>
      </c>
      <c r="G101" s="29"/>
    </row>
    <row r="102" spans="1:7" ht="141.75">
      <c r="A102" s="21" t="s">
        <v>72</v>
      </c>
      <c r="B102" s="235" t="s">
        <v>73</v>
      </c>
      <c r="C102" s="235"/>
      <c r="D102" s="235"/>
      <c r="E102" s="235"/>
      <c r="F102" s="233">
        <f>F104+F107</f>
        <v>980780.1599999999</v>
      </c>
      <c r="G102" s="243"/>
    </row>
    <row r="103" spans="1:7" ht="78.75">
      <c r="A103" s="21" t="s">
        <v>71</v>
      </c>
      <c r="B103" s="235"/>
      <c r="C103" s="235"/>
      <c r="D103" s="235"/>
      <c r="E103" s="235"/>
      <c r="F103" s="233"/>
      <c r="G103" s="243"/>
    </row>
    <row r="104" spans="1:7" ht="126">
      <c r="A104" s="21" t="s">
        <v>245</v>
      </c>
      <c r="B104" s="4" t="s">
        <v>73</v>
      </c>
      <c r="C104" s="4" t="s">
        <v>312</v>
      </c>
      <c r="D104" s="4"/>
      <c r="E104" s="4"/>
      <c r="F104" s="37">
        <f>F105</f>
        <v>348198.41</v>
      </c>
      <c r="G104" s="137"/>
    </row>
    <row r="105" spans="1:7" ht="15.75">
      <c r="A105" s="3" t="s">
        <v>670</v>
      </c>
      <c r="B105" s="4" t="s">
        <v>73</v>
      </c>
      <c r="C105" s="4" t="s">
        <v>312</v>
      </c>
      <c r="D105" s="4" t="s">
        <v>651</v>
      </c>
      <c r="E105" s="4"/>
      <c r="F105" s="29">
        <f>F106</f>
        <v>348198.41</v>
      </c>
      <c r="G105" s="29"/>
    </row>
    <row r="106" spans="1:7" ht="126">
      <c r="A106" s="3" t="s">
        <v>306</v>
      </c>
      <c r="B106" s="4" t="s">
        <v>73</v>
      </c>
      <c r="C106" s="4" t="s">
        <v>312</v>
      </c>
      <c r="D106" s="4" t="s">
        <v>651</v>
      </c>
      <c r="E106" s="4" t="s">
        <v>661</v>
      </c>
      <c r="F106" s="29">
        <f>прил6!F51</f>
        <v>348198.41</v>
      </c>
      <c r="G106" s="29"/>
    </row>
    <row r="107" spans="1:7" ht="31.5">
      <c r="A107" s="3" t="s">
        <v>560</v>
      </c>
      <c r="B107" s="4" t="s">
        <v>73</v>
      </c>
      <c r="C107" s="4" t="s">
        <v>561</v>
      </c>
      <c r="D107" s="4"/>
      <c r="E107" s="4"/>
      <c r="F107" s="29">
        <f>F108</f>
        <v>632581.75</v>
      </c>
      <c r="G107" s="29"/>
    </row>
    <row r="108" spans="1:7" ht="15.75">
      <c r="A108" s="3" t="s">
        <v>670</v>
      </c>
      <c r="B108" s="4" t="s">
        <v>73</v>
      </c>
      <c r="C108" s="4" t="s">
        <v>561</v>
      </c>
      <c r="D108" s="4" t="s">
        <v>651</v>
      </c>
      <c r="E108" s="4"/>
      <c r="F108" s="29">
        <f>F109</f>
        <v>632581.75</v>
      </c>
      <c r="G108" s="29"/>
    </row>
    <row r="109" spans="1:7" ht="126">
      <c r="A109" s="3" t="s">
        <v>306</v>
      </c>
      <c r="B109" s="4" t="s">
        <v>73</v>
      </c>
      <c r="C109" s="4" t="s">
        <v>561</v>
      </c>
      <c r="D109" s="4" t="s">
        <v>651</v>
      </c>
      <c r="E109" s="4" t="s">
        <v>661</v>
      </c>
      <c r="F109" s="29">
        <f>прил6!F52</f>
        <v>632581.75</v>
      </c>
      <c r="G109" s="29"/>
    </row>
    <row r="110" spans="1:7" ht="110.25">
      <c r="A110" s="21" t="s">
        <v>235</v>
      </c>
      <c r="B110" s="4" t="s">
        <v>269</v>
      </c>
      <c r="C110" s="4"/>
      <c r="D110" s="4"/>
      <c r="E110" s="4"/>
      <c r="F110" s="29">
        <f>F111</f>
        <v>330699</v>
      </c>
      <c r="G110" s="29"/>
    </row>
    <row r="111" spans="1:7" ht="15.75">
      <c r="A111" s="3" t="s">
        <v>670</v>
      </c>
      <c r="B111" s="4" t="s">
        <v>269</v>
      </c>
      <c r="C111" s="4" t="s">
        <v>312</v>
      </c>
      <c r="D111" s="4" t="s">
        <v>651</v>
      </c>
      <c r="E111" s="4"/>
      <c r="F111" s="29">
        <f>F112</f>
        <v>330699</v>
      </c>
      <c r="G111" s="29"/>
    </row>
    <row r="112" spans="1:7" ht="126">
      <c r="A112" s="3" t="s">
        <v>306</v>
      </c>
      <c r="B112" s="4" t="s">
        <v>269</v>
      </c>
      <c r="C112" s="4" t="s">
        <v>312</v>
      </c>
      <c r="D112" s="4" t="s">
        <v>651</v>
      </c>
      <c r="E112" s="4" t="s">
        <v>661</v>
      </c>
      <c r="F112" s="29">
        <f>прил6!F54</f>
        <v>330699</v>
      </c>
      <c r="G112" s="29"/>
    </row>
    <row r="113" spans="1:7" ht="126">
      <c r="A113" s="21" t="s">
        <v>190</v>
      </c>
      <c r="B113" s="4" t="s">
        <v>191</v>
      </c>
      <c r="C113" s="4"/>
      <c r="D113" s="4"/>
      <c r="E113" s="4"/>
      <c r="F113" s="29">
        <f aca="true" t="shared" si="13" ref="F113:G115">F114</f>
        <v>1701600</v>
      </c>
      <c r="G113" s="29">
        <f t="shared" si="13"/>
        <v>1701600</v>
      </c>
    </row>
    <row r="114" spans="1:7" ht="31.5">
      <c r="A114" s="3" t="s">
        <v>560</v>
      </c>
      <c r="B114" s="4" t="s">
        <v>191</v>
      </c>
      <c r="C114" s="4" t="s">
        <v>561</v>
      </c>
      <c r="D114" s="4"/>
      <c r="E114" s="4"/>
      <c r="F114" s="29">
        <f t="shared" si="13"/>
        <v>1701600</v>
      </c>
      <c r="G114" s="29">
        <f t="shared" si="13"/>
        <v>1701600</v>
      </c>
    </row>
    <row r="115" spans="1:7" ht="15.75">
      <c r="A115" s="3" t="s">
        <v>665</v>
      </c>
      <c r="B115" s="4" t="s">
        <v>191</v>
      </c>
      <c r="C115" s="4" t="s">
        <v>561</v>
      </c>
      <c r="D115" s="4" t="s">
        <v>659</v>
      </c>
      <c r="E115" s="4"/>
      <c r="F115" s="29">
        <f t="shared" si="13"/>
        <v>1701600</v>
      </c>
      <c r="G115" s="29">
        <f t="shared" si="13"/>
        <v>1701600</v>
      </c>
    </row>
    <row r="116" spans="1:7" ht="31.5">
      <c r="A116" s="3" t="s">
        <v>677</v>
      </c>
      <c r="B116" s="4" t="s">
        <v>191</v>
      </c>
      <c r="C116" s="4" t="s">
        <v>561</v>
      </c>
      <c r="D116" s="4" t="s">
        <v>659</v>
      </c>
      <c r="E116" s="4" t="s">
        <v>658</v>
      </c>
      <c r="F116" s="29">
        <f>прил6!F599</f>
        <v>1701600</v>
      </c>
      <c r="G116" s="29">
        <f>F116</f>
        <v>1701600</v>
      </c>
    </row>
    <row r="117" spans="1:7" ht="141.75">
      <c r="A117" s="3" t="s">
        <v>192</v>
      </c>
      <c r="B117" s="4" t="s">
        <v>193</v>
      </c>
      <c r="C117" s="4"/>
      <c r="D117" s="4"/>
      <c r="E117" s="4"/>
      <c r="F117" s="29">
        <f aca="true" t="shared" si="14" ref="F117:G119">F118</f>
        <v>24600</v>
      </c>
      <c r="G117" s="29">
        <f t="shared" si="14"/>
        <v>24600</v>
      </c>
    </row>
    <row r="118" spans="1:7" ht="126">
      <c r="A118" s="3" t="s">
        <v>701</v>
      </c>
      <c r="B118" s="4" t="s">
        <v>193</v>
      </c>
      <c r="C118" s="4" t="s">
        <v>312</v>
      </c>
      <c r="D118" s="4"/>
      <c r="E118" s="4"/>
      <c r="F118" s="29">
        <f t="shared" si="14"/>
        <v>24600</v>
      </c>
      <c r="G118" s="29">
        <f t="shared" si="14"/>
        <v>24600</v>
      </c>
    </row>
    <row r="119" spans="1:7" ht="15.75">
      <c r="A119" s="3" t="s">
        <v>665</v>
      </c>
      <c r="B119" s="4" t="s">
        <v>193</v>
      </c>
      <c r="C119" s="4" t="s">
        <v>312</v>
      </c>
      <c r="D119" s="4" t="s">
        <v>659</v>
      </c>
      <c r="E119" s="4"/>
      <c r="F119" s="29">
        <f t="shared" si="14"/>
        <v>24600</v>
      </c>
      <c r="G119" s="29">
        <f t="shared" si="14"/>
        <v>24600</v>
      </c>
    </row>
    <row r="120" spans="1:7" ht="31.5">
      <c r="A120" s="3" t="s">
        <v>677</v>
      </c>
      <c r="B120" s="4" t="s">
        <v>193</v>
      </c>
      <c r="C120" s="4" t="s">
        <v>312</v>
      </c>
      <c r="D120" s="4" t="s">
        <v>659</v>
      </c>
      <c r="E120" s="4" t="s">
        <v>658</v>
      </c>
      <c r="F120" s="29">
        <f>прил6!F601</f>
        <v>24600</v>
      </c>
      <c r="G120" s="29">
        <f>F120</f>
        <v>24600</v>
      </c>
    </row>
    <row r="121" spans="1:7" ht="252">
      <c r="A121" s="27" t="s">
        <v>333</v>
      </c>
      <c r="B121" s="4" t="s">
        <v>334</v>
      </c>
      <c r="C121" s="4"/>
      <c r="D121" s="4"/>
      <c r="E121" s="4"/>
      <c r="F121" s="29">
        <f aca="true" t="shared" si="15" ref="F121:G123">F122</f>
        <v>131600</v>
      </c>
      <c r="G121" s="29">
        <f t="shared" si="15"/>
        <v>131600</v>
      </c>
    </row>
    <row r="122" spans="1:7" ht="31.5">
      <c r="A122" s="3" t="s">
        <v>560</v>
      </c>
      <c r="B122" s="4" t="s">
        <v>334</v>
      </c>
      <c r="C122" s="4" t="s">
        <v>561</v>
      </c>
      <c r="D122" s="4"/>
      <c r="E122" s="4"/>
      <c r="F122" s="29">
        <f t="shared" si="15"/>
        <v>131600</v>
      </c>
      <c r="G122" s="29">
        <f t="shared" si="15"/>
        <v>131600</v>
      </c>
    </row>
    <row r="123" spans="1:7" ht="15.75">
      <c r="A123" s="3" t="s">
        <v>665</v>
      </c>
      <c r="B123" s="4" t="s">
        <v>334</v>
      </c>
      <c r="C123" s="4" t="s">
        <v>561</v>
      </c>
      <c r="D123" s="4" t="s">
        <v>659</v>
      </c>
      <c r="E123" s="4"/>
      <c r="F123" s="29">
        <f t="shared" si="15"/>
        <v>131600</v>
      </c>
      <c r="G123" s="29">
        <f t="shared" si="15"/>
        <v>131600</v>
      </c>
    </row>
    <row r="124" spans="1:7" ht="31.5">
      <c r="A124" s="3" t="s">
        <v>677</v>
      </c>
      <c r="B124" s="4" t="s">
        <v>334</v>
      </c>
      <c r="C124" s="4" t="s">
        <v>561</v>
      </c>
      <c r="D124" s="4" t="s">
        <v>659</v>
      </c>
      <c r="E124" s="4" t="s">
        <v>658</v>
      </c>
      <c r="F124" s="29">
        <f>прил6!F603</f>
        <v>131600</v>
      </c>
      <c r="G124" s="29">
        <f>F124</f>
        <v>131600</v>
      </c>
    </row>
    <row r="125" spans="1:7" ht="173.25">
      <c r="A125" s="3" t="s">
        <v>335</v>
      </c>
      <c r="B125" s="4" t="s">
        <v>336</v>
      </c>
      <c r="C125" s="4"/>
      <c r="D125" s="4"/>
      <c r="E125" s="4"/>
      <c r="F125" s="29">
        <f aca="true" t="shared" si="16" ref="F125:G127">F126</f>
        <v>209400</v>
      </c>
      <c r="G125" s="29">
        <f t="shared" si="16"/>
        <v>209400</v>
      </c>
    </row>
    <row r="126" spans="1:7" ht="31.5">
      <c r="A126" s="3" t="s">
        <v>560</v>
      </c>
      <c r="B126" s="4" t="s">
        <v>336</v>
      </c>
      <c r="C126" s="4" t="s">
        <v>561</v>
      </c>
      <c r="D126" s="4"/>
      <c r="E126" s="4"/>
      <c r="F126" s="29">
        <f t="shared" si="16"/>
        <v>209400</v>
      </c>
      <c r="G126" s="29">
        <f t="shared" si="16"/>
        <v>209400</v>
      </c>
    </row>
    <row r="127" spans="1:7" ht="15.75">
      <c r="A127" s="3" t="s">
        <v>665</v>
      </c>
      <c r="B127" s="4" t="s">
        <v>336</v>
      </c>
      <c r="C127" s="4" t="s">
        <v>561</v>
      </c>
      <c r="D127" s="4" t="s">
        <v>659</v>
      </c>
      <c r="E127" s="4"/>
      <c r="F127" s="29">
        <f t="shared" si="16"/>
        <v>209400</v>
      </c>
      <c r="G127" s="29">
        <f t="shared" si="16"/>
        <v>209400</v>
      </c>
    </row>
    <row r="128" spans="1:7" ht="31.5">
      <c r="A128" s="3" t="s">
        <v>677</v>
      </c>
      <c r="B128" s="4" t="s">
        <v>336</v>
      </c>
      <c r="C128" s="4" t="s">
        <v>561</v>
      </c>
      <c r="D128" s="4" t="s">
        <v>659</v>
      </c>
      <c r="E128" s="4" t="s">
        <v>658</v>
      </c>
      <c r="F128" s="29">
        <f>прил6!F605</f>
        <v>209400</v>
      </c>
      <c r="G128" s="29">
        <f>F128</f>
        <v>209400</v>
      </c>
    </row>
    <row r="129" spans="1:7" ht="94.5">
      <c r="A129" s="58" t="s">
        <v>194</v>
      </c>
      <c r="B129" s="4" t="s">
        <v>195</v>
      </c>
      <c r="C129" s="4"/>
      <c r="D129" s="4"/>
      <c r="E129" s="4"/>
      <c r="F129" s="29">
        <f>F130+F133</f>
        <v>25346100</v>
      </c>
      <c r="G129" s="29">
        <f>G130+G133</f>
        <v>25346100</v>
      </c>
    </row>
    <row r="130" spans="1:7" ht="47.25">
      <c r="A130" s="3" t="s">
        <v>702</v>
      </c>
      <c r="B130" s="4" t="s">
        <v>195</v>
      </c>
      <c r="C130" s="4" t="s">
        <v>313</v>
      </c>
      <c r="D130" s="4"/>
      <c r="E130" s="4"/>
      <c r="F130" s="29">
        <f>F131</f>
        <v>9577700</v>
      </c>
      <c r="G130" s="29">
        <f>G131</f>
        <v>9577700</v>
      </c>
    </row>
    <row r="131" spans="1:7" ht="15.75">
      <c r="A131" s="3" t="s">
        <v>665</v>
      </c>
      <c r="B131" s="4" t="s">
        <v>195</v>
      </c>
      <c r="C131" s="4" t="s">
        <v>313</v>
      </c>
      <c r="D131" s="4" t="s">
        <v>659</v>
      </c>
      <c r="E131" s="4"/>
      <c r="F131" s="29">
        <f>F132</f>
        <v>9577700</v>
      </c>
      <c r="G131" s="29">
        <f>G132</f>
        <v>9577700</v>
      </c>
    </row>
    <row r="132" spans="1:7" ht="15.75">
      <c r="A132" s="3" t="s">
        <v>691</v>
      </c>
      <c r="B132" s="4" t="s">
        <v>195</v>
      </c>
      <c r="C132" s="4" t="s">
        <v>313</v>
      </c>
      <c r="D132" s="4" t="s">
        <v>659</v>
      </c>
      <c r="E132" s="4" t="s">
        <v>661</v>
      </c>
      <c r="F132" s="29">
        <f>прил6!F637</f>
        <v>9577700</v>
      </c>
      <c r="G132" s="29">
        <f>F132</f>
        <v>9577700</v>
      </c>
    </row>
    <row r="133" spans="1:7" ht="31.5">
      <c r="A133" s="3" t="s">
        <v>560</v>
      </c>
      <c r="B133" s="4" t="s">
        <v>195</v>
      </c>
      <c r="C133" s="4" t="s">
        <v>561</v>
      </c>
      <c r="D133" s="4"/>
      <c r="E133" s="4"/>
      <c r="F133" s="29">
        <f>F134</f>
        <v>15768400</v>
      </c>
      <c r="G133" s="29">
        <f>G134</f>
        <v>15768400</v>
      </c>
    </row>
    <row r="134" spans="1:7" ht="15.75">
      <c r="A134" s="3" t="s">
        <v>665</v>
      </c>
      <c r="B134" s="4" t="s">
        <v>195</v>
      </c>
      <c r="C134" s="4" t="s">
        <v>561</v>
      </c>
      <c r="D134" s="4" t="s">
        <v>659</v>
      </c>
      <c r="E134" s="4"/>
      <c r="F134" s="29">
        <f>F135</f>
        <v>15768400</v>
      </c>
      <c r="G134" s="29">
        <f>G135</f>
        <v>15768400</v>
      </c>
    </row>
    <row r="135" spans="1:7" ht="15.75">
      <c r="A135" s="3" t="s">
        <v>691</v>
      </c>
      <c r="B135" s="4" t="s">
        <v>195</v>
      </c>
      <c r="C135" s="4" t="s">
        <v>561</v>
      </c>
      <c r="D135" s="4" t="s">
        <v>659</v>
      </c>
      <c r="E135" s="4" t="s">
        <v>661</v>
      </c>
      <c r="F135" s="29">
        <f>прил6!F638</f>
        <v>15768400</v>
      </c>
      <c r="G135" s="29">
        <f>F135</f>
        <v>15768400</v>
      </c>
    </row>
    <row r="136" spans="1:7" ht="141.75">
      <c r="A136" s="49" t="s">
        <v>456</v>
      </c>
      <c r="B136" s="4" t="s">
        <v>196</v>
      </c>
      <c r="C136" s="4"/>
      <c r="D136" s="4"/>
      <c r="E136" s="4"/>
      <c r="F136" s="29">
        <f aca="true" t="shared" si="17" ref="F136:G138">F137</f>
        <v>439200</v>
      </c>
      <c r="G136" s="29">
        <f t="shared" si="17"/>
        <v>439200</v>
      </c>
    </row>
    <row r="137" spans="1:7" ht="47.25">
      <c r="A137" s="3" t="s">
        <v>702</v>
      </c>
      <c r="B137" s="4" t="s">
        <v>196</v>
      </c>
      <c r="C137" s="4" t="s">
        <v>313</v>
      </c>
      <c r="D137" s="4"/>
      <c r="E137" s="4"/>
      <c r="F137" s="29">
        <f t="shared" si="17"/>
        <v>439200</v>
      </c>
      <c r="G137" s="29">
        <f t="shared" si="17"/>
        <v>439200</v>
      </c>
    </row>
    <row r="138" spans="1:7" ht="15.75">
      <c r="A138" s="3" t="s">
        <v>665</v>
      </c>
      <c r="B138" s="4" t="s">
        <v>196</v>
      </c>
      <c r="C138" s="4" t="s">
        <v>313</v>
      </c>
      <c r="D138" s="4" t="s">
        <v>659</v>
      </c>
      <c r="E138" s="4"/>
      <c r="F138" s="29">
        <f t="shared" si="17"/>
        <v>439200</v>
      </c>
      <c r="G138" s="29">
        <f t="shared" si="17"/>
        <v>439200</v>
      </c>
    </row>
    <row r="139" spans="1:7" ht="15.75">
      <c r="A139" s="3" t="s">
        <v>691</v>
      </c>
      <c r="B139" s="4" t="s">
        <v>196</v>
      </c>
      <c r="C139" s="4" t="s">
        <v>313</v>
      </c>
      <c r="D139" s="4" t="s">
        <v>659</v>
      </c>
      <c r="E139" s="4" t="s">
        <v>661</v>
      </c>
      <c r="F139" s="29">
        <f>прил6!F640</f>
        <v>439200</v>
      </c>
      <c r="G139" s="29">
        <f>F139</f>
        <v>439200</v>
      </c>
    </row>
    <row r="140" spans="1:7" ht="157.5">
      <c r="A140" s="27" t="s">
        <v>554</v>
      </c>
      <c r="B140" s="4" t="s">
        <v>474</v>
      </c>
      <c r="C140" s="4"/>
      <c r="D140" s="4"/>
      <c r="E140" s="4"/>
      <c r="F140" s="29">
        <f>F141+F144</f>
        <v>4405000</v>
      </c>
      <c r="G140" s="29">
        <f>G141+G144</f>
        <v>4405000</v>
      </c>
    </row>
    <row r="141" spans="1:7" ht="126">
      <c r="A141" s="3" t="s">
        <v>701</v>
      </c>
      <c r="B141" s="4" t="s">
        <v>474</v>
      </c>
      <c r="C141" s="4" t="s">
        <v>312</v>
      </c>
      <c r="D141" s="4"/>
      <c r="E141" s="4"/>
      <c r="F141" s="29">
        <f>F142</f>
        <v>3524723.2600000002</v>
      </c>
      <c r="G141" s="29">
        <f>G142</f>
        <v>3524723.2600000002</v>
      </c>
    </row>
    <row r="142" spans="1:7" ht="15.75">
      <c r="A142" s="3" t="s">
        <v>665</v>
      </c>
      <c r="B142" s="4" t="s">
        <v>474</v>
      </c>
      <c r="C142" s="4" t="s">
        <v>312</v>
      </c>
      <c r="D142" s="4" t="s">
        <v>659</v>
      </c>
      <c r="E142" s="4"/>
      <c r="F142" s="29">
        <f>F143</f>
        <v>3524723.2600000002</v>
      </c>
      <c r="G142" s="29">
        <f>G143</f>
        <v>3524723.2600000002</v>
      </c>
    </row>
    <row r="143" spans="1:7" ht="15.75">
      <c r="A143" s="3" t="s">
        <v>691</v>
      </c>
      <c r="B143" s="4" t="s">
        <v>474</v>
      </c>
      <c r="C143" s="4" t="s">
        <v>312</v>
      </c>
      <c r="D143" s="4" t="s">
        <v>659</v>
      </c>
      <c r="E143" s="4" t="s">
        <v>661</v>
      </c>
      <c r="F143" s="29">
        <f>прил6!F642</f>
        <v>3524723.2600000002</v>
      </c>
      <c r="G143" s="29">
        <f>F143</f>
        <v>3524723.2600000002</v>
      </c>
    </row>
    <row r="144" spans="1:7" ht="47.25">
      <c r="A144" s="3" t="s">
        <v>702</v>
      </c>
      <c r="B144" s="4" t="s">
        <v>474</v>
      </c>
      <c r="C144" s="4" t="s">
        <v>313</v>
      </c>
      <c r="D144" s="4"/>
      <c r="E144" s="4"/>
      <c r="F144" s="29">
        <f>F145</f>
        <v>880276.74</v>
      </c>
      <c r="G144" s="29">
        <f>G145</f>
        <v>880276.74</v>
      </c>
    </row>
    <row r="145" spans="1:7" ht="15.75">
      <c r="A145" s="3" t="s">
        <v>665</v>
      </c>
      <c r="B145" s="4" t="s">
        <v>474</v>
      </c>
      <c r="C145" s="4" t="s">
        <v>313</v>
      </c>
      <c r="D145" s="4" t="s">
        <v>659</v>
      </c>
      <c r="E145" s="4"/>
      <c r="F145" s="29">
        <f>F146</f>
        <v>880276.74</v>
      </c>
      <c r="G145" s="29">
        <f>G146</f>
        <v>880276.74</v>
      </c>
    </row>
    <row r="146" spans="1:7" ht="15.75">
      <c r="A146" s="3" t="s">
        <v>691</v>
      </c>
      <c r="B146" s="4" t="s">
        <v>474</v>
      </c>
      <c r="C146" s="4" t="s">
        <v>313</v>
      </c>
      <c r="D146" s="4" t="s">
        <v>659</v>
      </c>
      <c r="E146" s="4" t="s">
        <v>661</v>
      </c>
      <c r="F146" s="29">
        <f>прил6!F643</f>
        <v>880276.74</v>
      </c>
      <c r="G146" s="29">
        <f>F146</f>
        <v>880276.74</v>
      </c>
    </row>
    <row r="147" spans="1:7" ht="78.75">
      <c r="A147" s="3" t="s">
        <v>496</v>
      </c>
      <c r="B147" s="4" t="s">
        <v>497</v>
      </c>
      <c r="C147" s="4"/>
      <c r="D147" s="4"/>
      <c r="E147" s="4"/>
      <c r="F147" s="29">
        <f>F148</f>
        <v>22369933.68</v>
      </c>
      <c r="G147" s="29"/>
    </row>
    <row r="148" spans="1:7" ht="110.25">
      <c r="A148" s="3" t="s">
        <v>493</v>
      </c>
      <c r="B148" s="4" t="s">
        <v>498</v>
      </c>
      <c r="C148" s="4"/>
      <c r="D148" s="4"/>
      <c r="E148" s="4"/>
      <c r="F148" s="29">
        <f>F149</f>
        <v>22369933.68</v>
      </c>
      <c r="G148" s="29"/>
    </row>
    <row r="149" spans="1:7" ht="63">
      <c r="A149" s="3" t="s">
        <v>723</v>
      </c>
      <c r="B149" s="4" t="s">
        <v>498</v>
      </c>
      <c r="C149" s="4" t="s">
        <v>317</v>
      </c>
      <c r="D149" s="4"/>
      <c r="E149" s="4"/>
      <c r="F149" s="29">
        <f>F150</f>
        <v>22369933.68</v>
      </c>
      <c r="G149" s="29"/>
    </row>
    <row r="150" spans="1:7" ht="15.75">
      <c r="A150" s="3" t="s">
        <v>662</v>
      </c>
      <c r="B150" s="4" t="s">
        <v>498</v>
      </c>
      <c r="C150" s="4" t="s">
        <v>317</v>
      </c>
      <c r="D150" s="4" t="s">
        <v>654</v>
      </c>
      <c r="E150" s="4"/>
      <c r="F150" s="29">
        <f>F151</f>
        <v>22369933.68</v>
      </c>
      <c r="G150" s="29"/>
    </row>
    <row r="151" spans="1:7" ht="31.5">
      <c r="A151" s="3" t="s">
        <v>675</v>
      </c>
      <c r="B151" s="4" t="s">
        <v>498</v>
      </c>
      <c r="C151" s="4" t="s">
        <v>317</v>
      </c>
      <c r="D151" s="4" t="s">
        <v>654</v>
      </c>
      <c r="E151" s="4" t="s">
        <v>657</v>
      </c>
      <c r="F151" s="29">
        <f>прил6!F493</f>
        <v>22369933.68</v>
      </c>
      <c r="G151" s="29"/>
    </row>
    <row r="152" spans="1:7" ht="78.75">
      <c r="A152" s="3" t="s">
        <v>499</v>
      </c>
      <c r="B152" s="4" t="s">
        <v>500</v>
      </c>
      <c r="C152" s="4"/>
      <c r="D152" s="4"/>
      <c r="E152" s="4"/>
      <c r="F152" s="29">
        <f>F153</f>
        <v>26558392.9</v>
      </c>
      <c r="G152" s="33"/>
    </row>
    <row r="153" spans="1:7" ht="110.25">
      <c r="A153" s="3" t="s">
        <v>493</v>
      </c>
      <c r="B153" s="4" t="s">
        <v>501</v>
      </c>
      <c r="C153" s="4"/>
      <c r="D153" s="4"/>
      <c r="E153" s="4"/>
      <c r="F153" s="29">
        <f>F154</f>
        <v>26558392.9</v>
      </c>
      <c r="G153" s="29"/>
    </row>
    <row r="154" spans="1:7" ht="63">
      <c r="A154" s="3" t="s">
        <v>723</v>
      </c>
      <c r="B154" s="4" t="s">
        <v>501</v>
      </c>
      <c r="C154" s="4" t="s">
        <v>317</v>
      </c>
      <c r="D154" s="4"/>
      <c r="E154" s="4"/>
      <c r="F154" s="29">
        <f>F155</f>
        <v>26558392.9</v>
      </c>
      <c r="G154" s="29"/>
    </row>
    <row r="155" spans="1:7" ht="15.75">
      <c r="A155" s="3" t="s">
        <v>662</v>
      </c>
      <c r="B155" s="4" t="s">
        <v>501</v>
      </c>
      <c r="C155" s="4" t="s">
        <v>317</v>
      </c>
      <c r="D155" s="4" t="s">
        <v>654</v>
      </c>
      <c r="E155" s="4"/>
      <c r="F155" s="29">
        <f>F156</f>
        <v>26558392.9</v>
      </c>
      <c r="G155" s="29"/>
    </row>
    <row r="156" spans="1:7" ht="31.5">
      <c r="A156" s="3" t="s">
        <v>675</v>
      </c>
      <c r="B156" s="4" t="s">
        <v>501</v>
      </c>
      <c r="C156" s="4" t="s">
        <v>317</v>
      </c>
      <c r="D156" s="4" t="s">
        <v>654</v>
      </c>
      <c r="E156" s="4" t="s">
        <v>657</v>
      </c>
      <c r="F156" s="29">
        <f>прил6!F496</f>
        <v>26558392.9</v>
      </c>
      <c r="G156" s="29"/>
    </row>
    <row r="157" spans="1:7" ht="31.5">
      <c r="A157" s="3" t="s">
        <v>725</v>
      </c>
      <c r="B157" s="4" t="s">
        <v>727</v>
      </c>
      <c r="C157" s="4"/>
      <c r="D157" s="4"/>
      <c r="E157" s="4"/>
      <c r="F157" s="29">
        <f>F158+F162+F166</f>
        <v>21520529.41</v>
      </c>
      <c r="G157" s="29">
        <f>G158+G162+G166</f>
        <v>15892300</v>
      </c>
    </row>
    <row r="158" spans="1:7" ht="110.25">
      <c r="A158" s="3" t="s">
        <v>493</v>
      </c>
      <c r="B158" s="4" t="s">
        <v>502</v>
      </c>
      <c r="C158" s="4"/>
      <c r="D158" s="4"/>
      <c r="E158" s="4"/>
      <c r="F158" s="29">
        <f>F159</f>
        <v>5628229.41</v>
      </c>
      <c r="G158" s="29"/>
    </row>
    <row r="159" spans="1:7" ht="63">
      <c r="A159" s="3" t="s">
        <v>723</v>
      </c>
      <c r="B159" s="4" t="s">
        <v>502</v>
      </c>
      <c r="C159" s="4" t="s">
        <v>317</v>
      </c>
      <c r="D159" s="4"/>
      <c r="E159" s="4"/>
      <c r="F159" s="29">
        <f>F160</f>
        <v>5628229.41</v>
      </c>
      <c r="G159" s="29"/>
    </row>
    <row r="160" spans="1:7" ht="15.75">
      <c r="A160" s="3" t="s">
        <v>662</v>
      </c>
      <c r="B160" s="4" t="s">
        <v>502</v>
      </c>
      <c r="C160" s="4" t="s">
        <v>317</v>
      </c>
      <c r="D160" s="4" t="s">
        <v>654</v>
      </c>
      <c r="E160" s="4"/>
      <c r="F160" s="29">
        <f>F161</f>
        <v>5628229.41</v>
      </c>
      <c r="G160" s="29"/>
    </row>
    <row r="161" spans="1:7" ht="31.5">
      <c r="A161" s="3" t="s">
        <v>675</v>
      </c>
      <c r="B161" s="4" t="s">
        <v>502</v>
      </c>
      <c r="C161" s="4" t="s">
        <v>317</v>
      </c>
      <c r="D161" s="4" t="s">
        <v>654</v>
      </c>
      <c r="E161" s="4" t="s">
        <v>657</v>
      </c>
      <c r="F161" s="29">
        <f>прил6!F499</f>
        <v>5628229.41</v>
      </c>
      <c r="G161" s="33"/>
    </row>
    <row r="162" spans="1:7" ht="126">
      <c r="A162" s="3" t="s">
        <v>459</v>
      </c>
      <c r="B162" s="4" t="s">
        <v>726</v>
      </c>
      <c r="C162" s="4"/>
      <c r="D162" s="4"/>
      <c r="E162" s="4"/>
      <c r="F162" s="29">
        <f aca="true" t="shared" si="18" ref="F162:G164">F163</f>
        <v>1142000</v>
      </c>
      <c r="G162" s="29">
        <f t="shared" si="18"/>
        <v>1142000</v>
      </c>
    </row>
    <row r="163" spans="1:7" ht="63">
      <c r="A163" s="3" t="s">
        <v>723</v>
      </c>
      <c r="B163" s="4" t="s">
        <v>726</v>
      </c>
      <c r="C163" s="4" t="s">
        <v>317</v>
      </c>
      <c r="D163" s="4"/>
      <c r="E163" s="4"/>
      <c r="F163" s="29">
        <f t="shared" si="18"/>
        <v>1142000</v>
      </c>
      <c r="G163" s="29">
        <f t="shared" si="18"/>
        <v>1142000</v>
      </c>
    </row>
    <row r="164" spans="1:7" ht="15.75">
      <c r="A164" s="3" t="s">
        <v>662</v>
      </c>
      <c r="B164" s="4" t="s">
        <v>726</v>
      </c>
      <c r="C164" s="4" t="s">
        <v>317</v>
      </c>
      <c r="D164" s="4" t="s">
        <v>654</v>
      </c>
      <c r="E164" s="4"/>
      <c r="F164" s="29">
        <f t="shared" si="18"/>
        <v>1142000</v>
      </c>
      <c r="G164" s="29">
        <f t="shared" si="18"/>
        <v>1142000</v>
      </c>
    </row>
    <row r="165" spans="1:7" ht="31.5">
      <c r="A165" s="3" t="s">
        <v>675</v>
      </c>
      <c r="B165" s="4" t="s">
        <v>726</v>
      </c>
      <c r="C165" s="4" t="s">
        <v>317</v>
      </c>
      <c r="D165" s="4" t="s">
        <v>654</v>
      </c>
      <c r="E165" s="4" t="s">
        <v>657</v>
      </c>
      <c r="F165" s="29">
        <f>прил6!F501</f>
        <v>1142000</v>
      </c>
      <c r="G165" s="29">
        <f>F165</f>
        <v>1142000</v>
      </c>
    </row>
    <row r="166" spans="1:7" ht="47.25">
      <c r="A166" s="3" t="s">
        <v>690</v>
      </c>
      <c r="B166" s="4" t="s">
        <v>758</v>
      </c>
      <c r="C166" s="4"/>
      <c r="D166" s="4"/>
      <c r="E166" s="4"/>
      <c r="F166" s="29">
        <f aca="true" t="shared" si="19" ref="F166:G168">F167</f>
        <v>14750300</v>
      </c>
      <c r="G166" s="29">
        <f t="shared" si="19"/>
        <v>14750300</v>
      </c>
    </row>
    <row r="167" spans="1:7" ht="63">
      <c r="A167" s="3" t="s">
        <v>723</v>
      </c>
      <c r="B167" s="4" t="s">
        <v>758</v>
      </c>
      <c r="C167" s="4" t="s">
        <v>317</v>
      </c>
      <c r="D167" s="4"/>
      <c r="E167" s="4"/>
      <c r="F167" s="29">
        <f t="shared" si="19"/>
        <v>14750300</v>
      </c>
      <c r="G167" s="29">
        <f t="shared" si="19"/>
        <v>14750300</v>
      </c>
    </row>
    <row r="168" spans="1:7" ht="15.75">
      <c r="A168" s="3" t="s">
        <v>662</v>
      </c>
      <c r="B168" s="4" t="s">
        <v>758</v>
      </c>
      <c r="C168" s="4" t="s">
        <v>317</v>
      </c>
      <c r="D168" s="4" t="s">
        <v>654</v>
      </c>
      <c r="E168" s="4"/>
      <c r="F168" s="29">
        <f t="shared" si="19"/>
        <v>14750300</v>
      </c>
      <c r="G168" s="29">
        <f t="shared" si="19"/>
        <v>14750300</v>
      </c>
    </row>
    <row r="169" spans="1:7" ht="31.5">
      <c r="A169" s="3" t="s">
        <v>675</v>
      </c>
      <c r="B169" s="4" t="s">
        <v>758</v>
      </c>
      <c r="C169" s="4" t="s">
        <v>317</v>
      </c>
      <c r="D169" s="4" t="s">
        <v>654</v>
      </c>
      <c r="E169" s="4" t="s">
        <v>657</v>
      </c>
      <c r="F169" s="29">
        <f>прил6!F503</f>
        <v>14750300</v>
      </c>
      <c r="G169" s="29">
        <f>F169</f>
        <v>14750300</v>
      </c>
    </row>
    <row r="170" spans="1:7" ht="63">
      <c r="A170" s="3" t="s">
        <v>503</v>
      </c>
      <c r="B170" s="4" t="s">
        <v>504</v>
      </c>
      <c r="C170" s="4"/>
      <c r="D170" s="4"/>
      <c r="E170" s="4"/>
      <c r="F170" s="29">
        <f>F175+F171</f>
        <v>12363513.56</v>
      </c>
      <c r="G170" s="29">
        <f>G175+G171</f>
        <v>2824004</v>
      </c>
    </row>
    <row r="171" spans="1:7" ht="94.5">
      <c r="A171" s="3" t="s">
        <v>559</v>
      </c>
      <c r="B171" s="4" t="s">
        <v>736</v>
      </c>
      <c r="C171" s="4"/>
      <c r="D171" s="4"/>
      <c r="E171" s="4"/>
      <c r="F171" s="29">
        <f aca="true" t="shared" si="20" ref="F171:G173">F172</f>
        <v>2824004</v>
      </c>
      <c r="G171" s="29">
        <f t="shared" si="20"/>
        <v>2824004</v>
      </c>
    </row>
    <row r="172" spans="1:7" ht="63">
      <c r="A172" s="3" t="s">
        <v>723</v>
      </c>
      <c r="B172" s="4" t="s">
        <v>736</v>
      </c>
      <c r="C172" s="4" t="s">
        <v>317</v>
      </c>
      <c r="D172" s="4"/>
      <c r="E172" s="4"/>
      <c r="F172" s="29">
        <f t="shared" si="20"/>
        <v>2824004</v>
      </c>
      <c r="G172" s="29">
        <f t="shared" si="20"/>
        <v>2824004</v>
      </c>
    </row>
    <row r="173" spans="1:7" ht="15.75">
      <c r="A173" s="3" t="s">
        <v>662</v>
      </c>
      <c r="B173" s="4" t="s">
        <v>736</v>
      </c>
      <c r="C173" s="4" t="s">
        <v>317</v>
      </c>
      <c r="D173" s="4" t="s">
        <v>654</v>
      </c>
      <c r="E173" s="4"/>
      <c r="F173" s="29">
        <f t="shared" si="20"/>
        <v>2824004</v>
      </c>
      <c r="G173" s="29">
        <f t="shared" si="20"/>
        <v>2824004</v>
      </c>
    </row>
    <row r="174" spans="1:7" ht="31.5">
      <c r="A174" s="3" t="s">
        <v>351</v>
      </c>
      <c r="B174" s="4" t="s">
        <v>736</v>
      </c>
      <c r="C174" s="4" t="s">
        <v>317</v>
      </c>
      <c r="D174" s="4" t="s">
        <v>654</v>
      </c>
      <c r="E174" s="4" t="s">
        <v>654</v>
      </c>
      <c r="F174" s="29">
        <f>прил6!F459</f>
        <v>2824004</v>
      </c>
      <c r="G174" s="29">
        <f>F174</f>
        <v>2824004</v>
      </c>
    </row>
    <row r="175" spans="1:7" ht="31.5">
      <c r="A175" s="3" t="s">
        <v>719</v>
      </c>
      <c r="B175" s="4" t="s">
        <v>505</v>
      </c>
      <c r="C175" s="4"/>
      <c r="D175" s="4"/>
      <c r="E175" s="4"/>
      <c r="F175" s="29">
        <f>F176</f>
        <v>9539509.56</v>
      </c>
      <c r="G175" s="29"/>
    </row>
    <row r="176" spans="1:7" ht="63">
      <c r="A176" s="3" t="s">
        <v>723</v>
      </c>
      <c r="B176" s="4" t="s">
        <v>505</v>
      </c>
      <c r="C176" s="4" t="s">
        <v>317</v>
      </c>
      <c r="D176" s="4"/>
      <c r="E176" s="4"/>
      <c r="F176" s="29">
        <f>F177</f>
        <v>9539509.56</v>
      </c>
      <c r="G176" s="29"/>
    </row>
    <row r="177" spans="1:7" ht="15.75">
      <c r="A177" s="3" t="s">
        <v>662</v>
      </c>
      <c r="B177" s="4" t="s">
        <v>505</v>
      </c>
      <c r="C177" s="4" t="s">
        <v>317</v>
      </c>
      <c r="D177" s="4" t="s">
        <v>654</v>
      </c>
      <c r="E177" s="4"/>
      <c r="F177" s="29">
        <f>F178+F179</f>
        <v>9539509.56</v>
      </c>
      <c r="G177" s="29"/>
    </row>
    <row r="178" spans="1:7" ht="31.5">
      <c r="A178" s="3" t="s">
        <v>351</v>
      </c>
      <c r="B178" s="4" t="s">
        <v>505</v>
      </c>
      <c r="C178" s="4" t="s">
        <v>317</v>
      </c>
      <c r="D178" s="4" t="s">
        <v>654</v>
      </c>
      <c r="E178" s="4" t="s">
        <v>654</v>
      </c>
      <c r="F178" s="29">
        <f>прил6!F461</f>
        <v>9432480.96</v>
      </c>
      <c r="G178" s="29"/>
    </row>
    <row r="179" spans="1:7" ht="34.5" customHeight="1">
      <c r="A179" s="3" t="s">
        <v>675</v>
      </c>
      <c r="B179" s="4" t="s">
        <v>505</v>
      </c>
      <c r="C179" s="4" t="s">
        <v>317</v>
      </c>
      <c r="D179" s="4" t="s">
        <v>654</v>
      </c>
      <c r="E179" s="4" t="s">
        <v>657</v>
      </c>
      <c r="F179" s="29">
        <f>прил6!F506</f>
        <v>107028.6</v>
      </c>
      <c r="G179" s="29"/>
    </row>
    <row r="180" spans="1:7" ht="63">
      <c r="A180" s="3" t="s">
        <v>347</v>
      </c>
      <c r="B180" s="4" t="s">
        <v>348</v>
      </c>
      <c r="C180" s="4"/>
      <c r="D180" s="4"/>
      <c r="E180" s="4"/>
      <c r="F180" s="29">
        <f>F192+F204+F181+F187+F200+F208</f>
        <v>271095835.18000007</v>
      </c>
      <c r="G180" s="29">
        <f>G192+G204+G181+G187+G200+G208</f>
        <v>53520500</v>
      </c>
    </row>
    <row r="181" spans="1:7" ht="47.25">
      <c r="A181" s="3" t="s">
        <v>512</v>
      </c>
      <c r="B181" s="4" t="s">
        <v>460</v>
      </c>
      <c r="C181" s="4"/>
      <c r="D181" s="4"/>
      <c r="E181" s="4"/>
      <c r="F181" s="29">
        <f>F182</f>
        <v>13500000</v>
      </c>
      <c r="G181" s="29"/>
    </row>
    <row r="182" spans="1:7" ht="63">
      <c r="A182" s="3" t="s">
        <v>723</v>
      </c>
      <c r="B182" s="4" t="s">
        <v>460</v>
      </c>
      <c r="C182" s="4" t="s">
        <v>317</v>
      </c>
      <c r="D182" s="4"/>
      <c r="E182" s="4"/>
      <c r="F182" s="29">
        <f>F183</f>
        <v>13500000</v>
      </c>
      <c r="G182" s="29"/>
    </row>
    <row r="183" spans="1:7" ht="15.75">
      <c r="A183" s="3" t="s">
        <v>662</v>
      </c>
      <c r="B183" s="4" t="s">
        <v>460</v>
      </c>
      <c r="C183" s="4" t="s">
        <v>317</v>
      </c>
      <c r="D183" s="4" t="s">
        <v>654</v>
      </c>
      <c r="E183" s="4"/>
      <c r="F183" s="29">
        <f>F184+F185+F186</f>
        <v>13500000</v>
      </c>
      <c r="G183" s="29"/>
    </row>
    <row r="184" spans="1:7" ht="15.75">
      <c r="A184" s="3" t="s">
        <v>663</v>
      </c>
      <c r="B184" s="4" t="s">
        <v>460</v>
      </c>
      <c r="C184" s="4" t="s">
        <v>317</v>
      </c>
      <c r="D184" s="4" t="s">
        <v>654</v>
      </c>
      <c r="E184" s="4" t="s">
        <v>651</v>
      </c>
      <c r="F184" s="29">
        <f>прил7!G551</f>
        <v>4575436.62</v>
      </c>
      <c r="G184" s="29"/>
    </row>
    <row r="185" spans="1:7" ht="15.75">
      <c r="A185" s="3" t="s">
        <v>664</v>
      </c>
      <c r="B185" s="4" t="s">
        <v>460</v>
      </c>
      <c r="C185" s="4" t="s">
        <v>317</v>
      </c>
      <c r="D185" s="4" t="s">
        <v>654</v>
      </c>
      <c r="E185" s="4" t="s">
        <v>656</v>
      </c>
      <c r="F185" s="29">
        <f>прил7!G573</f>
        <v>8774563.38</v>
      </c>
      <c r="G185" s="29"/>
    </row>
    <row r="186" spans="1:7" ht="31.5">
      <c r="A186" s="3" t="s">
        <v>675</v>
      </c>
      <c r="B186" s="4" t="s">
        <v>460</v>
      </c>
      <c r="C186" s="4" t="s">
        <v>317</v>
      </c>
      <c r="D186" s="4" t="s">
        <v>654</v>
      </c>
      <c r="E186" s="4" t="s">
        <v>657</v>
      </c>
      <c r="F186" s="29">
        <f>прил7!G625</f>
        <v>150000</v>
      </c>
      <c r="G186" s="29"/>
    </row>
    <row r="187" spans="1:7" ht="31.5">
      <c r="A187" s="3" t="s">
        <v>719</v>
      </c>
      <c r="B187" s="4" t="s">
        <v>232</v>
      </c>
      <c r="C187" s="4"/>
      <c r="D187" s="4"/>
      <c r="E187" s="4"/>
      <c r="F187" s="29">
        <f>F188</f>
        <v>16377962.18</v>
      </c>
      <c r="G187" s="29"/>
    </row>
    <row r="188" spans="1:7" ht="63">
      <c r="A188" s="3" t="s">
        <v>723</v>
      </c>
      <c r="B188" s="4" t="s">
        <v>232</v>
      </c>
      <c r="C188" s="4" t="s">
        <v>317</v>
      </c>
      <c r="D188" s="4"/>
      <c r="E188" s="4"/>
      <c r="F188" s="29">
        <f>F189</f>
        <v>16377962.18</v>
      </c>
      <c r="G188" s="29"/>
    </row>
    <row r="189" spans="1:7" ht="15.75">
      <c r="A189" s="3" t="s">
        <v>662</v>
      </c>
      <c r="B189" s="4" t="s">
        <v>232</v>
      </c>
      <c r="C189" s="4" t="s">
        <v>317</v>
      </c>
      <c r="D189" s="4" t="s">
        <v>654</v>
      </c>
      <c r="E189" s="4"/>
      <c r="F189" s="29">
        <f>F190+F191</f>
        <v>16377962.18</v>
      </c>
      <c r="G189" s="29"/>
    </row>
    <row r="190" spans="1:7" ht="15.75">
      <c r="A190" s="3" t="s">
        <v>663</v>
      </c>
      <c r="B190" s="4" t="s">
        <v>232</v>
      </c>
      <c r="C190" s="4" t="s">
        <v>317</v>
      </c>
      <c r="D190" s="4" t="s">
        <v>654</v>
      </c>
      <c r="E190" s="4" t="s">
        <v>651</v>
      </c>
      <c r="F190" s="29">
        <f>прил6!F396</f>
        <v>9442710.68</v>
      </c>
      <c r="G190" s="29"/>
    </row>
    <row r="191" spans="1:7" ht="15.75">
      <c r="A191" s="3" t="s">
        <v>664</v>
      </c>
      <c r="B191" s="4" t="s">
        <v>232</v>
      </c>
      <c r="C191" s="4" t="s">
        <v>317</v>
      </c>
      <c r="D191" s="4" t="s">
        <v>654</v>
      </c>
      <c r="E191" s="4" t="s">
        <v>656</v>
      </c>
      <c r="F191" s="29">
        <f>прил7!G574</f>
        <v>6935251.5</v>
      </c>
      <c r="G191" s="29"/>
    </row>
    <row r="192" spans="1:7" ht="63">
      <c r="A192" s="3" t="s">
        <v>506</v>
      </c>
      <c r="B192" s="4" t="s">
        <v>507</v>
      </c>
      <c r="C192" s="4"/>
      <c r="D192" s="4"/>
      <c r="E192" s="4"/>
      <c r="F192" s="29">
        <f>F196+F193</f>
        <v>187697373.00000003</v>
      </c>
      <c r="G192" s="29"/>
    </row>
    <row r="193" spans="1:7" ht="47.25">
      <c r="A193" s="3" t="s">
        <v>702</v>
      </c>
      <c r="B193" s="4" t="s">
        <v>507</v>
      </c>
      <c r="C193" s="4" t="s">
        <v>313</v>
      </c>
      <c r="D193" s="4"/>
      <c r="E193" s="4"/>
      <c r="F193" s="29">
        <f>F194</f>
        <v>6126765.91</v>
      </c>
      <c r="G193" s="29"/>
    </row>
    <row r="194" spans="1:7" ht="15.75">
      <c r="A194" s="3" t="s">
        <v>662</v>
      </c>
      <c r="B194" s="4" t="s">
        <v>507</v>
      </c>
      <c r="C194" s="4" t="s">
        <v>313</v>
      </c>
      <c r="D194" s="4" t="s">
        <v>654</v>
      </c>
      <c r="E194" s="4"/>
      <c r="F194" s="29">
        <f>F195</f>
        <v>6126765.91</v>
      </c>
      <c r="G194" s="29"/>
    </row>
    <row r="195" spans="1:7" ht="15.75">
      <c r="A195" s="3" t="s">
        <v>664</v>
      </c>
      <c r="B195" s="4" t="s">
        <v>507</v>
      </c>
      <c r="C195" s="4" t="s">
        <v>313</v>
      </c>
      <c r="D195" s="4" t="s">
        <v>654</v>
      </c>
      <c r="E195" s="4" t="s">
        <v>656</v>
      </c>
      <c r="F195" s="29">
        <f>прил7!G426</f>
        <v>6126765.91</v>
      </c>
      <c r="G195" s="29"/>
    </row>
    <row r="196" spans="1:7" ht="47.25">
      <c r="A196" s="3" t="s">
        <v>189</v>
      </c>
      <c r="B196" s="4" t="s">
        <v>507</v>
      </c>
      <c r="C196" s="4" t="s">
        <v>693</v>
      </c>
      <c r="D196" s="4"/>
      <c r="E196" s="4"/>
      <c r="F196" s="29">
        <f>F197</f>
        <v>181570607.09000003</v>
      </c>
      <c r="G196" s="29"/>
    </row>
    <row r="197" spans="1:7" ht="15.75">
      <c r="A197" s="3" t="s">
        <v>662</v>
      </c>
      <c r="B197" s="4" t="s">
        <v>507</v>
      </c>
      <c r="C197" s="4" t="s">
        <v>693</v>
      </c>
      <c r="D197" s="4" t="s">
        <v>654</v>
      </c>
      <c r="E197" s="4"/>
      <c r="F197" s="29">
        <f>F198+F199</f>
        <v>181570607.09000003</v>
      </c>
      <c r="G197" s="29"/>
    </row>
    <row r="198" spans="1:7" ht="15.75">
      <c r="A198" s="3" t="s">
        <v>663</v>
      </c>
      <c r="B198" s="4" t="s">
        <v>507</v>
      </c>
      <c r="C198" s="4" t="s">
        <v>693</v>
      </c>
      <c r="D198" s="4" t="s">
        <v>654</v>
      </c>
      <c r="E198" s="4" t="s">
        <v>651</v>
      </c>
      <c r="F198" s="29">
        <f>прил6!F398</f>
        <v>102475493.00000001</v>
      </c>
      <c r="G198" s="29"/>
    </row>
    <row r="199" spans="1:7" ht="15.75">
      <c r="A199" s="3" t="s">
        <v>664</v>
      </c>
      <c r="B199" s="4" t="s">
        <v>507</v>
      </c>
      <c r="C199" s="4" t="s">
        <v>693</v>
      </c>
      <c r="D199" s="4" t="s">
        <v>654</v>
      </c>
      <c r="E199" s="4" t="s">
        <v>656</v>
      </c>
      <c r="F199" s="29">
        <f>прил6!F425</f>
        <v>79095114.09</v>
      </c>
      <c r="G199" s="29"/>
    </row>
    <row r="200" spans="1:7" ht="78.75" hidden="1">
      <c r="A200" s="3" t="s">
        <v>277</v>
      </c>
      <c r="B200" s="4" t="s">
        <v>276</v>
      </c>
      <c r="C200" s="4"/>
      <c r="D200" s="4"/>
      <c r="E200" s="4"/>
      <c r="F200" s="29">
        <f aca="true" t="shared" si="21" ref="F200:G202">F201</f>
        <v>0</v>
      </c>
      <c r="G200" s="29">
        <f t="shared" si="21"/>
        <v>0</v>
      </c>
    </row>
    <row r="201" spans="1:7" ht="47.25" hidden="1">
      <c r="A201" s="3" t="s">
        <v>189</v>
      </c>
      <c r="B201" s="4" t="s">
        <v>276</v>
      </c>
      <c r="C201" s="4" t="s">
        <v>693</v>
      </c>
      <c r="D201" s="4"/>
      <c r="E201" s="4"/>
      <c r="F201" s="29">
        <f t="shared" si="21"/>
        <v>0</v>
      </c>
      <c r="G201" s="29">
        <f t="shared" si="21"/>
        <v>0</v>
      </c>
    </row>
    <row r="202" spans="1:7" ht="33" customHeight="1" hidden="1">
      <c r="A202" s="3" t="s">
        <v>662</v>
      </c>
      <c r="B202" s="4" t="s">
        <v>276</v>
      </c>
      <c r="C202" s="4" t="s">
        <v>693</v>
      </c>
      <c r="D202" s="4" t="s">
        <v>654</v>
      </c>
      <c r="E202" s="4"/>
      <c r="F202" s="29">
        <f t="shared" si="21"/>
        <v>0</v>
      </c>
      <c r="G202" s="29">
        <f t="shared" si="21"/>
        <v>0</v>
      </c>
    </row>
    <row r="203" spans="1:7" ht="32.25" customHeight="1" hidden="1">
      <c r="A203" s="3" t="s">
        <v>664</v>
      </c>
      <c r="B203" s="4" t="s">
        <v>276</v>
      </c>
      <c r="C203" s="4" t="s">
        <v>693</v>
      </c>
      <c r="D203" s="4" t="s">
        <v>654</v>
      </c>
      <c r="E203" s="4" t="s">
        <v>656</v>
      </c>
      <c r="F203" s="29">
        <f>прил6!F427</f>
        <v>0</v>
      </c>
      <c r="G203" s="29">
        <f>F203</f>
        <v>0</v>
      </c>
    </row>
    <row r="204" spans="1:7" ht="31.5">
      <c r="A204" s="3" t="s">
        <v>284</v>
      </c>
      <c r="B204" s="4" t="s">
        <v>285</v>
      </c>
      <c r="C204" s="4"/>
      <c r="D204" s="4"/>
      <c r="E204" s="4"/>
      <c r="F204" s="29">
        <f aca="true" t="shared" si="22" ref="F204:G206">F205</f>
        <v>48714400</v>
      </c>
      <c r="G204" s="29">
        <f t="shared" si="22"/>
        <v>48714400</v>
      </c>
    </row>
    <row r="205" spans="1:7" ht="47.25">
      <c r="A205" s="3" t="s">
        <v>189</v>
      </c>
      <c r="B205" s="4" t="s">
        <v>285</v>
      </c>
      <c r="C205" s="4" t="s">
        <v>693</v>
      </c>
      <c r="D205" s="4"/>
      <c r="E205" s="4"/>
      <c r="F205" s="29">
        <f t="shared" si="22"/>
        <v>48714400</v>
      </c>
      <c r="G205" s="29">
        <f t="shared" si="22"/>
        <v>48714400</v>
      </c>
    </row>
    <row r="206" spans="1:7" ht="15.75">
      <c r="A206" s="3" t="s">
        <v>662</v>
      </c>
      <c r="B206" s="4" t="s">
        <v>285</v>
      </c>
      <c r="C206" s="4" t="s">
        <v>693</v>
      </c>
      <c r="D206" s="4" t="s">
        <v>654</v>
      </c>
      <c r="E206" s="4"/>
      <c r="F206" s="29">
        <f t="shared" si="22"/>
        <v>48714400</v>
      </c>
      <c r="G206" s="29">
        <f t="shared" si="22"/>
        <v>48714400</v>
      </c>
    </row>
    <row r="207" spans="1:7" ht="15.75">
      <c r="A207" s="3" t="s">
        <v>663</v>
      </c>
      <c r="B207" s="4" t="s">
        <v>285</v>
      </c>
      <c r="C207" s="4" t="s">
        <v>693</v>
      </c>
      <c r="D207" s="4" t="s">
        <v>654</v>
      </c>
      <c r="E207" s="4" t="s">
        <v>651</v>
      </c>
      <c r="F207" s="29">
        <f>прил6!F400</f>
        <v>48714400</v>
      </c>
      <c r="G207" s="29">
        <f>F207</f>
        <v>48714400</v>
      </c>
    </row>
    <row r="208" spans="1:7" ht="94.5">
      <c r="A208" s="3" t="s">
        <v>638</v>
      </c>
      <c r="B208" s="4" t="s">
        <v>639</v>
      </c>
      <c r="C208" s="4"/>
      <c r="D208" s="4"/>
      <c r="E208" s="4"/>
      <c r="F208" s="29">
        <f aca="true" t="shared" si="23" ref="F208:G210">F209</f>
        <v>4806100</v>
      </c>
      <c r="G208" s="29">
        <f t="shared" si="23"/>
        <v>4806100</v>
      </c>
    </row>
    <row r="209" spans="1:7" ht="63">
      <c r="A209" s="3" t="s">
        <v>723</v>
      </c>
      <c r="B209" s="4" t="s">
        <v>639</v>
      </c>
      <c r="C209" s="4" t="s">
        <v>317</v>
      </c>
      <c r="D209" s="4"/>
      <c r="E209" s="4"/>
      <c r="F209" s="29">
        <f t="shared" si="23"/>
        <v>4806100</v>
      </c>
      <c r="G209" s="29">
        <f t="shared" si="23"/>
        <v>4806100</v>
      </c>
    </row>
    <row r="210" spans="1:7" ht="15.75">
      <c r="A210" s="3" t="s">
        <v>662</v>
      </c>
      <c r="B210" s="4" t="s">
        <v>639</v>
      </c>
      <c r="C210" s="4" t="s">
        <v>313</v>
      </c>
      <c r="D210" s="4" t="s">
        <v>654</v>
      </c>
      <c r="E210" s="4"/>
      <c r="F210" s="29">
        <f t="shared" si="23"/>
        <v>4806100</v>
      </c>
      <c r="G210" s="29">
        <f t="shared" si="23"/>
        <v>4806100</v>
      </c>
    </row>
    <row r="211" spans="1:7" ht="15.75">
      <c r="A211" s="3" t="s">
        <v>664</v>
      </c>
      <c r="B211" s="4" t="s">
        <v>639</v>
      </c>
      <c r="C211" s="4" t="s">
        <v>313</v>
      </c>
      <c r="D211" s="4" t="s">
        <v>654</v>
      </c>
      <c r="E211" s="4" t="s">
        <v>656</v>
      </c>
      <c r="F211" s="29">
        <f>прил7!G577</f>
        <v>4806100</v>
      </c>
      <c r="G211" s="29">
        <f>F211</f>
        <v>4806100</v>
      </c>
    </row>
    <row r="212" spans="1:7" ht="78.75">
      <c r="A212" s="13" t="s">
        <v>542</v>
      </c>
      <c r="B212" s="5" t="s">
        <v>718</v>
      </c>
      <c r="C212" s="5"/>
      <c r="D212" s="5"/>
      <c r="E212" s="5"/>
      <c r="F212" s="28">
        <f>F213+F223+F236+F240+F219+F232</f>
        <v>2936743.34</v>
      </c>
      <c r="G212" s="28">
        <f>G213+G223+G236+G240+G219+G232</f>
        <v>1112400</v>
      </c>
    </row>
    <row r="213" spans="1:7" ht="47.25" hidden="1">
      <c r="A213" s="3" t="s">
        <v>512</v>
      </c>
      <c r="B213" s="4" t="s">
        <v>399</v>
      </c>
      <c r="C213" s="2"/>
      <c r="D213" s="2"/>
      <c r="E213" s="2"/>
      <c r="F213" s="29">
        <f>F214</f>
        <v>0</v>
      </c>
      <c r="G213" s="33"/>
    </row>
    <row r="214" spans="1:7" ht="63" hidden="1">
      <c r="A214" s="3" t="s">
        <v>723</v>
      </c>
      <c r="B214" s="4" t="s">
        <v>399</v>
      </c>
      <c r="C214" s="4" t="s">
        <v>317</v>
      </c>
      <c r="D214" s="4"/>
      <c r="E214" s="4"/>
      <c r="F214" s="29">
        <f>F215+F217</f>
        <v>0</v>
      </c>
      <c r="G214" s="29"/>
    </row>
    <row r="215" spans="1:7" ht="15.75" hidden="1">
      <c r="A215" s="3" t="s">
        <v>662</v>
      </c>
      <c r="B215" s="4" t="s">
        <v>399</v>
      </c>
      <c r="C215" s="4" t="s">
        <v>317</v>
      </c>
      <c r="D215" s="4" t="s">
        <v>654</v>
      </c>
      <c r="E215" s="4"/>
      <c r="F215" s="29"/>
      <c r="G215" s="29"/>
    </row>
    <row r="216" spans="1:7" ht="15.75" hidden="1">
      <c r="A216" s="3" t="s">
        <v>664</v>
      </c>
      <c r="B216" s="4" t="s">
        <v>399</v>
      </c>
      <c r="C216" s="4" t="s">
        <v>317</v>
      </c>
      <c r="D216" s="4" t="s">
        <v>654</v>
      </c>
      <c r="E216" s="4" t="s">
        <v>656</v>
      </c>
      <c r="F216" s="29"/>
      <c r="G216" s="29"/>
    </row>
    <row r="217" spans="1:7" ht="15.75" hidden="1">
      <c r="A217" s="3" t="s">
        <v>314</v>
      </c>
      <c r="B217" s="4" t="s">
        <v>399</v>
      </c>
      <c r="C217" s="4" t="s">
        <v>317</v>
      </c>
      <c r="D217" s="4" t="s">
        <v>655</v>
      </c>
      <c r="E217" s="4"/>
      <c r="F217" s="29"/>
      <c r="G217" s="29"/>
    </row>
    <row r="218" spans="1:7" ht="15.75" hidden="1">
      <c r="A218" s="3" t="s">
        <v>676</v>
      </c>
      <c r="B218" s="4" t="s">
        <v>399</v>
      </c>
      <c r="C218" s="4" t="s">
        <v>317</v>
      </c>
      <c r="D218" s="4" t="s">
        <v>655</v>
      </c>
      <c r="E218" s="4" t="s">
        <v>651</v>
      </c>
      <c r="F218" s="29"/>
      <c r="G218" s="29"/>
    </row>
    <row r="219" spans="1:7" ht="47.25">
      <c r="A219" s="3" t="s">
        <v>512</v>
      </c>
      <c r="B219" s="4" t="s">
        <v>399</v>
      </c>
      <c r="C219" s="4"/>
      <c r="D219" s="4"/>
      <c r="E219" s="4"/>
      <c r="F219" s="29">
        <f>F220</f>
        <v>854343.34</v>
      </c>
      <c r="G219" s="29"/>
    </row>
    <row r="220" spans="1:7" ht="47.25">
      <c r="A220" s="3" t="s">
        <v>702</v>
      </c>
      <c r="B220" s="4" t="s">
        <v>399</v>
      </c>
      <c r="C220" s="4" t="s">
        <v>313</v>
      </c>
      <c r="D220" s="4"/>
      <c r="E220" s="4"/>
      <c r="F220" s="29">
        <f>F221</f>
        <v>854343.34</v>
      </c>
      <c r="G220" s="29"/>
    </row>
    <row r="221" spans="1:7" ht="15.75">
      <c r="A221" s="3" t="s">
        <v>670</v>
      </c>
      <c r="B221" s="4" t="s">
        <v>399</v>
      </c>
      <c r="C221" s="4" t="s">
        <v>313</v>
      </c>
      <c r="D221" s="4" t="s">
        <v>651</v>
      </c>
      <c r="E221" s="4"/>
      <c r="F221" s="29">
        <f>F222</f>
        <v>854343.34</v>
      </c>
      <c r="G221" s="29"/>
    </row>
    <row r="222" spans="1:7" ht="31.5">
      <c r="A222" s="60" t="s">
        <v>680</v>
      </c>
      <c r="B222" s="4" t="s">
        <v>399</v>
      </c>
      <c r="C222" s="4" t="s">
        <v>313</v>
      </c>
      <c r="D222" s="4" t="s">
        <v>651</v>
      </c>
      <c r="E222" s="4" t="s">
        <v>310</v>
      </c>
      <c r="F222" s="29">
        <f>прил6!F120</f>
        <v>854343.34</v>
      </c>
      <c r="G222" s="29"/>
    </row>
    <row r="223" spans="1:7" ht="31.5">
      <c r="A223" s="3" t="s">
        <v>719</v>
      </c>
      <c r="B223" s="4" t="s">
        <v>720</v>
      </c>
      <c r="C223" s="4"/>
      <c r="D223" s="4"/>
      <c r="E223" s="4"/>
      <c r="F223" s="29">
        <f>F224+F227</f>
        <v>670000</v>
      </c>
      <c r="G223" s="29"/>
    </row>
    <row r="224" spans="1:7" ht="31.5">
      <c r="A224" s="3" t="s">
        <v>560</v>
      </c>
      <c r="B224" s="4" t="s">
        <v>720</v>
      </c>
      <c r="C224" s="4" t="s">
        <v>561</v>
      </c>
      <c r="D224" s="4"/>
      <c r="E224" s="4"/>
      <c r="F224" s="29">
        <f>F225</f>
        <v>670000</v>
      </c>
      <c r="G224" s="29"/>
    </row>
    <row r="225" spans="1:7" ht="15.75">
      <c r="A225" s="3" t="s">
        <v>670</v>
      </c>
      <c r="B225" s="4" t="s">
        <v>720</v>
      </c>
      <c r="C225" s="4" t="s">
        <v>561</v>
      </c>
      <c r="D225" s="4" t="s">
        <v>651</v>
      </c>
      <c r="E225" s="4"/>
      <c r="F225" s="29">
        <f>F226</f>
        <v>670000</v>
      </c>
      <c r="G225" s="29"/>
    </row>
    <row r="226" spans="1:7" ht="31.5">
      <c r="A226" s="3" t="s">
        <v>680</v>
      </c>
      <c r="B226" s="4" t="s">
        <v>720</v>
      </c>
      <c r="C226" s="4" t="s">
        <v>561</v>
      </c>
      <c r="D226" s="4" t="s">
        <v>651</v>
      </c>
      <c r="E226" s="4" t="s">
        <v>310</v>
      </c>
      <c r="F226" s="29">
        <f>прил6!F122</f>
        <v>670000</v>
      </c>
      <c r="G226" s="29"/>
    </row>
    <row r="227" spans="1:7" ht="63" hidden="1">
      <c r="A227" s="3" t="s">
        <v>723</v>
      </c>
      <c r="B227" s="4" t="s">
        <v>720</v>
      </c>
      <c r="C227" s="4" t="s">
        <v>317</v>
      </c>
      <c r="D227" s="4"/>
      <c r="E227" s="4"/>
      <c r="F227" s="29"/>
      <c r="G227" s="29"/>
    </row>
    <row r="228" spans="1:7" ht="15.75" hidden="1">
      <c r="A228" s="3" t="s">
        <v>662</v>
      </c>
      <c r="B228" s="4" t="s">
        <v>720</v>
      </c>
      <c r="C228" s="4" t="s">
        <v>317</v>
      </c>
      <c r="D228" s="4" t="s">
        <v>654</v>
      </c>
      <c r="E228" s="4"/>
      <c r="F228" s="29"/>
      <c r="G228" s="29"/>
    </row>
    <row r="229" spans="1:7" ht="15.75" hidden="1">
      <c r="A229" s="3" t="s">
        <v>663</v>
      </c>
      <c r="B229" s="4" t="s">
        <v>720</v>
      </c>
      <c r="C229" s="4" t="s">
        <v>317</v>
      </c>
      <c r="D229" s="4" t="s">
        <v>654</v>
      </c>
      <c r="E229" s="4" t="s">
        <v>651</v>
      </c>
      <c r="F229" s="29"/>
      <c r="G229" s="29"/>
    </row>
    <row r="230" spans="1:7" ht="15.75" hidden="1">
      <c r="A230" s="3" t="s">
        <v>314</v>
      </c>
      <c r="B230" s="4" t="s">
        <v>720</v>
      </c>
      <c r="C230" s="4" t="s">
        <v>317</v>
      </c>
      <c r="D230" s="4" t="s">
        <v>655</v>
      </c>
      <c r="E230" s="4"/>
      <c r="F230" s="29"/>
      <c r="G230" s="29"/>
    </row>
    <row r="231" spans="1:7" ht="15.75" hidden="1">
      <c r="A231" s="3" t="s">
        <v>676</v>
      </c>
      <c r="B231" s="4" t="s">
        <v>720</v>
      </c>
      <c r="C231" s="4" t="s">
        <v>317</v>
      </c>
      <c r="D231" s="4" t="s">
        <v>655</v>
      </c>
      <c r="E231" s="4" t="s">
        <v>651</v>
      </c>
      <c r="F231" s="29"/>
      <c r="G231" s="29"/>
    </row>
    <row r="232" spans="1:7" ht="63">
      <c r="A232" s="3" t="s">
        <v>280</v>
      </c>
      <c r="B232" s="4" t="s">
        <v>281</v>
      </c>
      <c r="C232" s="4"/>
      <c r="D232" s="4"/>
      <c r="E232" s="4"/>
      <c r="F232" s="29">
        <f aca="true" t="shared" si="24" ref="F232:G234">F233</f>
        <v>1112400</v>
      </c>
      <c r="G232" s="29">
        <f t="shared" si="24"/>
        <v>1112400</v>
      </c>
    </row>
    <row r="233" spans="1:7" ht="63">
      <c r="A233" s="3" t="s">
        <v>723</v>
      </c>
      <c r="B233" s="4" t="s">
        <v>281</v>
      </c>
      <c r="C233" s="4" t="s">
        <v>317</v>
      </c>
      <c r="D233" s="4"/>
      <c r="E233" s="4"/>
      <c r="F233" s="29">
        <f t="shared" si="24"/>
        <v>1112400</v>
      </c>
      <c r="G233" s="29">
        <f t="shared" si="24"/>
        <v>1112400</v>
      </c>
    </row>
    <row r="234" spans="1:7" ht="15.75">
      <c r="A234" s="3" t="s">
        <v>640</v>
      </c>
      <c r="B234" s="4" t="s">
        <v>281</v>
      </c>
      <c r="C234" s="4" t="s">
        <v>317</v>
      </c>
      <c r="D234" s="4" t="s">
        <v>655</v>
      </c>
      <c r="E234" s="4"/>
      <c r="F234" s="29">
        <f t="shared" si="24"/>
        <v>1112400</v>
      </c>
      <c r="G234" s="29">
        <f t="shared" si="24"/>
        <v>1112400</v>
      </c>
    </row>
    <row r="235" spans="1:7" ht="15.75">
      <c r="A235" s="3" t="s">
        <v>676</v>
      </c>
      <c r="B235" s="4" t="s">
        <v>281</v>
      </c>
      <c r="C235" s="4" t="s">
        <v>317</v>
      </c>
      <c r="D235" s="4" t="s">
        <v>655</v>
      </c>
      <c r="E235" s="4" t="s">
        <v>651</v>
      </c>
      <c r="F235" s="29">
        <f>прил7!G754</f>
        <v>1112400</v>
      </c>
      <c r="G235" s="29">
        <f>F235</f>
        <v>1112400</v>
      </c>
    </row>
    <row r="236" spans="1:7" ht="47.25">
      <c r="A236" s="3" t="s">
        <v>721</v>
      </c>
      <c r="B236" s="4" t="s">
        <v>722</v>
      </c>
      <c r="C236" s="4"/>
      <c r="D236" s="4"/>
      <c r="E236" s="4"/>
      <c r="F236" s="29">
        <f>F237</f>
        <v>300000</v>
      </c>
      <c r="G236" s="29"/>
    </row>
    <row r="237" spans="1:7" ht="63">
      <c r="A237" s="60" t="s">
        <v>723</v>
      </c>
      <c r="B237" s="4" t="s">
        <v>722</v>
      </c>
      <c r="C237" s="4" t="s">
        <v>317</v>
      </c>
      <c r="D237" s="4"/>
      <c r="E237" s="4"/>
      <c r="F237" s="29">
        <f>F238</f>
        <v>300000</v>
      </c>
      <c r="G237" s="29"/>
    </row>
    <row r="238" spans="1:7" ht="15.75">
      <c r="A238" s="3" t="s">
        <v>670</v>
      </c>
      <c r="B238" s="4" t="s">
        <v>722</v>
      </c>
      <c r="C238" s="4" t="s">
        <v>317</v>
      </c>
      <c r="D238" s="4" t="s">
        <v>651</v>
      </c>
      <c r="E238" s="4"/>
      <c r="F238" s="29">
        <f>F239</f>
        <v>300000</v>
      </c>
      <c r="G238" s="29"/>
    </row>
    <row r="239" spans="1:7" ht="31.5">
      <c r="A239" s="60" t="s">
        <v>680</v>
      </c>
      <c r="B239" s="4" t="s">
        <v>722</v>
      </c>
      <c r="C239" s="4" t="s">
        <v>317</v>
      </c>
      <c r="D239" s="4" t="s">
        <v>651</v>
      </c>
      <c r="E239" s="4" t="s">
        <v>310</v>
      </c>
      <c r="F239" s="29">
        <f>прил6!F124</f>
        <v>300000</v>
      </c>
      <c r="G239" s="29"/>
    </row>
    <row r="240" spans="1:7" ht="63" hidden="1">
      <c r="A240" s="3" t="s">
        <v>280</v>
      </c>
      <c r="B240" s="4" t="s">
        <v>281</v>
      </c>
      <c r="C240" s="4"/>
      <c r="D240" s="4"/>
      <c r="E240" s="4"/>
      <c r="F240" s="29"/>
      <c r="G240" s="29"/>
    </row>
    <row r="241" spans="1:7" ht="63" hidden="1">
      <c r="A241" s="3" t="s">
        <v>723</v>
      </c>
      <c r="B241" s="4" t="s">
        <v>281</v>
      </c>
      <c r="C241" s="4" t="s">
        <v>317</v>
      </c>
      <c r="D241" s="4"/>
      <c r="E241" s="4"/>
      <c r="F241" s="29"/>
      <c r="G241" s="29"/>
    </row>
    <row r="242" spans="1:7" ht="15.75" hidden="1">
      <c r="A242" s="3" t="s">
        <v>662</v>
      </c>
      <c r="B242" s="4" t="s">
        <v>281</v>
      </c>
      <c r="C242" s="4" t="s">
        <v>317</v>
      </c>
      <c r="D242" s="4" t="s">
        <v>654</v>
      </c>
      <c r="E242" s="4"/>
      <c r="F242" s="29"/>
      <c r="G242" s="29"/>
    </row>
    <row r="243" spans="1:7" ht="15.75" hidden="1">
      <c r="A243" s="3" t="s">
        <v>663</v>
      </c>
      <c r="B243" s="4" t="s">
        <v>281</v>
      </c>
      <c r="C243" s="4" t="s">
        <v>317</v>
      </c>
      <c r="D243" s="4" t="s">
        <v>654</v>
      </c>
      <c r="E243" s="4" t="s">
        <v>651</v>
      </c>
      <c r="F243" s="29"/>
      <c r="G243" s="29"/>
    </row>
    <row r="244" spans="1:7" ht="15.75" hidden="1">
      <c r="A244" s="3" t="s">
        <v>664</v>
      </c>
      <c r="B244" s="4" t="s">
        <v>281</v>
      </c>
      <c r="C244" s="4" t="s">
        <v>317</v>
      </c>
      <c r="D244" s="4" t="s">
        <v>654</v>
      </c>
      <c r="E244" s="4" t="s">
        <v>656</v>
      </c>
      <c r="F244" s="29"/>
      <c r="G244" s="29"/>
    </row>
    <row r="245" spans="1:7" ht="15.75" hidden="1">
      <c r="A245" s="3" t="s">
        <v>314</v>
      </c>
      <c r="B245" s="4" t="s">
        <v>281</v>
      </c>
      <c r="C245" s="4" t="s">
        <v>317</v>
      </c>
      <c r="D245" s="4" t="s">
        <v>655</v>
      </c>
      <c r="E245" s="4"/>
      <c r="F245" s="29"/>
      <c r="G245" s="29"/>
    </row>
    <row r="246" spans="1:7" ht="15.75" hidden="1">
      <c r="A246" s="6" t="s">
        <v>676</v>
      </c>
      <c r="B246" s="7" t="s">
        <v>281</v>
      </c>
      <c r="C246" s="7" t="s">
        <v>317</v>
      </c>
      <c r="D246" s="7" t="s">
        <v>655</v>
      </c>
      <c r="E246" s="7" t="s">
        <v>651</v>
      </c>
      <c r="F246" s="31"/>
      <c r="G246" s="31"/>
    </row>
    <row r="247" spans="1:7" ht="94.5">
      <c r="A247" s="50" t="s">
        <v>543</v>
      </c>
      <c r="B247" s="2" t="s">
        <v>735</v>
      </c>
      <c r="C247" s="2"/>
      <c r="D247" s="2"/>
      <c r="E247" s="2"/>
      <c r="F247" s="33">
        <f>F248+F261+F273+F282</f>
        <v>17041832.45</v>
      </c>
      <c r="G247" s="33">
        <f>G248+G261+G273+G282</f>
        <v>58100</v>
      </c>
    </row>
    <row r="248" spans="1:7" ht="31.5">
      <c r="A248" s="27" t="s">
        <v>738</v>
      </c>
      <c r="B248" s="4" t="s">
        <v>739</v>
      </c>
      <c r="C248" s="4"/>
      <c r="D248" s="4"/>
      <c r="E248" s="4"/>
      <c r="F248" s="29">
        <f>F249+F257+F253</f>
        <v>1458150</v>
      </c>
      <c r="G248" s="29">
        <f>G249+G257+G253</f>
        <v>58100</v>
      </c>
    </row>
    <row r="249" spans="1:7" ht="31.5">
      <c r="A249" s="27" t="s">
        <v>719</v>
      </c>
      <c r="B249" s="4" t="s">
        <v>439</v>
      </c>
      <c r="C249" s="4"/>
      <c r="D249" s="4"/>
      <c r="E249" s="4"/>
      <c r="F249" s="29">
        <f>F250</f>
        <v>1400050</v>
      </c>
      <c r="G249" s="29"/>
    </row>
    <row r="250" spans="1:7" ht="47.25">
      <c r="A250" s="3" t="s">
        <v>702</v>
      </c>
      <c r="B250" s="4" t="s">
        <v>439</v>
      </c>
      <c r="C250" s="4" t="s">
        <v>313</v>
      </c>
      <c r="D250" s="4"/>
      <c r="E250" s="4"/>
      <c r="F250" s="29">
        <f>F251</f>
        <v>1400050</v>
      </c>
      <c r="G250" s="29"/>
    </row>
    <row r="251" spans="1:7" ht="15.75">
      <c r="A251" s="27" t="s">
        <v>455</v>
      </c>
      <c r="B251" s="4" t="s">
        <v>439</v>
      </c>
      <c r="C251" s="4" t="s">
        <v>313</v>
      </c>
      <c r="D251" s="4" t="s">
        <v>458</v>
      </c>
      <c r="E251" s="4"/>
      <c r="F251" s="29">
        <f>F252</f>
        <v>1400050</v>
      </c>
      <c r="G251" s="29"/>
    </row>
    <row r="252" spans="1:7" ht="15.75">
      <c r="A252" s="27" t="s">
        <v>302</v>
      </c>
      <c r="B252" s="4" t="s">
        <v>439</v>
      </c>
      <c r="C252" s="4" t="s">
        <v>313</v>
      </c>
      <c r="D252" s="4" t="s">
        <v>458</v>
      </c>
      <c r="E252" s="4" t="s">
        <v>651</v>
      </c>
      <c r="F252" s="29">
        <f>прил6!F662</f>
        <v>1400050</v>
      </c>
      <c r="G252" s="29"/>
    </row>
    <row r="253" spans="1:7" ht="63" hidden="1">
      <c r="A253" s="3" t="s">
        <v>286</v>
      </c>
      <c r="B253" s="4" t="s">
        <v>287</v>
      </c>
      <c r="C253" s="4"/>
      <c r="D253" s="4"/>
      <c r="E253" s="4"/>
      <c r="F253" s="29">
        <f aca="true" t="shared" si="25" ref="F253:G255">F254</f>
        <v>0</v>
      </c>
      <c r="G253" s="29">
        <f t="shared" si="25"/>
        <v>0</v>
      </c>
    </row>
    <row r="254" spans="1:7" ht="47.25" hidden="1">
      <c r="A254" s="3" t="s">
        <v>702</v>
      </c>
      <c r="B254" s="4" t="s">
        <v>287</v>
      </c>
      <c r="C254" s="4" t="s">
        <v>313</v>
      </c>
      <c r="D254" s="4"/>
      <c r="E254" s="4"/>
      <c r="F254" s="29">
        <f t="shared" si="25"/>
        <v>0</v>
      </c>
      <c r="G254" s="29">
        <f t="shared" si="25"/>
        <v>0</v>
      </c>
    </row>
    <row r="255" spans="1:7" ht="20.25" customHeight="1" hidden="1">
      <c r="A255" s="27" t="s">
        <v>455</v>
      </c>
      <c r="B255" s="4" t="s">
        <v>287</v>
      </c>
      <c r="C255" s="4" t="s">
        <v>313</v>
      </c>
      <c r="D255" s="4" t="s">
        <v>458</v>
      </c>
      <c r="E255" s="4"/>
      <c r="F255" s="29">
        <f t="shared" si="25"/>
        <v>0</v>
      </c>
      <c r="G255" s="29">
        <f t="shared" si="25"/>
        <v>0</v>
      </c>
    </row>
    <row r="256" spans="1:7" ht="24.75" customHeight="1" hidden="1">
      <c r="A256" s="27" t="s">
        <v>302</v>
      </c>
      <c r="B256" s="4" t="s">
        <v>287</v>
      </c>
      <c r="C256" s="4" t="s">
        <v>313</v>
      </c>
      <c r="D256" s="4" t="s">
        <v>458</v>
      </c>
      <c r="E256" s="4" t="s">
        <v>651</v>
      </c>
      <c r="F256" s="29">
        <f>прил6!F664</f>
        <v>0</v>
      </c>
      <c r="G256" s="29">
        <f>F256</f>
        <v>0</v>
      </c>
    </row>
    <row r="257" spans="1:7" ht="157.5">
      <c r="A257" s="27" t="s">
        <v>740</v>
      </c>
      <c r="B257" s="4" t="s">
        <v>741</v>
      </c>
      <c r="C257" s="4"/>
      <c r="D257" s="4"/>
      <c r="E257" s="4"/>
      <c r="F257" s="29">
        <f aca="true" t="shared" si="26" ref="F257:G259">F258</f>
        <v>58100</v>
      </c>
      <c r="G257" s="29">
        <f t="shared" si="26"/>
        <v>58100</v>
      </c>
    </row>
    <row r="258" spans="1:7" ht="126">
      <c r="A258" s="3" t="s">
        <v>701</v>
      </c>
      <c r="B258" s="4" t="s">
        <v>741</v>
      </c>
      <c r="C258" s="4" t="s">
        <v>312</v>
      </c>
      <c r="D258" s="4"/>
      <c r="E258" s="4"/>
      <c r="F258" s="29">
        <f t="shared" si="26"/>
        <v>58100</v>
      </c>
      <c r="G258" s="29">
        <f t="shared" si="26"/>
        <v>58100</v>
      </c>
    </row>
    <row r="259" spans="1:7" ht="15.75">
      <c r="A259" s="27" t="s">
        <v>455</v>
      </c>
      <c r="B259" s="4" t="s">
        <v>741</v>
      </c>
      <c r="C259" s="4" t="s">
        <v>312</v>
      </c>
      <c r="D259" s="4" t="s">
        <v>458</v>
      </c>
      <c r="E259" s="4"/>
      <c r="F259" s="29">
        <f t="shared" si="26"/>
        <v>58100</v>
      </c>
      <c r="G259" s="29">
        <f t="shared" si="26"/>
        <v>58100</v>
      </c>
    </row>
    <row r="260" spans="1:7" ht="31.5">
      <c r="A260" s="3" t="s">
        <v>734</v>
      </c>
      <c r="B260" s="4" t="s">
        <v>741</v>
      </c>
      <c r="C260" s="4" t="s">
        <v>312</v>
      </c>
      <c r="D260" s="4" t="s">
        <v>458</v>
      </c>
      <c r="E260" s="4" t="s">
        <v>653</v>
      </c>
      <c r="F260" s="29">
        <f>прил6!F669</f>
        <v>58100</v>
      </c>
      <c r="G260" s="29">
        <f>F260</f>
        <v>58100</v>
      </c>
    </row>
    <row r="261" spans="1:7" ht="31.5">
      <c r="A261" s="3" t="s">
        <v>440</v>
      </c>
      <c r="B261" s="4" t="s">
        <v>441</v>
      </c>
      <c r="C261" s="4"/>
      <c r="D261" s="4"/>
      <c r="E261" s="4"/>
      <c r="F261" s="29">
        <f>F262+F266</f>
        <v>875000</v>
      </c>
      <c r="G261" s="29"/>
    </row>
    <row r="262" spans="1:7" ht="47.25">
      <c r="A262" s="3" t="s">
        <v>442</v>
      </c>
      <c r="B262" s="4" t="s">
        <v>443</v>
      </c>
      <c r="C262" s="4"/>
      <c r="D262" s="4"/>
      <c r="E262" s="4"/>
      <c r="F262" s="29">
        <f>F263</f>
        <v>300000</v>
      </c>
      <c r="G262" s="29"/>
    </row>
    <row r="263" spans="1:7" ht="47.25">
      <c r="A263" s="3" t="s">
        <v>702</v>
      </c>
      <c r="B263" s="4" t="s">
        <v>443</v>
      </c>
      <c r="C263" s="4" t="s">
        <v>313</v>
      </c>
      <c r="D263" s="4"/>
      <c r="E263" s="4"/>
      <c r="F263" s="29">
        <f>F264</f>
        <v>300000</v>
      </c>
      <c r="G263" s="29"/>
    </row>
    <row r="264" spans="1:7" ht="15.75">
      <c r="A264" s="3" t="s">
        <v>662</v>
      </c>
      <c r="B264" s="4" t="s">
        <v>443</v>
      </c>
      <c r="C264" s="4" t="s">
        <v>313</v>
      </c>
      <c r="D264" s="4" t="s">
        <v>654</v>
      </c>
      <c r="E264" s="4"/>
      <c r="F264" s="29">
        <f>F265</f>
        <v>300000</v>
      </c>
      <c r="G264" s="29"/>
    </row>
    <row r="265" spans="1:7" ht="31.5">
      <c r="A265" s="3" t="s">
        <v>351</v>
      </c>
      <c r="B265" s="4" t="s">
        <v>443</v>
      </c>
      <c r="C265" s="4" t="s">
        <v>313</v>
      </c>
      <c r="D265" s="4" t="s">
        <v>654</v>
      </c>
      <c r="E265" s="4" t="s">
        <v>654</v>
      </c>
      <c r="F265" s="29">
        <f>прил6!F465</f>
        <v>300000</v>
      </c>
      <c r="G265" s="29"/>
    </row>
    <row r="266" spans="1:7" ht="31.5">
      <c r="A266" s="3" t="s">
        <v>719</v>
      </c>
      <c r="B266" s="4" t="s">
        <v>444</v>
      </c>
      <c r="C266" s="4"/>
      <c r="D266" s="4"/>
      <c r="E266" s="4"/>
      <c r="F266" s="29">
        <f>F267+F270</f>
        <v>575000</v>
      </c>
      <c r="G266" s="29"/>
    </row>
    <row r="267" spans="1:7" ht="47.25">
      <c r="A267" s="3" t="s">
        <v>702</v>
      </c>
      <c r="B267" s="4" t="s">
        <v>444</v>
      </c>
      <c r="C267" s="4" t="s">
        <v>313</v>
      </c>
      <c r="D267" s="4"/>
      <c r="E267" s="4"/>
      <c r="F267" s="29">
        <f>F268</f>
        <v>360000</v>
      </c>
      <c r="G267" s="29"/>
    </row>
    <row r="268" spans="1:7" ht="15.75">
      <c r="A268" s="3" t="s">
        <v>662</v>
      </c>
      <c r="B268" s="4" t="s">
        <v>444</v>
      </c>
      <c r="C268" s="4" t="s">
        <v>313</v>
      </c>
      <c r="D268" s="4" t="s">
        <v>654</v>
      </c>
      <c r="E268" s="4"/>
      <c r="F268" s="29">
        <f>F269</f>
        <v>360000</v>
      </c>
      <c r="G268" s="29"/>
    </row>
    <row r="269" spans="1:7" ht="31.5">
      <c r="A269" s="3" t="s">
        <v>351</v>
      </c>
      <c r="B269" s="4" t="s">
        <v>444</v>
      </c>
      <c r="C269" s="4" t="s">
        <v>313</v>
      </c>
      <c r="D269" s="4" t="s">
        <v>654</v>
      </c>
      <c r="E269" s="4" t="s">
        <v>654</v>
      </c>
      <c r="F269" s="29">
        <f>прил6!F467</f>
        <v>360000</v>
      </c>
      <c r="G269" s="29"/>
    </row>
    <row r="270" spans="1:7" ht="63">
      <c r="A270" s="3" t="s">
        <v>723</v>
      </c>
      <c r="B270" s="4" t="s">
        <v>444</v>
      </c>
      <c r="C270" s="4" t="s">
        <v>317</v>
      </c>
      <c r="D270" s="4"/>
      <c r="E270" s="4"/>
      <c r="F270" s="29">
        <f>F271</f>
        <v>215000</v>
      </c>
      <c r="G270" s="29"/>
    </row>
    <row r="271" spans="1:7" ht="15.75">
      <c r="A271" s="3" t="s">
        <v>662</v>
      </c>
      <c r="B271" s="4" t="s">
        <v>444</v>
      </c>
      <c r="C271" s="4" t="s">
        <v>317</v>
      </c>
      <c r="D271" s="4" t="s">
        <v>654</v>
      </c>
      <c r="E271" s="4"/>
      <c r="F271" s="29">
        <f>F272</f>
        <v>215000</v>
      </c>
      <c r="G271" s="29"/>
    </row>
    <row r="272" spans="1:7" ht="31.5">
      <c r="A272" s="3" t="s">
        <v>351</v>
      </c>
      <c r="B272" s="4" t="s">
        <v>444</v>
      </c>
      <c r="C272" s="4" t="s">
        <v>317</v>
      </c>
      <c r="D272" s="4" t="s">
        <v>654</v>
      </c>
      <c r="E272" s="4" t="s">
        <v>654</v>
      </c>
      <c r="F272" s="29">
        <f>прил6!F468</f>
        <v>215000</v>
      </c>
      <c r="G272" s="29"/>
    </row>
    <row r="273" spans="1:7" ht="31.5">
      <c r="A273" s="3" t="s">
        <v>445</v>
      </c>
      <c r="B273" s="4" t="s">
        <v>446</v>
      </c>
      <c r="C273" s="4"/>
      <c r="D273" s="4"/>
      <c r="E273" s="4"/>
      <c r="F273" s="29">
        <f>F274+F278</f>
        <v>14703682.45</v>
      </c>
      <c r="G273" s="29"/>
    </row>
    <row r="274" spans="1:7" ht="110.25">
      <c r="A274" s="3" t="s">
        <v>493</v>
      </c>
      <c r="B274" s="4" t="s">
        <v>447</v>
      </c>
      <c r="C274" s="4"/>
      <c r="D274" s="4"/>
      <c r="E274" s="4"/>
      <c r="F274" s="29">
        <f>F275</f>
        <v>14451532.45</v>
      </c>
      <c r="G274" s="29"/>
    </row>
    <row r="275" spans="1:7" ht="63">
      <c r="A275" s="3" t="s">
        <v>723</v>
      </c>
      <c r="B275" s="4" t="s">
        <v>447</v>
      </c>
      <c r="C275" s="4" t="s">
        <v>317</v>
      </c>
      <c r="D275" s="4"/>
      <c r="E275" s="4"/>
      <c r="F275" s="29">
        <f>F276</f>
        <v>14451532.45</v>
      </c>
      <c r="G275" s="29"/>
    </row>
    <row r="276" spans="1:7" ht="15.75">
      <c r="A276" s="3" t="s">
        <v>662</v>
      </c>
      <c r="B276" s="4" t="s">
        <v>447</v>
      </c>
      <c r="C276" s="4" t="s">
        <v>317</v>
      </c>
      <c r="D276" s="4" t="s">
        <v>654</v>
      </c>
      <c r="E276" s="4"/>
      <c r="F276" s="29">
        <f>F277</f>
        <v>14451532.45</v>
      </c>
      <c r="G276" s="29"/>
    </row>
    <row r="277" spans="1:7" ht="31.5">
      <c r="A277" s="3" t="s">
        <v>351</v>
      </c>
      <c r="B277" s="4" t="s">
        <v>447</v>
      </c>
      <c r="C277" s="4" t="s">
        <v>317</v>
      </c>
      <c r="D277" s="4" t="s">
        <v>654</v>
      </c>
      <c r="E277" s="4" t="s">
        <v>654</v>
      </c>
      <c r="F277" s="29">
        <f>прил6!F471</f>
        <v>14451532.45</v>
      </c>
      <c r="G277" s="29"/>
    </row>
    <row r="278" spans="1:7" ht="31.5">
      <c r="A278" s="3" t="s">
        <v>719</v>
      </c>
      <c r="B278" s="4" t="s">
        <v>802</v>
      </c>
      <c r="C278" s="4"/>
      <c r="D278" s="4"/>
      <c r="E278" s="4"/>
      <c r="F278" s="29">
        <f>F279</f>
        <v>252150</v>
      </c>
      <c r="G278" s="29"/>
    </row>
    <row r="279" spans="1:7" ht="63">
      <c r="A279" s="3" t="s">
        <v>723</v>
      </c>
      <c r="B279" s="4" t="s">
        <v>802</v>
      </c>
      <c r="C279" s="4" t="s">
        <v>317</v>
      </c>
      <c r="D279" s="4"/>
      <c r="E279" s="4"/>
      <c r="F279" s="29">
        <f>F280</f>
        <v>252150</v>
      </c>
      <c r="G279" s="29"/>
    </row>
    <row r="280" spans="1:7" ht="15.75">
      <c r="A280" s="3" t="s">
        <v>662</v>
      </c>
      <c r="B280" s="4" t="s">
        <v>802</v>
      </c>
      <c r="C280" s="4" t="s">
        <v>317</v>
      </c>
      <c r="D280" s="4" t="s">
        <v>654</v>
      </c>
      <c r="E280" s="4"/>
      <c r="F280" s="29">
        <f>F281</f>
        <v>252150</v>
      </c>
      <c r="G280" s="29"/>
    </row>
    <row r="281" spans="1:7" ht="31.5">
      <c r="A281" s="3" t="s">
        <v>351</v>
      </c>
      <c r="B281" s="4" t="s">
        <v>802</v>
      </c>
      <c r="C281" s="4" t="s">
        <v>317</v>
      </c>
      <c r="D281" s="4" t="s">
        <v>654</v>
      </c>
      <c r="E281" s="4" t="s">
        <v>654</v>
      </c>
      <c r="F281" s="29">
        <f>прил6!F484</f>
        <v>252150</v>
      </c>
      <c r="G281" s="29"/>
    </row>
    <row r="282" spans="1:7" ht="15.75">
      <c r="A282" s="60" t="s">
        <v>448</v>
      </c>
      <c r="B282" s="4" t="s">
        <v>449</v>
      </c>
      <c r="C282" s="4"/>
      <c r="D282" s="4"/>
      <c r="E282" s="4"/>
      <c r="F282" s="29">
        <f>F283</f>
        <v>5000</v>
      </c>
      <c r="G282" s="29"/>
    </row>
    <row r="283" spans="1:7" ht="31.5">
      <c r="A283" s="3" t="s">
        <v>719</v>
      </c>
      <c r="B283" s="4" t="s">
        <v>450</v>
      </c>
      <c r="C283" s="4"/>
      <c r="D283" s="4"/>
      <c r="E283" s="4"/>
      <c r="F283" s="29">
        <f>F284+F287</f>
        <v>5000</v>
      </c>
      <c r="G283" s="29"/>
    </row>
    <row r="284" spans="1:7" ht="47.25">
      <c r="A284" s="3" t="s">
        <v>702</v>
      </c>
      <c r="B284" s="4" t="s">
        <v>450</v>
      </c>
      <c r="C284" s="4" t="s">
        <v>313</v>
      </c>
      <c r="D284" s="4"/>
      <c r="E284" s="4"/>
      <c r="F284" s="29">
        <f>F285</f>
        <v>5000</v>
      </c>
      <c r="G284" s="29"/>
    </row>
    <row r="285" spans="1:7" ht="15.75">
      <c r="A285" s="3" t="s">
        <v>670</v>
      </c>
      <c r="B285" s="4" t="s">
        <v>450</v>
      </c>
      <c r="C285" s="4" t="s">
        <v>313</v>
      </c>
      <c r="D285" s="4" t="s">
        <v>651</v>
      </c>
      <c r="E285" s="4"/>
      <c r="F285" s="29">
        <f>F286</f>
        <v>5000</v>
      </c>
      <c r="G285" s="29"/>
    </row>
    <row r="286" spans="1:7" ht="31.5">
      <c r="A286" s="3" t="s">
        <v>680</v>
      </c>
      <c r="B286" s="4" t="s">
        <v>450</v>
      </c>
      <c r="C286" s="4" t="s">
        <v>313</v>
      </c>
      <c r="D286" s="4" t="s">
        <v>651</v>
      </c>
      <c r="E286" s="4" t="s">
        <v>310</v>
      </c>
      <c r="F286" s="29">
        <f>прил6!F128</f>
        <v>5000</v>
      </c>
      <c r="G286" s="29"/>
    </row>
    <row r="287" spans="1:7" ht="63" hidden="1">
      <c r="A287" s="3" t="s">
        <v>723</v>
      </c>
      <c r="B287" s="4" t="s">
        <v>450</v>
      </c>
      <c r="C287" s="4" t="s">
        <v>317</v>
      </c>
      <c r="D287" s="4"/>
      <c r="E287" s="4"/>
      <c r="F287" s="29">
        <f>F291+F288</f>
        <v>0</v>
      </c>
      <c r="G287" s="29"/>
    </row>
    <row r="288" spans="1:7" ht="15.75" hidden="1">
      <c r="A288" s="3" t="s">
        <v>662</v>
      </c>
      <c r="B288" s="4" t="s">
        <v>450</v>
      </c>
      <c r="C288" s="4" t="s">
        <v>317</v>
      </c>
      <c r="D288" s="4" t="s">
        <v>654</v>
      </c>
      <c r="E288" s="4"/>
      <c r="F288" s="29">
        <f>F290+F289</f>
        <v>0</v>
      </c>
      <c r="G288" s="29"/>
    </row>
    <row r="289" spans="1:7" ht="31.5" hidden="1">
      <c r="A289" s="3" t="s">
        <v>351</v>
      </c>
      <c r="B289" s="4" t="s">
        <v>450</v>
      </c>
      <c r="C289" s="4" t="s">
        <v>317</v>
      </c>
      <c r="D289" s="4" t="s">
        <v>654</v>
      </c>
      <c r="E289" s="4" t="s">
        <v>654</v>
      </c>
      <c r="F289" s="29">
        <f>прил6!F474</f>
        <v>0</v>
      </c>
      <c r="G289" s="29"/>
    </row>
    <row r="290" spans="1:7" ht="31.5" hidden="1">
      <c r="A290" s="3" t="s">
        <v>675</v>
      </c>
      <c r="B290" s="4" t="s">
        <v>450</v>
      </c>
      <c r="C290" s="4" t="s">
        <v>317</v>
      </c>
      <c r="D290" s="4" t="s">
        <v>654</v>
      </c>
      <c r="E290" s="4" t="s">
        <v>657</v>
      </c>
      <c r="F290" s="29">
        <f>прил6!F510</f>
        <v>0</v>
      </c>
      <c r="G290" s="29"/>
    </row>
    <row r="291" spans="1:7" ht="15.75" hidden="1">
      <c r="A291" s="3" t="s">
        <v>314</v>
      </c>
      <c r="B291" s="4" t="s">
        <v>450</v>
      </c>
      <c r="C291" s="4" t="s">
        <v>317</v>
      </c>
      <c r="D291" s="4" t="s">
        <v>655</v>
      </c>
      <c r="E291" s="4"/>
      <c r="F291" s="29">
        <f>F292</f>
        <v>0</v>
      </c>
      <c r="G291" s="29"/>
    </row>
    <row r="292" spans="1:7" ht="15.75" hidden="1">
      <c r="A292" s="3" t="s">
        <v>676</v>
      </c>
      <c r="B292" s="4" t="s">
        <v>450</v>
      </c>
      <c r="C292" s="4" t="s">
        <v>317</v>
      </c>
      <c r="D292" s="4" t="s">
        <v>655</v>
      </c>
      <c r="E292" s="4" t="s">
        <v>651</v>
      </c>
      <c r="F292" s="29">
        <f>прил6!F535</f>
        <v>0</v>
      </c>
      <c r="G292" s="29"/>
    </row>
    <row r="293" spans="1:7" ht="78.75">
      <c r="A293" s="13" t="s">
        <v>544</v>
      </c>
      <c r="B293" s="5" t="s">
        <v>341</v>
      </c>
      <c r="C293" s="5"/>
      <c r="D293" s="5"/>
      <c r="E293" s="5"/>
      <c r="F293" s="28">
        <f>F294+F328+F353+F366+F375</f>
        <v>232590410.88</v>
      </c>
      <c r="G293" s="28">
        <f>G294+G328+G353+G366+G375</f>
        <v>9047216</v>
      </c>
    </row>
    <row r="294" spans="1:7" ht="63">
      <c r="A294" s="3" t="s">
        <v>468</v>
      </c>
      <c r="B294" s="4" t="s">
        <v>469</v>
      </c>
      <c r="C294" s="4"/>
      <c r="D294" s="4"/>
      <c r="E294" s="4"/>
      <c r="F294" s="29">
        <f>F295+F301+F316+F320+F324+F310</f>
        <v>159051256.83999997</v>
      </c>
      <c r="G294" s="29">
        <f>G295+G301+G316+G320+G324+G310</f>
        <v>6107515</v>
      </c>
    </row>
    <row r="295" spans="1:7" ht="110.25">
      <c r="A295" s="3" t="s">
        <v>493</v>
      </c>
      <c r="B295" s="4" t="s">
        <v>426</v>
      </c>
      <c r="C295" s="4"/>
      <c r="D295" s="4"/>
      <c r="E295" s="4"/>
      <c r="F295" s="29">
        <f>F296</f>
        <v>151282926.76999998</v>
      </c>
      <c r="G295" s="29"/>
    </row>
    <row r="296" spans="1:7" ht="63">
      <c r="A296" s="3" t="s">
        <v>723</v>
      </c>
      <c r="B296" s="4" t="s">
        <v>426</v>
      </c>
      <c r="C296" s="4" t="s">
        <v>317</v>
      </c>
      <c r="D296" s="4"/>
      <c r="E296" s="4"/>
      <c r="F296" s="29">
        <f>F299+F297</f>
        <v>151282926.76999998</v>
      </c>
      <c r="G296" s="29"/>
    </row>
    <row r="297" spans="1:7" ht="15.75">
      <c r="A297" s="3" t="s">
        <v>662</v>
      </c>
      <c r="B297" s="4" t="s">
        <v>426</v>
      </c>
      <c r="C297" s="4" t="s">
        <v>317</v>
      </c>
      <c r="D297" s="4" t="s">
        <v>654</v>
      </c>
      <c r="E297" s="4"/>
      <c r="F297" s="29">
        <f>F298</f>
        <v>56940018.22</v>
      </c>
      <c r="G297" s="29"/>
    </row>
    <row r="298" spans="1:7" ht="15.75">
      <c r="A298" s="3" t="s">
        <v>664</v>
      </c>
      <c r="B298" s="4" t="s">
        <v>426</v>
      </c>
      <c r="C298" s="4" t="s">
        <v>317</v>
      </c>
      <c r="D298" s="4" t="s">
        <v>654</v>
      </c>
      <c r="E298" s="4" t="s">
        <v>656</v>
      </c>
      <c r="F298" s="29">
        <f>прил6!F438</f>
        <v>56940018.22</v>
      </c>
      <c r="G298" s="29"/>
    </row>
    <row r="299" spans="1:7" ht="15.75">
      <c r="A299" s="3" t="s">
        <v>314</v>
      </c>
      <c r="B299" s="4" t="s">
        <v>426</v>
      </c>
      <c r="C299" s="4" t="s">
        <v>317</v>
      </c>
      <c r="D299" s="4" t="s">
        <v>655</v>
      </c>
      <c r="E299" s="4"/>
      <c r="F299" s="29">
        <f>F300</f>
        <v>94342908.54999998</v>
      </c>
      <c r="G299" s="29"/>
    </row>
    <row r="300" spans="1:7" ht="15.75">
      <c r="A300" s="3" t="s">
        <v>676</v>
      </c>
      <c r="B300" s="4" t="s">
        <v>426</v>
      </c>
      <c r="C300" s="4" t="s">
        <v>317</v>
      </c>
      <c r="D300" s="4" t="s">
        <v>655</v>
      </c>
      <c r="E300" s="4" t="s">
        <v>651</v>
      </c>
      <c r="F300" s="29">
        <f>прил6!F539</f>
        <v>94342908.54999998</v>
      </c>
      <c r="G300" s="29"/>
    </row>
    <row r="301" spans="1:7" ht="31.5">
      <c r="A301" s="3" t="s">
        <v>719</v>
      </c>
      <c r="B301" s="4" t="s">
        <v>425</v>
      </c>
      <c r="C301" s="4"/>
      <c r="D301" s="4"/>
      <c r="E301" s="4"/>
      <c r="F301" s="29">
        <f>F302+F305</f>
        <v>1660815.07</v>
      </c>
      <c r="G301" s="29"/>
    </row>
    <row r="302" spans="1:7" ht="47.25">
      <c r="A302" s="3" t="s">
        <v>702</v>
      </c>
      <c r="B302" s="4" t="s">
        <v>425</v>
      </c>
      <c r="C302" s="4" t="s">
        <v>313</v>
      </c>
      <c r="D302" s="4"/>
      <c r="E302" s="4"/>
      <c r="F302" s="29">
        <f>F303</f>
        <v>772605.0700000001</v>
      </c>
      <c r="G302" s="29"/>
    </row>
    <row r="303" spans="1:7" ht="15.75">
      <c r="A303" s="3" t="s">
        <v>314</v>
      </c>
      <c r="B303" s="4" t="s">
        <v>425</v>
      </c>
      <c r="C303" s="4" t="s">
        <v>313</v>
      </c>
      <c r="D303" s="4" t="s">
        <v>655</v>
      </c>
      <c r="E303" s="4"/>
      <c r="F303" s="29">
        <f>F304</f>
        <v>772605.0700000001</v>
      </c>
      <c r="G303" s="29"/>
    </row>
    <row r="304" spans="1:7" ht="15.75">
      <c r="A304" s="3" t="s">
        <v>676</v>
      </c>
      <c r="B304" s="4" t="s">
        <v>425</v>
      </c>
      <c r="C304" s="4" t="s">
        <v>313</v>
      </c>
      <c r="D304" s="4" t="s">
        <v>655</v>
      </c>
      <c r="E304" s="4" t="s">
        <v>651</v>
      </c>
      <c r="F304" s="29">
        <f>прил6!F541</f>
        <v>772605.0700000001</v>
      </c>
      <c r="G304" s="29"/>
    </row>
    <row r="305" spans="1:7" ht="63">
      <c r="A305" s="27" t="s">
        <v>723</v>
      </c>
      <c r="B305" s="4" t="s">
        <v>425</v>
      </c>
      <c r="C305" s="4" t="s">
        <v>317</v>
      </c>
      <c r="D305" s="4"/>
      <c r="E305" s="4"/>
      <c r="F305" s="29">
        <f>F308+F306</f>
        <v>888210</v>
      </c>
      <c r="G305" s="29"/>
    </row>
    <row r="306" spans="1:7" ht="15.75">
      <c r="A306" s="3" t="s">
        <v>662</v>
      </c>
      <c r="B306" s="4" t="s">
        <v>425</v>
      </c>
      <c r="C306" s="4" t="s">
        <v>317</v>
      </c>
      <c r="D306" s="4" t="s">
        <v>654</v>
      </c>
      <c r="E306" s="4"/>
      <c r="F306" s="29">
        <f>F307</f>
        <v>0</v>
      </c>
      <c r="G306" s="29"/>
    </row>
    <row r="307" spans="1:7" ht="15.75">
      <c r="A307" s="3" t="s">
        <v>664</v>
      </c>
      <c r="B307" s="4" t="s">
        <v>425</v>
      </c>
      <c r="C307" s="4" t="s">
        <v>317</v>
      </c>
      <c r="D307" s="4" t="s">
        <v>654</v>
      </c>
      <c r="E307" s="4" t="s">
        <v>656</v>
      </c>
      <c r="F307" s="29">
        <f>прил7!G703</f>
        <v>0</v>
      </c>
      <c r="G307" s="29"/>
    </row>
    <row r="308" spans="1:7" ht="15.75">
      <c r="A308" s="3" t="s">
        <v>314</v>
      </c>
      <c r="B308" s="4" t="s">
        <v>425</v>
      </c>
      <c r="C308" s="4" t="s">
        <v>317</v>
      </c>
      <c r="D308" s="4" t="s">
        <v>655</v>
      </c>
      <c r="E308" s="4"/>
      <c r="F308" s="29">
        <f>F309</f>
        <v>888210</v>
      </c>
      <c r="G308" s="29"/>
    </row>
    <row r="309" spans="1:7" ht="15.75">
      <c r="A309" s="3" t="s">
        <v>676</v>
      </c>
      <c r="B309" s="4" t="s">
        <v>425</v>
      </c>
      <c r="C309" s="4" t="s">
        <v>317</v>
      </c>
      <c r="D309" s="4" t="s">
        <v>655</v>
      </c>
      <c r="E309" s="4" t="s">
        <v>651</v>
      </c>
      <c r="F309" s="29">
        <f>прил7!G761</f>
        <v>888210</v>
      </c>
      <c r="G309" s="29"/>
    </row>
    <row r="310" spans="1:7" ht="141.75">
      <c r="A310" s="3" t="s">
        <v>765</v>
      </c>
      <c r="B310" s="4" t="s">
        <v>753</v>
      </c>
      <c r="C310" s="4"/>
      <c r="D310" s="4"/>
      <c r="E310" s="4"/>
      <c r="F310" s="29">
        <f>F311</f>
        <v>3633280</v>
      </c>
      <c r="G310" s="29">
        <f>G311</f>
        <v>3633280</v>
      </c>
    </row>
    <row r="311" spans="1:7" ht="63">
      <c r="A311" s="27" t="s">
        <v>723</v>
      </c>
      <c r="B311" s="4" t="s">
        <v>753</v>
      </c>
      <c r="C311" s="4" t="s">
        <v>317</v>
      </c>
      <c r="D311" s="4"/>
      <c r="E311" s="4"/>
      <c r="F311" s="29">
        <f>F312+F314</f>
        <v>3633280</v>
      </c>
      <c r="G311" s="29">
        <f>G312+G314</f>
        <v>3633280</v>
      </c>
    </row>
    <row r="312" spans="1:7" ht="15.75">
      <c r="A312" s="3" t="s">
        <v>662</v>
      </c>
      <c r="B312" s="4" t="s">
        <v>753</v>
      </c>
      <c r="C312" s="4" t="s">
        <v>317</v>
      </c>
      <c r="D312" s="4" t="s">
        <v>654</v>
      </c>
      <c r="E312" s="4"/>
      <c r="F312" s="29">
        <f>F313</f>
        <v>212870</v>
      </c>
      <c r="G312" s="29">
        <f>G313</f>
        <v>212870</v>
      </c>
    </row>
    <row r="313" spans="1:7" ht="15.75">
      <c r="A313" s="3" t="s">
        <v>664</v>
      </c>
      <c r="B313" s="4" t="s">
        <v>753</v>
      </c>
      <c r="C313" s="4" t="s">
        <v>317</v>
      </c>
      <c r="D313" s="4" t="s">
        <v>654</v>
      </c>
      <c r="E313" s="4" t="s">
        <v>656</v>
      </c>
      <c r="F313" s="29">
        <f>прил6!F442</f>
        <v>212870</v>
      </c>
      <c r="G313" s="29">
        <f>F313</f>
        <v>212870</v>
      </c>
    </row>
    <row r="314" spans="1:7" ht="15.75">
      <c r="A314" s="3" t="s">
        <v>314</v>
      </c>
      <c r="B314" s="4" t="s">
        <v>753</v>
      </c>
      <c r="C314" s="4" t="s">
        <v>317</v>
      </c>
      <c r="D314" s="4" t="s">
        <v>655</v>
      </c>
      <c r="E314" s="4"/>
      <c r="F314" s="29">
        <f>F315</f>
        <v>3420410</v>
      </c>
      <c r="G314" s="29">
        <f>G315</f>
        <v>3420410</v>
      </c>
    </row>
    <row r="315" spans="1:7" ht="15.75">
      <c r="A315" s="3" t="s">
        <v>676</v>
      </c>
      <c r="B315" s="4" t="s">
        <v>753</v>
      </c>
      <c r="C315" s="4" t="s">
        <v>317</v>
      </c>
      <c r="D315" s="4" t="s">
        <v>655</v>
      </c>
      <c r="E315" s="4" t="s">
        <v>651</v>
      </c>
      <c r="F315" s="29">
        <f>прил6!F544</f>
        <v>3420410</v>
      </c>
      <c r="G315" s="29">
        <f>F315</f>
        <v>3420410</v>
      </c>
    </row>
    <row r="316" spans="1:7" ht="141.75">
      <c r="A316" s="3" t="s">
        <v>349</v>
      </c>
      <c r="B316" s="4" t="s">
        <v>470</v>
      </c>
      <c r="C316" s="4"/>
      <c r="D316" s="4"/>
      <c r="E316" s="4"/>
      <c r="F316" s="29">
        <f aca="true" t="shared" si="27" ref="F316:G318">F317</f>
        <v>1432460</v>
      </c>
      <c r="G316" s="29">
        <f t="shared" si="27"/>
        <v>1432460</v>
      </c>
    </row>
    <row r="317" spans="1:7" ht="63">
      <c r="A317" s="3" t="s">
        <v>723</v>
      </c>
      <c r="B317" s="4" t="s">
        <v>470</v>
      </c>
      <c r="C317" s="4" t="s">
        <v>317</v>
      </c>
      <c r="D317" s="4"/>
      <c r="E317" s="4"/>
      <c r="F317" s="29">
        <f t="shared" si="27"/>
        <v>1432460</v>
      </c>
      <c r="G317" s="29">
        <f t="shared" si="27"/>
        <v>1432460</v>
      </c>
    </row>
    <row r="318" spans="1:7" ht="15.75">
      <c r="A318" s="3" t="s">
        <v>314</v>
      </c>
      <c r="B318" s="4" t="s">
        <v>470</v>
      </c>
      <c r="C318" s="4" t="s">
        <v>317</v>
      </c>
      <c r="D318" s="4" t="s">
        <v>655</v>
      </c>
      <c r="E318" s="4"/>
      <c r="F318" s="29">
        <f t="shared" si="27"/>
        <v>1432460</v>
      </c>
      <c r="G318" s="29">
        <f t="shared" si="27"/>
        <v>1432460</v>
      </c>
    </row>
    <row r="319" spans="1:7" ht="15.75">
      <c r="A319" s="3" t="s">
        <v>676</v>
      </c>
      <c r="B319" s="4" t="s">
        <v>470</v>
      </c>
      <c r="C319" s="4" t="s">
        <v>317</v>
      </c>
      <c r="D319" s="4" t="s">
        <v>655</v>
      </c>
      <c r="E319" s="4" t="s">
        <v>651</v>
      </c>
      <c r="F319" s="29">
        <f>прил6!F546</f>
        <v>1432460</v>
      </c>
      <c r="G319" s="29">
        <f>F319</f>
        <v>1432460</v>
      </c>
    </row>
    <row r="320" spans="1:7" ht="126">
      <c r="A320" s="3" t="s">
        <v>487</v>
      </c>
      <c r="B320" s="4" t="s">
        <v>488</v>
      </c>
      <c r="C320" s="4"/>
      <c r="D320" s="4"/>
      <c r="E320" s="4"/>
      <c r="F320" s="29">
        <f aca="true" t="shared" si="28" ref="F320:G322">F321</f>
        <v>3530</v>
      </c>
      <c r="G320" s="29">
        <f t="shared" si="28"/>
        <v>3530</v>
      </c>
    </row>
    <row r="321" spans="1:7" ht="63">
      <c r="A321" s="27" t="s">
        <v>723</v>
      </c>
      <c r="B321" s="4" t="s">
        <v>488</v>
      </c>
      <c r="C321" s="4" t="s">
        <v>317</v>
      </c>
      <c r="D321" s="4"/>
      <c r="E321" s="4"/>
      <c r="F321" s="29">
        <f t="shared" si="28"/>
        <v>3530</v>
      </c>
      <c r="G321" s="29">
        <f t="shared" si="28"/>
        <v>3530</v>
      </c>
    </row>
    <row r="322" spans="1:7" ht="15.75">
      <c r="A322" s="3" t="s">
        <v>665</v>
      </c>
      <c r="B322" s="4" t="s">
        <v>488</v>
      </c>
      <c r="C322" s="4" t="s">
        <v>317</v>
      </c>
      <c r="D322" s="4" t="s">
        <v>659</v>
      </c>
      <c r="E322" s="4"/>
      <c r="F322" s="29">
        <f t="shared" si="28"/>
        <v>3530</v>
      </c>
      <c r="G322" s="29">
        <f t="shared" si="28"/>
        <v>3530</v>
      </c>
    </row>
    <row r="323" spans="1:7" ht="31.5">
      <c r="A323" s="3" t="s">
        <v>677</v>
      </c>
      <c r="B323" s="4" t="s">
        <v>488</v>
      </c>
      <c r="C323" s="4" t="s">
        <v>317</v>
      </c>
      <c r="D323" s="4" t="s">
        <v>659</v>
      </c>
      <c r="E323" s="4" t="s">
        <v>658</v>
      </c>
      <c r="F323" s="29">
        <f>прил6!F609</f>
        <v>3530</v>
      </c>
      <c r="G323" s="29">
        <f>F323</f>
        <v>3530</v>
      </c>
    </row>
    <row r="324" spans="1:7" ht="126">
      <c r="A324" s="3" t="s">
        <v>475</v>
      </c>
      <c r="B324" s="4" t="s">
        <v>478</v>
      </c>
      <c r="C324" s="4"/>
      <c r="D324" s="4"/>
      <c r="E324" s="4"/>
      <c r="F324" s="29">
        <f aca="true" t="shared" si="29" ref="F324:G326">F325</f>
        <v>1038245</v>
      </c>
      <c r="G324" s="29">
        <f t="shared" si="29"/>
        <v>1038245</v>
      </c>
    </row>
    <row r="325" spans="1:7" ht="63">
      <c r="A325" s="27" t="s">
        <v>723</v>
      </c>
      <c r="B325" s="4" t="s">
        <v>478</v>
      </c>
      <c r="C325" s="4" t="s">
        <v>317</v>
      </c>
      <c r="D325" s="4"/>
      <c r="E325" s="4"/>
      <c r="F325" s="29">
        <f t="shared" si="29"/>
        <v>1038245</v>
      </c>
      <c r="G325" s="29">
        <f t="shared" si="29"/>
        <v>1038245</v>
      </c>
    </row>
    <row r="326" spans="1:7" ht="15.75">
      <c r="A326" s="3" t="s">
        <v>665</v>
      </c>
      <c r="B326" s="4" t="s">
        <v>478</v>
      </c>
      <c r="C326" s="4" t="s">
        <v>317</v>
      </c>
      <c r="D326" s="4" t="s">
        <v>659</v>
      </c>
      <c r="E326" s="4"/>
      <c r="F326" s="29">
        <f t="shared" si="29"/>
        <v>1038245</v>
      </c>
      <c r="G326" s="29">
        <f t="shared" si="29"/>
        <v>1038245</v>
      </c>
    </row>
    <row r="327" spans="1:7" ht="31.5">
      <c r="A327" s="3" t="s">
        <v>677</v>
      </c>
      <c r="B327" s="4" t="s">
        <v>478</v>
      </c>
      <c r="C327" s="4" t="s">
        <v>317</v>
      </c>
      <c r="D327" s="4" t="s">
        <v>659</v>
      </c>
      <c r="E327" s="4" t="s">
        <v>658</v>
      </c>
      <c r="F327" s="29">
        <f>прил6!F611</f>
        <v>1038245</v>
      </c>
      <c r="G327" s="29">
        <f>F327</f>
        <v>1038245</v>
      </c>
    </row>
    <row r="328" spans="1:7" ht="31.5">
      <c r="A328" s="3" t="s">
        <v>343</v>
      </c>
      <c r="B328" s="4" t="s">
        <v>344</v>
      </c>
      <c r="C328" s="4"/>
      <c r="D328" s="4"/>
      <c r="E328" s="4"/>
      <c r="F328" s="29">
        <f>F329+F333+F341+F345+F349+F337</f>
        <v>50435954.46</v>
      </c>
      <c r="G328" s="29">
        <f>G329+G333+G341+G345+G349+G337</f>
        <v>2462001</v>
      </c>
    </row>
    <row r="329" spans="1:7" ht="110.25">
      <c r="A329" s="3" t="s">
        <v>493</v>
      </c>
      <c r="B329" s="4" t="s">
        <v>427</v>
      </c>
      <c r="C329" s="4"/>
      <c r="D329" s="4"/>
      <c r="E329" s="4"/>
      <c r="F329" s="29">
        <f>F330</f>
        <v>47973953.46</v>
      </c>
      <c r="G329" s="29"/>
    </row>
    <row r="330" spans="1:7" ht="63">
      <c r="A330" s="3" t="s">
        <v>723</v>
      </c>
      <c r="B330" s="4" t="s">
        <v>427</v>
      </c>
      <c r="C330" s="4" t="s">
        <v>317</v>
      </c>
      <c r="D330" s="4"/>
      <c r="E330" s="4"/>
      <c r="F330" s="29">
        <f>F331</f>
        <v>47973953.46</v>
      </c>
      <c r="G330" s="29"/>
    </row>
    <row r="331" spans="1:7" ht="15.75">
      <c r="A331" s="3" t="s">
        <v>314</v>
      </c>
      <c r="B331" s="4" t="s">
        <v>427</v>
      </c>
      <c r="C331" s="4" t="s">
        <v>317</v>
      </c>
      <c r="D331" s="4" t="s">
        <v>655</v>
      </c>
      <c r="E331" s="4"/>
      <c r="F331" s="29">
        <f>F332</f>
        <v>47973953.46</v>
      </c>
      <c r="G331" s="29"/>
    </row>
    <row r="332" spans="1:7" ht="15.75">
      <c r="A332" s="3" t="s">
        <v>676</v>
      </c>
      <c r="B332" s="4" t="s">
        <v>427</v>
      </c>
      <c r="C332" s="4" t="s">
        <v>317</v>
      </c>
      <c r="D332" s="4" t="s">
        <v>655</v>
      </c>
      <c r="E332" s="4" t="s">
        <v>651</v>
      </c>
      <c r="F332" s="29">
        <f>прил6!F549</f>
        <v>47973953.46</v>
      </c>
      <c r="G332" s="29"/>
    </row>
    <row r="333" spans="1:7" ht="110.25">
      <c r="A333" s="3" t="s">
        <v>345</v>
      </c>
      <c r="B333" s="4" t="s">
        <v>346</v>
      </c>
      <c r="C333" s="4"/>
      <c r="D333" s="4"/>
      <c r="E333" s="4"/>
      <c r="F333" s="29">
        <f aca="true" t="shared" si="30" ref="F333:G335">F334</f>
        <v>13320</v>
      </c>
      <c r="G333" s="29">
        <f t="shared" si="30"/>
        <v>13320</v>
      </c>
    </row>
    <row r="334" spans="1:7" ht="63">
      <c r="A334" s="3" t="s">
        <v>723</v>
      </c>
      <c r="B334" s="4" t="s">
        <v>346</v>
      </c>
      <c r="C334" s="4" t="s">
        <v>317</v>
      </c>
      <c r="D334" s="4"/>
      <c r="E334" s="4"/>
      <c r="F334" s="29">
        <f t="shared" si="30"/>
        <v>13320</v>
      </c>
      <c r="G334" s="29">
        <f t="shared" si="30"/>
        <v>13320</v>
      </c>
    </row>
    <row r="335" spans="1:7" ht="15.75">
      <c r="A335" s="3" t="s">
        <v>314</v>
      </c>
      <c r="B335" s="4" t="s">
        <v>346</v>
      </c>
      <c r="C335" s="4" t="s">
        <v>317</v>
      </c>
      <c r="D335" s="4" t="s">
        <v>655</v>
      </c>
      <c r="E335" s="4"/>
      <c r="F335" s="29">
        <f t="shared" si="30"/>
        <v>13320</v>
      </c>
      <c r="G335" s="29">
        <f t="shared" si="30"/>
        <v>13320</v>
      </c>
    </row>
    <row r="336" spans="1:7" ht="15.75">
      <c r="A336" s="3" t="s">
        <v>676</v>
      </c>
      <c r="B336" s="4" t="s">
        <v>346</v>
      </c>
      <c r="C336" s="4" t="s">
        <v>317</v>
      </c>
      <c r="D336" s="4" t="s">
        <v>655</v>
      </c>
      <c r="E336" s="4" t="s">
        <v>651</v>
      </c>
      <c r="F336" s="29">
        <f>прил6!F551</f>
        <v>13320</v>
      </c>
      <c r="G336" s="29">
        <f>F336</f>
        <v>13320</v>
      </c>
    </row>
    <row r="337" spans="1:7" ht="141.75">
      <c r="A337" s="3" t="s">
        <v>765</v>
      </c>
      <c r="B337" s="4" t="s">
        <v>754</v>
      </c>
      <c r="C337" s="4"/>
      <c r="D337" s="4"/>
      <c r="E337" s="4"/>
      <c r="F337" s="29">
        <f aca="true" t="shared" si="31" ref="F337:G339">F338</f>
        <v>1834410</v>
      </c>
      <c r="G337" s="29">
        <f t="shared" si="31"/>
        <v>1834410</v>
      </c>
    </row>
    <row r="338" spans="1:7" ht="63">
      <c r="A338" s="3" t="s">
        <v>723</v>
      </c>
      <c r="B338" s="4" t="s">
        <v>754</v>
      </c>
      <c r="C338" s="4" t="s">
        <v>317</v>
      </c>
      <c r="D338" s="4"/>
      <c r="E338" s="4"/>
      <c r="F338" s="29">
        <f t="shared" si="31"/>
        <v>1834410</v>
      </c>
      <c r="G338" s="29">
        <f t="shared" si="31"/>
        <v>1834410</v>
      </c>
    </row>
    <row r="339" spans="1:7" ht="15.75">
      <c r="A339" s="3" t="s">
        <v>314</v>
      </c>
      <c r="B339" s="4" t="s">
        <v>754</v>
      </c>
      <c r="C339" s="4" t="s">
        <v>317</v>
      </c>
      <c r="D339" s="4" t="s">
        <v>655</v>
      </c>
      <c r="E339" s="4"/>
      <c r="F339" s="29">
        <f t="shared" si="31"/>
        <v>1834410</v>
      </c>
      <c r="G339" s="29">
        <f t="shared" si="31"/>
        <v>1834410</v>
      </c>
    </row>
    <row r="340" spans="1:7" ht="15.75">
      <c r="A340" s="3" t="s">
        <v>676</v>
      </c>
      <c r="B340" s="4" t="s">
        <v>754</v>
      </c>
      <c r="C340" s="4" t="s">
        <v>317</v>
      </c>
      <c r="D340" s="4" t="s">
        <v>655</v>
      </c>
      <c r="E340" s="4" t="s">
        <v>651</v>
      </c>
      <c r="F340" s="29">
        <f>прил6!F553</f>
        <v>1834410</v>
      </c>
      <c r="G340" s="29">
        <f>F340</f>
        <v>1834410</v>
      </c>
    </row>
    <row r="341" spans="1:7" ht="141.75">
      <c r="A341" s="3" t="s">
        <v>349</v>
      </c>
      <c r="B341" s="4" t="s">
        <v>471</v>
      </c>
      <c r="C341" s="4"/>
      <c r="D341" s="4"/>
      <c r="E341" s="4"/>
      <c r="F341" s="29">
        <f aca="true" t="shared" si="32" ref="F341:G343">F342</f>
        <v>206952</v>
      </c>
      <c r="G341" s="29">
        <f t="shared" si="32"/>
        <v>206952</v>
      </c>
    </row>
    <row r="342" spans="1:7" ht="63">
      <c r="A342" s="3" t="s">
        <v>723</v>
      </c>
      <c r="B342" s="4" t="s">
        <v>471</v>
      </c>
      <c r="C342" s="4" t="s">
        <v>317</v>
      </c>
      <c r="D342" s="4"/>
      <c r="E342" s="4"/>
      <c r="F342" s="29">
        <f t="shared" si="32"/>
        <v>206952</v>
      </c>
      <c r="G342" s="29">
        <f t="shared" si="32"/>
        <v>206952</v>
      </c>
    </row>
    <row r="343" spans="1:7" ht="15.75">
      <c r="A343" s="3" t="s">
        <v>314</v>
      </c>
      <c r="B343" s="4" t="s">
        <v>471</v>
      </c>
      <c r="C343" s="4" t="s">
        <v>317</v>
      </c>
      <c r="D343" s="4" t="s">
        <v>655</v>
      </c>
      <c r="E343" s="4"/>
      <c r="F343" s="29">
        <f t="shared" si="32"/>
        <v>206952</v>
      </c>
      <c r="G343" s="29">
        <f t="shared" si="32"/>
        <v>206952</v>
      </c>
    </row>
    <row r="344" spans="1:7" ht="15.75">
      <c r="A344" s="3" t="s">
        <v>676</v>
      </c>
      <c r="B344" s="4" t="s">
        <v>471</v>
      </c>
      <c r="C344" s="4" t="s">
        <v>317</v>
      </c>
      <c r="D344" s="4" t="s">
        <v>655</v>
      </c>
      <c r="E344" s="4" t="s">
        <v>651</v>
      </c>
      <c r="F344" s="29">
        <f>прил6!F555</f>
        <v>206952</v>
      </c>
      <c r="G344" s="29">
        <f>F344</f>
        <v>206952</v>
      </c>
    </row>
    <row r="345" spans="1:7" ht="126">
      <c r="A345" s="3" t="s">
        <v>487</v>
      </c>
      <c r="B345" s="4" t="s">
        <v>489</v>
      </c>
      <c r="C345" s="4"/>
      <c r="D345" s="4"/>
      <c r="E345" s="4"/>
      <c r="F345" s="29">
        <f aca="true" t="shared" si="33" ref="F345:G347">F346</f>
        <v>1340</v>
      </c>
      <c r="G345" s="29">
        <f t="shared" si="33"/>
        <v>1340</v>
      </c>
    </row>
    <row r="346" spans="1:7" ht="63">
      <c r="A346" s="27" t="s">
        <v>723</v>
      </c>
      <c r="B346" s="4" t="s">
        <v>489</v>
      </c>
      <c r="C346" s="4" t="s">
        <v>317</v>
      </c>
      <c r="D346" s="4"/>
      <c r="E346" s="4"/>
      <c r="F346" s="29">
        <f t="shared" si="33"/>
        <v>1340</v>
      </c>
      <c r="G346" s="29">
        <f t="shared" si="33"/>
        <v>1340</v>
      </c>
    </row>
    <row r="347" spans="1:7" ht="15.75">
      <c r="A347" s="3" t="s">
        <v>665</v>
      </c>
      <c r="B347" s="4" t="s">
        <v>489</v>
      </c>
      <c r="C347" s="4" t="s">
        <v>317</v>
      </c>
      <c r="D347" s="4" t="s">
        <v>659</v>
      </c>
      <c r="E347" s="4"/>
      <c r="F347" s="29">
        <f t="shared" si="33"/>
        <v>1340</v>
      </c>
      <c r="G347" s="29">
        <f t="shared" si="33"/>
        <v>1340</v>
      </c>
    </row>
    <row r="348" spans="1:7" ht="31.5">
      <c r="A348" s="3" t="s">
        <v>677</v>
      </c>
      <c r="B348" s="4" t="s">
        <v>489</v>
      </c>
      <c r="C348" s="4" t="s">
        <v>317</v>
      </c>
      <c r="D348" s="4" t="s">
        <v>659</v>
      </c>
      <c r="E348" s="4" t="s">
        <v>658</v>
      </c>
      <c r="F348" s="29">
        <f>прил6!F614</f>
        <v>1340</v>
      </c>
      <c r="G348" s="29">
        <f>F348</f>
        <v>1340</v>
      </c>
    </row>
    <row r="349" spans="1:7" ht="126">
      <c r="A349" s="3" t="s">
        <v>475</v>
      </c>
      <c r="B349" s="4" t="s">
        <v>479</v>
      </c>
      <c r="C349" s="4"/>
      <c r="D349" s="4"/>
      <c r="E349" s="4"/>
      <c r="F349" s="29">
        <f aca="true" t="shared" si="34" ref="F349:G351">F350</f>
        <v>405979</v>
      </c>
      <c r="G349" s="29">
        <f t="shared" si="34"/>
        <v>405979</v>
      </c>
    </row>
    <row r="350" spans="1:7" ht="63">
      <c r="A350" s="27" t="s">
        <v>723</v>
      </c>
      <c r="B350" s="4" t="s">
        <v>479</v>
      </c>
      <c r="C350" s="4" t="s">
        <v>317</v>
      </c>
      <c r="D350" s="4"/>
      <c r="E350" s="4"/>
      <c r="F350" s="29">
        <f t="shared" si="34"/>
        <v>405979</v>
      </c>
      <c r="G350" s="29">
        <f t="shared" si="34"/>
        <v>405979</v>
      </c>
    </row>
    <row r="351" spans="1:7" ht="15.75">
      <c r="A351" s="3" t="s">
        <v>665</v>
      </c>
      <c r="B351" s="4" t="s">
        <v>479</v>
      </c>
      <c r="C351" s="4" t="s">
        <v>317</v>
      </c>
      <c r="D351" s="4" t="s">
        <v>659</v>
      </c>
      <c r="E351" s="4"/>
      <c r="F351" s="29">
        <f t="shared" si="34"/>
        <v>405979</v>
      </c>
      <c r="G351" s="29">
        <f t="shared" si="34"/>
        <v>405979</v>
      </c>
    </row>
    <row r="352" spans="1:7" ht="31.5">
      <c r="A352" s="3" t="s">
        <v>677</v>
      </c>
      <c r="B352" s="4" t="s">
        <v>479</v>
      </c>
      <c r="C352" s="4" t="s">
        <v>317</v>
      </c>
      <c r="D352" s="4" t="s">
        <v>659</v>
      </c>
      <c r="E352" s="4" t="s">
        <v>658</v>
      </c>
      <c r="F352" s="29">
        <f>прил6!F616</f>
        <v>405979</v>
      </c>
      <c r="G352" s="29">
        <f>F352</f>
        <v>405979</v>
      </c>
    </row>
    <row r="353" spans="1:7" ht="31.5">
      <c r="A353" s="3" t="s">
        <v>428</v>
      </c>
      <c r="B353" s="4" t="s">
        <v>429</v>
      </c>
      <c r="C353" s="4"/>
      <c r="D353" s="4"/>
      <c r="E353" s="4"/>
      <c r="F353" s="29">
        <f>F354+F358+F362</f>
        <v>13250735.19</v>
      </c>
      <c r="G353" s="29">
        <f>G354+G358+G362</f>
        <v>477700</v>
      </c>
    </row>
    <row r="354" spans="1:7" ht="110.25">
      <c r="A354" s="3" t="s">
        <v>493</v>
      </c>
      <c r="B354" s="4" t="s">
        <v>430</v>
      </c>
      <c r="C354" s="4"/>
      <c r="D354" s="4"/>
      <c r="E354" s="4"/>
      <c r="F354" s="29">
        <f>F355</f>
        <v>12773035.19</v>
      </c>
      <c r="G354" s="29"/>
    </row>
    <row r="355" spans="1:7" ht="63">
      <c r="A355" s="3" t="s">
        <v>723</v>
      </c>
      <c r="B355" s="4" t="s">
        <v>430</v>
      </c>
      <c r="C355" s="4" t="s">
        <v>317</v>
      </c>
      <c r="D355" s="4"/>
      <c r="E355" s="4"/>
      <c r="F355" s="29">
        <f>F356</f>
        <v>12773035.19</v>
      </c>
      <c r="G355" s="29"/>
    </row>
    <row r="356" spans="1:7" ht="15.75">
      <c r="A356" s="3" t="s">
        <v>314</v>
      </c>
      <c r="B356" s="4" t="s">
        <v>430</v>
      </c>
      <c r="C356" s="4" t="s">
        <v>317</v>
      </c>
      <c r="D356" s="4" t="s">
        <v>655</v>
      </c>
      <c r="E356" s="4"/>
      <c r="F356" s="29">
        <f>F357</f>
        <v>12773035.19</v>
      </c>
      <c r="G356" s="29"/>
    </row>
    <row r="357" spans="1:7" ht="15.75">
      <c r="A357" s="3" t="s">
        <v>676</v>
      </c>
      <c r="B357" s="4" t="s">
        <v>430</v>
      </c>
      <c r="C357" s="4" t="s">
        <v>317</v>
      </c>
      <c r="D357" s="4" t="s">
        <v>655</v>
      </c>
      <c r="E357" s="4" t="s">
        <v>651</v>
      </c>
      <c r="F357" s="29">
        <f>прил6!F558</f>
        <v>12773035.19</v>
      </c>
      <c r="G357" s="29"/>
    </row>
    <row r="358" spans="1:7" ht="31.5" hidden="1">
      <c r="A358" s="3" t="s">
        <v>719</v>
      </c>
      <c r="B358" s="4" t="s">
        <v>737</v>
      </c>
      <c r="C358" s="4"/>
      <c r="D358" s="4"/>
      <c r="E358" s="4"/>
      <c r="F358" s="29">
        <f>F359</f>
        <v>0</v>
      </c>
      <c r="G358" s="29"/>
    </row>
    <row r="359" spans="1:7" ht="63" hidden="1">
      <c r="A359" s="3" t="s">
        <v>723</v>
      </c>
      <c r="B359" s="4" t="s">
        <v>737</v>
      </c>
      <c r="C359" s="4" t="s">
        <v>317</v>
      </c>
      <c r="D359" s="4"/>
      <c r="E359" s="4"/>
      <c r="F359" s="29">
        <f>F360</f>
        <v>0</v>
      </c>
      <c r="G359" s="29"/>
    </row>
    <row r="360" spans="1:7" ht="15.75" hidden="1">
      <c r="A360" s="3" t="s">
        <v>314</v>
      </c>
      <c r="B360" s="4" t="s">
        <v>737</v>
      </c>
      <c r="C360" s="4" t="s">
        <v>317</v>
      </c>
      <c r="D360" s="4" t="s">
        <v>655</v>
      </c>
      <c r="E360" s="4"/>
      <c r="F360" s="29">
        <f>F361</f>
        <v>0</v>
      </c>
      <c r="G360" s="29"/>
    </row>
    <row r="361" spans="1:7" ht="15.75" hidden="1">
      <c r="A361" s="3" t="s">
        <v>676</v>
      </c>
      <c r="B361" s="4" t="s">
        <v>737</v>
      </c>
      <c r="C361" s="4" t="s">
        <v>317</v>
      </c>
      <c r="D361" s="4" t="s">
        <v>655</v>
      </c>
      <c r="E361" s="4" t="s">
        <v>651</v>
      </c>
      <c r="F361" s="29">
        <f>прил7!G779</f>
        <v>0</v>
      </c>
      <c r="G361" s="29"/>
    </row>
    <row r="362" spans="1:7" ht="141.75">
      <c r="A362" s="3" t="s">
        <v>765</v>
      </c>
      <c r="B362" s="4" t="s">
        <v>755</v>
      </c>
      <c r="C362" s="4"/>
      <c r="D362" s="4"/>
      <c r="E362" s="4"/>
      <c r="F362" s="29">
        <f aca="true" t="shared" si="35" ref="F362:G364">F363</f>
        <v>477700</v>
      </c>
      <c r="G362" s="29">
        <f t="shared" si="35"/>
        <v>477700</v>
      </c>
    </row>
    <row r="363" spans="1:7" ht="63">
      <c r="A363" s="3" t="s">
        <v>723</v>
      </c>
      <c r="B363" s="4" t="s">
        <v>755</v>
      </c>
      <c r="C363" s="4" t="s">
        <v>317</v>
      </c>
      <c r="D363" s="4"/>
      <c r="E363" s="4"/>
      <c r="F363" s="29">
        <f t="shared" si="35"/>
        <v>477700</v>
      </c>
      <c r="G363" s="29">
        <f t="shared" si="35"/>
        <v>477700</v>
      </c>
    </row>
    <row r="364" spans="1:7" ht="15.75">
      <c r="A364" s="3" t="s">
        <v>314</v>
      </c>
      <c r="B364" s="4" t="s">
        <v>755</v>
      </c>
      <c r="C364" s="4" t="s">
        <v>317</v>
      </c>
      <c r="D364" s="4" t="s">
        <v>655</v>
      </c>
      <c r="E364" s="4"/>
      <c r="F364" s="29">
        <f t="shared" si="35"/>
        <v>477700</v>
      </c>
      <c r="G364" s="29">
        <f t="shared" si="35"/>
        <v>477700</v>
      </c>
    </row>
    <row r="365" spans="1:7" ht="15.75">
      <c r="A365" s="3" t="s">
        <v>676</v>
      </c>
      <c r="B365" s="4" t="s">
        <v>755</v>
      </c>
      <c r="C365" s="4" t="s">
        <v>317</v>
      </c>
      <c r="D365" s="4" t="s">
        <v>655</v>
      </c>
      <c r="E365" s="4" t="s">
        <v>651</v>
      </c>
      <c r="F365" s="29">
        <f>прил6!F562</f>
        <v>477700</v>
      </c>
      <c r="G365" s="29">
        <f>F365</f>
        <v>477700</v>
      </c>
    </row>
    <row r="366" spans="1:7" ht="63">
      <c r="A366" s="3" t="s">
        <v>431</v>
      </c>
      <c r="B366" s="4" t="s">
        <v>432</v>
      </c>
      <c r="C366" s="4"/>
      <c r="D366" s="4"/>
      <c r="E366" s="4"/>
      <c r="F366" s="29">
        <f>F367+F371</f>
        <v>1166717.5899999999</v>
      </c>
      <c r="G366" s="29"/>
    </row>
    <row r="367" spans="1:7" ht="47.25">
      <c r="A367" s="3" t="s">
        <v>512</v>
      </c>
      <c r="B367" s="4" t="s">
        <v>433</v>
      </c>
      <c r="C367" s="4"/>
      <c r="D367" s="4"/>
      <c r="E367" s="4"/>
      <c r="F367" s="29">
        <f>F368</f>
        <v>1166717.5899999999</v>
      </c>
      <c r="G367" s="29"/>
    </row>
    <row r="368" spans="1:7" ht="47.25">
      <c r="A368" s="3" t="s">
        <v>702</v>
      </c>
      <c r="B368" s="4" t="s">
        <v>433</v>
      </c>
      <c r="C368" s="4" t="s">
        <v>313</v>
      </c>
      <c r="D368" s="4"/>
      <c r="E368" s="4"/>
      <c r="F368" s="29">
        <f>F369</f>
        <v>1166717.5899999999</v>
      </c>
      <c r="G368" s="29"/>
    </row>
    <row r="369" spans="1:7" ht="15.75">
      <c r="A369" s="3" t="s">
        <v>314</v>
      </c>
      <c r="B369" s="4" t="s">
        <v>433</v>
      </c>
      <c r="C369" s="4" t="s">
        <v>313</v>
      </c>
      <c r="D369" s="4" t="s">
        <v>655</v>
      </c>
      <c r="E369" s="4"/>
      <c r="F369" s="29">
        <f>F370</f>
        <v>1166717.5899999999</v>
      </c>
      <c r="G369" s="29"/>
    </row>
    <row r="370" spans="1:7" ht="15.75">
      <c r="A370" s="3" t="s">
        <v>676</v>
      </c>
      <c r="B370" s="4" t="s">
        <v>433</v>
      </c>
      <c r="C370" s="4" t="s">
        <v>313</v>
      </c>
      <c r="D370" s="4" t="s">
        <v>655</v>
      </c>
      <c r="E370" s="4" t="s">
        <v>651</v>
      </c>
      <c r="F370" s="29">
        <f>прил6!F565</f>
        <v>1166717.5899999999</v>
      </c>
      <c r="G370" s="29"/>
    </row>
    <row r="371" spans="1:7" ht="31.5" hidden="1">
      <c r="A371" s="3" t="s">
        <v>719</v>
      </c>
      <c r="B371" s="4" t="s">
        <v>434</v>
      </c>
      <c r="C371" s="4"/>
      <c r="D371" s="4"/>
      <c r="E371" s="4"/>
      <c r="F371" s="29">
        <f>F372</f>
        <v>0</v>
      </c>
      <c r="G371" s="29"/>
    </row>
    <row r="372" spans="1:7" ht="47.25" hidden="1">
      <c r="A372" s="3" t="s">
        <v>702</v>
      </c>
      <c r="B372" s="4" t="s">
        <v>434</v>
      </c>
      <c r="C372" s="4" t="s">
        <v>313</v>
      </c>
      <c r="D372" s="4"/>
      <c r="E372" s="4"/>
      <c r="F372" s="29">
        <f>F373</f>
        <v>0</v>
      </c>
      <c r="G372" s="29"/>
    </row>
    <row r="373" spans="1:7" ht="15.75" hidden="1">
      <c r="A373" s="3" t="s">
        <v>670</v>
      </c>
      <c r="B373" s="4" t="s">
        <v>434</v>
      </c>
      <c r="C373" s="4" t="s">
        <v>313</v>
      </c>
      <c r="D373" s="4" t="s">
        <v>651</v>
      </c>
      <c r="E373" s="4"/>
      <c r="F373" s="29">
        <f>F374</f>
        <v>0</v>
      </c>
      <c r="G373" s="29"/>
    </row>
    <row r="374" spans="1:7" ht="31.5" hidden="1">
      <c r="A374" s="3" t="s">
        <v>680</v>
      </c>
      <c r="B374" s="4" t="s">
        <v>434</v>
      </c>
      <c r="C374" s="4" t="s">
        <v>313</v>
      </c>
      <c r="D374" s="4" t="s">
        <v>651</v>
      </c>
      <c r="E374" s="4" t="s">
        <v>310</v>
      </c>
      <c r="F374" s="29">
        <f>прил6!F134</f>
        <v>0</v>
      </c>
      <c r="G374" s="29"/>
    </row>
    <row r="375" spans="1:7" ht="78.75">
      <c r="A375" s="3" t="s">
        <v>435</v>
      </c>
      <c r="B375" s="4" t="s">
        <v>436</v>
      </c>
      <c r="C375" s="4"/>
      <c r="D375" s="4"/>
      <c r="E375" s="4"/>
      <c r="F375" s="29">
        <f>F376+F380</f>
        <v>8685746.8</v>
      </c>
      <c r="G375" s="29"/>
    </row>
    <row r="376" spans="1:7" ht="47.25">
      <c r="A376" s="3" t="s">
        <v>512</v>
      </c>
      <c r="B376" s="4" t="s">
        <v>437</v>
      </c>
      <c r="C376" s="4"/>
      <c r="D376" s="4"/>
      <c r="E376" s="4"/>
      <c r="F376" s="29">
        <f>F377</f>
        <v>8036738.74</v>
      </c>
      <c r="G376" s="29"/>
    </row>
    <row r="377" spans="1:7" ht="63">
      <c r="A377" s="3" t="s">
        <v>723</v>
      </c>
      <c r="B377" s="4" t="s">
        <v>437</v>
      </c>
      <c r="C377" s="4" t="s">
        <v>317</v>
      </c>
      <c r="D377" s="4"/>
      <c r="E377" s="4"/>
      <c r="F377" s="29">
        <f>F378</f>
        <v>8036738.74</v>
      </c>
      <c r="G377" s="29"/>
    </row>
    <row r="378" spans="1:7" ht="15.75">
      <c r="A378" s="3" t="s">
        <v>314</v>
      </c>
      <c r="B378" s="4" t="s">
        <v>437</v>
      </c>
      <c r="C378" s="4" t="s">
        <v>317</v>
      </c>
      <c r="D378" s="4" t="s">
        <v>655</v>
      </c>
      <c r="E378" s="4"/>
      <c r="F378" s="29">
        <f>F379</f>
        <v>8036738.74</v>
      </c>
      <c r="G378" s="29"/>
    </row>
    <row r="379" spans="1:7" ht="15.75">
      <c r="A379" s="3" t="s">
        <v>676</v>
      </c>
      <c r="B379" s="4" t="s">
        <v>437</v>
      </c>
      <c r="C379" s="4" t="s">
        <v>317</v>
      </c>
      <c r="D379" s="4" t="s">
        <v>655</v>
      </c>
      <c r="E379" s="4" t="s">
        <v>651</v>
      </c>
      <c r="F379" s="29">
        <f>прил6!F568</f>
        <v>8036738.74</v>
      </c>
      <c r="G379" s="29"/>
    </row>
    <row r="380" spans="1:7" ht="31.5">
      <c r="A380" s="3" t="s">
        <v>719</v>
      </c>
      <c r="B380" s="4" t="s">
        <v>438</v>
      </c>
      <c r="C380" s="4"/>
      <c r="D380" s="4"/>
      <c r="E380" s="4"/>
      <c r="F380" s="29">
        <f>F381</f>
        <v>649008.06</v>
      </c>
      <c r="G380" s="29"/>
    </row>
    <row r="381" spans="1:7" ht="63">
      <c r="A381" s="3" t="s">
        <v>723</v>
      </c>
      <c r="B381" s="4" t="s">
        <v>438</v>
      </c>
      <c r="C381" s="4" t="s">
        <v>317</v>
      </c>
      <c r="D381" s="4"/>
      <c r="E381" s="4"/>
      <c r="F381" s="29">
        <f>F384+F382</f>
        <v>649008.06</v>
      </c>
      <c r="G381" s="29"/>
    </row>
    <row r="382" spans="1:7" ht="15.75" hidden="1">
      <c r="A382" s="3" t="s">
        <v>662</v>
      </c>
      <c r="B382" s="4" t="s">
        <v>438</v>
      </c>
      <c r="C382" s="4" t="s">
        <v>317</v>
      </c>
      <c r="D382" s="4" t="s">
        <v>654</v>
      </c>
      <c r="E382" s="4"/>
      <c r="F382" s="29">
        <f>F383</f>
        <v>0</v>
      </c>
      <c r="G382" s="29"/>
    </row>
    <row r="383" spans="1:7" ht="15.75" hidden="1">
      <c r="A383" s="3" t="s">
        <v>664</v>
      </c>
      <c r="B383" s="4" t="s">
        <v>438</v>
      </c>
      <c r="C383" s="4" t="s">
        <v>317</v>
      </c>
      <c r="D383" s="4" t="s">
        <v>654</v>
      </c>
      <c r="E383" s="4" t="s">
        <v>656</v>
      </c>
      <c r="F383" s="29">
        <f>прил6!F445</f>
        <v>0</v>
      </c>
      <c r="G383" s="29"/>
    </row>
    <row r="384" spans="1:7" ht="15.75">
      <c r="A384" s="3" t="s">
        <v>314</v>
      </c>
      <c r="B384" s="4" t="s">
        <v>438</v>
      </c>
      <c r="C384" s="4" t="s">
        <v>317</v>
      </c>
      <c r="D384" s="4" t="s">
        <v>655</v>
      </c>
      <c r="E384" s="4"/>
      <c r="F384" s="29">
        <f>F385</f>
        <v>649008.06</v>
      </c>
      <c r="G384" s="29"/>
    </row>
    <row r="385" spans="1:7" ht="15.75">
      <c r="A385" s="3" t="s">
        <v>676</v>
      </c>
      <c r="B385" s="4" t="s">
        <v>438</v>
      </c>
      <c r="C385" s="4" t="s">
        <v>317</v>
      </c>
      <c r="D385" s="4" t="s">
        <v>655</v>
      </c>
      <c r="E385" s="4" t="s">
        <v>651</v>
      </c>
      <c r="F385" s="29">
        <f>прил6!F570</f>
        <v>649008.06</v>
      </c>
      <c r="G385" s="29"/>
    </row>
    <row r="386" spans="1:7" ht="94.5">
      <c r="A386" s="1" t="s">
        <v>549</v>
      </c>
      <c r="B386" s="2" t="s">
        <v>328</v>
      </c>
      <c r="C386" s="2"/>
      <c r="D386" s="2"/>
      <c r="E386" s="2"/>
      <c r="F386" s="33">
        <f>F387+F396+F405+F418+F463+F478+F487</f>
        <v>139270606.57999998</v>
      </c>
      <c r="G386" s="33">
        <f>G387+G396+G405+G418+G463+G478+G487</f>
        <v>3252851</v>
      </c>
    </row>
    <row r="387" spans="1:7" ht="47.25">
      <c r="A387" s="3" t="s">
        <v>510</v>
      </c>
      <c r="B387" s="4" t="s">
        <v>511</v>
      </c>
      <c r="C387" s="4"/>
      <c r="D387" s="4"/>
      <c r="E387" s="4"/>
      <c r="F387" s="29">
        <f>F388+F392</f>
        <v>24330500.7</v>
      </c>
      <c r="G387" s="29"/>
    </row>
    <row r="388" spans="1:7" ht="47.25">
      <c r="A388" s="3" t="s">
        <v>512</v>
      </c>
      <c r="B388" s="4" t="s">
        <v>513</v>
      </c>
      <c r="C388" s="4"/>
      <c r="D388" s="4"/>
      <c r="E388" s="4"/>
      <c r="F388" s="29">
        <f>F389</f>
        <v>3285175.55</v>
      </c>
      <c r="G388" s="29"/>
    </row>
    <row r="389" spans="1:7" ht="47.25">
      <c r="A389" s="3" t="s">
        <v>702</v>
      </c>
      <c r="B389" s="4" t="s">
        <v>513</v>
      </c>
      <c r="C389" s="4" t="s">
        <v>313</v>
      </c>
      <c r="D389" s="4"/>
      <c r="E389" s="4"/>
      <c r="F389" s="29">
        <f>F390</f>
        <v>3285175.55</v>
      </c>
      <c r="G389" s="29"/>
    </row>
    <row r="390" spans="1:7" ht="31.5">
      <c r="A390" s="3" t="s">
        <v>660</v>
      </c>
      <c r="B390" s="4" t="s">
        <v>513</v>
      </c>
      <c r="C390" s="4" t="s">
        <v>313</v>
      </c>
      <c r="D390" s="4" t="s">
        <v>653</v>
      </c>
      <c r="E390" s="2"/>
      <c r="F390" s="29">
        <f>F391</f>
        <v>3285175.55</v>
      </c>
      <c r="G390" s="29"/>
    </row>
    <row r="391" spans="1:7" ht="15.75">
      <c r="A391" s="3" t="s">
        <v>666</v>
      </c>
      <c r="B391" s="4" t="s">
        <v>513</v>
      </c>
      <c r="C391" s="4" t="s">
        <v>313</v>
      </c>
      <c r="D391" s="4" t="s">
        <v>653</v>
      </c>
      <c r="E391" s="4" t="s">
        <v>651</v>
      </c>
      <c r="F391" s="29">
        <f>прил6!F310</f>
        <v>3285175.55</v>
      </c>
      <c r="G391" s="33"/>
    </row>
    <row r="392" spans="1:7" ht="63">
      <c r="A392" s="138" t="s">
        <v>244</v>
      </c>
      <c r="B392" s="4" t="s">
        <v>243</v>
      </c>
      <c r="C392" s="4"/>
      <c r="D392" s="4"/>
      <c r="E392" s="4"/>
      <c r="F392" s="29">
        <f>F393</f>
        <v>21045325.15</v>
      </c>
      <c r="G392" s="33"/>
    </row>
    <row r="393" spans="1:7" ht="63">
      <c r="A393" s="3" t="s">
        <v>723</v>
      </c>
      <c r="B393" s="4" t="s">
        <v>243</v>
      </c>
      <c r="C393" s="4" t="s">
        <v>317</v>
      </c>
      <c r="D393" s="4"/>
      <c r="E393" s="4"/>
      <c r="F393" s="29">
        <f>F394</f>
        <v>21045325.15</v>
      </c>
      <c r="G393" s="33"/>
    </row>
    <row r="394" spans="1:7" ht="31.5">
      <c r="A394" s="3" t="s">
        <v>660</v>
      </c>
      <c r="B394" s="4" t="s">
        <v>243</v>
      </c>
      <c r="C394" s="4" t="s">
        <v>317</v>
      </c>
      <c r="D394" s="4" t="s">
        <v>653</v>
      </c>
      <c r="E394" s="4"/>
      <c r="F394" s="29">
        <f>F395</f>
        <v>21045325.15</v>
      </c>
      <c r="G394" s="33"/>
    </row>
    <row r="395" spans="1:7" ht="26.25" customHeight="1">
      <c r="A395" s="3" t="s">
        <v>666</v>
      </c>
      <c r="B395" s="4" t="s">
        <v>243</v>
      </c>
      <c r="C395" s="4" t="s">
        <v>317</v>
      </c>
      <c r="D395" s="4" t="s">
        <v>653</v>
      </c>
      <c r="E395" s="4" t="s">
        <v>651</v>
      </c>
      <c r="F395" s="29">
        <f>прил6!F312</f>
        <v>21045325.15</v>
      </c>
      <c r="G395" s="33"/>
    </row>
    <row r="396" spans="1:7" ht="78.75">
      <c r="A396" s="3" t="s">
        <v>202</v>
      </c>
      <c r="B396" s="4" t="s">
        <v>203</v>
      </c>
      <c r="C396" s="4"/>
      <c r="D396" s="4"/>
      <c r="E396" s="4"/>
      <c r="F396" s="29">
        <f>F397+F401</f>
        <v>1171757.21</v>
      </c>
      <c r="G396" s="29"/>
    </row>
    <row r="397" spans="1:7" ht="47.25">
      <c r="A397" s="3" t="s">
        <v>514</v>
      </c>
      <c r="B397" s="4" t="s">
        <v>515</v>
      </c>
      <c r="C397" s="4"/>
      <c r="D397" s="4"/>
      <c r="E397" s="4"/>
      <c r="F397" s="29">
        <f>F398</f>
        <v>1171757.21</v>
      </c>
      <c r="G397" s="29"/>
    </row>
    <row r="398" spans="1:7" ht="47.25">
      <c r="A398" s="3" t="s">
        <v>702</v>
      </c>
      <c r="B398" s="4" t="s">
        <v>515</v>
      </c>
      <c r="C398" s="4" t="s">
        <v>313</v>
      </c>
      <c r="D398" s="4"/>
      <c r="E398" s="4"/>
      <c r="F398" s="29">
        <f>F399</f>
        <v>1171757.21</v>
      </c>
      <c r="G398" s="29"/>
    </row>
    <row r="399" spans="1:7" ht="31.5">
      <c r="A399" s="3" t="s">
        <v>660</v>
      </c>
      <c r="B399" s="4" t="s">
        <v>515</v>
      </c>
      <c r="C399" s="4" t="s">
        <v>313</v>
      </c>
      <c r="D399" s="4" t="s">
        <v>653</v>
      </c>
      <c r="E399" s="4"/>
      <c r="F399" s="29">
        <f>F400</f>
        <v>1171757.21</v>
      </c>
      <c r="G399" s="29"/>
    </row>
    <row r="400" spans="1:7" ht="15.75">
      <c r="A400" s="3" t="s">
        <v>305</v>
      </c>
      <c r="B400" s="4" t="s">
        <v>515</v>
      </c>
      <c r="C400" s="4" t="s">
        <v>313</v>
      </c>
      <c r="D400" s="4" t="s">
        <v>653</v>
      </c>
      <c r="E400" s="4" t="s">
        <v>656</v>
      </c>
      <c r="F400" s="29">
        <f>прил6!F326</f>
        <v>1171757.21</v>
      </c>
      <c r="G400" s="29"/>
    </row>
    <row r="401" spans="1:7" ht="31.5" hidden="1">
      <c r="A401" s="3" t="s">
        <v>719</v>
      </c>
      <c r="B401" s="4" t="s">
        <v>231</v>
      </c>
      <c r="C401" s="4"/>
      <c r="D401" s="4"/>
      <c r="E401" s="4"/>
      <c r="F401" s="29">
        <f>F402</f>
        <v>0</v>
      </c>
      <c r="G401" s="29"/>
    </row>
    <row r="402" spans="1:7" ht="47.25" hidden="1">
      <c r="A402" s="3" t="s">
        <v>702</v>
      </c>
      <c r="B402" s="4" t="s">
        <v>231</v>
      </c>
      <c r="C402" s="4" t="s">
        <v>313</v>
      </c>
      <c r="D402" s="4"/>
      <c r="E402" s="4"/>
      <c r="F402" s="29">
        <f>F403</f>
        <v>0</v>
      </c>
      <c r="G402" s="29"/>
    </row>
    <row r="403" spans="1:7" ht="31.5" hidden="1">
      <c r="A403" s="3" t="s">
        <v>660</v>
      </c>
      <c r="B403" s="4" t="s">
        <v>231</v>
      </c>
      <c r="C403" s="4" t="s">
        <v>313</v>
      </c>
      <c r="D403" s="4" t="s">
        <v>653</v>
      </c>
      <c r="E403" s="4"/>
      <c r="F403" s="29">
        <f>F404</f>
        <v>0</v>
      </c>
      <c r="G403" s="29"/>
    </row>
    <row r="404" spans="1:7" ht="15.75" hidden="1">
      <c r="A404" s="3" t="s">
        <v>305</v>
      </c>
      <c r="B404" s="4" t="s">
        <v>231</v>
      </c>
      <c r="C404" s="4" t="s">
        <v>313</v>
      </c>
      <c r="D404" s="4" t="s">
        <v>653</v>
      </c>
      <c r="E404" s="4" t="s">
        <v>656</v>
      </c>
      <c r="F404" s="29">
        <f>прил6!F328</f>
        <v>0</v>
      </c>
      <c r="G404" s="29"/>
    </row>
    <row r="405" spans="1:7" ht="78.75">
      <c r="A405" s="3" t="s">
        <v>204</v>
      </c>
      <c r="B405" s="4" t="s">
        <v>205</v>
      </c>
      <c r="C405" s="4"/>
      <c r="D405" s="4"/>
      <c r="E405" s="4"/>
      <c r="F405" s="29">
        <f>F406+F410+F414</f>
        <v>28148327.099999998</v>
      </c>
      <c r="G405" s="29"/>
    </row>
    <row r="406" spans="1:7" ht="110.25">
      <c r="A406" s="3" t="s">
        <v>209</v>
      </c>
      <c r="B406" s="4" t="s">
        <v>210</v>
      </c>
      <c r="C406" s="4"/>
      <c r="D406" s="4"/>
      <c r="E406" s="4"/>
      <c r="F406" s="29">
        <f>F407</f>
        <v>5574039.5</v>
      </c>
      <c r="G406" s="29"/>
    </row>
    <row r="407" spans="1:7" ht="63">
      <c r="A407" s="3" t="s">
        <v>723</v>
      </c>
      <c r="B407" s="4" t="s">
        <v>210</v>
      </c>
      <c r="C407" s="4" t="s">
        <v>317</v>
      </c>
      <c r="D407" s="4"/>
      <c r="E407" s="4"/>
      <c r="F407" s="29">
        <f>F408</f>
        <v>5574039.5</v>
      </c>
      <c r="G407" s="29"/>
    </row>
    <row r="408" spans="1:7" ht="31.5">
      <c r="A408" s="3" t="s">
        <v>660</v>
      </c>
      <c r="B408" s="4" t="s">
        <v>210</v>
      </c>
      <c r="C408" s="4" t="s">
        <v>317</v>
      </c>
      <c r="D408" s="4" t="s">
        <v>653</v>
      </c>
      <c r="E408" s="4"/>
      <c r="F408" s="29">
        <f>F409</f>
        <v>5574039.5</v>
      </c>
      <c r="G408" s="29"/>
    </row>
    <row r="409" spans="1:7" ht="47.25">
      <c r="A409" s="3" t="s">
        <v>678</v>
      </c>
      <c r="B409" s="4" t="s">
        <v>210</v>
      </c>
      <c r="C409" s="4" t="s">
        <v>317</v>
      </c>
      <c r="D409" s="4" t="s">
        <v>653</v>
      </c>
      <c r="E409" s="4" t="s">
        <v>653</v>
      </c>
      <c r="F409" s="29">
        <f>прил6!F357</f>
        <v>5574039.5</v>
      </c>
      <c r="G409" s="29"/>
    </row>
    <row r="410" spans="1:7" ht="31.5">
      <c r="A410" s="3" t="s">
        <v>719</v>
      </c>
      <c r="B410" s="4" t="s">
        <v>206</v>
      </c>
      <c r="C410" s="4"/>
      <c r="D410" s="4"/>
      <c r="E410" s="4"/>
      <c r="F410" s="29">
        <f>F411</f>
        <v>840463.6599999999</v>
      </c>
      <c r="G410" s="29"/>
    </row>
    <row r="411" spans="1:7" ht="47.25">
      <c r="A411" s="3" t="s">
        <v>702</v>
      </c>
      <c r="B411" s="4" t="s">
        <v>206</v>
      </c>
      <c r="C411" s="4" t="s">
        <v>313</v>
      </c>
      <c r="D411" s="4"/>
      <c r="E411" s="4"/>
      <c r="F411" s="29">
        <f>F412</f>
        <v>840463.6599999999</v>
      </c>
      <c r="G411" s="29"/>
    </row>
    <row r="412" spans="1:7" ht="31.5">
      <c r="A412" s="3" t="s">
        <v>660</v>
      </c>
      <c r="B412" s="4" t="s">
        <v>206</v>
      </c>
      <c r="C412" s="4" t="s">
        <v>313</v>
      </c>
      <c r="D412" s="4" t="s">
        <v>653</v>
      </c>
      <c r="E412" s="4"/>
      <c r="F412" s="29">
        <f>F413</f>
        <v>840463.6599999999</v>
      </c>
      <c r="G412" s="29"/>
    </row>
    <row r="413" spans="1:7" ht="15.75">
      <c r="A413" s="3" t="s">
        <v>305</v>
      </c>
      <c r="B413" s="4" t="s">
        <v>206</v>
      </c>
      <c r="C413" s="4" t="s">
        <v>313</v>
      </c>
      <c r="D413" s="4" t="s">
        <v>653</v>
      </c>
      <c r="E413" s="4" t="s">
        <v>656</v>
      </c>
      <c r="F413" s="29">
        <f>прил6!F331</f>
        <v>840463.6599999999</v>
      </c>
      <c r="G413" s="29"/>
    </row>
    <row r="414" spans="1:7" ht="47.25">
      <c r="A414" s="3" t="s">
        <v>207</v>
      </c>
      <c r="B414" s="4" t="s">
        <v>208</v>
      </c>
      <c r="C414" s="4"/>
      <c r="D414" s="4"/>
      <c r="E414" s="4"/>
      <c r="F414" s="29">
        <f>F415</f>
        <v>21733823.939999998</v>
      </c>
      <c r="G414" s="29"/>
    </row>
    <row r="415" spans="1:7" ht="15.75">
      <c r="A415" s="3" t="s">
        <v>556</v>
      </c>
      <c r="B415" s="4" t="s">
        <v>208</v>
      </c>
      <c r="C415" s="4" t="s">
        <v>316</v>
      </c>
      <c r="D415" s="4"/>
      <c r="E415" s="4"/>
      <c r="F415" s="29">
        <f>F416</f>
        <v>21733823.939999998</v>
      </c>
      <c r="G415" s="29"/>
    </row>
    <row r="416" spans="1:7" ht="31.5">
      <c r="A416" s="3" t="s">
        <v>660</v>
      </c>
      <c r="B416" s="4" t="s">
        <v>208</v>
      </c>
      <c r="C416" s="4" t="s">
        <v>316</v>
      </c>
      <c r="D416" s="4" t="s">
        <v>653</v>
      </c>
      <c r="E416" s="4"/>
      <c r="F416" s="29">
        <f>F417</f>
        <v>21733823.939999998</v>
      </c>
      <c r="G416" s="29"/>
    </row>
    <row r="417" spans="1:7" ht="15.75">
      <c r="A417" s="3" t="s">
        <v>305</v>
      </c>
      <c r="B417" s="4" t="s">
        <v>208</v>
      </c>
      <c r="C417" s="4" t="s">
        <v>316</v>
      </c>
      <c r="D417" s="4" t="s">
        <v>653</v>
      </c>
      <c r="E417" s="4" t="s">
        <v>656</v>
      </c>
      <c r="F417" s="29">
        <f>прил6!F333</f>
        <v>21733823.939999998</v>
      </c>
      <c r="G417" s="29"/>
    </row>
    <row r="418" spans="1:7" ht="63">
      <c r="A418" s="3" t="s">
        <v>211</v>
      </c>
      <c r="B418" s="4" t="s">
        <v>212</v>
      </c>
      <c r="C418" s="4"/>
      <c r="D418" s="4"/>
      <c r="E418" s="4"/>
      <c r="F418" s="29">
        <f>F419+F423+F427+F431+F435+F439+F443+F447+F454+F458+F462</f>
        <v>39024679.400000006</v>
      </c>
      <c r="G418" s="29">
        <f>G419+G423+G427+G431+G435+G439+G443+G447+G454+G458+G462</f>
        <v>1439490</v>
      </c>
    </row>
    <row r="419" spans="1:7" ht="63">
      <c r="A419" s="3" t="s">
        <v>213</v>
      </c>
      <c r="B419" s="4" t="s">
        <v>214</v>
      </c>
      <c r="C419" s="4"/>
      <c r="D419" s="4"/>
      <c r="E419" s="4"/>
      <c r="F419" s="29">
        <f>F420</f>
        <v>20204816.5</v>
      </c>
      <c r="G419" s="29"/>
    </row>
    <row r="420" spans="1:7" ht="47.25">
      <c r="A420" s="3" t="s">
        <v>702</v>
      </c>
      <c r="B420" s="4" t="s">
        <v>214</v>
      </c>
      <c r="C420" s="4" t="s">
        <v>313</v>
      </c>
      <c r="D420" s="4"/>
      <c r="E420" s="4"/>
      <c r="F420" s="29">
        <f>F421</f>
        <v>20204816.5</v>
      </c>
      <c r="G420" s="29"/>
    </row>
    <row r="421" spans="1:7" ht="31.5">
      <c r="A421" s="3" t="s">
        <v>660</v>
      </c>
      <c r="B421" s="4" t="s">
        <v>214</v>
      </c>
      <c r="C421" s="4" t="s">
        <v>313</v>
      </c>
      <c r="D421" s="4" t="s">
        <v>653</v>
      </c>
      <c r="E421" s="4"/>
      <c r="F421" s="29">
        <f>F422</f>
        <v>20204816.5</v>
      </c>
      <c r="G421" s="29"/>
    </row>
    <row r="422" spans="1:7" ht="15.75">
      <c r="A422" s="3" t="s">
        <v>564</v>
      </c>
      <c r="B422" s="4" t="s">
        <v>214</v>
      </c>
      <c r="C422" s="4" t="s">
        <v>313</v>
      </c>
      <c r="D422" s="4" t="s">
        <v>653</v>
      </c>
      <c r="E422" s="4" t="s">
        <v>658</v>
      </c>
      <c r="F422" s="29">
        <f>прил6!F338</f>
        <v>20204816.5</v>
      </c>
      <c r="G422" s="29"/>
    </row>
    <row r="423" spans="1:7" ht="63">
      <c r="A423" s="3" t="s">
        <v>217</v>
      </c>
      <c r="B423" s="4" t="s">
        <v>218</v>
      </c>
      <c r="C423" s="4"/>
      <c r="D423" s="4"/>
      <c r="E423" s="4"/>
      <c r="F423" s="29">
        <f>F424</f>
        <v>13207055.48</v>
      </c>
      <c r="G423" s="29"/>
    </row>
    <row r="424" spans="1:7" ht="47.25">
      <c r="A424" s="3" t="s">
        <v>702</v>
      </c>
      <c r="B424" s="4" t="s">
        <v>218</v>
      </c>
      <c r="C424" s="4" t="s">
        <v>313</v>
      </c>
      <c r="D424" s="4"/>
      <c r="E424" s="4"/>
      <c r="F424" s="29">
        <f>F425</f>
        <v>13207055.48</v>
      </c>
      <c r="G424" s="29"/>
    </row>
    <row r="425" spans="1:7" ht="31.5">
      <c r="A425" s="3" t="s">
        <v>660</v>
      </c>
      <c r="B425" s="4" t="s">
        <v>218</v>
      </c>
      <c r="C425" s="4" t="s">
        <v>313</v>
      </c>
      <c r="D425" s="4" t="s">
        <v>653</v>
      </c>
      <c r="E425" s="4"/>
      <c r="F425" s="29">
        <f>F426</f>
        <v>13207055.48</v>
      </c>
      <c r="G425" s="29"/>
    </row>
    <row r="426" spans="1:7" ht="15.75">
      <c r="A426" s="3" t="s">
        <v>564</v>
      </c>
      <c r="B426" s="4" t="s">
        <v>218</v>
      </c>
      <c r="C426" s="4" t="s">
        <v>313</v>
      </c>
      <c r="D426" s="4" t="s">
        <v>653</v>
      </c>
      <c r="E426" s="4" t="s">
        <v>658</v>
      </c>
      <c r="F426" s="29">
        <f>прил6!F340</f>
        <v>13207055.48</v>
      </c>
      <c r="G426" s="29"/>
    </row>
    <row r="427" spans="1:7" ht="47.25">
      <c r="A427" s="3" t="s">
        <v>219</v>
      </c>
      <c r="B427" s="4" t="s">
        <v>220</v>
      </c>
      <c r="C427" s="4"/>
      <c r="D427" s="4"/>
      <c r="E427" s="4"/>
      <c r="F427" s="29">
        <f>F428</f>
        <v>680500</v>
      </c>
      <c r="G427" s="29"/>
    </row>
    <row r="428" spans="1:7" ht="47.25">
      <c r="A428" s="3" t="s">
        <v>702</v>
      </c>
      <c r="B428" s="4" t="s">
        <v>220</v>
      </c>
      <c r="C428" s="4" t="s">
        <v>313</v>
      </c>
      <c r="D428" s="4"/>
      <c r="E428" s="4"/>
      <c r="F428" s="29">
        <f>F429</f>
        <v>680500</v>
      </c>
      <c r="G428" s="29"/>
    </row>
    <row r="429" spans="1:7" ht="31.5">
      <c r="A429" s="3" t="s">
        <v>660</v>
      </c>
      <c r="B429" s="4" t="s">
        <v>220</v>
      </c>
      <c r="C429" s="4" t="s">
        <v>313</v>
      </c>
      <c r="D429" s="4" t="s">
        <v>653</v>
      </c>
      <c r="E429" s="4"/>
      <c r="F429" s="29">
        <f>F430</f>
        <v>680500</v>
      </c>
      <c r="G429" s="29"/>
    </row>
    <row r="430" spans="1:7" ht="15.75">
      <c r="A430" s="3" t="s">
        <v>564</v>
      </c>
      <c r="B430" s="4" t="s">
        <v>220</v>
      </c>
      <c r="C430" s="4" t="s">
        <v>313</v>
      </c>
      <c r="D430" s="4" t="s">
        <v>653</v>
      </c>
      <c r="E430" s="4" t="s">
        <v>658</v>
      </c>
      <c r="F430" s="29">
        <f>прил6!F342</f>
        <v>680500</v>
      </c>
      <c r="G430" s="29"/>
    </row>
    <row r="431" spans="1:7" ht="47.25">
      <c r="A431" s="3" t="s">
        <v>512</v>
      </c>
      <c r="B431" s="4" t="s">
        <v>221</v>
      </c>
      <c r="C431" s="4"/>
      <c r="D431" s="4"/>
      <c r="E431" s="4"/>
      <c r="F431" s="29">
        <f>F432</f>
        <v>0</v>
      </c>
      <c r="G431" s="29"/>
    </row>
    <row r="432" spans="1:7" ht="47.25">
      <c r="A432" s="3" t="s">
        <v>702</v>
      </c>
      <c r="B432" s="4" t="s">
        <v>221</v>
      </c>
      <c r="C432" s="4" t="s">
        <v>313</v>
      </c>
      <c r="D432" s="4"/>
      <c r="E432" s="4"/>
      <c r="F432" s="29">
        <f>F433</f>
        <v>0</v>
      </c>
      <c r="G432" s="29"/>
    </row>
    <row r="433" spans="1:7" ht="31.5">
      <c r="A433" s="3" t="s">
        <v>660</v>
      </c>
      <c r="B433" s="4" t="s">
        <v>221</v>
      </c>
      <c r="C433" s="4" t="s">
        <v>313</v>
      </c>
      <c r="D433" s="4" t="s">
        <v>653</v>
      </c>
      <c r="E433" s="4"/>
      <c r="F433" s="29">
        <f>F434</f>
        <v>0</v>
      </c>
      <c r="G433" s="29"/>
    </row>
    <row r="434" spans="1:7" ht="15.75">
      <c r="A434" s="3" t="s">
        <v>564</v>
      </c>
      <c r="B434" s="4" t="s">
        <v>221</v>
      </c>
      <c r="C434" s="4" t="s">
        <v>313</v>
      </c>
      <c r="D434" s="4" t="s">
        <v>653</v>
      </c>
      <c r="E434" s="4" t="s">
        <v>658</v>
      </c>
      <c r="F434" s="29">
        <f>прил6!F344</f>
        <v>0</v>
      </c>
      <c r="G434" s="29"/>
    </row>
    <row r="435" spans="1:7" ht="47.25" hidden="1">
      <c r="A435" s="3" t="s">
        <v>514</v>
      </c>
      <c r="B435" s="4" t="s">
        <v>222</v>
      </c>
      <c r="C435" s="4"/>
      <c r="D435" s="4"/>
      <c r="E435" s="4"/>
      <c r="F435" s="29">
        <f>F436</f>
        <v>0</v>
      </c>
      <c r="G435" s="29"/>
    </row>
    <row r="436" spans="1:7" ht="47.25" hidden="1">
      <c r="A436" s="3" t="s">
        <v>702</v>
      </c>
      <c r="B436" s="4" t="s">
        <v>222</v>
      </c>
      <c r="C436" s="4" t="s">
        <v>313</v>
      </c>
      <c r="D436" s="4"/>
      <c r="E436" s="4"/>
      <c r="F436" s="29">
        <f>F437</f>
        <v>0</v>
      </c>
      <c r="G436" s="29"/>
    </row>
    <row r="437" spans="1:7" ht="31.5" hidden="1">
      <c r="A437" s="3" t="s">
        <v>660</v>
      </c>
      <c r="B437" s="4" t="s">
        <v>222</v>
      </c>
      <c r="C437" s="4" t="s">
        <v>313</v>
      </c>
      <c r="D437" s="4" t="s">
        <v>653</v>
      </c>
      <c r="E437" s="4"/>
      <c r="F437" s="29">
        <f>F438</f>
        <v>0</v>
      </c>
      <c r="G437" s="29"/>
    </row>
    <row r="438" spans="1:7" ht="15.75" hidden="1">
      <c r="A438" s="3" t="s">
        <v>564</v>
      </c>
      <c r="B438" s="4" t="s">
        <v>222</v>
      </c>
      <c r="C438" s="4" t="s">
        <v>313</v>
      </c>
      <c r="D438" s="4" t="s">
        <v>653</v>
      </c>
      <c r="E438" s="4" t="s">
        <v>658</v>
      </c>
      <c r="F438" s="29">
        <f>прил6!F346</f>
        <v>0</v>
      </c>
      <c r="G438" s="29"/>
    </row>
    <row r="439" spans="1:7" ht="31.5">
      <c r="A439" s="3" t="s">
        <v>719</v>
      </c>
      <c r="B439" s="4" t="s">
        <v>223</v>
      </c>
      <c r="C439" s="4"/>
      <c r="D439" s="4"/>
      <c r="E439" s="4"/>
      <c r="F439" s="29">
        <f>F440</f>
        <v>3492817.42</v>
      </c>
      <c r="G439" s="29"/>
    </row>
    <row r="440" spans="1:7" ht="47.25">
      <c r="A440" s="3" t="s">
        <v>702</v>
      </c>
      <c r="B440" s="4" t="s">
        <v>223</v>
      </c>
      <c r="C440" s="4" t="s">
        <v>313</v>
      </c>
      <c r="D440" s="4"/>
      <c r="E440" s="4"/>
      <c r="F440" s="29">
        <f>F441</f>
        <v>3492817.42</v>
      </c>
      <c r="G440" s="29"/>
    </row>
    <row r="441" spans="1:7" ht="31.5">
      <c r="A441" s="3" t="s">
        <v>660</v>
      </c>
      <c r="B441" s="4" t="s">
        <v>223</v>
      </c>
      <c r="C441" s="4" t="s">
        <v>313</v>
      </c>
      <c r="D441" s="4" t="s">
        <v>653</v>
      </c>
      <c r="E441" s="4"/>
      <c r="F441" s="29">
        <f>F442</f>
        <v>3492817.42</v>
      </c>
      <c r="G441" s="29"/>
    </row>
    <row r="442" spans="1:7" ht="15.75">
      <c r="A442" s="3" t="s">
        <v>564</v>
      </c>
      <c r="B442" s="4" t="s">
        <v>223</v>
      </c>
      <c r="C442" s="4" t="s">
        <v>313</v>
      </c>
      <c r="D442" s="4" t="s">
        <v>653</v>
      </c>
      <c r="E442" s="4" t="s">
        <v>658</v>
      </c>
      <c r="F442" s="29">
        <f>прил6!F348</f>
        <v>3492817.42</v>
      </c>
      <c r="G442" s="29"/>
    </row>
    <row r="443" spans="1:7" ht="110.25" hidden="1">
      <c r="A443" s="3" t="s">
        <v>224</v>
      </c>
      <c r="B443" s="4" t="s">
        <v>225</v>
      </c>
      <c r="C443" s="4"/>
      <c r="D443" s="4"/>
      <c r="E443" s="4"/>
      <c r="F443" s="29">
        <f>F444</f>
        <v>0</v>
      </c>
      <c r="G443" s="29"/>
    </row>
    <row r="444" spans="1:7" ht="15.75" hidden="1">
      <c r="A444" s="3" t="s">
        <v>556</v>
      </c>
      <c r="B444" s="4" t="s">
        <v>225</v>
      </c>
      <c r="C444" s="4" t="s">
        <v>316</v>
      </c>
      <c r="D444" s="4"/>
      <c r="E444" s="4"/>
      <c r="F444" s="29">
        <f>F445</f>
        <v>0</v>
      </c>
      <c r="G444" s="29"/>
    </row>
    <row r="445" spans="1:7" ht="31.5" hidden="1">
      <c r="A445" s="3" t="s">
        <v>660</v>
      </c>
      <c r="B445" s="4" t="s">
        <v>225</v>
      </c>
      <c r="C445" s="4" t="s">
        <v>316</v>
      </c>
      <c r="D445" s="4" t="s">
        <v>653</v>
      </c>
      <c r="E445" s="4"/>
      <c r="F445" s="29">
        <f>F446</f>
        <v>0</v>
      </c>
      <c r="G445" s="29"/>
    </row>
    <row r="446" spans="1:7" ht="15.75" hidden="1">
      <c r="A446" s="3" t="s">
        <v>564</v>
      </c>
      <c r="B446" s="4" t="s">
        <v>225</v>
      </c>
      <c r="C446" s="4" t="s">
        <v>316</v>
      </c>
      <c r="D446" s="4" t="s">
        <v>653</v>
      </c>
      <c r="E446" s="4" t="s">
        <v>658</v>
      </c>
      <c r="F446" s="29"/>
      <c r="G446" s="29"/>
    </row>
    <row r="447" spans="1:7" ht="110.25" hidden="1">
      <c r="A447" s="3" t="s">
        <v>226</v>
      </c>
      <c r="B447" s="4" t="s">
        <v>227</v>
      </c>
      <c r="C447" s="4"/>
      <c r="D447" s="4"/>
      <c r="E447" s="4"/>
      <c r="F447" s="29">
        <f>F448</f>
        <v>0</v>
      </c>
      <c r="G447" s="29"/>
    </row>
    <row r="448" spans="1:7" ht="15.75" hidden="1">
      <c r="A448" s="3" t="s">
        <v>556</v>
      </c>
      <c r="B448" s="4" t="s">
        <v>227</v>
      </c>
      <c r="C448" s="4" t="s">
        <v>316</v>
      </c>
      <c r="D448" s="4"/>
      <c r="E448" s="4"/>
      <c r="F448" s="29">
        <f>F449</f>
        <v>0</v>
      </c>
      <c r="G448" s="29"/>
    </row>
    <row r="449" spans="1:7" ht="31.5" hidden="1">
      <c r="A449" s="3" t="s">
        <v>660</v>
      </c>
      <c r="B449" s="4" t="s">
        <v>227</v>
      </c>
      <c r="C449" s="4" t="s">
        <v>316</v>
      </c>
      <c r="D449" s="4" t="s">
        <v>653</v>
      </c>
      <c r="E449" s="4"/>
      <c r="F449" s="29">
        <f>F450</f>
        <v>0</v>
      </c>
      <c r="G449" s="29"/>
    </row>
    <row r="450" spans="1:7" ht="15.75" hidden="1">
      <c r="A450" s="3" t="s">
        <v>564</v>
      </c>
      <c r="B450" s="4" t="s">
        <v>227</v>
      </c>
      <c r="C450" s="4" t="s">
        <v>316</v>
      </c>
      <c r="D450" s="4" t="s">
        <v>653</v>
      </c>
      <c r="E450" s="4" t="s">
        <v>658</v>
      </c>
      <c r="F450" s="29">
        <f>прил6!F352</f>
        <v>0</v>
      </c>
      <c r="G450" s="29"/>
    </row>
    <row r="451" spans="1:7" ht="126" hidden="1">
      <c r="A451" s="3" t="s">
        <v>533</v>
      </c>
      <c r="B451" s="4" t="s">
        <v>532</v>
      </c>
      <c r="C451" s="4"/>
      <c r="D451" s="4"/>
      <c r="E451" s="4"/>
      <c r="F451" s="29">
        <f>F452</f>
        <v>0</v>
      </c>
      <c r="G451" s="29">
        <f>F451</f>
        <v>0</v>
      </c>
    </row>
    <row r="452" spans="1:7" ht="47.25" hidden="1">
      <c r="A452" s="3" t="s">
        <v>702</v>
      </c>
      <c r="B452" s="4" t="s">
        <v>532</v>
      </c>
      <c r="C452" s="4" t="s">
        <v>313</v>
      </c>
      <c r="D452" s="4"/>
      <c r="E452" s="4"/>
      <c r="F452" s="29">
        <f>F453</f>
        <v>0</v>
      </c>
      <c r="G452" s="29">
        <f>F452</f>
        <v>0</v>
      </c>
    </row>
    <row r="453" spans="1:7" ht="31.5" hidden="1">
      <c r="A453" s="3" t="s">
        <v>660</v>
      </c>
      <c r="B453" s="4" t="s">
        <v>532</v>
      </c>
      <c r="C453" s="4" t="s">
        <v>313</v>
      </c>
      <c r="D453" s="4" t="s">
        <v>653</v>
      </c>
      <c r="E453" s="4"/>
      <c r="F453" s="29">
        <f>F454</f>
        <v>0</v>
      </c>
      <c r="G453" s="29">
        <f>F453</f>
        <v>0</v>
      </c>
    </row>
    <row r="454" spans="1:7" ht="15.75" hidden="1">
      <c r="A454" s="3" t="s">
        <v>564</v>
      </c>
      <c r="B454" s="4" t="s">
        <v>532</v>
      </c>
      <c r="C454" s="4" t="s">
        <v>313</v>
      </c>
      <c r="D454" s="4" t="s">
        <v>653</v>
      </c>
      <c r="E454" s="4" t="s">
        <v>658</v>
      </c>
      <c r="F454" s="29">
        <f>прил6!F349</f>
        <v>0</v>
      </c>
      <c r="G454" s="29">
        <f>F454</f>
        <v>0</v>
      </c>
    </row>
    <row r="455" spans="1:7" ht="71.25" customHeight="1">
      <c r="A455" s="3" t="s">
        <v>636</v>
      </c>
      <c r="B455" s="4" t="s">
        <v>637</v>
      </c>
      <c r="C455" s="4"/>
      <c r="D455" s="4"/>
      <c r="E455" s="4"/>
      <c r="F455" s="29">
        <f aca="true" t="shared" si="36" ref="F455:G457">F456</f>
        <v>1421870</v>
      </c>
      <c r="G455" s="29">
        <f t="shared" si="36"/>
        <v>1421870</v>
      </c>
    </row>
    <row r="456" spans="1:7" ht="47.25">
      <c r="A456" s="3" t="s">
        <v>702</v>
      </c>
      <c r="B456" s="4" t="s">
        <v>637</v>
      </c>
      <c r="C456" s="4" t="s">
        <v>313</v>
      </c>
      <c r="D456" s="4"/>
      <c r="E456" s="4"/>
      <c r="F456" s="29">
        <f t="shared" si="36"/>
        <v>1421870</v>
      </c>
      <c r="G456" s="29">
        <f t="shared" si="36"/>
        <v>1421870</v>
      </c>
    </row>
    <row r="457" spans="1:7" ht="15.75">
      <c r="A457" s="3" t="s">
        <v>672</v>
      </c>
      <c r="B457" s="4" t="s">
        <v>637</v>
      </c>
      <c r="C457" s="4" t="s">
        <v>313</v>
      </c>
      <c r="D457" s="4" t="s">
        <v>661</v>
      </c>
      <c r="E457" s="4"/>
      <c r="F457" s="29">
        <f t="shared" si="36"/>
        <v>1421870</v>
      </c>
      <c r="G457" s="29">
        <f t="shared" si="36"/>
        <v>1421870</v>
      </c>
    </row>
    <row r="458" spans="1:7" ht="31.5">
      <c r="A458" s="3" t="s">
        <v>635</v>
      </c>
      <c r="B458" s="4" t="s">
        <v>637</v>
      </c>
      <c r="C458" s="4" t="s">
        <v>313</v>
      </c>
      <c r="D458" s="4" t="s">
        <v>661</v>
      </c>
      <c r="E458" s="4" t="s">
        <v>653</v>
      </c>
      <c r="F458" s="29">
        <f>прил7!G297</f>
        <v>1421870</v>
      </c>
      <c r="G458" s="29">
        <f>F458</f>
        <v>1421870</v>
      </c>
    </row>
    <row r="459" spans="1:7" ht="63">
      <c r="A459" s="3" t="s">
        <v>641</v>
      </c>
      <c r="B459" s="4" t="s">
        <v>642</v>
      </c>
      <c r="C459" s="4"/>
      <c r="D459" s="4"/>
      <c r="E459" s="4"/>
      <c r="F459" s="29">
        <f aca="true" t="shared" si="37" ref="F459:G461">F460</f>
        <v>17620</v>
      </c>
      <c r="G459" s="29">
        <f t="shared" si="37"/>
        <v>17620</v>
      </c>
    </row>
    <row r="460" spans="1:7" ht="126">
      <c r="A460" s="3" t="s">
        <v>701</v>
      </c>
      <c r="B460" s="4" t="s">
        <v>642</v>
      </c>
      <c r="C460" s="4" t="s">
        <v>312</v>
      </c>
      <c r="D460" s="4"/>
      <c r="E460" s="4"/>
      <c r="F460" s="29">
        <f t="shared" si="37"/>
        <v>17620</v>
      </c>
      <c r="G460" s="29">
        <f t="shared" si="37"/>
        <v>17620</v>
      </c>
    </row>
    <row r="461" spans="1:7" ht="15.75">
      <c r="A461" s="3" t="s">
        <v>672</v>
      </c>
      <c r="B461" s="4" t="s">
        <v>642</v>
      </c>
      <c r="C461" s="4" t="s">
        <v>312</v>
      </c>
      <c r="D461" s="4" t="s">
        <v>661</v>
      </c>
      <c r="E461" s="4"/>
      <c r="F461" s="29">
        <f t="shared" si="37"/>
        <v>17620</v>
      </c>
      <c r="G461" s="29">
        <f t="shared" si="37"/>
        <v>17620</v>
      </c>
    </row>
    <row r="462" spans="1:7" ht="31.5">
      <c r="A462" s="3" t="s">
        <v>635</v>
      </c>
      <c r="B462" s="4" t="s">
        <v>642</v>
      </c>
      <c r="C462" s="4" t="s">
        <v>312</v>
      </c>
      <c r="D462" s="4" t="s">
        <v>661</v>
      </c>
      <c r="E462" s="4" t="s">
        <v>653</v>
      </c>
      <c r="F462" s="29">
        <f>прил7!G299</f>
        <v>17620</v>
      </c>
      <c r="G462" s="29">
        <f>F462</f>
        <v>17620</v>
      </c>
    </row>
    <row r="463" spans="1:7" ht="63">
      <c r="A463" s="3" t="s">
        <v>228</v>
      </c>
      <c r="B463" s="4" t="s">
        <v>229</v>
      </c>
      <c r="C463" s="4"/>
      <c r="D463" s="4"/>
      <c r="E463" s="4"/>
      <c r="F463" s="29">
        <f>F464+F474</f>
        <v>15445515.5</v>
      </c>
      <c r="G463" s="29"/>
    </row>
    <row r="464" spans="1:7" ht="110.25">
      <c r="A464" s="3" t="s">
        <v>209</v>
      </c>
      <c r="B464" s="4" t="s">
        <v>230</v>
      </c>
      <c r="C464" s="4"/>
      <c r="D464" s="4"/>
      <c r="E464" s="4"/>
      <c r="F464" s="29">
        <f>F465+F468+F471</f>
        <v>15303015.5</v>
      </c>
      <c r="G464" s="29"/>
    </row>
    <row r="465" spans="1:7" ht="126">
      <c r="A465" s="3" t="s">
        <v>701</v>
      </c>
      <c r="B465" s="4" t="s">
        <v>230</v>
      </c>
      <c r="C465" s="4" t="s">
        <v>312</v>
      </c>
      <c r="D465" s="4"/>
      <c r="E465" s="4"/>
      <c r="F465" s="29">
        <f>F466</f>
        <v>13567698.61</v>
      </c>
      <c r="G465" s="29"/>
    </row>
    <row r="466" spans="1:7" ht="31.5">
      <c r="A466" s="3" t="s">
        <v>660</v>
      </c>
      <c r="B466" s="4" t="s">
        <v>230</v>
      </c>
      <c r="C466" s="4" t="s">
        <v>312</v>
      </c>
      <c r="D466" s="4" t="s">
        <v>653</v>
      </c>
      <c r="E466" s="4"/>
      <c r="F466" s="29">
        <f>F467</f>
        <v>13567698.61</v>
      </c>
      <c r="G466" s="29"/>
    </row>
    <row r="467" spans="1:7" ht="47.25">
      <c r="A467" s="3" t="s">
        <v>678</v>
      </c>
      <c r="B467" s="4" t="s">
        <v>230</v>
      </c>
      <c r="C467" s="4" t="s">
        <v>312</v>
      </c>
      <c r="D467" s="4" t="s">
        <v>653</v>
      </c>
      <c r="E467" s="4" t="s">
        <v>653</v>
      </c>
      <c r="F467" s="29">
        <f>прил6!F360</f>
        <v>13567698.61</v>
      </c>
      <c r="G467" s="29"/>
    </row>
    <row r="468" spans="1:7" ht="47.25">
      <c r="A468" s="3" t="s">
        <v>702</v>
      </c>
      <c r="B468" s="4" t="s">
        <v>230</v>
      </c>
      <c r="C468" s="4" t="s">
        <v>313</v>
      </c>
      <c r="D468" s="4"/>
      <c r="E468" s="4"/>
      <c r="F468" s="29">
        <f>F469</f>
        <v>737290.5</v>
      </c>
      <c r="G468" s="29"/>
    </row>
    <row r="469" spans="1:7" ht="31.5">
      <c r="A469" s="3" t="s">
        <v>660</v>
      </c>
      <c r="B469" s="4" t="s">
        <v>230</v>
      </c>
      <c r="C469" s="4" t="s">
        <v>313</v>
      </c>
      <c r="D469" s="4" t="s">
        <v>653</v>
      </c>
      <c r="E469" s="4"/>
      <c r="F469" s="29">
        <f>F470</f>
        <v>737290.5</v>
      </c>
      <c r="G469" s="29"/>
    </row>
    <row r="470" spans="1:7" ht="47.25">
      <c r="A470" s="3" t="s">
        <v>678</v>
      </c>
      <c r="B470" s="4" t="s">
        <v>230</v>
      </c>
      <c r="C470" s="4" t="s">
        <v>313</v>
      </c>
      <c r="D470" s="4" t="s">
        <v>653</v>
      </c>
      <c r="E470" s="4" t="s">
        <v>653</v>
      </c>
      <c r="F470" s="29">
        <f>прил6!F361</f>
        <v>737290.5</v>
      </c>
      <c r="G470" s="29"/>
    </row>
    <row r="471" spans="1:7" ht="15.75">
      <c r="A471" s="3" t="s">
        <v>556</v>
      </c>
      <c r="B471" s="4" t="s">
        <v>230</v>
      </c>
      <c r="C471" s="4" t="s">
        <v>316</v>
      </c>
      <c r="D471" s="4"/>
      <c r="E471" s="4"/>
      <c r="F471" s="29">
        <f>F472</f>
        <v>998026.39</v>
      </c>
      <c r="G471" s="29"/>
    </row>
    <row r="472" spans="1:7" ht="31.5">
      <c r="A472" s="3" t="s">
        <v>660</v>
      </c>
      <c r="B472" s="4" t="s">
        <v>230</v>
      </c>
      <c r="C472" s="4" t="s">
        <v>316</v>
      </c>
      <c r="D472" s="4" t="s">
        <v>653</v>
      </c>
      <c r="E472" s="4"/>
      <c r="F472" s="29">
        <f>F473</f>
        <v>998026.39</v>
      </c>
      <c r="G472" s="29"/>
    </row>
    <row r="473" spans="1:7" ht="47.25">
      <c r="A473" s="3" t="s">
        <v>678</v>
      </c>
      <c r="B473" s="4" t="s">
        <v>230</v>
      </c>
      <c r="C473" s="4" t="s">
        <v>316</v>
      </c>
      <c r="D473" s="4" t="s">
        <v>653</v>
      </c>
      <c r="E473" s="4" t="s">
        <v>653</v>
      </c>
      <c r="F473" s="29">
        <f>прил6!F362</f>
        <v>998026.39</v>
      </c>
      <c r="G473" s="29"/>
    </row>
    <row r="474" spans="1:7" ht="110.25">
      <c r="A474" s="3" t="s">
        <v>235</v>
      </c>
      <c r="B474" s="4" t="s">
        <v>260</v>
      </c>
      <c r="C474" s="4"/>
      <c r="D474" s="4"/>
      <c r="E474" s="4"/>
      <c r="F474" s="29">
        <f>F475</f>
        <v>142500</v>
      </c>
      <c r="G474" s="29"/>
    </row>
    <row r="475" spans="1:7" ht="47.25">
      <c r="A475" s="3" t="s">
        <v>702</v>
      </c>
      <c r="B475" s="4" t="s">
        <v>260</v>
      </c>
      <c r="C475" s="4" t="s">
        <v>313</v>
      </c>
      <c r="D475" s="4"/>
      <c r="E475" s="4"/>
      <c r="F475" s="29">
        <f>F476</f>
        <v>142500</v>
      </c>
      <c r="G475" s="29"/>
    </row>
    <row r="476" spans="1:7" ht="31.5">
      <c r="A476" s="3" t="s">
        <v>660</v>
      </c>
      <c r="B476" s="4" t="s">
        <v>260</v>
      </c>
      <c r="C476" s="4" t="s">
        <v>313</v>
      </c>
      <c r="D476" s="4" t="s">
        <v>653</v>
      </c>
      <c r="E476" s="4"/>
      <c r="F476" s="29">
        <f>F477</f>
        <v>142500</v>
      </c>
      <c r="G476" s="29"/>
    </row>
    <row r="477" spans="1:7" ht="47.25">
      <c r="A477" s="3" t="s">
        <v>678</v>
      </c>
      <c r="B477" s="4" t="s">
        <v>260</v>
      </c>
      <c r="C477" s="4" t="s">
        <v>313</v>
      </c>
      <c r="D477" s="4" t="s">
        <v>653</v>
      </c>
      <c r="E477" s="4" t="s">
        <v>653</v>
      </c>
      <c r="F477" s="29">
        <f>прил6!F364</f>
        <v>142500</v>
      </c>
      <c r="G477" s="29"/>
    </row>
    <row r="478" spans="1:7" ht="47.25">
      <c r="A478" s="3" t="s">
        <v>329</v>
      </c>
      <c r="B478" s="4" t="s">
        <v>330</v>
      </c>
      <c r="C478" s="4"/>
      <c r="D478" s="4"/>
      <c r="E478" s="4"/>
      <c r="F478" s="29">
        <f>F479+F483</f>
        <v>29752915.67</v>
      </c>
      <c r="G478" s="29">
        <f>G479+G483</f>
        <v>687100</v>
      </c>
    </row>
    <row r="479" spans="1:7" ht="63">
      <c r="A479" s="3" t="s">
        <v>508</v>
      </c>
      <c r="B479" s="4" t="s">
        <v>509</v>
      </c>
      <c r="C479" s="4"/>
      <c r="D479" s="4"/>
      <c r="E479" s="4"/>
      <c r="F479" s="29">
        <f>F480</f>
        <v>29065815.67</v>
      </c>
      <c r="G479" s="29"/>
    </row>
    <row r="480" spans="1:7" ht="15.75">
      <c r="A480" s="3" t="s">
        <v>556</v>
      </c>
      <c r="B480" s="4" t="s">
        <v>509</v>
      </c>
      <c r="C480" s="4" t="s">
        <v>316</v>
      </c>
      <c r="D480" s="4"/>
      <c r="E480" s="4"/>
      <c r="F480" s="29">
        <f>F481</f>
        <v>29065815.67</v>
      </c>
      <c r="G480" s="29"/>
    </row>
    <row r="481" spans="1:7" ht="15.75">
      <c r="A481" s="3" t="s">
        <v>672</v>
      </c>
      <c r="B481" s="4" t="s">
        <v>509</v>
      </c>
      <c r="C481" s="4" t="s">
        <v>316</v>
      </c>
      <c r="D481" s="4" t="s">
        <v>661</v>
      </c>
      <c r="E481" s="4"/>
      <c r="F481" s="29">
        <f>F482</f>
        <v>29065815.67</v>
      </c>
      <c r="G481" s="29"/>
    </row>
    <row r="482" spans="1:7" ht="15.75">
      <c r="A482" s="21" t="s">
        <v>673</v>
      </c>
      <c r="B482" s="4" t="s">
        <v>509</v>
      </c>
      <c r="C482" s="4" t="s">
        <v>316</v>
      </c>
      <c r="D482" s="4" t="s">
        <v>661</v>
      </c>
      <c r="E482" s="4" t="s">
        <v>655</v>
      </c>
      <c r="F482" s="29">
        <f>прил6!F253</f>
        <v>29065815.67</v>
      </c>
      <c r="G482" s="29"/>
    </row>
    <row r="483" spans="1:7" ht="157.5">
      <c r="A483" s="3" t="s">
        <v>331</v>
      </c>
      <c r="B483" s="4" t="s">
        <v>332</v>
      </c>
      <c r="C483" s="4"/>
      <c r="D483" s="4"/>
      <c r="E483" s="4"/>
      <c r="F483" s="29">
        <f aca="true" t="shared" si="38" ref="F483:G485">F484</f>
        <v>687100</v>
      </c>
      <c r="G483" s="29">
        <f t="shared" si="38"/>
        <v>687100</v>
      </c>
    </row>
    <row r="484" spans="1:7" ht="15.75">
      <c r="A484" s="3" t="s">
        <v>556</v>
      </c>
      <c r="B484" s="4" t="s">
        <v>332</v>
      </c>
      <c r="C484" s="4" t="s">
        <v>316</v>
      </c>
      <c r="D484" s="4"/>
      <c r="E484" s="4"/>
      <c r="F484" s="29">
        <f t="shared" si="38"/>
        <v>687100</v>
      </c>
      <c r="G484" s="29">
        <f t="shared" si="38"/>
        <v>687100</v>
      </c>
    </row>
    <row r="485" spans="1:7" ht="15.75">
      <c r="A485" s="3" t="s">
        <v>672</v>
      </c>
      <c r="B485" s="4" t="s">
        <v>332</v>
      </c>
      <c r="C485" s="4" t="s">
        <v>316</v>
      </c>
      <c r="D485" s="4" t="s">
        <v>661</v>
      </c>
      <c r="E485" s="4"/>
      <c r="F485" s="29">
        <f t="shared" si="38"/>
        <v>687100</v>
      </c>
      <c r="G485" s="29">
        <f t="shared" si="38"/>
        <v>687100</v>
      </c>
    </row>
    <row r="486" spans="1:7" ht="15.75">
      <c r="A486" s="21" t="s">
        <v>673</v>
      </c>
      <c r="B486" s="4" t="s">
        <v>332</v>
      </c>
      <c r="C486" s="4" t="s">
        <v>316</v>
      </c>
      <c r="D486" s="4" t="s">
        <v>661</v>
      </c>
      <c r="E486" s="4" t="s">
        <v>655</v>
      </c>
      <c r="F486" s="29">
        <f>прил6!F255</f>
        <v>687100</v>
      </c>
      <c r="G486" s="29">
        <f>F486</f>
        <v>687100</v>
      </c>
    </row>
    <row r="487" spans="1:7" ht="47.25">
      <c r="A487" s="3" t="s">
        <v>55</v>
      </c>
      <c r="B487" s="4" t="s">
        <v>56</v>
      </c>
      <c r="C487" s="4"/>
      <c r="D487" s="4"/>
      <c r="E487" s="4"/>
      <c r="F487" s="29">
        <f>F488+F492+F496</f>
        <v>1396911</v>
      </c>
      <c r="G487" s="29">
        <f>G488+G492+G496</f>
        <v>1126261</v>
      </c>
    </row>
    <row r="488" spans="1:7" ht="31.5">
      <c r="A488" s="3" t="s">
        <v>719</v>
      </c>
      <c r="B488" s="4" t="s">
        <v>57</v>
      </c>
      <c r="C488" s="4"/>
      <c r="D488" s="4"/>
      <c r="E488" s="4"/>
      <c r="F488" s="29">
        <f>F489</f>
        <v>270650</v>
      </c>
      <c r="G488" s="29"/>
    </row>
    <row r="489" spans="1:7" ht="31.5">
      <c r="A489" s="60" t="s">
        <v>560</v>
      </c>
      <c r="B489" s="4" t="s">
        <v>57</v>
      </c>
      <c r="C489" s="4" t="s">
        <v>561</v>
      </c>
      <c r="D489" s="4"/>
      <c r="E489" s="4"/>
      <c r="F489" s="29">
        <f>F490</f>
        <v>270650</v>
      </c>
      <c r="G489" s="29"/>
    </row>
    <row r="490" spans="1:7" ht="15.75">
      <c r="A490" s="3" t="s">
        <v>665</v>
      </c>
      <c r="B490" s="4" t="s">
        <v>57</v>
      </c>
      <c r="C490" s="4" t="s">
        <v>561</v>
      </c>
      <c r="D490" s="4" t="s">
        <v>659</v>
      </c>
      <c r="E490" s="4"/>
      <c r="F490" s="29">
        <f>F491</f>
        <v>270650</v>
      </c>
      <c r="G490" s="29"/>
    </row>
    <row r="491" spans="1:7" ht="31.5">
      <c r="A491" s="3" t="s">
        <v>677</v>
      </c>
      <c r="B491" s="4" t="s">
        <v>57</v>
      </c>
      <c r="C491" s="4" t="s">
        <v>561</v>
      </c>
      <c r="D491" s="4" t="s">
        <v>659</v>
      </c>
      <c r="E491" s="4" t="s">
        <v>658</v>
      </c>
      <c r="F491" s="29">
        <f>прил6!F620</f>
        <v>270650</v>
      </c>
      <c r="G491" s="29"/>
    </row>
    <row r="492" spans="1:7" ht="189">
      <c r="A492" s="60" t="s">
        <v>876</v>
      </c>
      <c r="B492" s="4" t="s">
        <v>877</v>
      </c>
      <c r="C492" s="4"/>
      <c r="D492" s="4"/>
      <c r="E492" s="4"/>
      <c r="F492" s="29">
        <f aca="true" t="shared" si="39" ref="F492:G494">F493</f>
        <v>373805</v>
      </c>
      <c r="G492" s="29">
        <f t="shared" si="39"/>
        <v>373805</v>
      </c>
    </row>
    <row r="493" spans="1:7" ht="31.5">
      <c r="A493" s="60" t="s">
        <v>560</v>
      </c>
      <c r="B493" s="4" t="s">
        <v>877</v>
      </c>
      <c r="C493" s="4" t="s">
        <v>561</v>
      </c>
      <c r="D493" s="4"/>
      <c r="E493" s="4"/>
      <c r="F493" s="29">
        <f t="shared" si="39"/>
        <v>373805</v>
      </c>
      <c r="G493" s="29">
        <f t="shared" si="39"/>
        <v>373805</v>
      </c>
    </row>
    <row r="494" spans="1:7" ht="15.75">
      <c r="A494" s="3" t="s">
        <v>665</v>
      </c>
      <c r="B494" s="4" t="s">
        <v>877</v>
      </c>
      <c r="C494" s="4" t="s">
        <v>561</v>
      </c>
      <c r="D494" s="4" t="s">
        <v>659</v>
      </c>
      <c r="E494" s="4"/>
      <c r="F494" s="29">
        <f t="shared" si="39"/>
        <v>373805</v>
      </c>
      <c r="G494" s="29">
        <f t="shared" si="39"/>
        <v>373805</v>
      </c>
    </row>
    <row r="495" spans="1:7" ht="31.5">
      <c r="A495" s="3" t="s">
        <v>677</v>
      </c>
      <c r="B495" s="4" t="s">
        <v>877</v>
      </c>
      <c r="C495" s="4" t="s">
        <v>561</v>
      </c>
      <c r="D495" s="4" t="s">
        <v>659</v>
      </c>
      <c r="E495" s="4" t="s">
        <v>658</v>
      </c>
      <c r="F495" s="29">
        <f>прил6!F622</f>
        <v>373805</v>
      </c>
      <c r="G495" s="29">
        <f>F495</f>
        <v>373805</v>
      </c>
    </row>
    <row r="496" spans="1:7" ht="63">
      <c r="A496" s="60" t="s">
        <v>878</v>
      </c>
      <c r="B496" s="4" t="s">
        <v>879</v>
      </c>
      <c r="C496" s="4"/>
      <c r="D496" s="4"/>
      <c r="E496" s="4"/>
      <c r="F496" s="29">
        <f aca="true" t="shared" si="40" ref="F496:G498">F497</f>
        <v>752456</v>
      </c>
      <c r="G496" s="29">
        <f t="shared" si="40"/>
        <v>752456</v>
      </c>
    </row>
    <row r="497" spans="1:7" ht="31.5">
      <c r="A497" s="60" t="s">
        <v>560</v>
      </c>
      <c r="B497" s="4" t="s">
        <v>879</v>
      </c>
      <c r="C497" s="4" t="s">
        <v>561</v>
      </c>
      <c r="D497" s="4"/>
      <c r="E497" s="4"/>
      <c r="F497" s="29">
        <f t="shared" si="40"/>
        <v>752456</v>
      </c>
      <c r="G497" s="29">
        <f t="shared" si="40"/>
        <v>752456</v>
      </c>
    </row>
    <row r="498" spans="1:7" ht="15.75">
      <c r="A498" s="3" t="s">
        <v>665</v>
      </c>
      <c r="B498" s="4" t="s">
        <v>879</v>
      </c>
      <c r="C498" s="4" t="s">
        <v>561</v>
      </c>
      <c r="D498" s="4" t="s">
        <v>659</v>
      </c>
      <c r="E498" s="4"/>
      <c r="F498" s="29">
        <f t="shared" si="40"/>
        <v>752456</v>
      </c>
      <c r="G498" s="29">
        <f t="shared" si="40"/>
        <v>752456</v>
      </c>
    </row>
    <row r="499" spans="1:7" ht="31.5">
      <c r="A499" s="3" t="s">
        <v>677</v>
      </c>
      <c r="B499" s="4" t="s">
        <v>879</v>
      </c>
      <c r="C499" s="4" t="s">
        <v>561</v>
      </c>
      <c r="D499" s="4" t="s">
        <v>659</v>
      </c>
      <c r="E499" s="4" t="s">
        <v>658</v>
      </c>
      <c r="F499" s="29">
        <f>прил6!F624</f>
        <v>752456</v>
      </c>
      <c r="G499" s="29">
        <f>F499</f>
        <v>752456</v>
      </c>
    </row>
    <row r="500" spans="1:7" ht="78.75">
      <c r="A500" s="1" t="s">
        <v>545</v>
      </c>
      <c r="B500" s="2" t="s">
        <v>406</v>
      </c>
      <c r="C500" s="2"/>
      <c r="D500" s="2"/>
      <c r="E500" s="2"/>
      <c r="F500" s="33">
        <f>F501+F510+F521</f>
        <v>50283500.35</v>
      </c>
      <c r="G500" s="33"/>
    </row>
    <row r="501" spans="1:7" ht="63">
      <c r="A501" s="3" t="s">
        <v>407</v>
      </c>
      <c r="B501" s="4" t="s">
        <v>408</v>
      </c>
      <c r="C501" s="2"/>
      <c r="D501" s="2"/>
      <c r="E501" s="2"/>
      <c r="F501" s="29">
        <f>F502+F506</f>
        <v>3000000</v>
      </c>
      <c r="G501" s="29"/>
    </row>
    <row r="502" spans="1:7" ht="47.25" hidden="1">
      <c r="A502" s="3" t="s">
        <v>409</v>
      </c>
      <c r="B502" s="4" t="s">
        <v>410</v>
      </c>
      <c r="C502" s="2"/>
      <c r="D502" s="2"/>
      <c r="E502" s="2"/>
      <c r="F502" s="29">
        <f>F503</f>
        <v>0</v>
      </c>
      <c r="G502" s="29"/>
    </row>
    <row r="503" spans="1:7" ht="63" hidden="1">
      <c r="A503" s="3" t="s">
        <v>723</v>
      </c>
      <c r="B503" s="4" t="s">
        <v>410</v>
      </c>
      <c r="C503" s="4" t="s">
        <v>317</v>
      </c>
      <c r="D503" s="4"/>
      <c r="E503" s="4"/>
      <c r="F503" s="29">
        <f>F504</f>
        <v>0</v>
      </c>
      <c r="G503" s="29"/>
    </row>
    <row r="504" spans="1:7" ht="31.5" hidden="1">
      <c r="A504" s="3" t="s">
        <v>671</v>
      </c>
      <c r="B504" s="4" t="s">
        <v>410</v>
      </c>
      <c r="C504" s="4" t="s">
        <v>317</v>
      </c>
      <c r="D504" s="4" t="s">
        <v>658</v>
      </c>
      <c r="E504" s="4"/>
      <c r="F504" s="29">
        <f>F505</f>
        <v>0</v>
      </c>
      <c r="G504" s="29"/>
    </row>
    <row r="505" spans="1:7" ht="63" hidden="1">
      <c r="A505" s="3" t="s">
        <v>685</v>
      </c>
      <c r="B505" s="4" t="s">
        <v>410</v>
      </c>
      <c r="C505" s="4" t="s">
        <v>317</v>
      </c>
      <c r="D505" s="4" t="s">
        <v>658</v>
      </c>
      <c r="E505" s="4" t="s">
        <v>563</v>
      </c>
      <c r="F505" s="29">
        <f>прил6!F240</f>
        <v>0</v>
      </c>
      <c r="G505" s="29"/>
    </row>
    <row r="506" spans="1:7" ht="31.5">
      <c r="A506" s="3" t="s">
        <v>719</v>
      </c>
      <c r="B506" s="4" t="s">
        <v>537</v>
      </c>
      <c r="C506" s="4"/>
      <c r="D506" s="4"/>
      <c r="E506" s="4"/>
      <c r="F506" s="29">
        <f>F507</f>
        <v>3000000</v>
      </c>
      <c r="G506" s="29"/>
    </row>
    <row r="507" spans="1:7" ht="47.25">
      <c r="A507" s="3" t="s">
        <v>702</v>
      </c>
      <c r="B507" s="4" t="s">
        <v>537</v>
      </c>
      <c r="C507" s="4" t="s">
        <v>313</v>
      </c>
      <c r="D507" s="4"/>
      <c r="E507" s="4"/>
      <c r="F507" s="29">
        <f>F508</f>
        <v>3000000</v>
      </c>
      <c r="G507" s="29"/>
    </row>
    <row r="508" spans="1:7" ht="15.75">
      <c r="A508" s="3" t="s">
        <v>670</v>
      </c>
      <c r="B508" s="4" t="s">
        <v>537</v>
      </c>
      <c r="C508" s="4" t="s">
        <v>313</v>
      </c>
      <c r="D508" s="4" t="s">
        <v>651</v>
      </c>
      <c r="E508" s="4"/>
      <c r="F508" s="29">
        <f>F509</f>
        <v>3000000</v>
      </c>
      <c r="G508" s="29"/>
    </row>
    <row r="509" spans="1:7" ht="31.5">
      <c r="A509" s="3" t="s">
        <v>680</v>
      </c>
      <c r="B509" s="4" t="s">
        <v>537</v>
      </c>
      <c r="C509" s="4" t="s">
        <v>313</v>
      </c>
      <c r="D509" s="4" t="s">
        <v>651</v>
      </c>
      <c r="E509" s="4" t="s">
        <v>310</v>
      </c>
      <c r="F509" s="29">
        <f>прил7!G233</f>
        <v>3000000</v>
      </c>
      <c r="G509" s="29"/>
    </row>
    <row r="510" spans="1:7" ht="78.75">
      <c r="A510" s="3" t="s">
        <v>411</v>
      </c>
      <c r="B510" s="4" t="s">
        <v>412</v>
      </c>
      <c r="C510" s="4"/>
      <c r="D510" s="4"/>
      <c r="E510" s="4"/>
      <c r="F510" s="29">
        <f>F511</f>
        <v>7993582.279999999</v>
      </c>
      <c r="G510" s="29"/>
    </row>
    <row r="511" spans="1:7" ht="31.5">
      <c r="A511" s="3" t="s">
        <v>719</v>
      </c>
      <c r="B511" s="4" t="s">
        <v>413</v>
      </c>
      <c r="C511" s="4"/>
      <c r="D511" s="4"/>
      <c r="E511" s="4"/>
      <c r="F511" s="29">
        <f>F512+F517</f>
        <v>7993582.279999999</v>
      </c>
      <c r="G511" s="29"/>
    </row>
    <row r="512" spans="1:7" ht="47.25">
      <c r="A512" s="3" t="s">
        <v>702</v>
      </c>
      <c r="B512" s="4" t="s">
        <v>413</v>
      </c>
      <c r="C512" s="4" t="s">
        <v>313</v>
      </c>
      <c r="D512" s="4"/>
      <c r="E512" s="4"/>
      <c r="F512" s="29">
        <f>F513+F515</f>
        <v>7812369.779999999</v>
      </c>
      <c r="G512" s="29"/>
    </row>
    <row r="513" spans="1:7" ht="15.75">
      <c r="A513" s="3" t="s">
        <v>670</v>
      </c>
      <c r="B513" s="4" t="s">
        <v>413</v>
      </c>
      <c r="C513" s="4" t="s">
        <v>313</v>
      </c>
      <c r="D513" s="4" t="s">
        <v>651</v>
      </c>
      <c r="E513" s="4"/>
      <c r="F513" s="29">
        <f>F514</f>
        <v>1160753</v>
      </c>
      <c r="G513" s="29"/>
    </row>
    <row r="514" spans="1:7" ht="31.5">
      <c r="A514" s="3" t="s">
        <v>680</v>
      </c>
      <c r="B514" s="4" t="s">
        <v>413</v>
      </c>
      <c r="C514" s="4" t="s">
        <v>313</v>
      </c>
      <c r="D514" s="4" t="s">
        <v>651</v>
      </c>
      <c r="E514" s="4" t="s">
        <v>310</v>
      </c>
      <c r="F514" s="29">
        <f>прил6!F141</f>
        <v>1160753</v>
      </c>
      <c r="G514" s="29"/>
    </row>
    <row r="515" spans="1:7" ht="15.75">
      <c r="A515" s="3" t="s">
        <v>672</v>
      </c>
      <c r="B515" s="4" t="s">
        <v>413</v>
      </c>
      <c r="C515" s="4" t="s">
        <v>313</v>
      </c>
      <c r="D515" s="4" t="s">
        <v>661</v>
      </c>
      <c r="E515" s="4"/>
      <c r="F515" s="29">
        <f>F516</f>
        <v>6651616.779999999</v>
      </c>
      <c r="G515" s="29"/>
    </row>
    <row r="516" spans="1:7" ht="31.5">
      <c r="A516" s="3" t="s">
        <v>555</v>
      </c>
      <c r="B516" s="4" t="s">
        <v>413</v>
      </c>
      <c r="C516" s="4" t="s">
        <v>313</v>
      </c>
      <c r="D516" s="4" t="s">
        <v>661</v>
      </c>
      <c r="E516" s="4" t="s">
        <v>657</v>
      </c>
      <c r="F516" s="29">
        <f>прил7!G304</f>
        <v>6651616.779999999</v>
      </c>
      <c r="G516" s="29"/>
    </row>
    <row r="517" spans="1:7" ht="63">
      <c r="A517" s="3" t="s">
        <v>723</v>
      </c>
      <c r="B517" s="4" t="s">
        <v>413</v>
      </c>
      <c r="C517" s="4" t="s">
        <v>317</v>
      </c>
      <c r="D517" s="4"/>
      <c r="E517" s="4"/>
      <c r="F517" s="29">
        <f>F518</f>
        <v>181212.5</v>
      </c>
      <c r="G517" s="29"/>
    </row>
    <row r="518" spans="1:7" ht="15.75">
      <c r="A518" s="3" t="s">
        <v>662</v>
      </c>
      <c r="B518" s="4" t="s">
        <v>413</v>
      </c>
      <c r="C518" s="4" t="s">
        <v>317</v>
      </c>
      <c r="D518" s="4" t="s">
        <v>654</v>
      </c>
      <c r="E518" s="4"/>
      <c r="F518" s="29">
        <f>F519+F520</f>
        <v>181212.5</v>
      </c>
      <c r="G518" s="29"/>
    </row>
    <row r="519" spans="1:7" ht="15.75">
      <c r="A519" s="3" t="s">
        <v>663</v>
      </c>
      <c r="B519" s="4" t="s">
        <v>413</v>
      </c>
      <c r="C519" s="4" t="s">
        <v>317</v>
      </c>
      <c r="D519" s="4" t="s">
        <v>654</v>
      </c>
      <c r="E519" s="4" t="s">
        <v>651</v>
      </c>
      <c r="F519" s="29">
        <f>прил7!G557</f>
        <v>104870.5</v>
      </c>
      <c r="G519" s="29"/>
    </row>
    <row r="520" spans="1:7" ht="15.75">
      <c r="A520" s="3" t="s">
        <v>664</v>
      </c>
      <c r="B520" s="4" t="s">
        <v>413</v>
      </c>
      <c r="C520" s="4" t="s">
        <v>317</v>
      </c>
      <c r="D520" s="4" t="s">
        <v>654</v>
      </c>
      <c r="E520" s="4" t="s">
        <v>656</v>
      </c>
      <c r="F520" s="29">
        <f>прил7!G581</f>
        <v>76342</v>
      </c>
      <c r="G520" s="29"/>
    </row>
    <row r="521" spans="1:7" ht="78.75">
      <c r="A521" s="3" t="s">
        <v>414</v>
      </c>
      <c r="B521" s="4" t="s">
        <v>415</v>
      </c>
      <c r="C521" s="4"/>
      <c r="D521" s="4"/>
      <c r="E521" s="4"/>
      <c r="F521" s="29">
        <f>F522+F540+F544+F532+F536</f>
        <v>39289918.07</v>
      </c>
      <c r="G521" s="29"/>
    </row>
    <row r="522" spans="1:7" ht="110.25">
      <c r="A522" s="3" t="s">
        <v>493</v>
      </c>
      <c r="B522" s="4" t="s">
        <v>416</v>
      </c>
      <c r="C522" s="4"/>
      <c r="D522" s="4"/>
      <c r="E522" s="4"/>
      <c r="F522" s="29">
        <f>F523+F526+F529</f>
        <v>34520705.29</v>
      </c>
      <c r="G522" s="29"/>
    </row>
    <row r="523" spans="1:7" ht="126">
      <c r="A523" s="3" t="s">
        <v>701</v>
      </c>
      <c r="B523" s="4" t="s">
        <v>416</v>
      </c>
      <c r="C523" s="4" t="s">
        <v>312</v>
      </c>
      <c r="D523" s="4"/>
      <c r="E523" s="4"/>
      <c r="F523" s="29">
        <f>F524</f>
        <v>29442991.499999996</v>
      </c>
      <c r="G523" s="29"/>
    </row>
    <row r="524" spans="1:7" ht="31.5">
      <c r="A524" s="3" t="s">
        <v>671</v>
      </c>
      <c r="B524" s="4" t="s">
        <v>416</v>
      </c>
      <c r="C524" s="4" t="s">
        <v>312</v>
      </c>
      <c r="D524" s="4" t="s">
        <v>658</v>
      </c>
      <c r="E524" s="4"/>
      <c r="F524" s="29">
        <f>F525</f>
        <v>29442991.499999996</v>
      </c>
      <c r="G524" s="29"/>
    </row>
    <row r="525" spans="1:7" ht="63">
      <c r="A525" s="3" t="s">
        <v>350</v>
      </c>
      <c r="B525" s="4" t="s">
        <v>416</v>
      </c>
      <c r="C525" s="4" t="s">
        <v>312</v>
      </c>
      <c r="D525" s="4" t="s">
        <v>658</v>
      </c>
      <c r="E525" s="4" t="s">
        <v>657</v>
      </c>
      <c r="F525" s="29">
        <f>прил6!F219</f>
        <v>29442991.499999996</v>
      </c>
      <c r="G525" s="29"/>
    </row>
    <row r="526" spans="1:7" ht="47.25">
      <c r="A526" s="3" t="s">
        <v>702</v>
      </c>
      <c r="B526" s="4" t="s">
        <v>416</v>
      </c>
      <c r="C526" s="4" t="s">
        <v>313</v>
      </c>
      <c r="D526" s="4"/>
      <c r="E526" s="4"/>
      <c r="F526" s="29">
        <f>F527</f>
        <v>5055987.29</v>
      </c>
      <c r="G526" s="29"/>
    </row>
    <row r="527" spans="1:7" ht="31.5">
      <c r="A527" s="3" t="s">
        <v>671</v>
      </c>
      <c r="B527" s="4" t="s">
        <v>416</v>
      </c>
      <c r="C527" s="4" t="s">
        <v>313</v>
      </c>
      <c r="D527" s="4" t="s">
        <v>658</v>
      </c>
      <c r="E527" s="4"/>
      <c r="F527" s="29">
        <f>F528</f>
        <v>5055987.29</v>
      </c>
      <c r="G527" s="29"/>
    </row>
    <row r="528" spans="1:7" ht="63">
      <c r="A528" s="3" t="s">
        <v>350</v>
      </c>
      <c r="B528" s="4" t="s">
        <v>416</v>
      </c>
      <c r="C528" s="4" t="s">
        <v>313</v>
      </c>
      <c r="D528" s="4" t="s">
        <v>658</v>
      </c>
      <c r="E528" s="4" t="s">
        <v>657</v>
      </c>
      <c r="F528" s="29">
        <f>прил6!F220</f>
        <v>5055987.29</v>
      </c>
      <c r="G528" s="29"/>
    </row>
    <row r="529" spans="1:7" ht="15.75">
      <c r="A529" s="3" t="s">
        <v>556</v>
      </c>
      <c r="B529" s="4" t="s">
        <v>416</v>
      </c>
      <c r="C529" s="4" t="s">
        <v>316</v>
      </c>
      <c r="D529" s="4"/>
      <c r="E529" s="4"/>
      <c r="F529" s="29">
        <f>F530</f>
        <v>21726.5</v>
      </c>
      <c r="G529" s="29"/>
    </row>
    <row r="530" spans="1:7" ht="31.5">
      <c r="A530" s="3" t="s">
        <v>671</v>
      </c>
      <c r="B530" s="4" t="s">
        <v>416</v>
      </c>
      <c r="C530" s="4" t="s">
        <v>316</v>
      </c>
      <c r="D530" s="4" t="s">
        <v>658</v>
      </c>
      <c r="E530" s="4"/>
      <c r="F530" s="29">
        <f>F531</f>
        <v>21726.5</v>
      </c>
      <c r="G530" s="29"/>
    </row>
    <row r="531" spans="1:7" ht="63">
      <c r="A531" s="3" t="s">
        <v>350</v>
      </c>
      <c r="B531" s="4" t="s">
        <v>416</v>
      </c>
      <c r="C531" s="4" t="s">
        <v>316</v>
      </c>
      <c r="D531" s="4" t="s">
        <v>658</v>
      </c>
      <c r="E531" s="4" t="s">
        <v>657</v>
      </c>
      <c r="F531" s="29">
        <f>прил6!F221</f>
        <v>21726.5</v>
      </c>
      <c r="G531" s="29"/>
    </row>
    <row r="532" spans="1:7" ht="110.25">
      <c r="A532" s="3" t="s">
        <v>235</v>
      </c>
      <c r="B532" s="4" t="s">
        <v>253</v>
      </c>
      <c r="C532" s="4"/>
      <c r="D532" s="4"/>
      <c r="E532" s="4"/>
      <c r="F532" s="29">
        <f>F533</f>
        <v>688510</v>
      </c>
      <c r="G532" s="29"/>
    </row>
    <row r="533" spans="1:7" ht="126">
      <c r="A533" s="3" t="s">
        <v>701</v>
      </c>
      <c r="B533" s="4" t="s">
        <v>253</v>
      </c>
      <c r="C533" s="4" t="s">
        <v>312</v>
      </c>
      <c r="D533" s="4"/>
      <c r="E533" s="4"/>
      <c r="F533" s="29">
        <f>F534</f>
        <v>688510</v>
      </c>
      <c r="G533" s="29"/>
    </row>
    <row r="534" spans="1:7" ht="31.5">
      <c r="A534" s="3" t="s">
        <v>671</v>
      </c>
      <c r="B534" s="4" t="s">
        <v>253</v>
      </c>
      <c r="C534" s="4" t="s">
        <v>312</v>
      </c>
      <c r="D534" s="4" t="s">
        <v>658</v>
      </c>
      <c r="E534" s="4"/>
      <c r="F534" s="29">
        <f>F535</f>
        <v>688510</v>
      </c>
      <c r="G534" s="29"/>
    </row>
    <row r="535" spans="1:7" ht="63">
      <c r="A535" s="3" t="s">
        <v>350</v>
      </c>
      <c r="B535" s="4" t="s">
        <v>253</v>
      </c>
      <c r="C535" s="4" t="s">
        <v>312</v>
      </c>
      <c r="D535" s="4" t="s">
        <v>658</v>
      </c>
      <c r="E535" s="4" t="s">
        <v>657</v>
      </c>
      <c r="F535" s="29">
        <f>прил6!F223</f>
        <v>688510</v>
      </c>
      <c r="G535" s="29"/>
    </row>
    <row r="536" spans="1:7" ht="47.25">
      <c r="A536" s="3" t="s">
        <v>512</v>
      </c>
      <c r="B536" s="4" t="s">
        <v>279</v>
      </c>
      <c r="C536" s="4"/>
      <c r="D536" s="4"/>
      <c r="E536" s="4"/>
      <c r="F536" s="29">
        <f>F537</f>
        <v>2523559.5700000003</v>
      </c>
      <c r="G536" s="29"/>
    </row>
    <row r="537" spans="1:7" ht="47.25">
      <c r="A537" s="3" t="s">
        <v>702</v>
      </c>
      <c r="B537" s="4" t="s">
        <v>279</v>
      </c>
      <c r="C537" s="4" t="s">
        <v>313</v>
      </c>
      <c r="D537" s="4"/>
      <c r="E537" s="4"/>
      <c r="F537" s="29">
        <f>F538</f>
        <v>2523559.5700000003</v>
      </c>
      <c r="G537" s="29"/>
    </row>
    <row r="538" spans="1:7" ht="31.5">
      <c r="A538" s="3" t="s">
        <v>671</v>
      </c>
      <c r="B538" s="4" t="s">
        <v>279</v>
      </c>
      <c r="C538" s="4" t="s">
        <v>313</v>
      </c>
      <c r="D538" s="4" t="s">
        <v>658</v>
      </c>
      <c r="E538" s="4"/>
      <c r="F538" s="29">
        <f>F539</f>
        <v>2523559.5700000003</v>
      </c>
      <c r="G538" s="29"/>
    </row>
    <row r="539" spans="1:7" ht="63">
      <c r="A539" s="3" t="s">
        <v>350</v>
      </c>
      <c r="B539" s="4" t="s">
        <v>279</v>
      </c>
      <c r="C539" s="4" t="s">
        <v>313</v>
      </c>
      <c r="D539" s="4" t="s">
        <v>658</v>
      </c>
      <c r="E539" s="4" t="s">
        <v>657</v>
      </c>
      <c r="F539" s="29">
        <f>прил6!F225</f>
        <v>2523559.5700000003</v>
      </c>
      <c r="G539" s="29"/>
    </row>
    <row r="540" spans="1:7" ht="31.5">
      <c r="A540" s="3" t="s">
        <v>719</v>
      </c>
      <c r="B540" s="4" t="s">
        <v>417</v>
      </c>
      <c r="C540" s="4"/>
      <c r="D540" s="4"/>
      <c r="E540" s="4"/>
      <c r="F540" s="29">
        <f>F541</f>
        <v>1557143.21</v>
      </c>
      <c r="G540" s="29"/>
    </row>
    <row r="541" spans="1:7" ht="47.25">
      <c r="A541" s="3" t="s">
        <v>702</v>
      </c>
      <c r="B541" s="4" t="s">
        <v>417</v>
      </c>
      <c r="C541" s="4" t="s">
        <v>313</v>
      </c>
      <c r="D541" s="4"/>
      <c r="E541" s="4"/>
      <c r="F541" s="29">
        <f>F542</f>
        <v>1557143.21</v>
      </c>
      <c r="G541" s="29"/>
    </row>
    <row r="542" spans="1:7" ht="31.5">
      <c r="A542" s="3" t="s">
        <v>671</v>
      </c>
      <c r="B542" s="4" t="s">
        <v>417</v>
      </c>
      <c r="C542" s="4" t="s">
        <v>313</v>
      </c>
      <c r="D542" s="4" t="s">
        <v>658</v>
      </c>
      <c r="E542" s="4"/>
      <c r="F542" s="29">
        <f>F543</f>
        <v>1557143.21</v>
      </c>
      <c r="G542" s="29"/>
    </row>
    <row r="543" spans="1:7" ht="63">
      <c r="A543" s="3" t="s">
        <v>350</v>
      </c>
      <c r="B543" s="4" t="s">
        <v>417</v>
      </c>
      <c r="C543" s="4" t="s">
        <v>313</v>
      </c>
      <c r="D543" s="4" t="s">
        <v>658</v>
      </c>
      <c r="E543" s="4" t="s">
        <v>657</v>
      </c>
      <c r="F543" s="29">
        <f>прил6!F227</f>
        <v>1557143.21</v>
      </c>
      <c r="G543" s="29"/>
    </row>
    <row r="544" spans="1:7" ht="63" hidden="1">
      <c r="A544" s="3" t="s">
        <v>506</v>
      </c>
      <c r="B544" s="4" t="s">
        <v>422</v>
      </c>
      <c r="C544" s="4"/>
      <c r="D544" s="4"/>
      <c r="E544" s="4"/>
      <c r="F544" s="29">
        <f>F545</f>
        <v>0</v>
      </c>
      <c r="G544" s="29"/>
    </row>
    <row r="545" spans="1:7" ht="47.25" hidden="1">
      <c r="A545" s="3" t="s">
        <v>189</v>
      </c>
      <c r="B545" s="4" t="s">
        <v>422</v>
      </c>
      <c r="C545" s="4" t="s">
        <v>693</v>
      </c>
      <c r="D545" s="4"/>
      <c r="E545" s="4"/>
      <c r="F545" s="29">
        <f>F546</f>
        <v>0</v>
      </c>
      <c r="G545" s="29"/>
    </row>
    <row r="546" spans="1:7" ht="31.5" hidden="1">
      <c r="A546" s="3" t="s">
        <v>671</v>
      </c>
      <c r="B546" s="4" t="s">
        <v>422</v>
      </c>
      <c r="C546" s="4" t="s">
        <v>693</v>
      </c>
      <c r="D546" s="4" t="s">
        <v>658</v>
      </c>
      <c r="E546" s="4"/>
      <c r="F546" s="29">
        <f>F547</f>
        <v>0</v>
      </c>
      <c r="G546" s="29"/>
    </row>
    <row r="547" spans="1:7" ht="63" hidden="1">
      <c r="A547" s="3" t="s">
        <v>350</v>
      </c>
      <c r="B547" s="4" t="s">
        <v>422</v>
      </c>
      <c r="C547" s="4" t="s">
        <v>693</v>
      </c>
      <c r="D547" s="4" t="s">
        <v>658</v>
      </c>
      <c r="E547" s="4" t="s">
        <v>657</v>
      </c>
      <c r="F547" s="29">
        <f>прил6!F229</f>
        <v>0</v>
      </c>
      <c r="G547" s="29"/>
    </row>
    <row r="548" spans="1:7" ht="63">
      <c r="A548" s="1" t="s">
        <v>551</v>
      </c>
      <c r="B548" s="2" t="s">
        <v>298</v>
      </c>
      <c r="C548" s="2"/>
      <c r="D548" s="2"/>
      <c r="E548" s="2"/>
      <c r="F548" s="33">
        <f>F549+F553</f>
        <v>17200000</v>
      </c>
      <c r="G548" s="33">
        <f>G549+G553</f>
        <v>0</v>
      </c>
    </row>
    <row r="549" spans="1:7" ht="63">
      <c r="A549" s="213" t="s">
        <v>506</v>
      </c>
      <c r="B549" s="214" t="s">
        <v>880</v>
      </c>
      <c r="C549" s="4"/>
      <c r="D549" s="4"/>
      <c r="E549" s="4"/>
      <c r="F549" s="29">
        <f>F550</f>
        <v>17200000</v>
      </c>
      <c r="G549" s="29"/>
    </row>
    <row r="550" spans="1:7" ht="47.25">
      <c r="A550" s="3" t="s">
        <v>189</v>
      </c>
      <c r="B550" s="214" t="s">
        <v>880</v>
      </c>
      <c r="C550" s="4" t="s">
        <v>693</v>
      </c>
      <c r="D550" s="4"/>
      <c r="E550" s="4"/>
      <c r="F550" s="29">
        <f>F551</f>
        <v>17200000</v>
      </c>
      <c r="G550" s="29"/>
    </row>
    <row r="551" spans="1:7" ht="15.75">
      <c r="A551" s="3" t="s">
        <v>319</v>
      </c>
      <c r="B551" s="214" t="s">
        <v>880</v>
      </c>
      <c r="C551" s="4" t="s">
        <v>693</v>
      </c>
      <c r="D551" s="4" t="s">
        <v>652</v>
      </c>
      <c r="E551" s="4"/>
      <c r="F551" s="29">
        <f>F552</f>
        <v>17200000</v>
      </c>
      <c r="G551" s="29"/>
    </row>
    <row r="552" spans="1:7" ht="31.5">
      <c r="A552" s="3" t="s">
        <v>320</v>
      </c>
      <c r="B552" s="214" t="s">
        <v>880</v>
      </c>
      <c r="C552" s="4" t="s">
        <v>693</v>
      </c>
      <c r="D552" s="4" t="s">
        <v>652</v>
      </c>
      <c r="E552" s="4" t="s">
        <v>653</v>
      </c>
      <c r="F552" s="29">
        <f>прил6!F377</f>
        <v>17200000</v>
      </c>
      <c r="G552" s="29"/>
    </row>
    <row r="553" spans="1:7" ht="141.75" hidden="1">
      <c r="A553" s="3" t="s">
        <v>483</v>
      </c>
      <c r="B553" s="4" t="s">
        <v>484</v>
      </c>
      <c r="C553" s="4"/>
      <c r="D553" s="4"/>
      <c r="E553" s="4"/>
      <c r="F553" s="29">
        <f aca="true" t="shared" si="41" ref="F553:G555">F554</f>
        <v>0</v>
      </c>
      <c r="G553" s="29">
        <f t="shared" si="41"/>
        <v>0</v>
      </c>
    </row>
    <row r="554" spans="1:7" ht="47.25" hidden="1">
      <c r="A554" s="3" t="s">
        <v>702</v>
      </c>
      <c r="B554" s="4" t="s">
        <v>484</v>
      </c>
      <c r="C554" s="4" t="s">
        <v>313</v>
      </c>
      <c r="D554" s="4"/>
      <c r="E554" s="4"/>
      <c r="F554" s="29">
        <f t="shared" si="41"/>
        <v>0</v>
      </c>
      <c r="G554" s="29">
        <f t="shared" si="41"/>
        <v>0</v>
      </c>
    </row>
    <row r="555" spans="1:7" ht="15.75" hidden="1">
      <c r="A555" s="3" t="s">
        <v>319</v>
      </c>
      <c r="B555" s="4" t="s">
        <v>484</v>
      </c>
      <c r="C555" s="4" t="s">
        <v>313</v>
      </c>
      <c r="D555" s="4" t="s">
        <v>652</v>
      </c>
      <c r="E555" s="4"/>
      <c r="F555" s="29">
        <f t="shared" si="41"/>
        <v>0</v>
      </c>
      <c r="G555" s="29">
        <f t="shared" si="41"/>
        <v>0</v>
      </c>
    </row>
    <row r="556" spans="1:7" ht="47.25" hidden="1">
      <c r="A556" s="3" t="s">
        <v>482</v>
      </c>
      <c r="B556" s="4" t="s">
        <v>484</v>
      </c>
      <c r="C556" s="4" t="s">
        <v>313</v>
      </c>
      <c r="D556" s="4" t="s">
        <v>652</v>
      </c>
      <c r="E556" s="4" t="s">
        <v>658</v>
      </c>
      <c r="F556" s="29">
        <f>прил6!F373</f>
        <v>0</v>
      </c>
      <c r="G556" s="29">
        <f>F556</f>
        <v>0</v>
      </c>
    </row>
    <row r="557" spans="1:7" ht="63">
      <c r="A557" s="1" t="s">
        <v>550</v>
      </c>
      <c r="B557" s="2" t="s">
        <v>400</v>
      </c>
      <c r="C557" s="2"/>
      <c r="D557" s="2"/>
      <c r="E557" s="2"/>
      <c r="F557" s="33">
        <f>F558+F562+F566+F570</f>
        <v>95634890.10000001</v>
      </c>
      <c r="G557" s="33">
        <f>G558+G562+G566+G570</f>
        <v>0</v>
      </c>
    </row>
    <row r="558" spans="1:7" ht="47.25">
      <c r="A558" s="3" t="s">
        <v>401</v>
      </c>
      <c r="B558" s="4" t="s">
        <v>402</v>
      </c>
      <c r="C558" s="4"/>
      <c r="D558" s="4"/>
      <c r="E558" s="4"/>
      <c r="F558" s="29">
        <f>F559</f>
        <v>2307949</v>
      </c>
      <c r="G558" s="29"/>
    </row>
    <row r="559" spans="1:7" ht="47.25">
      <c r="A559" s="3" t="s">
        <v>702</v>
      </c>
      <c r="B559" s="4" t="s">
        <v>402</v>
      </c>
      <c r="C559" s="4" t="s">
        <v>313</v>
      </c>
      <c r="D559" s="4"/>
      <c r="E559" s="4"/>
      <c r="F559" s="29">
        <f>F560</f>
        <v>2307949</v>
      </c>
      <c r="G559" s="29"/>
    </row>
    <row r="560" spans="1:7" ht="15.75">
      <c r="A560" s="3" t="s">
        <v>672</v>
      </c>
      <c r="B560" s="4" t="s">
        <v>402</v>
      </c>
      <c r="C560" s="4" t="s">
        <v>313</v>
      </c>
      <c r="D560" s="4" t="s">
        <v>661</v>
      </c>
      <c r="E560" s="4"/>
      <c r="F560" s="29">
        <f>F561</f>
        <v>2307949</v>
      </c>
      <c r="G560" s="29"/>
    </row>
    <row r="561" spans="1:7" ht="31.5">
      <c r="A561" s="3" t="s">
        <v>555</v>
      </c>
      <c r="B561" s="4" t="s">
        <v>402</v>
      </c>
      <c r="C561" s="4" t="s">
        <v>313</v>
      </c>
      <c r="D561" s="4" t="s">
        <v>661</v>
      </c>
      <c r="E561" s="4" t="s">
        <v>657</v>
      </c>
      <c r="F561" s="29">
        <f>прил6!F263</f>
        <v>2307949</v>
      </c>
      <c r="G561" s="29"/>
    </row>
    <row r="562" spans="1:7" ht="78.75">
      <c r="A562" s="3" t="s">
        <v>403</v>
      </c>
      <c r="B562" s="4" t="s">
        <v>404</v>
      </c>
      <c r="C562" s="4"/>
      <c r="D562" s="4"/>
      <c r="E562" s="4"/>
      <c r="F562" s="29">
        <f>F563</f>
        <v>89288352.08000001</v>
      </c>
      <c r="G562" s="29"/>
    </row>
    <row r="563" spans="1:7" ht="47.25">
      <c r="A563" s="3" t="s">
        <v>702</v>
      </c>
      <c r="B563" s="4" t="s">
        <v>404</v>
      </c>
      <c r="C563" s="4" t="s">
        <v>313</v>
      </c>
      <c r="D563" s="4"/>
      <c r="E563" s="4"/>
      <c r="F563" s="29">
        <f>F564</f>
        <v>89288352.08000001</v>
      </c>
      <c r="G563" s="29"/>
    </row>
    <row r="564" spans="1:7" ht="15.75">
      <c r="A564" s="3" t="s">
        <v>672</v>
      </c>
      <c r="B564" s="4" t="s">
        <v>404</v>
      </c>
      <c r="C564" s="4" t="s">
        <v>313</v>
      </c>
      <c r="D564" s="4" t="s">
        <v>661</v>
      </c>
      <c r="E564" s="4"/>
      <c r="F564" s="29">
        <f>F565</f>
        <v>89288352.08000001</v>
      </c>
      <c r="G564" s="29"/>
    </row>
    <row r="565" spans="1:7" ht="31.5">
      <c r="A565" s="3" t="s">
        <v>555</v>
      </c>
      <c r="B565" s="4" t="s">
        <v>404</v>
      </c>
      <c r="C565" s="4" t="s">
        <v>313</v>
      </c>
      <c r="D565" s="4" t="s">
        <v>661</v>
      </c>
      <c r="E565" s="4" t="s">
        <v>657</v>
      </c>
      <c r="F565" s="29">
        <f>прил6!F265</f>
        <v>89288352.08000001</v>
      </c>
      <c r="G565" s="29"/>
    </row>
    <row r="566" spans="1:7" ht="31.5">
      <c r="A566" s="3" t="s">
        <v>719</v>
      </c>
      <c r="B566" s="4" t="s">
        <v>405</v>
      </c>
      <c r="C566" s="4"/>
      <c r="D566" s="4"/>
      <c r="E566" s="4"/>
      <c r="F566" s="29">
        <f>F567</f>
        <v>4038589.02</v>
      </c>
      <c r="G566" s="29"/>
    </row>
    <row r="567" spans="1:7" ht="47.25">
      <c r="A567" s="3" t="s">
        <v>702</v>
      </c>
      <c r="B567" s="4" t="s">
        <v>405</v>
      </c>
      <c r="C567" s="4" t="s">
        <v>313</v>
      </c>
      <c r="D567" s="4"/>
      <c r="E567" s="4"/>
      <c r="F567" s="29">
        <f>F568</f>
        <v>4038589.02</v>
      </c>
      <c r="G567" s="29"/>
    </row>
    <row r="568" spans="1:7" ht="15.75">
      <c r="A568" s="3" t="s">
        <v>672</v>
      </c>
      <c r="B568" s="4" t="s">
        <v>405</v>
      </c>
      <c r="C568" s="4" t="s">
        <v>313</v>
      </c>
      <c r="D568" s="4" t="s">
        <v>661</v>
      </c>
      <c r="E568" s="4"/>
      <c r="F568" s="29">
        <f>F569</f>
        <v>4038589.02</v>
      </c>
      <c r="G568" s="29"/>
    </row>
    <row r="569" spans="1:7" ht="31.5">
      <c r="A569" s="3" t="s">
        <v>555</v>
      </c>
      <c r="B569" s="4" t="s">
        <v>405</v>
      </c>
      <c r="C569" s="4" t="s">
        <v>313</v>
      </c>
      <c r="D569" s="4" t="s">
        <v>661</v>
      </c>
      <c r="E569" s="4" t="s">
        <v>657</v>
      </c>
      <c r="F569" s="29">
        <f>прил6!F267</f>
        <v>4038589.02</v>
      </c>
      <c r="G569" s="29"/>
    </row>
    <row r="570" spans="1:7" ht="78.75" hidden="1">
      <c r="A570" s="3" t="s">
        <v>282</v>
      </c>
      <c r="B570" s="4" t="s">
        <v>283</v>
      </c>
      <c r="C570" s="4"/>
      <c r="D570" s="4"/>
      <c r="E570" s="4"/>
      <c r="F570" s="29">
        <f aca="true" t="shared" si="42" ref="F570:G572">F571</f>
        <v>0</v>
      </c>
      <c r="G570" s="29">
        <f t="shared" si="42"/>
        <v>0</v>
      </c>
    </row>
    <row r="571" spans="1:7" ht="47.25" hidden="1">
      <c r="A571" s="3" t="s">
        <v>702</v>
      </c>
      <c r="B571" s="4" t="s">
        <v>283</v>
      </c>
      <c r="C571" s="4" t="s">
        <v>313</v>
      </c>
      <c r="D571" s="4"/>
      <c r="E571" s="4"/>
      <c r="F571" s="29">
        <f t="shared" si="42"/>
        <v>0</v>
      </c>
      <c r="G571" s="29">
        <f t="shared" si="42"/>
        <v>0</v>
      </c>
    </row>
    <row r="572" spans="1:7" ht="15.75" hidden="1">
      <c r="A572" s="3" t="s">
        <v>672</v>
      </c>
      <c r="B572" s="4" t="s">
        <v>283</v>
      </c>
      <c r="C572" s="4" t="s">
        <v>313</v>
      </c>
      <c r="D572" s="4" t="s">
        <v>661</v>
      </c>
      <c r="E572" s="4"/>
      <c r="F572" s="29">
        <f t="shared" si="42"/>
        <v>0</v>
      </c>
      <c r="G572" s="29">
        <f t="shared" si="42"/>
        <v>0</v>
      </c>
    </row>
    <row r="573" spans="1:7" ht="31.5" hidden="1">
      <c r="A573" s="3" t="s">
        <v>555</v>
      </c>
      <c r="B573" s="4" t="s">
        <v>283</v>
      </c>
      <c r="C573" s="4" t="s">
        <v>313</v>
      </c>
      <c r="D573" s="4" t="s">
        <v>661</v>
      </c>
      <c r="E573" s="4" t="s">
        <v>657</v>
      </c>
      <c r="F573" s="29">
        <f>прил6!F269</f>
        <v>0</v>
      </c>
      <c r="G573" s="29">
        <f>F573</f>
        <v>0</v>
      </c>
    </row>
    <row r="574" spans="1:7" ht="78.75">
      <c r="A574" s="1" t="s">
        <v>546</v>
      </c>
      <c r="B574" s="2" t="s">
        <v>363</v>
      </c>
      <c r="C574" s="2"/>
      <c r="D574" s="2"/>
      <c r="E574" s="2"/>
      <c r="F574" s="33">
        <f>F575+F588+F599+F603+F607</f>
        <v>768537</v>
      </c>
      <c r="G574" s="33">
        <f>G575+G588+G599+G603+G607</f>
        <v>0</v>
      </c>
    </row>
    <row r="575" spans="1:7" ht="47.25">
      <c r="A575" s="3" t="s">
        <v>512</v>
      </c>
      <c r="B575" s="4" t="s">
        <v>364</v>
      </c>
      <c r="C575" s="4"/>
      <c r="D575" s="4"/>
      <c r="E575" s="4"/>
      <c r="F575" s="29">
        <f>F576+F581</f>
        <v>47628</v>
      </c>
      <c r="G575" s="29"/>
    </row>
    <row r="576" spans="1:7" ht="47.25" hidden="1">
      <c r="A576" s="3" t="s">
        <v>702</v>
      </c>
      <c r="B576" s="4" t="s">
        <v>364</v>
      </c>
      <c r="C576" s="4" t="s">
        <v>313</v>
      </c>
      <c r="D576" s="4"/>
      <c r="E576" s="4"/>
      <c r="F576" s="29">
        <f>F579+F577</f>
        <v>0</v>
      </c>
      <c r="G576" s="29"/>
    </row>
    <row r="577" spans="1:7" ht="15.75" hidden="1">
      <c r="A577" s="3" t="s">
        <v>670</v>
      </c>
      <c r="B577" s="4" t="s">
        <v>364</v>
      </c>
      <c r="C577" s="4" t="s">
        <v>313</v>
      </c>
      <c r="D577" s="4" t="s">
        <v>651</v>
      </c>
      <c r="E577" s="4"/>
      <c r="F577" s="29">
        <f>F578</f>
        <v>0</v>
      </c>
      <c r="G577" s="29"/>
    </row>
    <row r="578" spans="1:7" ht="31.5" hidden="1">
      <c r="A578" s="3" t="s">
        <v>680</v>
      </c>
      <c r="B578" s="4" t="s">
        <v>364</v>
      </c>
      <c r="C578" s="4" t="s">
        <v>313</v>
      </c>
      <c r="D578" s="4" t="s">
        <v>651</v>
      </c>
      <c r="E578" s="4" t="s">
        <v>310</v>
      </c>
      <c r="F578" s="29">
        <f>прил6!F144</f>
        <v>0</v>
      </c>
      <c r="G578" s="29"/>
    </row>
    <row r="579" spans="1:7" ht="15.75" hidden="1">
      <c r="A579" s="3" t="s">
        <v>672</v>
      </c>
      <c r="B579" s="4" t="s">
        <v>364</v>
      </c>
      <c r="C579" s="4" t="s">
        <v>313</v>
      </c>
      <c r="D579" s="4" t="s">
        <v>661</v>
      </c>
      <c r="E579" s="4"/>
      <c r="F579" s="29">
        <f>F580</f>
        <v>0</v>
      </c>
      <c r="G579" s="29"/>
    </row>
    <row r="580" spans="1:7" ht="31.5" hidden="1">
      <c r="A580" s="3" t="s">
        <v>674</v>
      </c>
      <c r="B580" s="4" t="s">
        <v>364</v>
      </c>
      <c r="C580" s="4" t="s">
        <v>313</v>
      </c>
      <c r="D580" s="4" t="s">
        <v>661</v>
      </c>
      <c r="E580" s="4" t="s">
        <v>307</v>
      </c>
      <c r="F580" s="29">
        <f>прил6!F287</f>
        <v>0</v>
      </c>
      <c r="G580" s="29"/>
    </row>
    <row r="581" spans="1:7" ht="63">
      <c r="A581" s="3" t="s">
        <v>723</v>
      </c>
      <c r="B581" s="4" t="s">
        <v>364</v>
      </c>
      <c r="C581" s="4" t="s">
        <v>317</v>
      </c>
      <c r="D581" s="4"/>
      <c r="E581" s="4"/>
      <c r="F581" s="29">
        <f>F582+F586</f>
        <v>47628</v>
      </c>
      <c r="G581" s="29"/>
    </row>
    <row r="582" spans="1:7" ht="15.75" hidden="1">
      <c r="A582" s="3" t="s">
        <v>662</v>
      </c>
      <c r="B582" s="4" t="s">
        <v>364</v>
      </c>
      <c r="C582" s="4" t="s">
        <v>317</v>
      </c>
      <c r="D582" s="4" t="s">
        <v>654</v>
      </c>
      <c r="E582" s="4"/>
      <c r="F582" s="29">
        <f>F583+F584+F585</f>
        <v>0</v>
      </c>
      <c r="G582" s="29"/>
    </row>
    <row r="583" spans="1:7" ht="15.75" hidden="1">
      <c r="A583" s="3" t="s">
        <v>664</v>
      </c>
      <c r="B583" s="4" t="s">
        <v>364</v>
      </c>
      <c r="C583" s="4" t="s">
        <v>317</v>
      </c>
      <c r="D583" s="4" t="s">
        <v>654</v>
      </c>
      <c r="E583" s="4" t="s">
        <v>656</v>
      </c>
      <c r="F583" s="29">
        <f>прил6!F452</f>
        <v>0</v>
      </c>
      <c r="G583" s="29"/>
    </row>
    <row r="584" spans="1:7" ht="31.5" hidden="1">
      <c r="A584" s="3" t="s">
        <v>351</v>
      </c>
      <c r="B584" s="4" t="s">
        <v>364</v>
      </c>
      <c r="C584" s="4" t="s">
        <v>317</v>
      </c>
      <c r="D584" s="4" t="s">
        <v>654</v>
      </c>
      <c r="E584" s="4" t="s">
        <v>654</v>
      </c>
      <c r="F584" s="29">
        <f>прил6!F481</f>
        <v>0</v>
      </c>
      <c r="G584" s="29"/>
    </row>
    <row r="585" spans="1:7" ht="31.5" hidden="1">
      <c r="A585" s="3" t="s">
        <v>675</v>
      </c>
      <c r="B585" s="4" t="s">
        <v>364</v>
      </c>
      <c r="C585" s="4" t="s">
        <v>317</v>
      </c>
      <c r="D585" s="4" t="s">
        <v>654</v>
      </c>
      <c r="E585" s="4" t="s">
        <v>657</v>
      </c>
      <c r="F585" s="29">
        <f>прил6!F517</f>
        <v>0</v>
      </c>
      <c r="G585" s="29"/>
    </row>
    <row r="586" spans="1:7" ht="15.75">
      <c r="A586" s="3" t="s">
        <v>314</v>
      </c>
      <c r="B586" s="4" t="s">
        <v>364</v>
      </c>
      <c r="C586" s="4" t="s">
        <v>317</v>
      </c>
      <c r="D586" s="4" t="s">
        <v>655</v>
      </c>
      <c r="E586" s="4"/>
      <c r="F586" s="29">
        <f>F587</f>
        <v>47628</v>
      </c>
      <c r="G586" s="29"/>
    </row>
    <row r="587" spans="1:7" ht="15.75">
      <c r="A587" s="3" t="s">
        <v>676</v>
      </c>
      <c r="B587" s="4" t="s">
        <v>364</v>
      </c>
      <c r="C587" s="4" t="s">
        <v>317</v>
      </c>
      <c r="D587" s="4" t="s">
        <v>655</v>
      </c>
      <c r="E587" s="4" t="s">
        <v>651</v>
      </c>
      <c r="F587" s="29">
        <f>прил6!F577</f>
        <v>47628</v>
      </c>
      <c r="G587" s="29"/>
    </row>
    <row r="588" spans="1:7" ht="31.5">
      <c r="A588" s="3" t="s">
        <v>719</v>
      </c>
      <c r="B588" s="4" t="s">
        <v>365</v>
      </c>
      <c r="C588" s="4"/>
      <c r="D588" s="4"/>
      <c r="E588" s="4"/>
      <c r="F588" s="29">
        <f>F589+F592</f>
        <v>720909</v>
      </c>
      <c r="G588" s="29"/>
    </row>
    <row r="589" spans="1:7" ht="47.25">
      <c r="A589" s="3" t="s">
        <v>702</v>
      </c>
      <c r="B589" s="4" t="s">
        <v>365</v>
      </c>
      <c r="C589" s="4" t="s">
        <v>313</v>
      </c>
      <c r="D589" s="4"/>
      <c r="E589" s="4"/>
      <c r="F589" s="29">
        <f>F590</f>
        <v>720909</v>
      </c>
      <c r="G589" s="29"/>
    </row>
    <row r="590" spans="1:7" ht="31.5">
      <c r="A590" s="3" t="s">
        <v>660</v>
      </c>
      <c r="B590" s="4" t="s">
        <v>365</v>
      </c>
      <c r="C590" s="4" t="s">
        <v>313</v>
      </c>
      <c r="D590" s="4" t="s">
        <v>653</v>
      </c>
      <c r="E590" s="4"/>
      <c r="F590" s="29">
        <f>F591</f>
        <v>720909</v>
      </c>
      <c r="G590" s="29"/>
    </row>
    <row r="591" spans="1:7" ht="15.75">
      <c r="A591" s="3" t="s">
        <v>666</v>
      </c>
      <c r="B591" s="4" t="s">
        <v>365</v>
      </c>
      <c r="C591" s="4" t="s">
        <v>313</v>
      </c>
      <c r="D591" s="4" t="s">
        <v>653</v>
      </c>
      <c r="E591" s="4" t="s">
        <v>651</v>
      </c>
      <c r="F591" s="29">
        <f>прил6!F315</f>
        <v>720909</v>
      </c>
      <c r="G591" s="29"/>
    </row>
    <row r="592" spans="1:7" ht="63" hidden="1">
      <c r="A592" s="3" t="s">
        <v>723</v>
      </c>
      <c r="B592" s="4" t="s">
        <v>365</v>
      </c>
      <c r="C592" s="4" t="s">
        <v>317</v>
      </c>
      <c r="D592" s="4"/>
      <c r="E592" s="4"/>
      <c r="F592" s="29">
        <f>F593+F597</f>
        <v>0</v>
      </c>
      <c r="G592" s="29"/>
    </row>
    <row r="593" spans="1:7" ht="15.75" hidden="1">
      <c r="A593" s="3" t="s">
        <v>662</v>
      </c>
      <c r="B593" s="4" t="s">
        <v>365</v>
      </c>
      <c r="C593" s="4" t="s">
        <v>317</v>
      </c>
      <c r="D593" s="4" t="s">
        <v>654</v>
      </c>
      <c r="E593" s="4"/>
      <c r="F593" s="29">
        <f>F594+F595+F596</f>
        <v>0</v>
      </c>
      <c r="G593" s="29"/>
    </row>
    <row r="594" spans="1:7" ht="15.75" hidden="1">
      <c r="A594" s="3" t="s">
        <v>664</v>
      </c>
      <c r="B594" s="4" t="s">
        <v>365</v>
      </c>
      <c r="C594" s="4" t="s">
        <v>317</v>
      </c>
      <c r="D594" s="4" t="s">
        <v>654</v>
      </c>
      <c r="E594" s="4" t="s">
        <v>656</v>
      </c>
      <c r="F594" s="29">
        <f>прил6!F454</f>
        <v>0</v>
      </c>
      <c r="G594" s="29"/>
    </row>
    <row r="595" spans="1:7" ht="31.5" hidden="1">
      <c r="A595" s="3" t="s">
        <v>351</v>
      </c>
      <c r="B595" s="4" t="s">
        <v>365</v>
      </c>
      <c r="C595" s="4" t="s">
        <v>317</v>
      </c>
      <c r="D595" s="4" t="s">
        <v>654</v>
      </c>
      <c r="E595" s="4" t="s">
        <v>654</v>
      </c>
      <c r="F595" s="29">
        <f>прил6!F483</f>
        <v>0</v>
      </c>
      <c r="G595" s="29"/>
    </row>
    <row r="596" spans="1:7" ht="31.5" hidden="1">
      <c r="A596" s="3" t="s">
        <v>675</v>
      </c>
      <c r="B596" s="4" t="s">
        <v>365</v>
      </c>
      <c r="C596" s="4" t="s">
        <v>317</v>
      </c>
      <c r="D596" s="4" t="s">
        <v>654</v>
      </c>
      <c r="E596" s="4" t="s">
        <v>657</v>
      </c>
      <c r="F596" s="29">
        <f>прил6!F519</f>
        <v>0</v>
      </c>
      <c r="G596" s="29"/>
    </row>
    <row r="597" spans="1:7" ht="15.75" hidden="1">
      <c r="A597" s="3" t="s">
        <v>314</v>
      </c>
      <c r="B597" s="4" t="s">
        <v>365</v>
      </c>
      <c r="C597" s="4" t="s">
        <v>317</v>
      </c>
      <c r="D597" s="4" t="s">
        <v>655</v>
      </c>
      <c r="E597" s="4"/>
      <c r="F597" s="29">
        <f>F598</f>
        <v>0</v>
      </c>
      <c r="G597" s="29"/>
    </row>
    <row r="598" spans="1:7" ht="15.75" hidden="1">
      <c r="A598" s="3" t="s">
        <v>676</v>
      </c>
      <c r="B598" s="4" t="s">
        <v>365</v>
      </c>
      <c r="C598" s="4" t="s">
        <v>317</v>
      </c>
      <c r="D598" s="4" t="s">
        <v>655</v>
      </c>
      <c r="E598" s="4" t="s">
        <v>651</v>
      </c>
      <c r="F598" s="29">
        <f>прил6!F579</f>
        <v>0</v>
      </c>
      <c r="G598" s="29"/>
    </row>
    <row r="599" spans="1:7" ht="63" hidden="1">
      <c r="A599" s="3" t="s">
        <v>366</v>
      </c>
      <c r="B599" s="4" t="s">
        <v>367</v>
      </c>
      <c r="C599" s="4"/>
      <c r="D599" s="4"/>
      <c r="E599" s="4"/>
      <c r="F599" s="74">
        <f>F600</f>
        <v>0</v>
      </c>
      <c r="G599" s="29"/>
    </row>
    <row r="600" spans="1:7" ht="31.5" hidden="1">
      <c r="A600" s="3" t="s">
        <v>560</v>
      </c>
      <c r="B600" s="4" t="s">
        <v>367</v>
      </c>
      <c r="C600" s="4" t="s">
        <v>561</v>
      </c>
      <c r="D600" s="4"/>
      <c r="E600" s="4"/>
      <c r="F600" s="74">
        <f>F601</f>
        <v>0</v>
      </c>
      <c r="G600" s="29"/>
    </row>
    <row r="601" spans="1:7" ht="31.5" hidden="1">
      <c r="A601" s="49" t="s">
        <v>660</v>
      </c>
      <c r="B601" s="4" t="s">
        <v>367</v>
      </c>
      <c r="C601" s="4" t="s">
        <v>561</v>
      </c>
      <c r="D601" s="4" t="s">
        <v>653</v>
      </c>
      <c r="E601" s="4"/>
      <c r="F601" s="74">
        <f>F602</f>
        <v>0</v>
      </c>
      <c r="G601" s="29"/>
    </row>
    <row r="602" spans="1:7" ht="15.75" hidden="1">
      <c r="A602" s="73" t="s">
        <v>666</v>
      </c>
      <c r="B602" s="4" t="s">
        <v>367</v>
      </c>
      <c r="C602" s="4" t="s">
        <v>561</v>
      </c>
      <c r="D602" s="4" t="s">
        <v>653</v>
      </c>
      <c r="E602" s="4" t="s">
        <v>651</v>
      </c>
      <c r="F602" s="29">
        <f>прил6!F317</f>
        <v>0</v>
      </c>
      <c r="G602" s="29"/>
    </row>
    <row r="603" spans="1:7" ht="110.25" hidden="1">
      <c r="A603" s="3" t="s">
        <v>480</v>
      </c>
      <c r="B603" s="4" t="s">
        <v>481</v>
      </c>
      <c r="C603" s="4"/>
      <c r="D603" s="4"/>
      <c r="E603" s="4"/>
      <c r="F603" s="29">
        <f aca="true" t="shared" si="43" ref="F603:G605">F604</f>
        <v>0</v>
      </c>
      <c r="G603" s="29">
        <f t="shared" si="43"/>
        <v>0</v>
      </c>
    </row>
    <row r="604" spans="1:7" ht="31.5" hidden="1">
      <c r="A604" s="3" t="s">
        <v>560</v>
      </c>
      <c r="B604" s="4" t="s">
        <v>481</v>
      </c>
      <c r="C604" s="4" t="s">
        <v>561</v>
      </c>
      <c r="D604" s="4"/>
      <c r="E604" s="4"/>
      <c r="F604" s="29">
        <f t="shared" si="43"/>
        <v>0</v>
      </c>
      <c r="G604" s="29">
        <f t="shared" si="43"/>
        <v>0</v>
      </c>
    </row>
    <row r="605" spans="1:7" ht="31.5" hidden="1">
      <c r="A605" s="49" t="s">
        <v>660</v>
      </c>
      <c r="B605" s="4" t="s">
        <v>481</v>
      </c>
      <c r="C605" s="4" t="s">
        <v>561</v>
      </c>
      <c r="D605" s="4" t="s">
        <v>653</v>
      </c>
      <c r="E605" s="4"/>
      <c r="F605" s="74">
        <f t="shared" si="43"/>
        <v>0</v>
      </c>
      <c r="G605" s="29">
        <f t="shared" si="43"/>
        <v>0</v>
      </c>
    </row>
    <row r="606" spans="1:7" ht="15.75" hidden="1">
      <c r="A606" s="73" t="s">
        <v>666</v>
      </c>
      <c r="B606" s="4" t="s">
        <v>481</v>
      </c>
      <c r="C606" s="4" t="s">
        <v>561</v>
      </c>
      <c r="D606" s="4" t="s">
        <v>653</v>
      </c>
      <c r="E606" s="4" t="s">
        <v>651</v>
      </c>
      <c r="F606" s="74">
        <f>прил6!F319</f>
        <v>0</v>
      </c>
      <c r="G606" s="29">
        <f>F606</f>
        <v>0</v>
      </c>
    </row>
    <row r="607" spans="1:7" ht="110.25" hidden="1">
      <c r="A607" s="3" t="s">
        <v>485</v>
      </c>
      <c r="B607" s="4" t="s">
        <v>486</v>
      </c>
      <c r="C607" s="4"/>
      <c r="D607" s="4"/>
      <c r="E607" s="4"/>
      <c r="F607" s="74">
        <f aca="true" t="shared" si="44" ref="F607:G609">F608</f>
        <v>0</v>
      </c>
      <c r="G607" s="29">
        <f t="shared" si="44"/>
        <v>0</v>
      </c>
    </row>
    <row r="608" spans="1:7" ht="47.25" hidden="1">
      <c r="A608" s="3" t="s">
        <v>702</v>
      </c>
      <c r="B608" s="4" t="s">
        <v>486</v>
      </c>
      <c r="C608" s="4" t="s">
        <v>313</v>
      </c>
      <c r="D608" s="4"/>
      <c r="E608" s="4"/>
      <c r="F608" s="74">
        <f t="shared" si="44"/>
        <v>0</v>
      </c>
      <c r="G608" s="29">
        <f t="shared" si="44"/>
        <v>0</v>
      </c>
    </row>
    <row r="609" spans="1:7" ht="31.5" hidden="1">
      <c r="A609" s="49" t="s">
        <v>660</v>
      </c>
      <c r="B609" s="4" t="s">
        <v>486</v>
      </c>
      <c r="C609" s="4" t="s">
        <v>313</v>
      </c>
      <c r="D609" s="4" t="s">
        <v>653</v>
      </c>
      <c r="E609" s="4"/>
      <c r="F609" s="74">
        <f t="shared" si="44"/>
        <v>0</v>
      </c>
      <c r="G609" s="29">
        <f t="shared" si="44"/>
        <v>0</v>
      </c>
    </row>
    <row r="610" spans="1:7" ht="15.75" hidden="1">
      <c r="A610" s="73" t="s">
        <v>666</v>
      </c>
      <c r="B610" s="4" t="s">
        <v>486</v>
      </c>
      <c r="C610" s="4" t="s">
        <v>313</v>
      </c>
      <c r="D610" s="4" t="s">
        <v>653</v>
      </c>
      <c r="E610" s="4" t="s">
        <v>651</v>
      </c>
      <c r="F610" s="74">
        <f>прил6!F321</f>
        <v>0</v>
      </c>
      <c r="G610" s="29">
        <f>F610</f>
        <v>0</v>
      </c>
    </row>
    <row r="611" spans="1:7" s="16" customFormat="1" ht="94.5">
      <c r="A611" s="1" t="s">
        <v>547</v>
      </c>
      <c r="B611" s="81" t="s">
        <v>299</v>
      </c>
      <c r="C611" s="2"/>
      <c r="D611" s="2"/>
      <c r="E611" s="2"/>
      <c r="F611" s="80">
        <f>F612</f>
        <v>160235</v>
      </c>
      <c r="G611" s="33"/>
    </row>
    <row r="612" spans="1:7" ht="31.5">
      <c r="A612" s="3" t="s">
        <v>719</v>
      </c>
      <c r="B612" s="4" t="s">
        <v>300</v>
      </c>
      <c r="C612" s="4"/>
      <c r="D612" s="4"/>
      <c r="E612" s="4"/>
      <c r="F612" s="29">
        <f>F613+F616</f>
        <v>160235</v>
      </c>
      <c r="G612" s="29"/>
    </row>
    <row r="613" spans="1:7" ht="47.25">
      <c r="A613" s="3" t="s">
        <v>702</v>
      </c>
      <c r="B613" s="4" t="s">
        <v>300</v>
      </c>
      <c r="C613" s="4" t="s">
        <v>313</v>
      </c>
      <c r="D613" s="4"/>
      <c r="E613" s="4"/>
      <c r="F613" s="29">
        <f>F614</f>
        <v>107600</v>
      </c>
      <c r="G613" s="29"/>
    </row>
    <row r="614" spans="1:7" ht="15.75">
      <c r="A614" s="73" t="s">
        <v>670</v>
      </c>
      <c r="B614" s="4" t="s">
        <v>300</v>
      </c>
      <c r="C614" s="4" t="s">
        <v>313</v>
      </c>
      <c r="D614" s="4" t="s">
        <v>651</v>
      </c>
      <c r="E614" s="4"/>
      <c r="F614" s="29">
        <f>F615</f>
        <v>107600</v>
      </c>
      <c r="G614" s="29"/>
    </row>
    <row r="615" spans="1:7" ht="31.5">
      <c r="A615" s="49" t="s">
        <v>680</v>
      </c>
      <c r="B615" s="4" t="s">
        <v>300</v>
      </c>
      <c r="C615" s="4" t="s">
        <v>313</v>
      </c>
      <c r="D615" s="4" t="s">
        <v>651</v>
      </c>
      <c r="E615" s="4" t="s">
        <v>310</v>
      </c>
      <c r="F615" s="29">
        <f>прил6!F147</f>
        <v>107600</v>
      </c>
      <c r="G615" s="29"/>
    </row>
    <row r="616" spans="1:7" ht="15.75">
      <c r="A616" s="3" t="s">
        <v>556</v>
      </c>
      <c r="B616" s="4" t="s">
        <v>300</v>
      </c>
      <c r="C616" s="84" t="s">
        <v>316</v>
      </c>
      <c r="D616" s="4"/>
      <c r="E616" s="4"/>
      <c r="F616" s="29">
        <f>F617</f>
        <v>52635</v>
      </c>
      <c r="G616" s="29"/>
    </row>
    <row r="617" spans="1:7" ht="15.75">
      <c r="A617" s="73" t="s">
        <v>670</v>
      </c>
      <c r="B617" s="4" t="s">
        <v>300</v>
      </c>
      <c r="C617" s="4" t="s">
        <v>316</v>
      </c>
      <c r="D617" s="4" t="s">
        <v>651</v>
      </c>
      <c r="E617" s="4"/>
      <c r="F617" s="29">
        <f>F618</f>
        <v>52635</v>
      </c>
      <c r="G617" s="29"/>
    </row>
    <row r="618" spans="1:7" ht="31.5">
      <c r="A618" s="49" t="s">
        <v>680</v>
      </c>
      <c r="B618" s="4" t="s">
        <v>300</v>
      </c>
      <c r="C618" s="4" t="s">
        <v>316</v>
      </c>
      <c r="D618" s="4" t="s">
        <v>651</v>
      </c>
      <c r="E618" s="4" t="s">
        <v>310</v>
      </c>
      <c r="F618" s="29">
        <f>прил6!F148</f>
        <v>52635</v>
      </c>
      <c r="G618" s="29"/>
    </row>
    <row r="619" spans="1:7" ht="63">
      <c r="A619" s="1" t="s">
        <v>548</v>
      </c>
      <c r="B619" s="2" t="s">
        <v>703</v>
      </c>
      <c r="C619" s="2"/>
      <c r="D619" s="2"/>
      <c r="E619" s="2"/>
      <c r="F619" s="33">
        <f>F620+F632+F644+F649</f>
        <v>48271514.010000005</v>
      </c>
      <c r="G619" s="33">
        <f>G620+G632+G644+G649</f>
        <v>371900</v>
      </c>
    </row>
    <row r="620" spans="1:7" ht="63">
      <c r="A620" s="3" t="s">
        <v>368</v>
      </c>
      <c r="B620" s="4" t="s">
        <v>369</v>
      </c>
      <c r="C620" s="2"/>
      <c r="D620" s="2"/>
      <c r="E620" s="2"/>
      <c r="F620" s="29">
        <f>F621+F628</f>
        <v>9457233.05</v>
      </c>
      <c r="G620" s="33"/>
    </row>
    <row r="621" spans="1:7" ht="110.25">
      <c r="A621" s="3" t="s">
        <v>493</v>
      </c>
      <c r="B621" s="4" t="s">
        <v>370</v>
      </c>
      <c r="C621" s="2"/>
      <c r="D621" s="2"/>
      <c r="E621" s="2"/>
      <c r="F621" s="29">
        <f>F622+F625</f>
        <v>9150223.05</v>
      </c>
      <c r="G621" s="33"/>
    </row>
    <row r="622" spans="1:7" ht="126">
      <c r="A622" s="3" t="s">
        <v>701</v>
      </c>
      <c r="B622" s="4" t="s">
        <v>370</v>
      </c>
      <c r="C622" s="4" t="s">
        <v>312</v>
      </c>
      <c r="D622" s="4"/>
      <c r="E622" s="4"/>
      <c r="F622" s="29">
        <f>F623</f>
        <v>9068343.05</v>
      </c>
      <c r="G622" s="29"/>
    </row>
    <row r="623" spans="1:7" ht="15.75">
      <c r="A623" s="3" t="s">
        <v>672</v>
      </c>
      <c r="B623" s="4" t="s">
        <v>370</v>
      </c>
      <c r="C623" s="4" t="s">
        <v>312</v>
      </c>
      <c r="D623" s="4" t="s">
        <v>661</v>
      </c>
      <c r="E623" s="4"/>
      <c r="F623" s="29">
        <f>F624</f>
        <v>9068343.05</v>
      </c>
      <c r="G623" s="29"/>
    </row>
    <row r="624" spans="1:7" ht="15.75">
      <c r="A624" s="3" t="s">
        <v>304</v>
      </c>
      <c r="B624" s="4" t="s">
        <v>370</v>
      </c>
      <c r="C624" s="4" t="s">
        <v>312</v>
      </c>
      <c r="D624" s="4" t="s">
        <v>661</v>
      </c>
      <c r="E624" s="4" t="s">
        <v>659</v>
      </c>
      <c r="F624" s="29">
        <f>прил6!F274</f>
        <v>9068343.05</v>
      </c>
      <c r="G624" s="29"/>
    </row>
    <row r="625" spans="1:7" ht="47.25">
      <c r="A625" s="3" t="s">
        <v>702</v>
      </c>
      <c r="B625" s="4" t="s">
        <v>370</v>
      </c>
      <c r="C625" s="4" t="s">
        <v>313</v>
      </c>
      <c r="D625" s="4"/>
      <c r="E625" s="4"/>
      <c r="F625" s="29">
        <f>F626</f>
        <v>81880</v>
      </c>
      <c r="G625" s="29"/>
    </row>
    <row r="626" spans="1:7" ht="15.75">
      <c r="A626" s="3" t="s">
        <v>672</v>
      </c>
      <c r="B626" s="4" t="s">
        <v>370</v>
      </c>
      <c r="C626" s="4" t="s">
        <v>313</v>
      </c>
      <c r="D626" s="4" t="s">
        <v>661</v>
      </c>
      <c r="E626" s="4"/>
      <c r="F626" s="29">
        <f>F627</f>
        <v>81880</v>
      </c>
      <c r="G626" s="29"/>
    </row>
    <row r="627" spans="1:7" ht="15.75">
      <c r="A627" s="3" t="s">
        <v>304</v>
      </c>
      <c r="B627" s="4" t="s">
        <v>370</v>
      </c>
      <c r="C627" s="4" t="s">
        <v>313</v>
      </c>
      <c r="D627" s="4" t="s">
        <v>661</v>
      </c>
      <c r="E627" s="4" t="s">
        <v>659</v>
      </c>
      <c r="F627" s="29">
        <f>прил6!F275</f>
        <v>81880</v>
      </c>
      <c r="G627" s="29"/>
    </row>
    <row r="628" spans="1:7" ht="110.25">
      <c r="A628" s="3" t="s">
        <v>235</v>
      </c>
      <c r="B628" s="4" t="s">
        <v>254</v>
      </c>
      <c r="C628" s="4"/>
      <c r="D628" s="4"/>
      <c r="E628" s="4"/>
      <c r="F628" s="29">
        <f>F629</f>
        <v>307010</v>
      </c>
      <c r="G628" s="29"/>
    </row>
    <row r="629" spans="1:7" ht="126">
      <c r="A629" s="3" t="s">
        <v>701</v>
      </c>
      <c r="B629" s="4" t="s">
        <v>254</v>
      </c>
      <c r="C629" s="4" t="s">
        <v>312</v>
      </c>
      <c r="D629" s="4"/>
      <c r="E629" s="4"/>
      <c r="F629" s="29">
        <f>F630</f>
        <v>307010</v>
      </c>
      <c r="G629" s="29"/>
    </row>
    <row r="630" spans="1:7" ht="15.75">
      <c r="A630" s="3" t="s">
        <v>672</v>
      </c>
      <c r="B630" s="4" t="s">
        <v>254</v>
      </c>
      <c r="C630" s="4" t="s">
        <v>312</v>
      </c>
      <c r="D630" s="4" t="s">
        <v>661</v>
      </c>
      <c r="E630" s="4"/>
      <c r="F630" s="29">
        <f>F631</f>
        <v>307010</v>
      </c>
      <c r="G630" s="29"/>
    </row>
    <row r="631" spans="1:7" ht="15.75">
      <c r="A631" s="3" t="s">
        <v>304</v>
      </c>
      <c r="B631" s="4" t="s">
        <v>254</v>
      </c>
      <c r="C631" s="4" t="s">
        <v>312</v>
      </c>
      <c r="D631" s="4" t="s">
        <v>661</v>
      </c>
      <c r="E631" s="4" t="s">
        <v>659</v>
      </c>
      <c r="F631" s="29">
        <f>прил6!F277</f>
        <v>307010</v>
      </c>
      <c r="G631" s="29"/>
    </row>
    <row r="632" spans="1:7" ht="63">
      <c r="A632" s="3" t="s">
        <v>704</v>
      </c>
      <c r="B632" s="4" t="s">
        <v>705</v>
      </c>
      <c r="C632" s="4"/>
      <c r="D632" s="4"/>
      <c r="E632" s="4"/>
      <c r="F632" s="29">
        <f>F633+F640</f>
        <v>14874401.82</v>
      </c>
      <c r="G632" s="29">
        <f>G633+G640</f>
        <v>11400</v>
      </c>
    </row>
    <row r="633" spans="1:7" ht="47.25">
      <c r="A633" s="3" t="s">
        <v>706</v>
      </c>
      <c r="B633" s="4" t="s">
        <v>707</v>
      </c>
      <c r="C633" s="4"/>
      <c r="D633" s="4"/>
      <c r="E633" s="4"/>
      <c r="F633" s="29">
        <f>F634+F637</f>
        <v>14863001.82</v>
      </c>
      <c r="G633" s="29"/>
    </row>
    <row r="634" spans="1:7" ht="47.25">
      <c r="A634" s="3" t="s">
        <v>702</v>
      </c>
      <c r="B634" s="4" t="s">
        <v>707</v>
      </c>
      <c r="C634" s="4" t="s">
        <v>313</v>
      </c>
      <c r="D634" s="4"/>
      <c r="E634" s="4"/>
      <c r="F634" s="29">
        <f>F635</f>
        <v>6063928.569999999</v>
      </c>
      <c r="G634" s="29"/>
    </row>
    <row r="635" spans="1:7" ht="15.75">
      <c r="A635" s="3" t="s">
        <v>672</v>
      </c>
      <c r="B635" s="4" t="s">
        <v>707</v>
      </c>
      <c r="C635" s="4" t="s">
        <v>313</v>
      </c>
      <c r="D635" s="4" t="s">
        <v>661</v>
      </c>
      <c r="E635" s="4"/>
      <c r="F635" s="29">
        <f>F636</f>
        <v>6063928.569999999</v>
      </c>
      <c r="G635" s="29"/>
    </row>
    <row r="636" spans="1:7" ht="15.75">
      <c r="A636" s="3" t="s">
        <v>304</v>
      </c>
      <c r="B636" s="4" t="s">
        <v>707</v>
      </c>
      <c r="C636" s="4" t="s">
        <v>313</v>
      </c>
      <c r="D636" s="4" t="s">
        <v>661</v>
      </c>
      <c r="E636" s="4" t="s">
        <v>659</v>
      </c>
      <c r="F636" s="29">
        <f>прил6!F280</f>
        <v>6063928.569999999</v>
      </c>
      <c r="G636" s="33"/>
    </row>
    <row r="637" spans="1:7" ht="63">
      <c r="A637" s="3" t="s">
        <v>723</v>
      </c>
      <c r="B637" s="4" t="s">
        <v>707</v>
      </c>
      <c r="C637" s="4" t="s">
        <v>317</v>
      </c>
      <c r="D637" s="4"/>
      <c r="E637" s="4"/>
      <c r="F637" s="29">
        <f>F638</f>
        <v>8799073.25</v>
      </c>
      <c r="G637" s="29"/>
    </row>
    <row r="638" spans="1:7" ht="15.75">
      <c r="A638" s="3" t="s">
        <v>672</v>
      </c>
      <c r="B638" s="4" t="s">
        <v>707</v>
      </c>
      <c r="C638" s="4" t="s">
        <v>317</v>
      </c>
      <c r="D638" s="4" t="s">
        <v>661</v>
      </c>
      <c r="E638" s="4"/>
      <c r="F638" s="29">
        <f>F639</f>
        <v>8799073.25</v>
      </c>
      <c r="G638" s="29"/>
    </row>
    <row r="639" spans="1:7" ht="15.75">
      <c r="A639" s="3" t="s">
        <v>304</v>
      </c>
      <c r="B639" s="4" t="s">
        <v>707</v>
      </c>
      <c r="C639" s="4" t="s">
        <v>317</v>
      </c>
      <c r="D639" s="4" t="s">
        <v>661</v>
      </c>
      <c r="E639" s="4" t="s">
        <v>659</v>
      </c>
      <c r="F639" s="29">
        <f>прил6!F281</f>
        <v>8799073.25</v>
      </c>
      <c r="G639" s="29"/>
    </row>
    <row r="640" spans="1:7" ht="126">
      <c r="A640" s="3" t="s">
        <v>728</v>
      </c>
      <c r="B640" s="4" t="s">
        <v>729</v>
      </c>
      <c r="C640" s="4"/>
      <c r="D640" s="4"/>
      <c r="E640" s="4"/>
      <c r="F640" s="29">
        <f aca="true" t="shared" si="45" ref="F640:G642">F641</f>
        <v>11400</v>
      </c>
      <c r="G640" s="29">
        <f t="shared" si="45"/>
        <v>11400</v>
      </c>
    </row>
    <row r="641" spans="1:7" ht="47.25">
      <c r="A641" s="3" t="s">
        <v>702</v>
      </c>
      <c r="B641" s="4" t="s">
        <v>729</v>
      </c>
      <c r="C641" s="4" t="s">
        <v>313</v>
      </c>
      <c r="D641" s="4"/>
      <c r="E641" s="4"/>
      <c r="F641" s="29">
        <f t="shared" si="45"/>
        <v>11400</v>
      </c>
      <c r="G641" s="29">
        <f t="shared" si="45"/>
        <v>11400</v>
      </c>
    </row>
    <row r="642" spans="1:7" ht="15.75">
      <c r="A642" s="3" t="s">
        <v>672</v>
      </c>
      <c r="B642" s="4" t="s">
        <v>729</v>
      </c>
      <c r="C642" s="4" t="s">
        <v>313</v>
      </c>
      <c r="D642" s="4" t="s">
        <v>661</v>
      </c>
      <c r="E642" s="4"/>
      <c r="F642" s="29">
        <f t="shared" si="45"/>
        <v>11400</v>
      </c>
      <c r="G642" s="29">
        <f t="shared" si="45"/>
        <v>11400</v>
      </c>
    </row>
    <row r="643" spans="1:7" ht="15.75">
      <c r="A643" s="3" t="s">
        <v>304</v>
      </c>
      <c r="B643" s="4" t="s">
        <v>729</v>
      </c>
      <c r="C643" s="4" t="s">
        <v>313</v>
      </c>
      <c r="D643" s="4" t="s">
        <v>661</v>
      </c>
      <c r="E643" s="4" t="s">
        <v>659</v>
      </c>
      <c r="F643" s="29">
        <f>прил6!F283</f>
        <v>11400</v>
      </c>
      <c r="G643" s="29">
        <f>F643</f>
        <v>11400</v>
      </c>
    </row>
    <row r="644" spans="1:7" ht="110.25">
      <c r="A644" s="3" t="s">
        <v>371</v>
      </c>
      <c r="B644" s="4" t="s">
        <v>372</v>
      </c>
      <c r="C644" s="4"/>
      <c r="D644" s="4"/>
      <c r="E644" s="4"/>
      <c r="F644" s="29">
        <f>F645</f>
        <v>1425000</v>
      </c>
      <c r="G644" s="29"/>
    </row>
    <row r="645" spans="1:7" ht="47.25">
      <c r="A645" s="3" t="s">
        <v>538</v>
      </c>
      <c r="B645" s="4" t="s">
        <v>373</v>
      </c>
      <c r="C645" s="4"/>
      <c r="D645" s="4"/>
      <c r="E645" s="4"/>
      <c r="F645" s="29">
        <f>F646</f>
        <v>1425000</v>
      </c>
      <c r="G645" s="29"/>
    </row>
    <row r="646" spans="1:7" ht="15.75">
      <c r="A646" s="3" t="s">
        <v>556</v>
      </c>
      <c r="B646" s="4" t="s">
        <v>373</v>
      </c>
      <c r="C646" s="4" t="s">
        <v>316</v>
      </c>
      <c r="D646" s="4"/>
      <c r="E646" s="4"/>
      <c r="F646" s="29">
        <f>F647</f>
        <v>1425000</v>
      </c>
      <c r="G646" s="29"/>
    </row>
    <row r="647" spans="1:7" ht="15.75">
      <c r="A647" s="3" t="s">
        <v>303</v>
      </c>
      <c r="B647" s="4" t="s">
        <v>373</v>
      </c>
      <c r="C647" s="4" t="s">
        <v>316</v>
      </c>
      <c r="D647" s="4" t="s">
        <v>307</v>
      </c>
      <c r="E647" s="4"/>
      <c r="F647" s="29">
        <f>F648</f>
        <v>1425000</v>
      </c>
      <c r="G647" s="29"/>
    </row>
    <row r="648" spans="1:7" ht="31.5">
      <c r="A648" s="3" t="s">
        <v>454</v>
      </c>
      <c r="B648" s="4" t="s">
        <v>373</v>
      </c>
      <c r="C648" s="4" t="s">
        <v>316</v>
      </c>
      <c r="D648" s="4" t="s">
        <v>307</v>
      </c>
      <c r="E648" s="4" t="s">
        <v>656</v>
      </c>
      <c r="F648" s="29">
        <f>прил6!F675</f>
        <v>1425000</v>
      </c>
      <c r="G648" s="29"/>
    </row>
    <row r="649" spans="1:7" ht="94.5">
      <c r="A649" s="60" t="s">
        <v>730</v>
      </c>
      <c r="B649" s="4" t="s">
        <v>731</v>
      </c>
      <c r="C649" s="4"/>
      <c r="D649" s="4"/>
      <c r="E649" s="4"/>
      <c r="F649" s="29">
        <f>F650+F664+F668+F660</f>
        <v>22514879.14</v>
      </c>
      <c r="G649" s="29">
        <f>G650+G664+G668+G660</f>
        <v>360500</v>
      </c>
    </row>
    <row r="650" spans="1:7" ht="110.25">
      <c r="A650" s="3" t="s">
        <v>493</v>
      </c>
      <c r="B650" s="4" t="s">
        <v>374</v>
      </c>
      <c r="C650" s="4"/>
      <c r="D650" s="4"/>
      <c r="E650" s="4"/>
      <c r="F650" s="29">
        <f>F651+F654+F657</f>
        <v>19531569.14</v>
      </c>
      <c r="G650" s="29"/>
    </row>
    <row r="651" spans="1:7" ht="126">
      <c r="A651" s="3" t="s">
        <v>701</v>
      </c>
      <c r="B651" s="4" t="s">
        <v>374</v>
      </c>
      <c r="C651" s="4" t="s">
        <v>312</v>
      </c>
      <c r="D651" s="4"/>
      <c r="E651" s="4"/>
      <c r="F651" s="29">
        <f>F652</f>
        <v>19531569.14</v>
      </c>
      <c r="G651" s="29"/>
    </row>
    <row r="652" spans="1:7" ht="15.75">
      <c r="A652" s="3" t="s">
        <v>670</v>
      </c>
      <c r="B652" s="4" t="s">
        <v>374</v>
      </c>
      <c r="C652" s="4" t="s">
        <v>312</v>
      </c>
      <c r="D652" s="4" t="s">
        <v>651</v>
      </c>
      <c r="E652" s="4"/>
      <c r="F652" s="29">
        <f>F653</f>
        <v>19531569.14</v>
      </c>
      <c r="G652" s="29"/>
    </row>
    <row r="653" spans="1:7" ht="31.5">
      <c r="A653" s="3" t="s">
        <v>680</v>
      </c>
      <c r="B653" s="4" t="s">
        <v>374</v>
      </c>
      <c r="C653" s="4" t="s">
        <v>312</v>
      </c>
      <c r="D653" s="4" t="s">
        <v>651</v>
      </c>
      <c r="E653" s="4" t="s">
        <v>310</v>
      </c>
      <c r="F653" s="29">
        <f>прил6!F152</f>
        <v>19531569.14</v>
      </c>
      <c r="G653" s="29"/>
    </row>
    <row r="654" spans="1:7" ht="47.25" hidden="1">
      <c r="A654" s="3" t="s">
        <v>702</v>
      </c>
      <c r="B654" s="4" t="s">
        <v>374</v>
      </c>
      <c r="C654" s="4" t="s">
        <v>313</v>
      </c>
      <c r="D654" s="4"/>
      <c r="E654" s="4"/>
      <c r="F654" s="29">
        <f>F655</f>
        <v>0</v>
      </c>
      <c r="G654" s="29"/>
    </row>
    <row r="655" spans="1:7" ht="15.75" hidden="1">
      <c r="A655" s="3" t="s">
        <v>670</v>
      </c>
      <c r="B655" s="4" t="s">
        <v>374</v>
      </c>
      <c r="C655" s="4" t="s">
        <v>313</v>
      </c>
      <c r="D655" s="4" t="s">
        <v>651</v>
      </c>
      <c r="E655" s="4"/>
      <c r="F655" s="29">
        <f>F656</f>
        <v>0</v>
      </c>
      <c r="G655" s="29"/>
    </row>
    <row r="656" spans="1:7" ht="31.5" hidden="1">
      <c r="A656" s="3" t="s">
        <v>680</v>
      </c>
      <c r="B656" s="4" t="s">
        <v>374</v>
      </c>
      <c r="C656" s="4" t="s">
        <v>313</v>
      </c>
      <c r="D656" s="4" t="s">
        <v>651</v>
      </c>
      <c r="E656" s="4" t="s">
        <v>310</v>
      </c>
      <c r="F656" s="29"/>
      <c r="G656" s="29"/>
    </row>
    <row r="657" spans="1:7" ht="63" hidden="1">
      <c r="A657" s="3" t="s">
        <v>723</v>
      </c>
      <c r="B657" s="4" t="s">
        <v>374</v>
      </c>
      <c r="C657" s="4" t="s">
        <v>317</v>
      </c>
      <c r="D657" s="4"/>
      <c r="E657" s="4"/>
      <c r="F657" s="29">
        <f>F658</f>
        <v>0</v>
      </c>
      <c r="G657" s="29"/>
    </row>
    <row r="658" spans="1:7" ht="15.75" hidden="1">
      <c r="A658" s="3" t="s">
        <v>670</v>
      </c>
      <c r="B658" s="4" t="s">
        <v>374</v>
      </c>
      <c r="C658" s="4" t="s">
        <v>317</v>
      </c>
      <c r="D658" s="4" t="s">
        <v>651</v>
      </c>
      <c r="E658" s="4"/>
      <c r="F658" s="29">
        <f>F659</f>
        <v>0</v>
      </c>
      <c r="G658" s="29"/>
    </row>
    <row r="659" spans="1:7" ht="31.5" hidden="1">
      <c r="A659" s="3" t="s">
        <v>680</v>
      </c>
      <c r="B659" s="4" t="s">
        <v>374</v>
      </c>
      <c r="C659" s="4" t="s">
        <v>317</v>
      </c>
      <c r="D659" s="4" t="s">
        <v>651</v>
      </c>
      <c r="E659" s="4" t="s">
        <v>310</v>
      </c>
      <c r="F659" s="29"/>
      <c r="G659" s="29"/>
    </row>
    <row r="660" spans="1:7" ht="31.5" hidden="1">
      <c r="A660" s="3" t="s">
        <v>719</v>
      </c>
      <c r="B660" s="4" t="s">
        <v>418</v>
      </c>
      <c r="C660" s="4"/>
      <c r="D660" s="4"/>
      <c r="E660" s="4"/>
      <c r="F660" s="29">
        <f>F661</f>
        <v>0</v>
      </c>
      <c r="G660" s="29"/>
    </row>
    <row r="661" spans="1:7" ht="47.25" hidden="1">
      <c r="A661" s="3" t="s">
        <v>702</v>
      </c>
      <c r="B661" s="4" t="s">
        <v>418</v>
      </c>
      <c r="C661" s="4" t="s">
        <v>313</v>
      </c>
      <c r="D661" s="4"/>
      <c r="E661" s="4"/>
      <c r="F661" s="29">
        <f>F662</f>
        <v>0</v>
      </c>
      <c r="G661" s="29"/>
    </row>
    <row r="662" spans="1:7" ht="15.75" hidden="1">
      <c r="A662" s="3" t="s">
        <v>670</v>
      </c>
      <c r="B662" s="4" t="s">
        <v>418</v>
      </c>
      <c r="C662" s="4" t="s">
        <v>313</v>
      </c>
      <c r="D662" s="4" t="s">
        <v>651</v>
      </c>
      <c r="E662" s="4"/>
      <c r="F662" s="29">
        <f>F663</f>
        <v>0</v>
      </c>
      <c r="G662" s="29"/>
    </row>
    <row r="663" spans="1:7" ht="31.5" hidden="1">
      <c r="A663" s="3" t="s">
        <v>680</v>
      </c>
      <c r="B663" s="4" t="s">
        <v>418</v>
      </c>
      <c r="C663" s="4" t="s">
        <v>313</v>
      </c>
      <c r="D663" s="4" t="s">
        <v>651</v>
      </c>
      <c r="E663" s="4" t="s">
        <v>310</v>
      </c>
      <c r="F663" s="29">
        <f>прил7!G249</f>
        <v>0</v>
      </c>
      <c r="G663" s="29"/>
    </row>
    <row r="664" spans="1:7" ht="63">
      <c r="A664" s="3" t="s">
        <v>506</v>
      </c>
      <c r="B664" s="4" t="s">
        <v>375</v>
      </c>
      <c r="C664" s="4"/>
      <c r="D664" s="4"/>
      <c r="E664" s="4"/>
      <c r="F664" s="29">
        <f>F665</f>
        <v>2622810</v>
      </c>
      <c r="G664" s="29"/>
    </row>
    <row r="665" spans="1:7" ht="47.25">
      <c r="A665" s="3" t="s">
        <v>189</v>
      </c>
      <c r="B665" s="4" t="s">
        <v>375</v>
      </c>
      <c r="C665" s="4" t="s">
        <v>693</v>
      </c>
      <c r="D665" s="4"/>
      <c r="E665" s="4"/>
      <c r="F665" s="29">
        <f>F666</f>
        <v>2622810</v>
      </c>
      <c r="G665" s="29"/>
    </row>
    <row r="666" spans="1:7" ht="15.75">
      <c r="A666" s="3" t="s">
        <v>670</v>
      </c>
      <c r="B666" s="4" t="s">
        <v>375</v>
      </c>
      <c r="C666" s="4" t="s">
        <v>693</v>
      </c>
      <c r="D666" s="4" t="s">
        <v>651</v>
      </c>
      <c r="E666" s="4"/>
      <c r="F666" s="29">
        <f>F667</f>
        <v>2622810</v>
      </c>
      <c r="G666" s="29"/>
    </row>
    <row r="667" spans="1:7" ht="31.5">
      <c r="A667" s="3" t="s">
        <v>680</v>
      </c>
      <c r="B667" s="4" t="s">
        <v>375</v>
      </c>
      <c r="C667" s="4" t="s">
        <v>693</v>
      </c>
      <c r="D667" s="4" t="s">
        <v>651</v>
      </c>
      <c r="E667" s="4" t="s">
        <v>310</v>
      </c>
      <c r="F667" s="29">
        <f>прил6!F156</f>
        <v>2622810</v>
      </c>
      <c r="G667" s="29"/>
    </row>
    <row r="668" spans="1:7" ht="47.25">
      <c r="A668" s="60" t="s">
        <v>732</v>
      </c>
      <c r="B668" s="4" t="s">
        <v>780</v>
      </c>
      <c r="C668" s="4"/>
      <c r="D668" s="4"/>
      <c r="E668" s="4"/>
      <c r="F668" s="29">
        <f aca="true" t="shared" si="46" ref="F668:G670">F669</f>
        <v>360500</v>
      </c>
      <c r="G668" s="29">
        <f t="shared" si="46"/>
        <v>360500</v>
      </c>
    </row>
    <row r="669" spans="1:7" ht="47.25">
      <c r="A669" s="3" t="s">
        <v>702</v>
      </c>
      <c r="B669" s="4" t="s">
        <v>780</v>
      </c>
      <c r="C669" s="4" t="s">
        <v>313</v>
      </c>
      <c r="D669" s="4"/>
      <c r="E669" s="4"/>
      <c r="F669" s="29">
        <f t="shared" si="46"/>
        <v>360500</v>
      </c>
      <c r="G669" s="29">
        <f t="shared" si="46"/>
        <v>360500</v>
      </c>
    </row>
    <row r="670" spans="1:7" ht="15.75">
      <c r="A670" s="3" t="s">
        <v>670</v>
      </c>
      <c r="B670" s="4" t="s">
        <v>780</v>
      </c>
      <c r="C670" s="4" t="s">
        <v>313</v>
      </c>
      <c r="D670" s="4" t="s">
        <v>651</v>
      </c>
      <c r="E670" s="4"/>
      <c r="F670" s="29">
        <f t="shared" si="46"/>
        <v>360500</v>
      </c>
      <c r="G670" s="29">
        <f t="shared" si="46"/>
        <v>360500</v>
      </c>
    </row>
    <row r="671" spans="1:7" ht="31.5">
      <c r="A671" s="3" t="s">
        <v>680</v>
      </c>
      <c r="B671" s="4" t="s">
        <v>780</v>
      </c>
      <c r="C671" s="4" t="s">
        <v>313</v>
      </c>
      <c r="D671" s="4" t="s">
        <v>651</v>
      </c>
      <c r="E671" s="4" t="s">
        <v>310</v>
      </c>
      <c r="F671" s="29">
        <f>прил6!F160</f>
        <v>360500</v>
      </c>
      <c r="G671" s="29">
        <f>F671</f>
        <v>360500</v>
      </c>
    </row>
    <row r="672" spans="1:7" ht="110.25">
      <c r="A672" s="77" t="s">
        <v>540</v>
      </c>
      <c r="B672" s="5" t="s">
        <v>301</v>
      </c>
      <c r="C672" s="5"/>
      <c r="D672" s="5"/>
      <c r="E672" s="5"/>
      <c r="F672" s="28">
        <f>F673+F689</f>
        <v>22092903.78</v>
      </c>
      <c r="G672" s="28"/>
    </row>
    <row r="673" spans="1:7" ht="47.25">
      <c r="A673" s="60" t="s">
        <v>392</v>
      </c>
      <c r="B673" s="4" t="s">
        <v>393</v>
      </c>
      <c r="C673" s="4"/>
      <c r="D673" s="4"/>
      <c r="E673" s="4"/>
      <c r="F673" s="29">
        <f>F674+F678+F685</f>
        <v>10938767.49</v>
      </c>
      <c r="G673" s="29"/>
    </row>
    <row r="674" spans="1:7" ht="58.5" customHeight="1">
      <c r="A674" s="60" t="s">
        <v>239</v>
      </c>
      <c r="B674" s="4" t="s">
        <v>261</v>
      </c>
      <c r="C674" s="4"/>
      <c r="D674" s="4"/>
      <c r="E674" s="4"/>
      <c r="F674" s="29">
        <f>F675</f>
        <v>10309258.6</v>
      </c>
      <c r="G674" s="29"/>
    </row>
    <row r="675" spans="1:7" ht="126">
      <c r="A675" s="3" t="s">
        <v>701</v>
      </c>
      <c r="B675" s="4" t="s">
        <v>261</v>
      </c>
      <c r="C675" s="4" t="s">
        <v>312</v>
      </c>
      <c r="D675" s="4"/>
      <c r="E675" s="4"/>
      <c r="F675" s="29">
        <f>F676</f>
        <v>10309258.6</v>
      </c>
      <c r="G675" s="29"/>
    </row>
    <row r="676" spans="1:7" ht="15.75">
      <c r="A676" s="3" t="s">
        <v>670</v>
      </c>
      <c r="B676" s="4" t="s">
        <v>261</v>
      </c>
      <c r="C676" s="4" t="s">
        <v>312</v>
      </c>
      <c r="D676" s="4" t="s">
        <v>651</v>
      </c>
      <c r="E676" s="4"/>
      <c r="F676" s="29">
        <f>F677</f>
        <v>10309258.6</v>
      </c>
      <c r="G676" s="29"/>
    </row>
    <row r="677" spans="1:7" ht="126">
      <c r="A677" s="3" t="s">
        <v>306</v>
      </c>
      <c r="B677" s="4" t="s">
        <v>261</v>
      </c>
      <c r="C677" s="4" t="s">
        <v>312</v>
      </c>
      <c r="D677" s="4" t="s">
        <v>651</v>
      </c>
      <c r="E677" s="4" t="s">
        <v>661</v>
      </c>
      <c r="F677" s="29">
        <f>прил6!F58</f>
        <v>10309258.6</v>
      </c>
      <c r="G677" s="29"/>
    </row>
    <row r="678" spans="1:7" ht="47.25">
      <c r="A678" s="60" t="s">
        <v>241</v>
      </c>
      <c r="B678" s="4" t="s">
        <v>263</v>
      </c>
      <c r="C678" s="4"/>
      <c r="D678" s="4"/>
      <c r="E678" s="4"/>
      <c r="F678" s="29">
        <f>F679+F682</f>
        <v>255936.89</v>
      </c>
      <c r="G678" s="29"/>
    </row>
    <row r="679" spans="1:7" s="16" customFormat="1" ht="126">
      <c r="A679" s="60" t="s">
        <v>245</v>
      </c>
      <c r="B679" s="4" t="s">
        <v>263</v>
      </c>
      <c r="C679" s="4" t="s">
        <v>312</v>
      </c>
      <c r="D679" s="4"/>
      <c r="E679" s="4"/>
      <c r="F679" s="29">
        <f>F680</f>
        <v>9340</v>
      </c>
      <c r="G679" s="29"/>
    </row>
    <row r="680" spans="1:7" ht="15.75">
      <c r="A680" s="3" t="s">
        <v>670</v>
      </c>
      <c r="B680" s="4" t="s">
        <v>263</v>
      </c>
      <c r="C680" s="4" t="s">
        <v>312</v>
      </c>
      <c r="D680" s="4" t="s">
        <v>651</v>
      </c>
      <c r="E680" s="4"/>
      <c r="F680" s="29">
        <f>F681</f>
        <v>9340</v>
      </c>
      <c r="G680" s="29"/>
    </row>
    <row r="681" spans="1:7" ht="126">
      <c r="A681" s="3" t="s">
        <v>306</v>
      </c>
      <c r="B681" s="4" t="s">
        <v>263</v>
      </c>
      <c r="C681" s="4" t="s">
        <v>312</v>
      </c>
      <c r="D681" s="4" t="s">
        <v>651</v>
      </c>
      <c r="E681" s="4" t="s">
        <v>661</v>
      </c>
      <c r="F681" s="29">
        <f>прил6!F60</f>
        <v>9340</v>
      </c>
      <c r="G681" s="29"/>
    </row>
    <row r="682" spans="1:7" ht="47.25">
      <c r="A682" s="60" t="s">
        <v>702</v>
      </c>
      <c r="B682" s="4" t="s">
        <v>263</v>
      </c>
      <c r="C682" s="4" t="s">
        <v>313</v>
      </c>
      <c r="D682" s="4"/>
      <c r="E682" s="4"/>
      <c r="F682" s="29">
        <f>F683</f>
        <v>246596.89</v>
      </c>
      <c r="G682" s="29"/>
    </row>
    <row r="683" spans="1:7" ht="15.75">
      <c r="A683" s="3" t="s">
        <v>670</v>
      </c>
      <c r="B683" s="4" t="s">
        <v>263</v>
      </c>
      <c r="C683" s="4" t="s">
        <v>313</v>
      </c>
      <c r="D683" s="4" t="s">
        <v>651</v>
      </c>
      <c r="E683" s="4"/>
      <c r="F683" s="29">
        <f>F684</f>
        <v>246596.89</v>
      </c>
      <c r="G683" s="29"/>
    </row>
    <row r="684" spans="1:7" ht="126">
      <c r="A684" s="3" t="s">
        <v>306</v>
      </c>
      <c r="B684" s="4" t="s">
        <v>263</v>
      </c>
      <c r="C684" s="4" t="s">
        <v>313</v>
      </c>
      <c r="D684" s="4" t="s">
        <v>651</v>
      </c>
      <c r="E684" s="4" t="s">
        <v>661</v>
      </c>
      <c r="F684" s="29">
        <f>прил6!F61</f>
        <v>246596.89</v>
      </c>
      <c r="G684" s="29"/>
    </row>
    <row r="685" spans="1:7" ht="110.25">
      <c r="A685" s="3" t="s">
        <v>235</v>
      </c>
      <c r="B685" s="4" t="s">
        <v>264</v>
      </c>
      <c r="C685" s="4"/>
      <c r="D685" s="4"/>
      <c r="E685" s="4"/>
      <c r="F685" s="29">
        <f>F686</f>
        <v>373572</v>
      </c>
      <c r="G685" s="29"/>
    </row>
    <row r="686" spans="1:7" ht="126">
      <c r="A686" s="60" t="s">
        <v>245</v>
      </c>
      <c r="B686" s="4" t="s">
        <v>264</v>
      </c>
      <c r="C686" s="4" t="s">
        <v>312</v>
      </c>
      <c r="D686" s="4"/>
      <c r="E686" s="4"/>
      <c r="F686" s="29">
        <f>F687</f>
        <v>373572</v>
      </c>
      <c r="G686" s="29"/>
    </row>
    <row r="687" spans="1:7" ht="15.75">
      <c r="A687" s="3" t="s">
        <v>670</v>
      </c>
      <c r="B687" s="4" t="s">
        <v>264</v>
      </c>
      <c r="C687" s="4" t="s">
        <v>312</v>
      </c>
      <c r="D687" s="4" t="s">
        <v>651</v>
      </c>
      <c r="E687" s="4"/>
      <c r="F687" s="29">
        <f>F688</f>
        <v>373572</v>
      </c>
      <c r="G687" s="29"/>
    </row>
    <row r="688" spans="1:7" ht="126">
      <c r="A688" s="3" t="s">
        <v>306</v>
      </c>
      <c r="B688" s="4" t="s">
        <v>264</v>
      </c>
      <c r="C688" s="4" t="s">
        <v>312</v>
      </c>
      <c r="D688" s="4" t="s">
        <v>651</v>
      </c>
      <c r="E688" s="4" t="s">
        <v>661</v>
      </c>
      <c r="F688" s="29">
        <f>прил6!F63</f>
        <v>373572</v>
      </c>
      <c r="G688" s="29"/>
    </row>
    <row r="689" spans="1:7" ht="47.25">
      <c r="A689" s="60" t="s">
        <v>395</v>
      </c>
      <c r="B689" s="4" t="s">
        <v>396</v>
      </c>
      <c r="C689" s="4"/>
      <c r="D689" s="4"/>
      <c r="E689" s="4"/>
      <c r="F689" s="29">
        <f>F690</f>
        <v>11154136.29</v>
      </c>
      <c r="G689" s="29"/>
    </row>
    <row r="690" spans="1:7" ht="31.5">
      <c r="A690" s="60" t="s">
        <v>397</v>
      </c>
      <c r="B690" s="4" t="s">
        <v>398</v>
      </c>
      <c r="C690" s="4"/>
      <c r="D690" s="4"/>
      <c r="E690" s="4"/>
      <c r="F690" s="29">
        <f>F691</f>
        <v>11154136.29</v>
      </c>
      <c r="G690" s="29"/>
    </row>
    <row r="691" spans="1:7" ht="31.5">
      <c r="A691" s="60" t="s">
        <v>694</v>
      </c>
      <c r="B691" s="4" t="s">
        <v>398</v>
      </c>
      <c r="C691" s="4" t="s">
        <v>315</v>
      </c>
      <c r="D691" s="4"/>
      <c r="E691" s="4"/>
      <c r="F691" s="29">
        <f>F692</f>
        <v>11154136.29</v>
      </c>
      <c r="G691" s="29"/>
    </row>
    <row r="692" spans="1:7" ht="31.5">
      <c r="A692" s="58" t="s">
        <v>457</v>
      </c>
      <c r="B692" s="4" t="s">
        <v>398</v>
      </c>
      <c r="C692" s="4" t="s">
        <v>315</v>
      </c>
      <c r="D692" s="4" t="s">
        <v>310</v>
      </c>
      <c r="E692" s="4"/>
      <c r="F692" s="29">
        <f>F693</f>
        <v>11154136.29</v>
      </c>
      <c r="G692" s="29"/>
    </row>
    <row r="693" spans="1:7" ht="47.25">
      <c r="A693" s="78" t="s">
        <v>394</v>
      </c>
      <c r="B693" s="7" t="s">
        <v>398</v>
      </c>
      <c r="C693" s="7" t="s">
        <v>315</v>
      </c>
      <c r="D693" s="7" t="s">
        <v>310</v>
      </c>
      <c r="E693" s="7" t="s">
        <v>651</v>
      </c>
      <c r="F693" s="31">
        <f>прил6!F681</f>
        <v>11154136.29</v>
      </c>
      <c r="G693" s="31"/>
    </row>
    <row r="694" spans="1:7" ht="78.75">
      <c r="A694" s="50" t="s">
        <v>541</v>
      </c>
      <c r="B694" s="2" t="s">
        <v>708</v>
      </c>
      <c r="C694" s="2"/>
      <c r="D694" s="2"/>
      <c r="E694" s="2"/>
      <c r="F694" s="33">
        <f>F695+F762+F790+F806+F818+F840+F863+F878</f>
        <v>125488292.79</v>
      </c>
      <c r="G694" s="33">
        <f>G695+G762+G790+G806+G818+G840+G863+G878</f>
        <v>4215600</v>
      </c>
    </row>
    <row r="695" spans="1:7" ht="47.25">
      <c r="A695" s="27" t="s">
        <v>709</v>
      </c>
      <c r="B695" s="4" t="s">
        <v>710</v>
      </c>
      <c r="C695" s="4"/>
      <c r="D695" s="4"/>
      <c r="E695" s="4"/>
      <c r="F695" s="29">
        <f>F696+F707+F711+F722+F726+F733+F737+F744+F748+F755+F700+F718</f>
        <v>34045564.25</v>
      </c>
      <c r="G695" s="29">
        <f>G696+G707+G711+G722+G726+G733+G737+G744+G748+G755+G700+G718</f>
        <v>4215600</v>
      </c>
    </row>
    <row r="696" spans="1:7" ht="63" customHeight="1">
      <c r="A696" s="27" t="s">
        <v>246</v>
      </c>
      <c r="B696" s="4" t="s">
        <v>247</v>
      </c>
      <c r="C696" s="4"/>
      <c r="D696" s="4"/>
      <c r="E696" s="4"/>
      <c r="F696" s="29">
        <f>F697</f>
        <v>1996972.0599999998</v>
      </c>
      <c r="G696" s="29"/>
    </row>
    <row r="697" spans="1:7" ht="126">
      <c r="A697" s="3" t="s">
        <v>701</v>
      </c>
      <c r="B697" s="4" t="s">
        <v>247</v>
      </c>
      <c r="C697" s="4" t="s">
        <v>312</v>
      </c>
      <c r="D697" s="4"/>
      <c r="E697" s="4"/>
      <c r="F697" s="29">
        <f>F698</f>
        <v>1996972.0599999998</v>
      </c>
      <c r="G697" s="29"/>
    </row>
    <row r="698" spans="1:7" ht="25.5" customHeight="1">
      <c r="A698" s="3" t="s">
        <v>670</v>
      </c>
      <c r="B698" s="4" t="s">
        <v>247</v>
      </c>
      <c r="C698" s="4" t="s">
        <v>312</v>
      </c>
      <c r="D698" s="4" t="s">
        <v>651</v>
      </c>
      <c r="E698" s="4"/>
      <c r="F698" s="29">
        <f>F699</f>
        <v>1996972.0599999998</v>
      </c>
      <c r="G698" s="29"/>
    </row>
    <row r="699" spans="1:7" ht="126">
      <c r="A699" s="3" t="s">
        <v>306</v>
      </c>
      <c r="B699" s="4" t="s">
        <v>247</v>
      </c>
      <c r="C699" s="4" t="s">
        <v>312</v>
      </c>
      <c r="D699" s="4" t="s">
        <v>651</v>
      </c>
      <c r="E699" s="4" t="s">
        <v>661</v>
      </c>
      <c r="F699" s="29">
        <f>прил6!F67</f>
        <v>1996972.0599999998</v>
      </c>
      <c r="G699" s="29"/>
    </row>
    <row r="700" spans="1:7" ht="40.5" customHeight="1">
      <c r="A700" s="27" t="s">
        <v>51</v>
      </c>
      <c r="B700" s="4" t="s">
        <v>52</v>
      </c>
      <c r="C700" s="4"/>
      <c r="D700" s="4"/>
      <c r="E700" s="4"/>
      <c r="F700" s="29">
        <f>F701+F704</f>
        <v>145000</v>
      </c>
      <c r="G700" s="29"/>
    </row>
    <row r="701" spans="1:7" ht="126">
      <c r="A701" s="3" t="s">
        <v>701</v>
      </c>
      <c r="B701" s="4" t="s">
        <v>52</v>
      </c>
      <c r="C701" s="4" t="s">
        <v>312</v>
      </c>
      <c r="D701" s="4"/>
      <c r="E701" s="4"/>
      <c r="F701" s="29">
        <f>F702</f>
        <v>49000</v>
      </c>
      <c r="G701" s="29"/>
    </row>
    <row r="702" spans="1:7" ht="15.75">
      <c r="A702" s="3" t="s">
        <v>670</v>
      </c>
      <c r="B702" s="4" t="s">
        <v>52</v>
      </c>
      <c r="C702" s="4" t="s">
        <v>312</v>
      </c>
      <c r="D702" s="4" t="s">
        <v>651</v>
      </c>
      <c r="E702" s="4"/>
      <c r="F702" s="29">
        <f>F703</f>
        <v>49000</v>
      </c>
      <c r="G702" s="29"/>
    </row>
    <row r="703" spans="1:7" ht="126">
      <c r="A703" s="3" t="s">
        <v>306</v>
      </c>
      <c r="B703" s="4" t="s">
        <v>52</v>
      </c>
      <c r="C703" s="4" t="s">
        <v>312</v>
      </c>
      <c r="D703" s="4" t="s">
        <v>651</v>
      </c>
      <c r="E703" s="4" t="s">
        <v>661</v>
      </c>
      <c r="F703" s="29">
        <f>прил7!G62</f>
        <v>49000</v>
      </c>
      <c r="G703" s="29"/>
    </row>
    <row r="704" spans="1:7" ht="47.25">
      <c r="A704" s="27" t="s">
        <v>702</v>
      </c>
      <c r="B704" s="4" t="s">
        <v>52</v>
      </c>
      <c r="C704" s="4" t="s">
        <v>313</v>
      </c>
      <c r="D704" s="4"/>
      <c r="E704" s="4"/>
      <c r="F704" s="29">
        <f>F705</f>
        <v>96000.00000000001</v>
      </c>
      <c r="G704" s="29"/>
    </row>
    <row r="705" spans="1:7" ht="15.75">
      <c r="A705" s="3" t="s">
        <v>670</v>
      </c>
      <c r="B705" s="4" t="s">
        <v>52</v>
      </c>
      <c r="C705" s="4" t="s">
        <v>313</v>
      </c>
      <c r="D705" s="4" t="s">
        <v>651</v>
      </c>
      <c r="E705" s="4"/>
      <c r="F705" s="29">
        <f>F706</f>
        <v>96000.00000000001</v>
      </c>
      <c r="G705" s="29"/>
    </row>
    <row r="706" spans="1:7" ht="126">
      <c r="A706" s="3" t="s">
        <v>306</v>
      </c>
      <c r="B706" s="4" t="s">
        <v>52</v>
      </c>
      <c r="C706" s="4" t="s">
        <v>313</v>
      </c>
      <c r="D706" s="4" t="s">
        <v>651</v>
      </c>
      <c r="E706" s="4" t="s">
        <v>661</v>
      </c>
      <c r="F706" s="29">
        <f>прил7!G63</f>
        <v>96000.00000000001</v>
      </c>
      <c r="G706" s="29"/>
    </row>
    <row r="707" spans="1:7" ht="64.5" customHeight="1">
      <c r="A707" s="27" t="s">
        <v>239</v>
      </c>
      <c r="B707" s="4" t="s">
        <v>248</v>
      </c>
      <c r="C707" s="4"/>
      <c r="D707" s="4"/>
      <c r="E707" s="4"/>
      <c r="F707" s="29">
        <f>F708</f>
        <v>26036818.86</v>
      </c>
      <c r="G707" s="29"/>
    </row>
    <row r="708" spans="1:7" ht="126">
      <c r="A708" s="3" t="s">
        <v>701</v>
      </c>
      <c r="B708" s="4" t="s">
        <v>248</v>
      </c>
      <c r="C708" s="4" t="s">
        <v>312</v>
      </c>
      <c r="D708" s="4"/>
      <c r="E708" s="4"/>
      <c r="F708" s="29">
        <f>F709</f>
        <v>26036818.86</v>
      </c>
      <c r="G708" s="29"/>
    </row>
    <row r="709" spans="1:7" ht="30.75" customHeight="1">
      <c r="A709" s="3" t="s">
        <v>670</v>
      </c>
      <c r="B709" s="4" t="s">
        <v>248</v>
      </c>
      <c r="C709" s="4" t="s">
        <v>312</v>
      </c>
      <c r="D709" s="4" t="s">
        <v>651</v>
      </c>
      <c r="E709" s="4"/>
      <c r="F709" s="29">
        <f>F710</f>
        <v>26036818.86</v>
      </c>
      <c r="G709" s="29"/>
    </row>
    <row r="710" spans="1:7" ht="126">
      <c r="A710" s="3" t="s">
        <v>306</v>
      </c>
      <c r="B710" s="4" t="s">
        <v>248</v>
      </c>
      <c r="C710" s="4" t="s">
        <v>312</v>
      </c>
      <c r="D710" s="4" t="s">
        <v>651</v>
      </c>
      <c r="E710" s="4" t="s">
        <v>661</v>
      </c>
      <c r="F710" s="29">
        <f>прил6!F72</f>
        <v>26036818.86</v>
      </c>
      <c r="G710" s="29"/>
    </row>
    <row r="711" spans="1:7" ht="47.25">
      <c r="A711" s="27" t="s">
        <v>241</v>
      </c>
      <c r="B711" s="4" t="s">
        <v>249</v>
      </c>
      <c r="C711" s="4"/>
      <c r="D711" s="4"/>
      <c r="E711" s="4"/>
      <c r="F711" s="29">
        <f>F712+F715</f>
        <v>922048</v>
      </c>
      <c r="G711" s="29"/>
    </row>
    <row r="712" spans="1:7" ht="126">
      <c r="A712" s="3" t="s">
        <v>701</v>
      </c>
      <c r="B712" s="4" t="s">
        <v>249</v>
      </c>
      <c r="C712" s="4" t="s">
        <v>312</v>
      </c>
      <c r="D712" s="4"/>
      <c r="E712" s="4"/>
      <c r="F712" s="29">
        <f>F713</f>
        <v>122860</v>
      </c>
      <c r="G712" s="29"/>
    </row>
    <row r="713" spans="1:7" ht="23.25" customHeight="1">
      <c r="A713" s="3" t="s">
        <v>670</v>
      </c>
      <c r="B713" s="4" t="s">
        <v>249</v>
      </c>
      <c r="C713" s="4" t="s">
        <v>312</v>
      </c>
      <c r="D713" s="4" t="s">
        <v>651</v>
      </c>
      <c r="E713" s="4"/>
      <c r="F713" s="29">
        <f>F714</f>
        <v>122860</v>
      </c>
      <c r="G713" s="29"/>
    </row>
    <row r="714" spans="1:7" ht="126">
      <c r="A714" s="3" t="s">
        <v>306</v>
      </c>
      <c r="B714" s="4" t="s">
        <v>249</v>
      </c>
      <c r="C714" s="4" t="s">
        <v>312</v>
      </c>
      <c r="D714" s="4" t="s">
        <v>651</v>
      </c>
      <c r="E714" s="4" t="s">
        <v>661</v>
      </c>
      <c r="F714" s="29">
        <f>прил6!F74</f>
        <v>122860</v>
      </c>
      <c r="G714" s="29"/>
    </row>
    <row r="715" spans="1:7" ht="47.25">
      <c r="A715" s="27" t="s">
        <v>702</v>
      </c>
      <c r="B715" s="4" t="s">
        <v>249</v>
      </c>
      <c r="C715" s="4" t="s">
        <v>313</v>
      </c>
      <c r="D715" s="4"/>
      <c r="E715" s="4"/>
      <c r="F715" s="29">
        <f>F716</f>
        <v>799188</v>
      </c>
      <c r="G715" s="29"/>
    </row>
    <row r="716" spans="1:7" ht="15.75">
      <c r="A716" s="3" t="s">
        <v>670</v>
      </c>
      <c r="B716" s="4" t="s">
        <v>249</v>
      </c>
      <c r="C716" s="4" t="s">
        <v>313</v>
      </c>
      <c r="D716" s="4" t="s">
        <v>651</v>
      </c>
      <c r="E716" s="4"/>
      <c r="F716" s="29">
        <f>F717</f>
        <v>799188</v>
      </c>
      <c r="G716" s="29"/>
    </row>
    <row r="717" spans="1:7" ht="126">
      <c r="A717" s="3" t="s">
        <v>306</v>
      </c>
      <c r="B717" s="4" t="s">
        <v>249</v>
      </c>
      <c r="C717" s="4" t="s">
        <v>313</v>
      </c>
      <c r="D717" s="4" t="s">
        <v>651</v>
      </c>
      <c r="E717" s="4" t="s">
        <v>661</v>
      </c>
      <c r="F717" s="29">
        <f>прил6!F75</f>
        <v>799188</v>
      </c>
      <c r="G717" s="29"/>
    </row>
    <row r="718" spans="1:7" ht="126">
      <c r="A718" s="3" t="s">
        <v>265</v>
      </c>
      <c r="B718" s="4" t="s">
        <v>781</v>
      </c>
      <c r="C718" s="4"/>
      <c r="D718" s="4"/>
      <c r="E718" s="4"/>
      <c r="F718" s="29">
        <f>F719</f>
        <v>316455.33</v>
      </c>
      <c r="G718" s="29"/>
    </row>
    <row r="719" spans="1:7" ht="126">
      <c r="A719" s="27" t="s">
        <v>245</v>
      </c>
      <c r="B719" s="4" t="s">
        <v>781</v>
      </c>
      <c r="C719" s="4" t="s">
        <v>312</v>
      </c>
      <c r="D719" s="4"/>
      <c r="E719" s="4"/>
      <c r="F719" s="29">
        <f>F720</f>
        <v>316455.33</v>
      </c>
      <c r="G719" s="29"/>
    </row>
    <row r="720" spans="1:7" ht="15.75">
      <c r="A720" s="3" t="s">
        <v>670</v>
      </c>
      <c r="B720" s="4" t="s">
        <v>781</v>
      </c>
      <c r="C720" s="4" t="s">
        <v>312</v>
      </c>
      <c r="D720" s="4" t="s">
        <v>651</v>
      </c>
      <c r="E720" s="4"/>
      <c r="F720" s="29">
        <f>F721</f>
        <v>316455.33</v>
      </c>
      <c r="G720" s="29"/>
    </row>
    <row r="721" spans="1:7" ht="126">
      <c r="A721" s="3" t="s">
        <v>306</v>
      </c>
      <c r="B721" s="4" t="s">
        <v>781</v>
      </c>
      <c r="C721" s="4" t="s">
        <v>312</v>
      </c>
      <c r="D721" s="4" t="s">
        <v>651</v>
      </c>
      <c r="E721" s="4" t="s">
        <v>661</v>
      </c>
      <c r="F721" s="29">
        <f>прил6!F77</f>
        <v>316455.33</v>
      </c>
      <c r="G721" s="29"/>
    </row>
    <row r="722" spans="1:7" ht="110.25">
      <c r="A722" s="27" t="s">
        <v>235</v>
      </c>
      <c r="B722" s="4" t="s">
        <v>250</v>
      </c>
      <c r="C722" s="4"/>
      <c r="D722" s="4"/>
      <c r="E722" s="4"/>
      <c r="F722" s="29">
        <f>F723</f>
        <v>412670</v>
      </c>
      <c r="G722" s="29"/>
    </row>
    <row r="723" spans="1:7" ht="126">
      <c r="A723" s="3" t="s">
        <v>701</v>
      </c>
      <c r="B723" s="4" t="s">
        <v>250</v>
      </c>
      <c r="C723" s="4" t="s">
        <v>312</v>
      </c>
      <c r="D723" s="4"/>
      <c r="E723" s="4"/>
      <c r="F723" s="29">
        <f>F724</f>
        <v>412670</v>
      </c>
      <c r="G723" s="29"/>
    </row>
    <row r="724" spans="1:7" ht="15.75">
      <c r="A724" s="3" t="s">
        <v>670</v>
      </c>
      <c r="B724" s="4" t="s">
        <v>250</v>
      </c>
      <c r="C724" s="4" t="s">
        <v>312</v>
      </c>
      <c r="D724" s="4" t="s">
        <v>651</v>
      </c>
      <c r="E724" s="4"/>
      <c r="F724" s="29">
        <f>F725</f>
        <v>412670</v>
      </c>
      <c r="G724" s="29"/>
    </row>
    <row r="725" spans="1:7" ht="126">
      <c r="A725" s="3" t="s">
        <v>306</v>
      </c>
      <c r="B725" s="4" t="s">
        <v>250</v>
      </c>
      <c r="C725" s="4" t="s">
        <v>312</v>
      </c>
      <c r="D725" s="4" t="s">
        <v>651</v>
      </c>
      <c r="E725" s="4" t="s">
        <v>661</v>
      </c>
      <c r="F725" s="37">
        <f>прил6!F79</f>
        <v>412670</v>
      </c>
      <c r="G725" s="37"/>
    </row>
    <row r="726" spans="1:7" ht="31.5">
      <c r="A726" s="3" t="s">
        <v>782</v>
      </c>
      <c r="B726" s="4" t="s">
        <v>391</v>
      </c>
      <c r="C726" s="4"/>
      <c r="D726" s="4"/>
      <c r="E726" s="4"/>
      <c r="F726" s="37">
        <f>F727+F730</f>
        <v>1748200</v>
      </c>
      <c r="G726" s="37">
        <f>G727+G730</f>
        <v>1748200</v>
      </c>
    </row>
    <row r="727" spans="1:7" ht="126">
      <c r="A727" s="3" t="s">
        <v>701</v>
      </c>
      <c r="B727" s="4" t="s">
        <v>391</v>
      </c>
      <c r="C727" s="4" t="s">
        <v>312</v>
      </c>
      <c r="D727" s="4"/>
      <c r="E727" s="4"/>
      <c r="F727" s="37">
        <f>F728</f>
        <v>1707390</v>
      </c>
      <c r="G727" s="37">
        <f>G728</f>
        <v>1707390</v>
      </c>
    </row>
    <row r="728" spans="1:7" ht="31.5">
      <c r="A728" s="3" t="s">
        <v>671</v>
      </c>
      <c r="B728" s="4" t="s">
        <v>391</v>
      </c>
      <c r="C728" s="4" t="s">
        <v>312</v>
      </c>
      <c r="D728" s="4" t="s">
        <v>658</v>
      </c>
      <c r="E728" s="4"/>
      <c r="F728" s="37">
        <f>F729</f>
        <v>1707390</v>
      </c>
      <c r="G728" s="37">
        <f>G729</f>
        <v>1707390</v>
      </c>
    </row>
    <row r="729" spans="1:7" ht="15.75">
      <c r="A729" s="3" t="s">
        <v>311</v>
      </c>
      <c r="B729" s="4" t="s">
        <v>391</v>
      </c>
      <c r="C729" s="4" t="s">
        <v>312</v>
      </c>
      <c r="D729" s="4" t="s">
        <v>658</v>
      </c>
      <c r="E729" s="4" t="s">
        <v>661</v>
      </c>
      <c r="F729" s="37">
        <f>прил6!F213</f>
        <v>1707390</v>
      </c>
      <c r="G729" s="37">
        <f>F729</f>
        <v>1707390</v>
      </c>
    </row>
    <row r="730" spans="1:7" ht="47.25">
      <c r="A730" s="3" t="s">
        <v>702</v>
      </c>
      <c r="B730" s="4" t="s">
        <v>391</v>
      </c>
      <c r="C730" s="4" t="s">
        <v>313</v>
      </c>
      <c r="D730" s="4"/>
      <c r="E730" s="4"/>
      <c r="F730" s="37">
        <f>F731</f>
        <v>40810</v>
      </c>
      <c r="G730" s="37">
        <f>G731</f>
        <v>40810</v>
      </c>
    </row>
    <row r="731" spans="1:7" ht="31.5">
      <c r="A731" s="3" t="s">
        <v>671</v>
      </c>
      <c r="B731" s="4" t="s">
        <v>391</v>
      </c>
      <c r="C731" s="4" t="s">
        <v>313</v>
      </c>
      <c r="D731" s="4" t="s">
        <v>658</v>
      </c>
      <c r="E731" s="4"/>
      <c r="F731" s="37">
        <f>F732</f>
        <v>40810</v>
      </c>
      <c r="G731" s="37">
        <f>G732</f>
        <v>40810</v>
      </c>
    </row>
    <row r="732" spans="1:7" ht="15.75">
      <c r="A732" s="3" t="s">
        <v>311</v>
      </c>
      <c r="B732" s="4" t="s">
        <v>391</v>
      </c>
      <c r="C732" s="4" t="s">
        <v>313</v>
      </c>
      <c r="D732" s="4" t="s">
        <v>658</v>
      </c>
      <c r="E732" s="4" t="s">
        <v>661</v>
      </c>
      <c r="F732" s="37">
        <f>прил6!F214</f>
        <v>40810</v>
      </c>
      <c r="G732" s="37">
        <f>F732</f>
        <v>40810</v>
      </c>
    </row>
    <row r="733" spans="1:7" ht="157.5">
      <c r="A733" s="3" t="s">
        <v>553</v>
      </c>
      <c r="B733" s="4" t="s">
        <v>337</v>
      </c>
      <c r="C733" s="4"/>
      <c r="D733" s="4"/>
      <c r="E733" s="4"/>
      <c r="F733" s="37">
        <f aca="true" t="shared" si="47" ref="F733:G735">F734</f>
        <v>57300</v>
      </c>
      <c r="G733" s="37">
        <f t="shared" si="47"/>
        <v>57300</v>
      </c>
    </row>
    <row r="734" spans="1:7" ht="126">
      <c r="A734" s="3" t="s">
        <v>701</v>
      </c>
      <c r="B734" s="4" t="s">
        <v>337</v>
      </c>
      <c r="C734" s="4" t="s">
        <v>312</v>
      </c>
      <c r="D734" s="4"/>
      <c r="E734" s="4"/>
      <c r="F734" s="37">
        <f t="shared" si="47"/>
        <v>57300</v>
      </c>
      <c r="G734" s="37">
        <f t="shared" si="47"/>
        <v>57300</v>
      </c>
    </row>
    <row r="735" spans="1:7" ht="15.75">
      <c r="A735" s="3" t="s">
        <v>672</v>
      </c>
      <c r="B735" s="4" t="s">
        <v>337</v>
      </c>
      <c r="C735" s="4" t="s">
        <v>312</v>
      </c>
      <c r="D735" s="4" t="s">
        <v>661</v>
      </c>
      <c r="E735" s="4"/>
      <c r="F735" s="37">
        <f t="shared" si="47"/>
        <v>57300</v>
      </c>
      <c r="G735" s="37">
        <f t="shared" si="47"/>
        <v>57300</v>
      </c>
    </row>
    <row r="736" spans="1:7" ht="31.5">
      <c r="A736" s="3" t="s">
        <v>674</v>
      </c>
      <c r="B736" s="4" t="s">
        <v>337</v>
      </c>
      <c r="C736" s="4" t="s">
        <v>312</v>
      </c>
      <c r="D736" s="4" t="s">
        <v>661</v>
      </c>
      <c r="E736" s="4" t="s">
        <v>307</v>
      </c>
      <c r="F736" s="37">
        <f>прил6!F291</f>
        <v>57300</v>
      </c>
      <c r="G736" s="37">
        <f>F736</f>
        <v>57300</v>
      </c>
    </row>
    <row r="737" spans="1:7" ht="157.5">
      <c r="A737" s="3" t="s">
        <v>756</v>
      </c>
      <c r="B737" s="4" t="s">
        <v>757</v>
      </c>
      <c r="C737" s="4"/>
      <c r="D737" s="4"/>
      <c r="E737" s="4"/>
      <c r="F737" s="37">
        <f>F738+F741</f>
        <v>111700</v>
      </c>
      <c r="G737" s="37">
        <f>G738+G741</f>
        <v>111700</v>
      </c>
    </row>
    <row r="738" spans="1:7" ht="126">
      <c r="A738" s="3" t="s">
        <v>701</v>
      </c>
      <c r="B738" s="4" t="s">
        <v>757</v>
      </c>
      <c r="C738" s="4" t="s">
        <v>312</v>
      </c>
      <c r="D738" s="4"/>
      <c r="E738" s="4"/>
      <c r="F738" s="37">
        <f>F739</f>
        <v>111700</v>
      </c>
      <c r="G738" s="37">
        <f>G739</f>
        <v>111700</v>
      </c>
    </row>
    <row r="739" spans="1:7" ht="15.75">
      <c r="A739" s="3" t="s">
        <v>665</v>
      </c>
      <c r="B739" s="4" t="s">
        <v>757</v>
      </c>
      <c r="C739" s="4" t="s">
        <v>312</v>
      </c>
      <c r="D739" s="4" t="s">
        <v>659</v>
      </c>
      <c r="E739" s="4"/>
      <c r="F739" s="37">
        <f>F740</f>
        <v>111700</v>
      </c>
      <c r="G739" s="37">
        <f>G740</f>
        <v>111700</v>
      </c>
    </row>
    <row r="740" spans="1:7" ht="15.75">
      <c r="A740" s="3" t="s">
        <v>691</v>
      </c>
      <c r="B740" s="4" t="s">
        <v>757</v>
      </c>
      <c r="C740" s="4" t="s">
        <v>312</v>
      </c>
      <c r="D740" s="4" t="s">
        <v>659</v>
      </c>
      <c r="E740" s="4" t="s">
        <v>661</v>
      </c>
      <c r="F740" s="37">
        <f>прил6!F647</f>
        <v>111700</v>
      </c>
      <c r="G740" s="37">
        <f>F740</f>
        <v>111700</v>
      </c>
    </row>
    <row r="741" spans="1:7" ht="47.25">
      <c r="A741" s="3" t="s">
        <v>702</v>
      </c>
      <c r="B741" s="4" t="s">
        <v>757</v>
      </c>
      <c r="C741" s="4" t="s">
        <v>313</v>
      </c>
      <c r="D741" s="4"/>
      <c r="E741" s="4"/>
      <c r="F741" s="37">
        <f>F742</f>
        <v>0</v>
      </c>
      <c r="G741" s="37">
        <f>G742</f>
        <v>0</v>
      </c>
    </row>
    <row r="742" spans="1:7" ht="15.75">
      <c r="A742" s="3" t="s">
        <v>665</v>
      </c>
      <c r="B742" s="4" t="s">
        <v>757</v>
      </c>
      <c r="C742" s="4" t="s">
        <v>313</v>
      </c>
      <c r="D742" s="4" t="s">
        <v>659</v>
      </c>
      <c r="E742" s="4"/>
      <c r="F742" s="37">
        <f>F743</f>
        <v>0</v>
      </c>
      <c r="G742" s="37">
        <f>G743</f>
        <v>0</v>
      </c>
    </row>
    <row r="743" spans="1:7" ht="15.75">
      <c r="A743" s="3" t="s">
        <v>691</v>
      </c>
      <c r="B743" s="4" t="s">
        <v>757</v>
      </c>
      <c r="C743" s="4" t="s">
        <v>313</v>
      </c>
      <c r="D743" s="4" t="s">
        <v>659</v>
      </c>
      <c r="E743" s="4" t="s">
        <v>661</v>
      </c>
      <c r="F743" s="37">
        <f>прил6!F648</f>
        <v>0</v>
      </c>
      <c r="G743" s="37">
        <f>F743</f>
        <v>0</v>
      </c>
    </row>
    <row r="744" spans="1:7" ht="220.5">
      <c r="A744" s="3" t="s">
        <v>325</v>
      </c>
      <c r="B744" s="4" t="s">
        <v>714</v>
      </c>
      <c r="C744" s="4"/>
      <c r="D744" s="4"/>
      <c r="E744" s="4"/>
      <c r="F744" s="37">
        <f aca="true" t="shared" si="48" ref="F744:G746">F745</f>
        <v>6000</v>
      </c>
      <c r="G744" s="37">
        <f t="shared" si="48"/>
        <v>6000</v>
      </c>
    </row>
    <row r="745" spans="1:7" ht="47.25">
      <c r="A745" s="3" t="s">
        <v>702</v>
      </c>
      <c r="B745" s="4" t="s">
        <v>714</v>
      </c>
      <c r="C745" s="4" t="s">
        <v>313</v>
      </c>
      <c r="D745" s="4"/>
      <c r="E745" s="4"/>
      <c r="F745" s="37">
        <f t="shared" si="48"/>
        <v>6000</v>
      </c>
      <c r="G745" s="37">
        <f t="shared" si="48"/>
        <v>6000</v>
      </c>
    </row>
    <row r="746" spans="1:7" ht="15.75">
      <c r="A746" s="3" t="s">
        <v>670</v>
      </c>
      <c r="B746" s="4" t="s">
        <v>714</v>
      </c>
      <c r="C746" s="4" t="s">
        <v>313</v>
      </c>
      <c r="D746" s="4" t="s">
        <v>651</v>
      </c>
      <c r="E746" s="4"/>
      <c r="F746" s="37">
        <f t="shared" si="48"/>
        <v>6000</v>
      </c>
      <c r="G746" s="37">
        <f t="shared" si="48"/>
        <v>6000</v>
      </c>
    </row>
    <row r="747" spans="1:7" ht="31.5">
      <c r="A747" s="3" t="s">
        <v>680</v>
      </c>
      <c r="B747" s="4" t="s">
        <v>714</v>
      </c>
      <c r="C747" s="4" t="s">
        <v>313</v>
      </c>
      <c r="D747" s="4" t="s">
        <v>651</v>
      </c>
      <c r="E747" s="4" t="s">
        <v>310</v>
      </c>
      <c r="F747" s="37">
        <f>прил6!F164</f>
        <v>6000</v>
      </c>
      <c r="G747" s="37">
        <f>F747</f>
        <v>6000</v>
      </c>
    </row>
    <row r="748" spans="1:7" ht="47.25">
      <c r="A748" s="3" t="s">
        <v>715</v>
      </c>
      <c r="B748" s="4" t="s">
        <v>716</v>
      </c>
      <c r="C748" s="4"/>
      <c r="D748" s="4"/>
      <c r="E748" s="4"/>
      <c r="F748" s="37">
        <f>F749+F752</f>
        <v>1059000</v>
      </c>
      <c r="G748" s="37">
        <f>G749+G752</f>
        <v>1059000</v>
      </c>
    </row>
    <row r="749" spans="1:7" ht="126">
      <c r="A749" s="3" t="s">
        <v>701</v>
      </c>
      <c r="B749" s="4" t="s">
        <v>716</v>
      </c>
      <c r="C749" s="4" t="s">
        <v>312</v>
      </c>
      <c r="D749" s="4"/>
      <c r="E749" s="4"/>
      <c r="F749" s="37">
        <f>F750</f>
        <v>879260</v>
      </c>
      <c r="G749" s="37">
        <f>G750</f>
        <v>879260</v>
      </c>
    </row>
    <row r="750" spans="1:7" ht="15.75">
      <c r="A750" s="3" t="s">
        <v>670</v>
      </c>
      <c r="B750" s="4" t="s">
        <v>716</v>
      </c>
      <c r="C750" s="4" t="s">
        <v>312</v>
      </c>
      <c r="D750" s="4" t="s">
        <v>651</v>
      </c>
      <c r="E750" s="4"/>
      <c r="F750" s="37">
        <f>F751</f>
        <v>879260</v>
      </c>
      <c r="G750" s="37">
        <f>G751</f>
        <v>879260</v>
      </c>
    </row>
    <row r="751" spans="1:7" ht="31.5">
      <c r="A751" s="3" t="s">
        <v>680</v>
      </c>
      <c r="B751" s="4" t="s">
        <v>716</v>
      </c>
      <c r="C751" s="4" t="s">
        <v>312</v>
      </c>
      <c r="D751" s="4" t="s">
        <v>651</v>
      </c>
      <c r="E751" s="4" t="s">
        <v>310</v>
      </c>
      <c r="F751" s="37">
        <f>прил6!F166</f>
        <v>879260</v>
      </c>
      <c r="G751" s="37">
        <f>F751</f>
        <v>879260</v>
      </c>
    </row>
    <row r="752" spans="1:7" ht="47.25">
      <c r="A752" s="3" t="s">
        <v>702</v>
      </c>
      <c r="B752" s="4" t="s">
        <v>716</v>
      </c>
      <c r="C752" s="4" t="s">
        <v>313</v>
      </c>
      <c r="D752" s="4"/>
      <c r="E752" s="4"/>
      <c r="F752" s="37">
        <f>F753</f>
        <v>179740</v>
      </c>
      <c r="G752" s="37">
        <f>G753</f>
        <v>179740</v>
      </c>
    </row>
    <row r="753" spans="1:7" ht="15.75">
      <c r="A753" s="3" t="s">
        <v>670</v>
      </c>
      <c r="B753" s="4" t="s">
        <v>716</v>
      </c>
      <c r="C753" s="4" t="s">
        <v>313</v>
      </c>
      <c r="D753" s="4" t="s">
        <v>651</v>
      </c>
      <c r="E753" s="4"/>
      <c r="F753" s="37">
        <f>F754</f>
        <v>179740</v>
      </c>
      <c r="G753" s="37">
        <f>G754</f>
        <v>179740</v>
      </c>
    </row>
    <row r="754" spans="1:7" ht="31.5">
      <c r="A754" s="3" t="s">
        <v>680</v>
      </c>
      <c r="B754" s="4" t="s">
        <v>716</v>
      </c>
      <c r="C754" s="4" t="s">
        <v>313</v>
      </c>
      <c r="D754" s="4" t="s">
        <v>651</v>
      </c>
      <c r="E754" s="4" t="s">
        <v>310</v>
      </c>
      <c r="F754" s="37">
        <f>прил6!F167</f>
        <v>179740</v>
      </c>
      <c r="G754" s="37">
        <f>F754</f>
        <v>179740</v>
      </c>
    </row>
    <row r="755" spans="1:7" ht="63">
      <c r="A755" s="60" t="s">
        <v>689</v>
      </c>
      <c r="B755" s="4" t="s">
        <v>492</v>
      </c>
      <c r="C755" s="4"/>
      <c r="D755" s="4"/>
      <c r="E755" s="4"/>
      <c r="F755" s="37">
        <f>F756+F759</f>
        <v>1233400</v>
      </c>
      <c r="G755" s="37">
        <f>G756+G759</f>
        <v>1233400</v>
      </c>
    </row>
    <row r="756" spans="1:7" ht="126">
      <c r="A756" s="3" t="s">
        <v>701</v>
      </c>
      <c r="B756" s="4" t="s">
        <v>492</v>
      </c>
      <c r="C756" s="4" t="s">
        <v>312</v>
      </c>
      <c r="D756" s="4"/>
      <c r="E756" s="4"/>
      <c r="F756" s="37">
        <f>F757</f>
        <v>1097764.49</v>
      </c>
      <c r="G756" s="37">
        <f>G757</f>
        <v>1097764.49</v>
      </c>
    </row>
    <row r="757" spans="1:7" ht="15.75">
      <c r="A757" s="3" t="s">
        <v>665</v>
      </c>
      <c r="B757" s="4" t="s">
        <v>492</v>
      </c>
      <c r="C757" s="4" t="s">
        <v>312</v>
      </c>
      <c r="D757" s="4" t="s">
        <v>659</v>
      </c>
      <c r="E757" s="4"/>
      <c r="F757" s="37">
        <f>F758</f>
        <v>1097764.49</v>
      </c>
      <c r="G757" s="37">
        <f>G758</f>
        <v>1097764.49</v>
      </c>
    </row>
    <row r="758" spans="1:7" ht="15.75">
      <c r="A758" s="3" t="s">
        <v>691</v>
      </c>
      <c r="B758" s="4" t="s">
        <v>492</v>
      </c>
      <c r="C758" s="4" t="s">
        <v>312</v>
      </c>
      <c r="D758" s="4" t="s">
        <v>659</v>
      </c>
      <c r="E758" s="4" t="s">
        <v>661</v>
      </c>
      <c r="F758" s="37">
        <f>прил6!F650</f>
        <v>1097764.49</v>
      </c>
      <c r="G758" s="37">
        <f>F758</f>
        <v>1097764.49</v>
      </c>
    </row>
    <row r="759" spans="1:7" ht="47.25">
      <c r="A759" s="3" t="s">
        <v>702</v>
      </c>
      <c r="B759" s="4" t="s">
        <v>492</v>
      </c>
      <c r="C759" s="4" t="s">
        <v>313</v>
      </c>
      <c r="D759" s="4"/>
      <c r="E759" s="4"/>
      <c r="F759" s="37">
        <f>F760</f>
        <v>135635.51</v>
      </c>
      <c r="G759" s="37">
        <f>G760</f>
        <v>135635.51</v>
      </c>
    </row>
    <row r="760" spans="1:7" ht="15.75">
      <c r="A760" s="3" t="s">
        <v>665</v>
      </c>
      <c r="B760" s="4" t="s">
        <v>492</v>
      </c>
      <c r="C760" s="4" t="s">
        <v>313</v>
      </c>
      <c r="D760" s="4" t="s">
        <v>659</v>
      </c>
      <c r="E760" s="4"/>
      <c r="F760" s="37">
        <f>F761</f>
        <v>135635.51</v>
      </c>
      <c r="G760" s="37">
        <f>G761</f>
        <v>135635.51</v>
      </c>
    </row>
    <row r="761" spans="1:7" ht="15.75">
      <c r="A761" s="3" t="s">
        <v>691</v>
      </c>
      <c r="B761" s="4" t="s">
        <v>492</v>
      </c>
      <c r="C761" s="4" t="s">
        <v>313</v>
      </c>
      <c r="D761" s="4" t="s">
        <v>659</v>
      </c>
      <c r="E761" s="4" t="s">
        <v>661</v>
      </c>
      <c r="F761" s="37">
        <f>прил6!F651</f>
        <v>135635.51</v>
      </c>
      <c r="G761" s="37">
        <f>F761</f>
        <v>135635.51</v>
      </c>
    </row>
    <row r="762" spans="1:7" ht="78.75">
      <c r="A762" s="27" t="s">
        <v>376</v>
      </c>
      <c r="B762" s="4" t="s">
        <v>389</v>
      </c>
      <c r="C762" s="4"/>
      <c r="D762" s="4"/>
      <c r="E762" s="4"/>
      <c r="F762" s="37">
        <f>F763+F767+F774+F778+F782+F786</f>
        <v>13985037.27</v>
      </c>
      <c r="G762" s="37"/>
    </row>
    <row r="763" spans="1:7" ht="47.25">
      <c r="A763" s="27" t="s">
        <v>239</v>
      </c>
      <c r="B763" s="4" t="s">
        <v>255</v>
      </c>
      <c r="C763" s="4"/>
      <c r="D763" s="4"/>
      <c r="E763" s="4"/>
      <c r="F763" s="37">
        <f>F764</f>
        <v>11114980.94</v>
      </c>
      <c r="G763" s="37"/>
    </row>
    <row r="764" spans="1:7" ht="126">
      <c r="A764" s="3" t="s">
        <v>701</v>
      </c>
      <c r="B764" s="4" t="s">
        <v>255</v>
      </c>
      <c r="C764" s="4" t="s">
        <v>312</v>
      </c>
      <c r="D764" s="4"/>
      <c r="E764" s="4"/>
      <c r="F764" s="37">
        <f>F765</f>
        <v>11114980.94</v>
      </c>
      <c r="G764" s="37"/>
    </row>
    <row r="765" spans="1:7" ht="15.75">
      <c r="A765" s="3" t="s">
        <v>670</v>
      </c>
      <c r="B765" s="4" t="s">
        <v>255</v>
      </c>
      <c r="C765" s="4" t="s">
        <v>312</v>
      </c>
      <c r="D765" s="4" t="s">
        <v>651</v>
      </c>
      <c r="E765" s="4"/>
      <c r="F765" s="37">
        <f>F766</f>
        <v>11114980.94</v>
      </c>
      <c r="G765" s="37"/>
    </row>
    <row r="766" spans="1:7" ht="101.25" customHeight="1">
      <c r="A766" s="3" t="s">
        <v>306</v>
      </c>
      <c r="B766" s="4" t="s">
        <v>255</v>
      </c>
      <c r="C766" s="4" t="s">
        <v>312</v>
      </c>
      <c r="D766" s="4" t="s">
        <v>651</v>
      </c>
      <c r="E766" s="4" t="s">
        <v>661</v>
      </c>
      <c r="F766" s="37">
        <f>прил6!F81</f>
        <v>11114980.94</v>
      </c>
      <c r="G766" s="37"/>
    </row>
    <row r="767" spans="1:7" ht="47.25">
      <c r="A767" s="27" t="s">
        <v>241</v>
      </c>
      <c r="B767" s="4" t="s">
        <v>256</v>
      </c>
      <c r="C767" s="4"/>
      <c r="D767" s="4"/>
      <c r="E767" s="4"/>
      <c r="F767" s="37">
        <f>F768+F771</f>
        <v>673603.38</v>
      </c>
      <c r="G767" s="37"/>
    </row>
    <row r="768" spans="1:7" ht="126">
      <c r="A768" s="3" t="s">
        <v>701</v>
      </c>
      <c r="B768" s="4" t="s">
        <v>256</v>
      </c>
      <c r="C768" s="4" t="s">
        <v>312</v>
      </c>
      <c r="D768" s="4"/>
      <c r="E768" s="4"/>
      <c r="F768" s="37">
        <f>F769</f>
        <v>5250</v>
      </c>
      <c r="G768" s="37"/>
    </row>
    <row r="769" spans="1:7" ht="15.75">
      <c r="A769" s="3" t="s">
        <v>670</v>
      </c>
      <c r="B769" s="4" t="s">
        <v>256</v>
      </c>
      <c r="C769" s="4" t="s">
        <v>312</v>
      </c>
      <c r="D769" s="4" t="s">
        <v>651</v>
      </c>
      <c r="E769" s="4"/>
      <c r="F769" s="37">
        <f>F770</f>
        <v>5250</v>
      </c>
      <c r="G769" s="37"/>
    </row>
    <row r="770" spans="1:7" ht="126">
      <c r="A770" s="3" t="s">
        <v>306</v>
      </c>
      <c r="B770" s="4" t="s">
        <v>256</v>
      </c>
      <c r="C770" s="4" t="s">
        <v>312</v>
      </c>
      <c r="D770" s="4" t="s">
        <v>651</v>
      </c>
      <c r="E770" s="4" t="s">
        <v>661</v>
      </c>
      <c r="F770" s="37">
        <f>прил6!F84</f>
        <v>5250</v>
      </c>
      <c r="G770" s="37"/>
    </row>
    <row r="771" spans="1:7" ht="47.25">
      <c r="A771" s="27" t="s">
        <v>702</v>
      </c>
      <c r="B771" s="4" t="s">
        <v>256</v>
      </c>
      <c r="C771" s="4" t="s">
        <v>313</v>
      </c>
      <c r="D771" s="4"/>
      <c r="E771" s="4"/>
      <c r="F771" s="37">
        <f>F772</f>
        <v>668353.38</v>
      </c>
      <c r="G771" s="37"/>
    </row>
    <row r="772" spans="1:7" ht="15.75">
      <c r="A772" s="3" t="s">
        <v>670</v>
      </c>
      <c r="B772" s="4" t="s">
        <v>256</v>
      </c>
      <c r="C772" s="4" t="s">
        <v>313</v>
      </c>
      <c r="D772" s="4" t="s">
        <v>651</v>
      </c>
      <c r="E772" s="4"/>
      <c r="F772" s="37">
        <f>F773</f>
        <v>668353.38</v>
      </c>
      <c r="G772" s="37"/>
    </row>
    <row r="773" spans="1:7" ht="126">
      <c r="A773" s="3" t="s">
        <v>306</v>
      </c>
      <c r="B773" s="4" t="s">
        <v>256</v>
      </c>
      <c r="C773" s="4" t="s">
        <v>313</v>
      </c>
      <c r="D773" s="4" t="s">
        <v>651</v>
      </c>
      <c r="E773" s="4" t="s">
        <v>661</v>
      </c>
      <c r="F773" s="37">
        <f>прил6!F85</f>
        <v>668353.38</v>
      </c>
      <c r="G773" s="37"/>
    </row>
    <row r="774" spans="1:7" ht="110.25">
      <c r="A774" s="27" t="s">
        <v>235</v>
      </c>
      <c r="B774" s="4" t="s">
        <v>257</v>
      </c>
      <c r="C774" s="4"/>
      <c r="D774" s="4"/>
      <c r="E774" s="4"/>
      <c r="F774" s="37">
        <f>F775</f>
        <v>257349</v>
      </c>
      <c r="G774" s="37"/>
    </row>
    <row r="775" spans="1:7" ht="126">
      <c r="A775" s="3" t="s">
        <v>701</v>
      </c>
      <c r="B775" s="4" t="s">
        <v>257</v>
      </c>
      <c r="C775" s="4" t="s">
        <v>312</v>
      </c>
      <c r="D775" s="4"/>
      <c r="E775" s="4"/>
      <c r="F775" s="29">
        <f>F776</f>
        <v>257349</v>
      </c>
      <c r="G775" s="29"/>
    </row>
    <row r="776" spans="1:7" ht="15.75">
      <c r="A776" s="3" t="s">
        <v>670</v>
      </c>
      <c r="B776" s="4" t="s">
        <v>257</v>
      </c>
      <c r="C776" s="4" t="s">
        <v>312</v>
      </c>
      <c r="D776" s="4" t="s">
        <v>651</v>
      </c>
      <c r="E776" s="4"/>
      <c r="F776" s="29">
        <f>F777</f>
        <v>257349</v>
      </c>
      <c r="G776" s="29"/>
    </row>
    <row r="777" spans="1:7" ht="126">
      <c r="A777" s="3" t="s">
        <v>306</v>
      </c>
      <c r="B777" s="4" t="s">
        <v>257</v>
      </c>
      <c r="C777" s="4" t="s">
        <v>312</v>
      </c>
      <c r="D777" s="4" t="s">
        <v>651</v>
      </c>
      <c r="E777" s="4" t="s">
        <v>661</v>
      </c>
      <c r="F777" s="29">
        <f>прил6!F87</f>
        <v>257349</v>
      </c>
      <c r="G777" s="29"/>
    </row>
    <row r="778" spans="1:7" ht="63">
      <c r="A778" s="27" t="s">
        <v>648</v>
      </c>
      <c r="B778" s="4" t="s">
        <v>388</v>
      </c>
      <c r="C778" s="4"/>
      <c r="D778" s="4"/>
      <c r="E778" s="4"/>
      <c r="F778" s="29">
        <f>F779</f>
        <v>663103.95</v>
      </c>
      <c r="G778" s="29"/>
    </row>
    <row r="779" spans="1:7" ht="47.25">
      <c r="A779" s="3" t="s">
        <v>702</v>
      </c>
      <c r="B779" s="4" t="s">
        <v>388</v>
      </c>
      <c r="C779" s="4" t="s">
        <v>313</v>
      </c>
      <c r="D779" s="4"/>
      <c r="E779" s="4"/>
      <c r="F779" s="29">
        <f>F780</f>
        <v>663103.95</v>
      </c>
      <c r="G779" s="29"/>
    </row>
    <row r="780" spans="1:7" ht="15.75">
      <c r="A780" s="3" t="s">
        <v>670</v>
      </c>
      <c r="B780" s="4" t="s">
        <v>388</v>
      </c>
      <c r="C780" s="4" t="s">
        <v>313</v>
      </c>
      <c r="D780" s="4" t="s">
        <v>651</v>
      </c>
      <c r="E780" s="4"/>
      <c r="F780" s="29">
        <f>F781</f>
        <v>663103.95</v>
      </c>
      <c r="G780" s="29"/>
    </row>
    <row r="781" spans="1:7" ht="31.5">
      <c r="A781" s="3" t="s">
        <v>680</v>
      </c>
      <c r="B781" s="4" t="s">
        <v>388</v>
      </c>
      <c r="C781" s="4" t="s">
        <v>313</v>
      </c>
      <c r="D781" s="4" t="s">
        <v>651</v>
      </c>
      <c r="E781" s="4" t="s">
        <v>310</v>
      </c>
      <c r="F781" s="29">
        <f>прил6!F170</f>
        <v>663103.95</v>
      </c>
      <c r="G781" s="29"/>
    </row>
    <row r="782" spans="1:7" ht="31.5">
      <c r="A782" s="27" t="s">
        <v>453</v>
      </c>
      <c r="B782" s="4" t="s">
        <v>390</v>
      </c>
      <c r="C782" s="4"/>
      <c r="D782" s="4"/>
      <c r="E782" s="4"/>
      <c r="F782" s="29">
        <f>F783</f>
        <v>1200000</v>
      </c>
      <c r="G782" s="29"/>
    </row>
    <row r="783" spans="1:7" ht="47.25">
      <c r="A783" s="3" t="s">
        <v>702</v>
      </c>
      <c r="B783" s="4" t="s">
        <v>390</v>
      </c>
      <c r="C783" s="4" t="s">
        <v>313</v>
      </c>
      <c r="D783" s="4"/>
      <c r="E783" s="4"/>
      <c r="F783" s="29">
        <f>F784</f>
        <v>1200000</v>
      </c>
      <c r="G783" s="29"/>
    </row>
    <row r="784" spans="1:7" ht="15.75">
      <c r="A784" s="3" t="s">
        <v>672</v>
      </c>
      <c r="B784" s="4" t="s">
        <v>390</v>
      </c>
      <c r="C784" s="4" t="s">
        <v>313</v>
      </c>
      <c r="D784" s="4" t="s">
        <v>661</v>
      </c>
      <c r="E784" s="4"/>
      <c r="F784" s="29">
        <f>F785</f>
        <v>1200000</v>
      </c>
      <c r="G784" s="29"/>
    </row>
    <row r="785" spans="1:7" ht="31.5">
      <c r="A785" s="3" t="s">
        <v>674</v>
      </c>
      <c r="B785" s="4" t="s">
        <v>390</v>
      </c>
      <c r="C785" s="4" t="s">
        <v>313</v>
      </c>
      <c r="D785" s="4" t="s">
        <v>661</v>
      </c>
      <c r="E785" s="4" t="s">
        <v>307</v>
      </c>
      <c r="F785" s="29">
        <f>прил6!F294</f>
        <v>1200000</v>
      </c>
      <c r="G785" s="29"/>
    </row>
    <row r="786" spans="1:7" ht="36.75" customHeight="1">
      <c r="A786" s="3" t="s">
        <v>719</v>
      </c>
      <c r="B786" s="4" t="s">
        <v>54</v>
      </c>
      <c r="C786" s="4"/>
      <c r="D786" s="4"/>
      <c r="E786" s="4"/>
      <c r="F786" s="29">
        <f>F787</f>
        <v>76000</v>
      </c>
      <c r="G786" s="29"/>
    </row>
    <row r="787" spans="1:7" ht="47.25">
      <c r="A787" s="3" t="s">
        <v>702</v>
      </c>
      <c r="B787" s="4" t="s">
        <v>54</v>
      </c>
      <c r="C787" s="4" t="s">
        <v>313</v>
      </c>
      <c r="D787" s="4"/>
      <c r="E787" s="4"/>
      <c r="F787" s="29">
        <f>F788</f>
        <v>76000</v>
      </c>
      <c r="G787" s="29"/>
    </row>
    <row r="788" spans="1:7" ht="23.25" customHeight="1">
      <c r="A788" s="3" t="s">
        <v>670</v>
      </c>
      <c r="B788" s="4" t="s">
        <v>54</v>
      </c>
      <c r="C788" s="4" t="s">
        <v>313</v>
      </c>
      <c r="D788" s="4" t="s">
        <v>651</v>
      </c>
      <c r="E788" s="4"/>
      <c r="F788" s="29">
        <f>F789</f>
        <v>76000</v>
      </c>
      <c r="G788" s="29"/>
    </row>
    <row r="789" spans="1:7" ht="31.5">
      <c r="A789" s="3" t="s">
        <v>680</v>
      </c>
      <c r="B789" s="4" t="s">
        <v>54</v>
      </c>
      <c r="C789" s="4" t="s">
        <v>313</v>
      </c>
      <c r="D789" s="4" t="s">
        <v>651</v>
      </c>
      <c r="E789" s="4" t="s">
        <v>310</v>
      </c>
      <c r="F789" s="29">
        <f>прил6!F172</f>
        <v>76000</v>
      </c>
      <c r="G789" s="29"/>
    </row>
    <row r="790" spans="1:7" ht="78.75">
      <c r="A790" s="21" t="s">
        <v>451</v>
      </c>
      <c r="B790" s="4" t="s">
        <v>452</v>
      </c>
      <c r="C790" s="4"/>
      <c r="D790" s="4"/>
      <c r="E790" s="4"/>
      <c r="F790" s="29">
        <f>F791+F795+F802</f>
        <v>7698469.26</v>
      </c>
      <c r="G790" s="29"/>
    </row>
    <row r="791" spans="1:7" ht="47.25">
      <c r="A791" s="21" t="s">
        <v>239</v>
      </c>
      <c r="B791" s="4" t="s">
        <v>270</v>
      </c>
      <c r="C791" s="4"/>
      <c r="D791" s="4"/>
      <c r="E791" s="4"/>
      <c r="F791" s="29">
        <f>F792</f>
        <v>7074817.4799999995</v>
      </c>
      <c r="G791" s="29"/>
    </row>
    <row r="792" spans="1:7" ht="126">
      <c r="A792" s="3" t="s">
        <v>701</v>
      </c>
      <c r="B792" s="4" t="s">
        <v>270</v>
      </c>
      <c r="C792" s="4" t="s">
        <v>312</v>
      </c>
      <c r="D792" s="4"/>
      <c r="E792" s="4"/>
      <c r="F792" s="29">
        <f>F793</f>
        <v>7074817.4799999995</v>
      </c>
      <c r="G792" s="29"/>
    </row>
    <row r="793" spans="1:7" ht="15.75">
      <c r="A793" s="3" t="s">
        <v>670</v>
      </c>
      <c r="B793" s="4" t="s">
        <v>270</v>
      </c>
      <c r="C793" s="4" t="s">
        <v>312</v>
      </c>
      <c r="D793" s="4" t="s">
        <v>651</v>
      </c>
      <c r="E793" s="4"/>
      <c r="F793" s="29">
        <f>F794</f>
        <v>7074817.4799999995</v>
      </c>
      <c r="G793" s="29"/>
    </row>
    <row r="794" spans="1:7" ht="126">
      <c r="A794" s="3" t="s">
        <v>306</v>
      </c>
      <c r="B794" s="4" t="s">
        <v>270</v>
      </c>
      <c r="C794" s="4" t="s">
        <v>312</v>
      </c>
      <c r="D794" s="4" t="s">
        <v>651</v>
      </c>
      <c r="E794" s="4" t="s">
        <v>661</v>
      </c>
      <c r="F794" s="29">
        <f>прил6!F90</f>
        <v>7074817.4799999995</v>
      </c>
      <c r="G794" s="29"/>
    </row>
    <row r="795" spans="1:7" ht="47.25">
      <c r="A795" s="21" t="s">
        <v>241</v>
      </c>
      <c r="B795" s="4" t="s">
        <v>271</v>
      </c>
      <c r="C795" s="4"/>
      <c r="D795" s="4"/>
      <c r="E795" s="4"/>
      <c r="F795" s="29">
        <f>F796+F799</f>
        <v>473651.77999999997</v>
      </c>
      <c r="G795" s="29"/>
    </row>
    <row r="796" spans="1:7" ht="126">
      <c r="A796" s="3" t="s">
        <v>701</v>
      </c>
      <c r="B796" s="4" t="s">
        <v>271</v>
      </c>
      <c r="C796" s="4" t="s">
        <v>312</v>
      </c>
      <c r="D796" s="4"/>
      <c r="E796" s="4"/>
      <c r="F796" s="29">
        <f>F797</f>
        <v>54047.95</v>
      </c>
      <c r="G796" s="29"/>
    </row>
    <row r="797" spans="1:7" ht="15.75">
      <c r="A797" s="3" t="s">
        <v>670</v>
      </c>
      <c r="B797" s="4" t="s">
        <v>271</v>
      </c>
      <c r="C797" s="4" t="s">
        <v>312</v>
      </c>
      <c r="D797" s="4" t="s">
        <v>651</v>
      </c>
      <c r="E797" s="4"/>
      <c r="F797" s="29">
        <f>F798</f>
        <v>54047.95</v>
      </c>
      <c r="G797" s="29"/>
    </row>
    <row r="798" spans="1:7" ht="126">
      <c r="A798" s="3" t="s">
        <v>306</v>
      </c>
      <c r="B798" s="4" t="s">
        <v>271</v>
      </c>
      <c r="C798" s="4" t="s">
        <v>312</v>
      </c>
      <c r="D798" s="4" t="s">
        <v>651</v>
      </c>
      <c r="E798" s="4" t="s">
        <v>661</v>
      </c>
      <c r="F798" s="29">
        <f>прил6!F92</f>
        <v>54047.95</v>
      </c>
      <c r="G798" s="29"/>
    </row>
    <row r="799" spans="1:7" ht="47.25">
      <c r="A799" s="3" t="s">
        <v>702</v>
      </c>
      <c r="B799" s="4" t="s">
        <v>271</v>
      </c>
      <c r="C799" s="4" t="s">
        <v>313</v>
      </c>
      <c r="D799" s="4"/>
      <c r="E799" s="4"/>
      <c r="F799" s="29">
        <f>F800</f>
        <v>419603.82999999996</v>
      </c>
      <c r="G799" s="29"/>
    </row>
    <row r="800" spans="1:7" ht="15.75">
      <c r="A800" s="3" t="s">
        <v>670</v>
      </c>
      <c r="B800" s="4" t="s">
        <v>271</v>
      </c>
      <c r="C800" s="4" t="s">
        <v>313</v>
      </c>
      <c r="D800" s="4" t="s">
        <v>651</v>
      </c>
      <c r="E800" s="4"/>
      <c r="F800" s="29">
        <f>F801</f>
        <v>419603.82999999996</v>
      </c>
      <c r="G800" s="29"/>
    </row>
    <row r="801" spans="1:7" ht="126">
      <c r="A801" s="3" t="s">
        <v>306</v>
      </c>
      <c r="B801" s="4" t="s">
        <v>271</v>
      </c>
      <c r="C801" s="4" t="s">
        <v>313</v>
      </c>
      <c r="D801" s="4" t="s">
        <v>651</v>
      </c>
      <c r="E801" s="4" t="s">
        <v>661</v>
      </c>
      <c r="F801" s="29">
        <f>прил6!F93</f>
        <v>419603.82999999996</v>
      </c>
      <c r="G801" s="33"/>
    </row>
    <row r="802" spans="1:7" ht="110.25">
      <c r="A802" s="21" t="s">
        <v>235</v>
      </c>
      <c r="B802" s="4" t="s">
        <v>272</v>
      </c>
      <c r="C802" s="4"/>
      <c r="D802" s="4"/>
      <c r="E802" s="4"/>
      <c r="F802" s="29">
        <f>F803</f>
        <v>150000</v>
      </c>
      <c r="G802" s="33"/>
    </row>
    <row r="803" spans="1:7" ht="126">
      <c r="A803" s="3" t="s">
        <v>701</v>
      </c>
      <c r="B803" s="4" t="s">
        <v>272</v>
      </c>
      <c r="C803" s="4" t="s">
        <v>312</v>
      </c>
      <c r="D803" s="4"/>
      <c r="E803" s="4"/>
      <c r="F803" s="29">
        <f>F804</f>
        <v>150000</v>
      </c>
      <c r="G803" s="33"/>
    </row>
    <row r="804" spans="1:7" ht="15.75">
      <c r="A804" s="3" t="s">
        <v>670</v>
      </c>
      <c r="B804" s="4" t="s">
        <v>272</v>
      </c>
      <c r="C804" s="4" t="s">
        <v>312</v>
      </c>
      <c r="D804" s="4" t="s">
        <v>651</v>
      </c>
      <c r="E804" s="4"/>
      <c r="F804" s="29">
        <f>F805</f>
        <v>150000</v>
      </c>
      <c r="G804" s="33"/>
    </row>
    <row r="805" spans="1:7" ht="93.75" customHeight="1">
      <c r="A805" s="3" t="s">
        <v>306</v>
      </c>
      <c r="B805" s="4" t="s">
        <v>272</v>
      </c>
      <c r="C805" s="4" t="s">
        <v>312</v>
      </c>
      <c r="D805" s="4" t="s">
        <v>651</v>
      </c>
      <c r="E805" s="4" t="s">
        <v>661</v>
      </c>
      <c r="F805" s="37">
        <f>прил6!F95</f>
        <v>150000</v>
      </c>
      <c r="G805" s="37"/>
    </row>
    <row r="806" spans="1:7" ht="31.5">
      <c r="A806" s="3" t="s">
        <v>377</v>
      </c>
      <c r="B806" s="4" t="s">
        <v>378</v>
      </c>
      <c r="C806" s="4"/>
      <c r="D806" s="4"/>
      <c r="E806" s="4"/>
      <c r="F806" s="37">
        <f>F807+F814</f>
        <v>6468977.5</v>
      </c>
      <c r="G806" s="37"/>
    </row>
    <row r="807" spans="1:7" ht="110.25">
      <c r="A807" s="3" t="s">
        <v>493</v>
      </c>
      <c r="B807" s="4" t="s">
        <v>379</v>
      </c>
      <c r="C807" s="4"/>
      <c r="D807" s="4"/>
      <c r="E807" s="4"/>
      <c r="F807" s="37">
        <f>F808+F811</f>
        <v>6356350</v>
      </c>
      <c r="G807" s="37"/>
    </row>
    <row r="808" spans="1:7" ht="126">
      <c r="A808" s="3" t="s">
        <v>701</v>
      </c>
      <c r="B808" s="4" t="s">
        <v>379</v>
      </c>
      <c r="C808" s="4" t="s">
        <v>312</v>
      </c>
      <c r="D808" s="4"/>
      <c r="E808" s="4"/>
      <c r="F808" s="37">
        <f>F809</f>
        <v>5111061.5</v>
      </c>
      <c r="G808" s="37"/>
    </row>
    <row r="809" spans="1:7" ht="15.75">
      <c r="A809" s="3" t="s">
        <v>670</v>
      </c>
      <c r="B809" s="4" t="s">
        <v>379</v>
      </c>
      <c r="C809" s="4" t="s">
        <v>312</v>
      </c>
      <c r="D809" s="4" t="s">
        <v>651</v>
      </c>
      <c r="E809" s="4"/>
      <c r="F809" s="37">
        <f>F810</f>
        <v>5111061.5</v>
      </c>
      <c r="G809" s="37"/>
    </row>
    <row r="810" spans="1:7" ht="31.5">
      <c r="A810" s="3" t="s">
        <v>680</v>
      </c>
      <c r="B810" s="4" t="s">
        <v>379</v>
      </c>
      <c r="C810" s="4" t="s">
        <v>312</v>
      </c>
      <c r="D810" s="4" t="s">
        <v>651</v>
      </c>
      <c r="E810" s="4" t="s">
        <v>310</v>
      </c>
      <c r="F810" s="37">
        <f>прил6!F175</f>
        <v>5111061.5</v>
      </c>
      <c r="G810" s="37"/>
    </row>
    <row r="811" spans="1:7" ht="47.25">
      <c r="A811" s="3" t="s">
        <v>702</v>
      </c>
      <c r="B811" s="4" t="s">
        <v>379</v>
      </c>
      <c r="C811" s="4" t="s">
        <v>313</v>
      </c>
      <c r="D811" s="4"/>
      <c r="E811" s="4"/>
      <c r="F811" s="37">
        <f>F812</f>
        <v>1245288.5</v>
      </c>
      <c r="G811" s="37"/>
    </row>
    <row r="812" spans="1:7" ht="15.75">
      <c r="A812" s="3" t="s">
        <v>670</v>
      </c>
      <c r="B812" s="4" t="s">
        <v>379</v>
      </c>
      <c r="C812" s="4" t="s">
        <v>313</v>
      </c>
      <c r="D812" s="4" t="s">
        <v>651</v>
      </c>
      <c r="E812" s="4"/>
      <c r="F812" s="37">
        <f>F813</f>
        <v>1245288.5</v>
      </c>
      <c r="G812" s="37"/>
    </row>
    <row r="813" spans="1:7" ht="31.5">
      <c r="A813" s="3" t="s">
        <v>680</v>
      </c>
      <c r="B813" s="4" t="s">
        <v>379</v>
      </c>
      <c r="C813" s="4" t="s">
        <v>313</v>
      </c>
      <c r="D813" s="4" t="s">
        <v>651</v>
      </c>
      <c r="E813" s="4" t="s">
        <v>310</v>
      </c>
      <c r="F813" s="37">
        <f>прил6!F176</f>
        <v>1245288.5</v>
      </c>
      <c r="G813" s="37"/>
    </row>
    <row r="814" spans="1:7" ht="110.25">
      <c r="A814" s="3" t="s">
        <v>235</v>
      </c>
      <c r="B814" s="4" t="s">
        <v>251</v>
      </c>
      <c r="C814" s="4"/>
      <c r="D814" s="4"/>
      <c r="E814" s="4"/>
      <c r="F814" s="37">
        <f>F815</f>
        <v>112627.5</v>
      </c>
      <c r="G814" s="37"/>
    </row>
    <row r="815" spans="1:7" ht="126">
      <c r="A815" s="3" t="s">
        <v>701</v>
      </c>
      <c r="B815" s="4" t="s">
        <v>251</v>
      </c>
      <c r="C815" s="4" t="s">
        <v>312</v>
      </c>
      <c r="D815" s="4"/>
      <c r="E815" s="4"/>
      <c r="F815" s="37">
        <f>F816</f>
        <v>112627.5</v>
      </c>
      <c r="G815" s="37"/>
    </row>
    <row r="816" spans="1:7" ht="15.75">
      <c r="A816" s="3" t="s">
        <v>670</v>
      </c>
      <c r="B816" s="4" t="s">
        <v>251</v>
      </c>
      <c r="C816" s="4" t="s">
        <v>312</v>
      </c>
      <c r="D816" s="4" t="s">
        <v>651</v>
      </c>
      <c r="E816" s="4"/>
      <c r="F816" s="37">
        <f>F817</f>
        <v>112627.5</v>
      </c>
      <c r="G816" s="37"/>
    </row>
    <row r="817" spans="1:7" ht="31.5">
      <c r="A817" s="3" t="s">
        <v>680</v>
      </c>
      <c r="B817" s="4" t="s">
        <v>251</v>
      </c>
      <c r="C817" s="4" t="s">
        <v>312</v>
      </c>
      <c r="D817" s="4" t="s">
        <v>651</v>
      </c>
      <c r="E817" s="4" t="s">
        <v>310</v>
      </c>
      <c r="F817" s="37">
        <f>прил6!F178</f>
        <v>112627.5</v>
      </c>
      <c r="G817" s="37"/>
    </row>
    <row r="818" spans="1:7" ht="78.75">
      <c r="A818" s="3" t="s">
        <v>338</v>
      </c>
      <c r="B818" s="4" t="s">
        <v>339</v>
      </c>
      <c r="C818" s="4"/>
      <c r="D818" s="4"/>
      <c r="E818" s="4"/>
      <c r="F818" s="37">
        <f>F819+F833+F829</f>
        <v>20943614</v>
      </c>
      <c r="G818" s="37">
        <f>G819+G833</f>
        <v>0</v>
      </c>
    </row>
    <row r="819" spans="1:7" ht="110.25">
      <c r="A819" s="3" t="s">
        <v>493</v>
      </c>
      <c r="B819" s="4" t="s">
        <v>380</v>
      </c>
      <c r="C819" s="4"/>
      <c r="D819" s="4"/>
      <c r="E819" s="4"/>
      <c r="F819" s="37">
        <f>F820+F823+F826</f>
        <v>20687114</v>
      </c>
      <c r="G819" s="37"/>
    </row>
    <row r="820" spans="1:7" ht="126">
      <c r="A820" s="3" t="s">
        <v>701</v>
      </c>
      <c r="B820" s="4" t="s">
        <v>380</v>
      </c>
      <c r="C820" s="4" t="s">
        <v>312</v>
      </c>
      <c r="D820" s="4"/>
      <c r="E820" s="4"/>
      <c r="F820" s="37">
        <f>F821</f>
        <v>19243314</v>
      </c>
      <c r="G820" s="37"/>
    </row>
    <row r="821" spans="1:7" ht="15.75">
      <c r="A821" s="3" t="s">
        <v>670</v>
      </c>
      <c r="B821" s="4" t="s">
        <v>380</v>
      </c>
      <c r="C821" s="4" t="s">
        <v>312</v>
      </c>
      <c r="D821" s="4" t="s">
        <v>651</v>
      </c>
      <c r="E821" s="4"/>
      <c r="F821" s="37">
        <f>F822</f>
        <v>19243314</v>
      </c>
      <c r="G821" s="37"/>
    </row>
    <row r="822" spans="1:7" ht="31.5">
      <c r="A822" s="3" t="s">
        <v>680</v>
      </c>
      <c r="B822" s="4" t="s">
        <v>380</v>
      </c>
      <c r="C822" s="4" t="s">
        <v>312</v>
      </c>
      <c r="D822" s="4" t="s">
        <v>651</v>
      </c>
      <c r="E822" s="4" t="s">
        <v>310</v>
      </c>
      <c r="F822" s="37">
        <f>прил6!F181</f>
        <v>19243314</v>
      </c>
      <c r="G822" s="37"/>
    </row>
    <row r="823" spans="1:7" ht="47.25">
      <c r="A823" s="3" t="s">
        <v>702</v>
      </c>
      <c r="B823" s="4" t="s">
        <v>380</v>
      </c>
      <c r="C823" s="4" t="s">
        <v>313</v>
      </c>
      <c r="D823" s="4"/>
      <c r="E823" s="4"/>
      <c r="F823" s="37">
        <f>F824</f>
        <v>1440800</v>
      </c>
      <c r="G823" s="37"/>
    </row>
    <row r="824" spans="1:7" ht="15.75">
      <c r="A824" s="3" t="s">
        <v>670</v>
      </c>
      <c r="B824" s="4" t="s">
        <v>380</v>
      </c>
      <c r="C824" s="4" t="s">
        <v>313</v>
      </c>
      <c r="D824" s="4" t="s">
        <v>651</v>
      </c>
      <c r="E824" s="4"/>
      <c r="F824" s="29">
        <f>F825</f>
        <v>1440800</v>
      </c>
      <c r="G824" s="29"/>
    </row>
    <row r="825" spans="1:7" ht="31.5">
      <c r="A825" s="3" t="s">
        <v>680</v>
      </c>
      <c r="B825" s="4" t="s">
        <v>380</v>
      </c>
      <c r="C825" s="4" t="s">
        <v>313</v>
      </c>
      <c r="D825" s="4" t="s">
        <v>651</v>
      </c>
      <c r="E825" s="4" t="s">
        <v>310</v>
      </c>
      <c r="F825" s="29">
        <f>прил6!F182</f>
        <v>1440800</v>
      </c>
      <c r="G825" s="29"/>
    </row>
    <row r="826" spans="1:7" ht="15.75">
      <c r="A826" s="3" t="s">
        <v>556</v>
      </c>
      <c r="B826" s="4" t="s">
        <v>380</v>
      </c>
      <c r="C826" s="4" t="s">
        <v>316</v>
      </c>
      <c r="D826" s="4"/>
      <c r="E826" s="4"/>
      <c r="F826" s="29">
        <f>F827</f>
        <v>3000</v>
      </c>
      <c r="G826" s="29"/>
    </row>
    <row r="827" spans="1:7" ht="15.75">
      <c r="A827" s="3" t="s">
        <v>670</v>
      </c>
      <c r="B827" s="4" t="s">
        <v>380</v>
      </c>
      <c r="C827" s="4" t="s">
        <v>316</v>
      </c>
      <c r="D827" s="4" t="s">
        <v>651</v>
      </c>
      <c r="E827" s="4"/>
      <c r="F827" s="29">
        <f>F828</f>
        <v>3000</v>
      </c>
      <c r="G827" s="29"/>
    </row>
    <row r="828" spans="1:7" ht="31.5">
      <c r="A828" s="3" t="s">
        <v>680</v>
      </c>
      <c r="B828" s="4" t="s">
        <v>380</v>
      </c>
      <c r="C828" s="4" t="s">
        <v>316</v>
      </c>
      <c r="D828" s="4" t="s">
        <v>651</v>
      </c>
      <c r="E828" s="4" t="s">
        <v>310</v>
      </c>
      <c r="F828" s="29">
        <f>прил6!F183</f>
        <v>3000</v>
      </c>
      <c r="G828" s="29"/>
    </row>
    <row r="829" spans="1:7" ht="110.25">
      <c r="A829" s="3" t="s">
        <v>235</v>
      </c>
      <c r="B829" s="4" t="s">
        <v>258</v>
      </c>
      <c r="C829" s="4"/>
      <c r="D829" s="4"/>
      <c r="E829" s="4"/>
      <c r="F829" s="29">
        <f>F830</f>
        <v>256500</v>
      </c>
      <c r="G829" s="29"/>
    </row>
    <row r="830" spans="1:7" ht="126">
      <c r="A830" s="3" t="s">
        <v>701</v>
      </c>
      <c r="B830" s="4" t="s">
        <v>258</v>
      </c>
      <c r="C830" s="4" t="s">
        <v>312</v>
      </c>
      <c r="D830" s="4"/>
      <c r="E830" s="4"/>
      <c r="F830" s="29">
        <f>F831</f>
        <v>256500</v>
      </c>
      <c r="G830" s="29"/>
    </row>
    <row r="831" spans="1:7" ht="15.75">
      <c r="A831" s="3" t="s">
        <v>670</v>
      </c>
      <c r="B831" s="4" t="s">
        <v>258</v>
      </c>
      <c r="C831" s="4" t="s">
        <v>312</v>
      </c>
      <c r="D831" s="4" t="s">
        <v>651</v>
      </c>
      <c r="E831" s="4"/>
      <c r="F831" s="29">
        <f>F832</f>
        <v>256500</v>
      </c>
      <c r="G831" s="29"/>
    </row>
    <row r="832" spans="1:7" ht="31.5">
      <c r="A832" s="3" t="s">
        <v>680</v>
      </c>
      <c r="B832" s="4" t="s">
        <v>258</v>
      </c>
      <c r="C832" s="4" t="s">
        <v>312</v>
      </c>
      <c r="D832" s="4" t="s">
        <v>651</v>
      </c>
      <c r="E832" s="4" t="s">
        <v>310</v>
      </c>
      <c r="F832" s="29">
        <f>прил6!F185</f>
        <v>256500</v>
      </c>
      <c r="G832" s="29"/>
    </row>
    <row r="833" spans="1:7" ht="68.25" customHeight="1">
      <c r="A833" s="3" t="s">
        <v>795</v>
      </c>
      <c r="B833" s="4" t="s">
        <v>340</v>
      </c>
      <c r="C833" s="4"/>
      <c r="D833" s="4"/>
      <c r="E833" s="4"/>
      <c r="F833" s="29">
        <f>F834+F837</f>
        <v>0</v>
      </c>
      <c r="G833" s="29">
        <f>G834+G837</f>
        <v>0</v>
      </c>
    </row>
    <row r="834" spans="1:7" ht="31.5">
      <c r="A834" s="60" t="s">
        <v>560</v>
      </c>
      <c r="B834" s="4" t="s">
        <v>340</v>
      </c>
      <c r="C834" s="4" t="s">
        <v>561</v>
      </c>
      <c r="D834" s="4"/>
      <c r="E834" s="4"/>
      <c r="F834" s="29">
        <f>F835</f>
        <v>0</v>
      </c>
      <c r="G834" s="29">
        <f>G835</f>
        <v>0</v>
      </c>
    </row>
    <row r="835" spans="1:7" ht="15.75">
      <c r="A835" s="3" t="s">
        <v>665</v>
      </c>
      <c r="B835" s="4" t="s">
        <v>340</v>
      </c>
      <c r="C835" s="4" t="s">
        <v>561</v>
      </c>
      <c r="D835" s="4" t="s">
        <v>659</v>
      </c>
      <c r="E835" s="4"/>
      <c r="F835" s="29">
        <f>F836</f>
        <v>0</v>
      </c>
      <c r="G835" s="29">
        <f>G836</f>
        <v>0</v>
      </c>
    </row>
    <row r="836" spans="1:7" ht="31.5">
      <c r="A836" s="3" t="s">
        <v>686</v>
      </c>
      <c r="B836" s="4" t="s">
        <v>340</v>
      </c>
      <c r="C836" s="4" t="s">
        <v>561</v>
      </c>
      <c r="D836" s="4" t="s">
        <v>659</v>
      </c>
      <c r="E836" s="4" t="s">
        <v>652</v>
      </c>
      <c r="F836" s="29">
        <f>прил6!F656</f>
        <v>0</v>
      </c>
      <c r="G836" s="29">
        <f>F836</f>
        <v>0</v>
      </c>
    </row>
    <row r="837" spans="1:7" ht="47.25">
      <c r="A837" s="3" t="s">
        <v>189</v>
      </c>
      <c r="B837" s="4" t="s">
        <v>340</v>
      </c>
      <c r="C837" s="4" t="s">
        <v>693</v>
      </c>
      <c r="D837" s="4"/>
      <c r="E837" s="4"/>
      <c r="F837" s="29">
        <f>F838</f>
        <v>0</v>
      </c>
      <c r="G837" s="29">
        <f>G838</f>
        <v>0</v>
      </c>
    </row>
    <row r="838" spans="1:7" ht="31.5">
      <c r="A838" s="3" t="s">
        <v>660</v>
      </c>
      <c r="B838" s="4" t="s">
        <v>340</v>
      </c>
      <c r="C838" s="4" t="s">
        <v>693</v>
      </c>
      <c r="D838" s="4" t="s">
        <v>653</v>
      </c>
      <c r="E838" s="4"/>
      <c r="F838" s="29">
        <f>F839</f>
        <v>0</v>
      </c>
      <c r="G838" s="29">
        <f>G839</f>
        <v>0</v>
      </c>
    </row>
    <row r="839" spans="1:7" ht="47.25">
      <c r="A839" s="3" t="s">
        <v>678</v>
      </c>
      <c r="B839" s="4" t="s">
        <v>340</v>
      </c>
      <c r="C839" s="4" t="s">
        <v>693</v>
      </c>
      <c r="D839" s="4" t="s">
        <v>653</v>
      </c>
      <c r="E839" s="4" t="s">
        <v>653</v>
      </c>
      <c r="F839" s="29">
        <f>прил6!F368</f>
        <v>0</v>
      </c>
      <c r="G839" s="29">
        <f>F839</f>
        <v>0</v>
      </c>
    </row>
    <row r="840" spans="1:7" ht="47.25">
      <c r="A840" s="3" t="s">
        <v>381</v>
      </c>
      <c r="B840" s="4" t="s">
        <v>382</v>
      </c>
      <c r="C840" s="4"/>
      <c r="D840" s="4"/>
      <c r="E840" s="4"/>
      <c r="F840" s="29">
        <f>F841+F859+F851+F855</f>
        <v>32259990.020000003</v>
      </c>
      <c r="G840" s="29"/>
    </row>
    <row r="841" spans="1:7" ht="110.25">
      <c r="A841" s="3" t="s">
        <v>493</v>
      </c>
      <c r="B841" s="4" t="s">
        <v>383</v>
      </c>
      <c r="C841" s="4"/>
      <c r="D841" s="4"/>
      <c r="E841" s="4"/>
      <c r="F841" s="29">
        <f>F842+F845+F848</f>
        <v>31578287.520000003</v>
      </c>
      <c r="G841" s="29"/>
    </row>
    <row r="842" spans="1:7" ht="126">
      <c r="A842" s="3" t="s">
        <v>701</v>
      </c>
      <c r="B842" s="4" t="s">
        <v>383</v>
      </c>
      <c r="C842" s="4" t="s">
        <v>312</v>
      </c>
      <c r="D842" s="4"/>
      <c r="E842" s="4"/>
      <c r="F842" s="29">
        <f>F843</f>
        <v>17811457.5</v>
      </c>
      <c r="G842" s="29"/>
    </row>
    <row r="843" spans="1:7" ht="15.75">
      <c r="A843" s="3" t="s">
        <v>670</v>
      </c>
      <c r="B843" s="4" t="s">
        <v>383</v>
      </c>
      <c r="C843" s="4" t="s">
        <v>312</v>
      </c>
      <c r="D843" s="4" t="s">
        <v>651</v>
      </c>
      <c r="E843" s="4"/>
      <c r="F843" s="29">
        <f>F844</f>
        <v>17811457.5</v>
      </c>
      <c r="G843" s="29"/>
    </row>
    <row r="844" spans="1:7" ht="31.5">
      <c r="A844" s="3" t="s">
        <v>680</v>
      </c>
      <c r="B844" s="4" t="s">
        <v>383</v>
      </c>
      <c r="C844" s="4" t="s">
        <v>312</v>
      </c>
      <c r="D844" s="4" t="s">
        <v>651</v>
      </c>
      <c r="E844" s="4" t="s">
        <v>310</v>
      </c>
      <c r="F844" s="29">
        <f>прил6!F188</f>
        <v>17811457.5</v>
      </c>
      <c r="G844" s="29"/>
    </row>
    <row r="845" spans="1:7" ht="47.25">
      <c r="A845" s="3" t="s">
        <v>702</v>
      </c>
      <c r="B845" s="4" t="s">
        <v>383</v>
      </c>
      <c r="C845" s="4" t="s">
        <v>313</v>
      </c>
      <c r="D845" s="4"/>
      <c r="E845" s="4"/>
      <c r="F845" s="29">
        <f>F846</f>
        <v>13592112.520000001</v>
      </c>
      <c r="G845" s="33"/>
    </row>
    <row r="846" spans="1:7" ht="15.75">
      <c r="A846" s="3" t="s">
        <v>670</v>
      </c>
      <c r="B846" s="4" t="s">
        <v>383</v>
      </c>
      <c r="C846" s="4" t="s">
        <v>313</v>
      </c>
      <c r="D846" s="4" t="s">
        <v>651</v>
      </c>
      <c r="E846" s="4"/>
      <c r="F846" s="29">
        <f>F847</f>
        <v>13592112.520000001</v>
      </c>
      <c r="G846" s="29"/>
    </row>
    <row r="847" spans="1:7" ht="31.5">
      <c r="A847" s="3" t="s">
        <v>680</v>
      </c>
      <c r="B847" s="4" t="s">
        <v>383</v>
      </c>
      <c r="C847" s="4" t="s">
        <v>313</v>
      </c>
      <c r="D847" s="4" t="s">
        <v>651</v>
      </c>
      <c r="E847" s="4" t="s">
        <v>310</v>
      </c>
      <c r="F847" s="29">
        <f>прил6!F189</f>
        <v>13592112.520000001</v>
      </c>
      <c r="G847" s="29"/>
    </row>
    <row r="848" spans="1:7" ht="15.75">
      <c r="A848" s="3" t="s">
        <v>556</v>
      </c>
      <c r="B848" s="4" t="s">
        <v>383</v>
      </c>
      <c r="C848" s="4" t="s">
        <v>316</v>
      </c>
      <c r="D848" s="4"/>
      <c r="E848" s="4"/>
      <c r="F848" s="29">
        <f>F849</f>
        <v>174717.5</v>
      </c>
      <c r="G848" s="29"/>
    </row>
    <row r="849" spans="1:7" ht="15.75">
      <c r="A849" s="3" t="s">
        <v>670</v>
      </c>
      <c r="B849" s="4" t="s">
        <v>383</v>
      </c>
      <c r="C849" s="4" t="s">
        <v>316</v>
      </c>
      <c r="D849" s="4" t="s">
        <v>651</v>
      </c>
      <c r="E849" s="4"/>
      <c r="F849" s="29">
        <f>F850</f>
        <v>174717.5</v>
      </c>
      <c r="G849" s="29"/>
    </row>
    <row r="850" spans="1:7" ht="31.5">
      <c r="A850" s="3" t="s">
        <v>680</v>
      </c>
      <c r="B850" s="4" t="s">
        <v>383</v>
      </c>
      <c r="C850" s="4" t="s">
        <v>316</v>
      </c>
      <c r="D850" s="4" t="s">
        <v>651</v>
      </c>
      <c r="E850" s="4" t="s">
        <v>310</v>
      </c>
      <c r="F850" s="29">
        <f>прил6!F190</f>
        <v>174717.5</v>
      </c>
      <c r="G850" s="33"/>
    </row>
    <row r="851" spans="1:7" ht="47.25" hidden="1">
      <c r="A851" s="3" t="s">
        <v>512</v>
      </c>
      <c r="B851" s="4" t="s">
        <v>342</v>
      </c>
      <c r="C851" s="4"/>
      <c r="D851" s="4"/>
      <c r="E851" s="4"/>
      <c r="F851" s="29">
        <f>F852</f>
        <v>0</v>
      </c>
      <c r="G851" s="33"/>
    </row>
    <row r="852" spans="1:7" ht="47.25" hidden="1">
      <c r="A852" s="3" t="s">
        <v>702</v>
      </c>
      <c r="B852" s="4" t="s">
        <v>342</v>
      </c>
      <c r="C852" s="4" t="s">
        <v>313</v>
      </c>
      <c r="D852" s="4"/>
      <c r="E852" s="4"/>
      <c r="F852" s="29">
        <f>F853</f>
        <v>0</v>
      </c>
      <c r="G852" s="33"/>
    </row>
    <row r="853" spans="1:7" ht="15.75" hidden="1">
      <c r="A853" s="3" t="s">
        <v>670</v>
      </c>
      <c r="B853" s="4" t="s">
        <v>342</v>
      </c>
      <c r="C853" s="4" t="s">
        <v>313</v>
      </c>
      <c r="D853" s="4" t="s">
        <v>651</v>
      </c>
      <c r="E853" s="4"/>
      <c r="F853" s="29">
        <f>F854</f>
        <v>0</v>
      </c>
      <c r="G853" s="33"/>
    </row>
    <row r="854" spans="1:7" ht="31.5" hidden="1">
      <c r="A854" s="3" t="s">
        <v>680</v>
      </c>
      <c r="B854" s="4" t="s">
        <v>342</v>
      </c>
      <c r="C854" s="4" t="s">
        <v>313</v>
      </c>
      <c r="D854" s="4" t="s">
        <v>651</v>
      </c>
      <c r="E854" s="4" t="s">
        <v>310</v>
      </c>
      <c r="F854" s="29"/>
      <c r="G854" s="33"/>
    </row>
    <row r="855" spans="1:7" ht="31.5">
      <c r="A855" s="3" t="s">
        <v>719</v>
      </c>
      <c r="B855" s="4" t="s">
        <v>278</v>
      </c>
      <c r="C855" s="4"/>
      <c r="D855" s="4"/>
      <c r="E855" s="4"/>
      <c r="F855" s="29">
        <f>F856</f>
        <v>222000</v>
      </c>
      <c r="G855" s="33"/>
    </row>
    <row r="856" spans="1:7" ht="47.25">
      <c r="A856" s="3" t="s">
        <v>702</v>
      </c>
      <c r="B856" s="4" t="s">
        <v>278</v>
      </c>
      <c r="C856" s="4" t="s">
        <v>313</v>
      </c>
      <c r="D856" s="4"/>
      <c r="E856" s="4"/>
      <c r="F856" s="29">
        <f>F857</f>
        <v>222000</v>
      </c>
      <c r="G856" s="33"/>
    </row>
    <row r="857" spans="1:7" ht="15.75">
      <c r="A857" s="3" t="s">
        <v>670</v>
      </c>
      <c r="B857" s="4" t="s">
        <v>278</v>
      </c>
      <c r="C857" s="4" t="s">
        <v>313</v>
      </c>
      <c r="D857" s="4" t="s">
        <v>651</v>
      </c>
      <c r="E857" s="4"/>
      <c r="F857" s="29">
        <f>F858</f>
        <v>222000</v>
      </c>
      <c r="G857" s="33"/>
    </row>
    <row r="858" spans="1:7" ht="31.5">
      <c r="A858" s="3" t="s">
        <v>680</v>
      </c>
      <c r="B858" s="4" t="s">
        <v>278</v>
      </c>
      <c r="C858" s="4" t="s">
        <v>313</v>
      </c>
      <c r="D858" s="4" t="s">
        <v>651</v>
      </c>
      <c r="E858" s="4" t="s">
        <v>310</v>
      </c>
      <c r="F858" s="29">
        <f>прил6!F192</f>
        <v>222000</v>
      </c>
      <c r="G858" s="33"/>
    </row>
    <row r="859" spans="1:7" ht="110.25">
      <c r="A859" s="3" t="s">
        <v>235</v>
      </c>
      <c r="B859" s="4" t="s">
        <v>252</v>
      </c>
      <c r="C859" s="4"/>
      <c r="D859" s="4"/>
      <c r="E859" s="4"/>
      <c r="F859" s="29">
        <f>F860</f>
        <v>459702.5</v>
      </c>
      <c r="G859" s="33"/>
    </row>
    <row r="860" spans="1:7" ht="126">
      <c r="A860" s="3" t="s">
        <v>245</v>
      </c>
      <c r="B860" s="4" t="s">
        <v>252</v>
      </c>
      <c r="C860" s="4" t="s">
        <v>312</v>
      </c>
      <c r="D860" s="4"/>
      <c r="E860" s="4"/>
      <c r="F860" s="29">
        <f>F861</f>
        <v>459702.5</v>
      </c>
      <c r="G860" s="33"/>
    </row>
    <row r="861" spans="1:7" ht="15.75">
      <c r="A861" s="3" t="s">
        <v>670</v>
      </c>
      <c r="B861" s="4" t="s">
        <v>252</v>
      </c>
      <c r="C861" s="4" t="s">
        <v>312</v>
      </c>
      <c r="D861" s="4" t="s">
        <v>651</v>
      </c>
      <c r="E861" s="4"/>
      <c r="F861" s="29">
        <f>F862</f>
        <v>459702.5</v>
      </c>
      <c r="G861" s="33"/>
    </row>
    <row r="862" spans="1:7" ht="31.5">
      <c r="A862" s="3" t="s">
        <v>680</v>
      </c>
      <c r="B862" s="4" t="s">
        <v>252</v>
      </c>
      <c r="C862" s="4" t="s">
        <v>312</v>
      </c>
      <c r="D862" s="4" t="s">
        <v>651</v>
      </c>
      <c r="E862" s="4" t="s">
        <v>310</v>
      </c>
      <c r="F862" s="29">
        <f>прил6!F194</f>
        <v>459702.5</v>
      </c>
      <c r="G862" s="33"/>
    </row>
    <row r="863" spans="1:7" ht="94.5">
      <c r="A863" s="3" t="s">
        <v>385</v>
      </c>
      <c r="B863" s="4" t="s">
        <v>386</v>
      </c>
      <c r="C863" s="2"/>
      <c r="D863" s="4"/>
      <c r="E863" s="4"/>
      <c r="F863" s="29">
        <f>F864+F874</f>
        <v>9372720.5</v>
      </c>
      <c r="G863" s="29"/>
    </row>
    <row r="864" spans="1:7" ht="110.25">
      <c r="A864" s="3" t="s">
        <v>493</v>
      </c>
      <c r="B864" s="4" t="s">
        <v>387</v>
      </c>
      <c r="C864" s="4"/>
      <c r="D864" s="4"/>
      <c r="E864" s="4"/>
      <c r="F864" s="29">
        <f>F865+F868+F871</f>
        <v>9204890</v>
      </c>
      <c r="G864" s="29"/>
    </row>
    <row r="865" spans="1:7" ht="126">
      <c r="A865" s="3" t="s">
        <v>701</v>
      </c>
      <c r="B865" s="4" t="s">
        <v>387</v>
      </c>
      <c r="C865" s="4" t="s">
        <v>312</v>
      </c>
      <c r="D865" s="4"/>
      <c r="E865" s="4"/>
      <c r="F865" s="29">
        <f>F866</f>
        <v>8525401</v>
      </c>
      <c r="G865" s="29"/>
    </row>
    <row r="866" spans="1:7" ht="15.75">
      <c r="A866" s="3" t="s">
        <v>672</v>
      </c>
      <c r="B866" s="4" t="s">
        <v>387</v>
      </c>
      <c r="C866" s="4" t="s">
        <v>312</v>
      </c>
      <c r="D866" s="4" t="s">
        <v>661</v>
      </c>
      <c r="E866" s="4"/>
      <c r="F866" s="29">
        <f>F867</f>
        <v>8525401</v>
      </c>
      <c r="G866" s="29"/>
    </row>
    <row r="867" spans="1:7" ht="31.5">
      <c r="A867" s="3" t="s">
        <v>674</v>
      </c>
      <c r="B867" s="4" t="s">
        <v>387</v>
      </c>
      <c r="C867" s="4" t="s">
        <v>312</v>
      </c>
      <c r="D867" s="4" t="s">
        <v>661</v>
      </c>
      <c r="E867" s="4" t="s">
        <v>307</v>
      </c>
      <c r="F867" s="29">
        <f>прил6!F297</f>
        <v>8525401</v>
      </c>
      <c r="G867" s="29"/>
    </row>
    <row r="868" spans="1:7" ht="47.25">
      <c r="A868" s="3" t="s">
        <v>702</v>
      </c>
      <c r="B868" s="4" t="s">
        <v>387</v>
      </c>
      <c r="C868" s="4" t="s">
        <v>313</v>
      </c>
      <c r="D868" s="4"/>
      <c r="E868" s="4"/>
      <c r="F868" s="29">
        <f>F869</f>
        <v>541307.19</v>
      </c>
      <c r="G868" s="29"/>
    </row>
    <row r="869" spans="1:7" ht="15.75">
      <c r="A869" s="3" t="s">
        <v>672</v>
      </c>
      <c r="B869" s="4" t="s">
        <v>387</v>
      </c>
      <c r="C869" s="4" t="s">
        <v>313</v>
      </c>
      <c r="D869" s="4" t="s">
        <v>661</v>
      </c>
      <c r="E869" s="4"/>
      <c r="F869" s="29">
        <f>F870</f>
        <v>541307.19</v>
      </c>
      <c r="G869" s="29"/>
    </row>
    <row r="870" spans="1:7" ht="31.5">
      <c r="A870" s="3" t="s">
        <v>674</v>
      </c>
      <c r="B870" s="4" t="s">
        <v>387</v>
      </c>
      <c r="C870" s="4" t="s">
        <v>313</v>
      </c>
      <c r="D870" s="4" t="s">
        <v>661</v>
      </c>
      <c r="E870" s="4" t="s">
        <v>307</v>
      </c>
      <c r="F870" s="29">
        <f>прил6!F298</f>
        <v>541307.19</v>
      </c>
      <c r="G870" s="29"/>
    </row>
    <row r="871" spans="1:7" ht="15.75">
      <c r="A871" s="3" t="s">
        <v>556</v>
      </c>
      <c r="B871" s="4" t="s">
        <v>387</v>
      </c>
      <c r="C871" s="4" t="s">
        <v>316</v>
      </c>
      <c r="D871" s="4"/>
      <c r="E871" s="4"/>
      <c r="F871" s="29">
        <f>F872</f>
        <v>138181.81</v>
      </c>
      <c r="G871" s="29"/>
    </row>
    <row r="872" spans="1:7" ht="15.75">
      <c r="A872" s="3" t="s">
        <v>672</v>
      </c>
      <c r="B872" s="4" t="s">
        <v>387</v>
      </c>
      <c r="C872" s="4" t="s">
        <v>316</v>
      </c>
      <c r="D872" s="4" t="s">
        <v>661</v>
      </c>
      <c r="E872" s="4"/>
      <c r="F872" s="29">
        <f>F873</f>
        <v>138181.81</v>
      </c>
      <c r="G872" s="29"/>
    </row>
    <row r="873" spans="1:7" ht="31.5">
      <c r="A873" s="3" t="s">
        <v>674</v>
      </c>
      <c r="B873" s="4" t="s">
        <v>387</v>
      </c>
      <c r="C873" s="4" t="s">
        <v>316</v>
      </c>
      <c r="D873" s="4" t="s">
        <v>661</v>
      </c>
      <c r="E873" s="4" t="s">
        <v>307</v>
      </c>
      <c r="F873" s="29">
        <f>прил6!F299</f>
        <v>138181.81</v>
      </c>
      <c r="G873" s="29"/>
    </row>
    <row r="874" spans="1:7" ht="110.25">
      <c r="A874" s="3" t="s">
        <v>235</v>
      </c>
      <c r="B874" s="4" t="s">
        <v>259</v>
      </c>
      <c r="C874" s="4"/>
      <c r="D874" s="4"/>
      <c r="E874" s="4"/>
      <c r="F874" s="29">
        <f>F875</f>
        <v>167830.5</v>
      </c>
      <c r="G874" s="29"/>
    </row>
    <row r="875" spans="1:7" ht="126">
      <c r="A875" s="3" t="s">
        <v>245</v>
      </c>
      <c r="B875" s="4" t="s">
        <v>259</v>
      </c>
      <c r="C875" s="4" t="s">
        <v>312</v>
      </c>
      <c r="D875" s="4"/>
      <c r="E875" s="4"/>
      <c r="F875" s="29">
        <f>F876</f>
        <v>167830.5</v>
      </c>
      <c r="G875" s="29"/>
    </row>
    <row r="876" spans="1:7" ht="15.75">
      <c r="A876" s="3" t="s">
        <v>672</v>
      </c>
      <c r="B876" s="4" t="s">
        <v>259</v>
      </c>
      <c r="C876" s="4" t="s">
        <v>312</v>
      </c>
      <c r="D876" s="4" t="s">
        <v>661</v>
      </c>
      <c r="E876" s="4"/>
      <c r="F876" s="29">
        <f>F877</f>
        <v>167830.5</v>
      </c>
      <c r="G876" s="29"/>
    </row>
    <row r="877" spans="1:7" ht="31.5">
      <c r="A877" s="3" t="s">
        <v>674</v>
      </c>
      <c r="B877" s="4" t="s">
        <v>259</v>
      </c>
      <c r="C877" s="4" t="s">
        <v>312</v>
      </c>
      <c r="D877" s="4" t="s">
        <v>661</v>
      </c>
      <c r="E877" s="4" t="s">
        <v>307</v>
      </c>
      <c r="F877" s="29">
        <f>прил6!F301</f>
        <v>167830.5</v>
      </c>
      <c r="G877" s="29"/>
    </row>
    <row r="878" spans="1:7" ht="47.25">
      <c r="A878" s="3" t="s">
        <v>419</v>
      </c>
      <c r="B878" s="4" t="s">
        <v>420</v>
      </c>
      <c r="C878" s="4"/>
      <c r="D878" s="4"/>
      <c r="E878" s="4"/>
      <c r="F878" s="29">
        <f>F879</f>
        <v>713919.99</v>
      </c>
      <c r="G878" s="29"/>
    </row>
    <row r="879" spans="1:7" ht="31.5">
      <c r="A879" s="3" t="s">
        <v>719</v>
      </c>
      <c r="B879" s="4" t="s">
        <v>421</v>
      </c>
      <c r="C879" s="4"/>
      <c r="D879" s="4"/>
      <c r="E879" s="4"/>
      <c r="F879" s="29">
        <f>F880+F883</f>
        <v>713919.99</v>
      </c>
      <c r="G879" s="29"/>
    </row>
    <row r="880" spans="1:7" ht="126">
      <c r="A880" s="3" t="s">
        <v>245</v>
      </c>
      <c r="B880" s="4" t="s">
        <v>421</v>
      </c>
      <c r="C880" s="4" t="s">
        <v>312</v>
      </c>
      <c r="D880" s="4"/>
      <c r="E880" s="4"/>
      <c r="F880" s="29">
        <f>F881</f>
        <v>123560</v>
      </c>
      <c r="G880" s="29"/>
    </row>
    <row r="881" spans="1:7" ht="15.75">
      <c r="A881" s="3" t="s">
        <v>670</v>
      </c>
      <c r="B881" s="4" t="s">
        <v>421</v>
      </c>
      <c r="C881" s="4" t="s">
        <v>312</v>
      </c>
      <c r="D881" s="4" t="s">
        <v>651</v>
      </c>
      <c r="E881" s="4"/>
      <c r="F881" s="29">
        <f>F882</f>
        <v>123560</v>
      </c>
      <c r="G881" s="29"/>
    </row>
    <row r="882" spans="1:7" ht="31.5">
      <c r="A882" s="3" t="s">
        <v>680</v>
      </c>
      <c r="B882" s="4" t="s">
        <v>421</v>
      </c>
      <c r="C882" s="4" t="s">
        <v>312</v>
      </c>
      <c r="D882" s="4" t="s">
        <v>651</v>
      </c>
      <c r="E882" s="4" t="s">
        <v>310</v>
      </c>
      <c r="F882" s="29">
        <f>прил6!F197</f>
        <v>123560</v>
      </c>
      <c r="G882" s="29"/>
    </row>
    <row r="883" spans="1:7" ht="47.25">
      <c r="A883" s="3" t="s">
        <v>702</v>
      </c>
      <c r="B883" s="4" t="s">
        <v>421</v>
      </c>
      <c r="C883" s="4" t="s">
        <v>313</v>
      </c>
      <c r="D883" s="4"/>
      <c r="E883" s="4"/>
      <c r="F883" s="29">
        <f>F884</f>
        <v>590359.99</v>
      </c>
      <c r="G883" s="29"/>
    </row>
    <row r="884" spans="1:7" ht="15.75">
      <c r="A884" s="3" t="s">
        <v>670</v>
      </c>
      <c r="B884" s="4" t="s">
        <v>421</v>
      </c>
      <c r="C884" s="4" t="s">
        <v>313</v>
      </c>
      <c r="D884" s="4" t="s">
        <v>651</v>
      </c>
      <c r="E884" s="4"/>
      <c r="F884" s="29">
        <f>F885</f>
        <v>590359.99</v>
      </c>
      <c r="G884" s="29"/>
    </row>
    <row r="885" spans="1:7" ht="31.5">
      <c r="A885" s="3" t="s">
        <v>680</v>
      </c>
      <c r="B885" s="4" t="s">
        <v>421</v>
      </c>
      <c r="C885" s="4" t="s">
        <v>313</v>
      </c>
      <c r="D885" s="4" t="s">
        <v>651</v>
      </c>
      <c r="E885" s="4" t="s">
        <v>310</v>
      </c>
      <c r="F885" s="29">
        <f>прил6!F198</f>
        <v>590359.99</v>
      </c>
      <c r="G885" s="29"/>
    </row>
    <row r="886" spans="1:7" ht="27" customHeight="1">
      <c r="A886" s="79" t="s">
        <v>699</v>
      </c>
      <c r="B886" s="5" t="s">
        <v>700</v>
      </c>
      <c r="C886" s="5"/>
      <c r="D886" s="5"/>
      <c r="E886" s="5"/>
      <c r="F886" s="28">
        <f>F887+F898+F909+F917+F922+F938+F944+F958+F972+F965+F976+F891+F902+F913+F954+F931</f>
        <v>16663655.01</v>
      </c>
      <c r="G886" s="28">
        <f>G887+G898+G909+G917+G922+G938+G944+G958+G972+G965+G976</f>
        <v>0</v>
      </c>
    </row>
    <row r="887" spans="1:7" ht="47.25">
      <c r="A887" s="3" t="s">
        <v>233</v>
      </c>
      <c r="B887" s="4" t="s">
        <v>234</v>
      </c>
      <c r="C887" s="2"/>
      <c r="D887" s="2"/>
      <c r="E887" s="2"/>
      <c r="F887" s="29">
        <f>F888</f>
        <v>2143261.26</v>
      </c>
      <c r="G887" s="33"/>
    </row>
    <row r="888" spans="1:7" ht="126">
      <c r="A888" s="3" t="s">
        <v>701</v>
      </c>
      <c r="B888" s="4" t="s">
        <v>234</v>
      </c>
      <c r="C888" s="4" t="s">
        <v>312</v>
      </c>
      <c r="D888" s="4"/>
      <c r="E888" s="4"/>
      <c r="F888" s="29">
        <f>F889</f>
        <v>2143261.26</v>
      </c>
      <c r="G888" s="29"/>
    </row>
    <row r="889" spans="1:7" ht="15.75">
      <c r="A889" s="3" t="s">
        <v>670</v>
      </c>
      <c r="B889" s="4" t="s">
        <v>234</v>
      </c>
      <c r="C889" s="4" t="s">
        <v>312</v>
      </c>
      <c r="D889" s="4" t="s">
        <v>651</v>
      </c>
      <c r="E889" s="4"/>
      <c r="F889" s="29">
        <f>F890</f>
        <v>2143261.26</v>
      </c>
      <c r="G889" s="29"/>
    </row>
    <row r="890" spans="1:7" ht="63">
      <c r="A890" s="3" t="s">
        <v>362</v>
      </c>
      <c r="B890" s="4" t="s">
        <v>234</v>
      </c>
      <c r="C890" s="4" t="s">
        <v>312</v>
      </c>
      <c r="D890" s="4" t="s">
        <v>651</v>
      </c>
      <c r="E890" s="4" t="s">
        <v>656</v>
      </c>
      <c r="F890" s="29">
        <f>прил6!F14</f>
        <v>2143261.26</v>
      </c>
      <c r="G890" s="29"/>
    </row>
    <row r="891" spans="1:7" ht="47.25">
      <c r="A891" s="3" t="s">
        <v>47</v>
      </c>
      <c r="B891" s="4" t="s">
        <v>48</v>
      </c>
      <c r="C891" s="4"/>
      <c r="D891" s="4"/>
      <c r="E891" s="4"/>
      <c r="F891" s="29">
        <f>F892+F895</f>
        <v>119177.21</v>
      </c>
      <c r="G891" s="29"/>
    </row>
    <row r="892" spans="1:7" ht="126">
      <c r="A892" s="3" t="s">
        <v>701</v>
      </c>
      <c r="B892" s="4" t="s">
        <v>48</v>
      </c>
      <c r="C892" s="4" t="s">
        <v>312</v>
      </c>
      <c r="D892" s="4"/>
      <c r="E892" s="4"/>
      <c r="F892" s="29">
        <f>F893</f>
        <v>62801</v>
      </c>
      <c r="G892" s="29"/>
    </row>
    <row r="893" spans="1:7" ht="30" customHeight="1">
      <c r="A893" s="3" t="s">
        <v>670</v>
      </c>
      <c r="B893" s="4" t="s">
        <v>48</v>
      </c>
      <c r="C893" s="4" t="s">
        <v>312</v>
      </c>
      <c r="D893" s="4" t="s">
        <v>651</v>
      </c>
      <c r="E893" s="4"/>
      <c r="F893" s="29">
        <f>F894</f>
        <v>62801</v>
      </c>
      <c r="G893" s="29"/>
    </row>
    <row r="894" spans="1:7" ht="63">
      <c r="A894" s="3" t="s">
        <v>362</v>
      </c>
      <c r="B894" s="4" t="s">
        <v>48</v>
      </c>
      <c r="C894" s="4" t="s">
        <v>312</v>
      </c>
      <c r="D894" s="4" t="s">
        <v>651</v>
      </c>
      <c r="E894" s="4" t="s">
        <v>656</v>
      </c>
      <c r="F894" s="29">
        <f>прил7!G18</f>
        <v>62801</v>
      </c>
      <c r="G894" s="29"/>
    </row>
    <row r="895" spans="1:7" ht="47.25">
      <c r="A895" s="27" t="s">
        <v>702</v>
      </c>
      <c r="B895" s="4" t="s">
        <v>48</v>
      </c>
      <c r="C895" s="4" t="s">
        <v>313</v>
      </c>
      <c r="D895" s="4"/>
      <c r="E895" s="4"/>
      <c r="F895" s="29">
        <f>F896</f>
        <v>56376.21000000001</v>
      </c>
      <c r="G895" s="29"/>
    </row>
    <row r="896" spans="1:7" ht="15.75">
      <c r="A896" s="3" t="s">
        <v>670</v>
      </c>
      <c r="B896" s="4" t="s">
        <v>48</v>
      </c>
      <c r="C896" s="4" t="s">
        <v>313</v>
      </c>
      <c r="D896" s="4" t="s">
        <v>651</v>
      </c>
      <c r="E896" s="4"/>
      <c r="F896" s="29">
        <f>F897</f>
        <v>56376.21000000001</v>
      </c>
      <c r="G896" s="29"/>
    </row>
    <row r="897" spans="1:7" ht="63">
      <c r="A897" s="3" t="s">
        <v>362</v>
      </c>
      <c r="B897" s="4" t="s">
        <v>48</v>
      </c>
      <c r="C897" s="4" t="s">
        <v>313</v>
      </c>
      <c r="D897" s="4" t="s">
        <v>651</v>
      </c>
      <c r="E897" s="4" t="s">
        <v>656</v>
      </c>
      <c r="F897" s="29">
        <f>прил7!G19</f>
        <v>56376.21000000001</v>
      </c>
      <c r="G897" s="29"/>
    </row>
    <row r="898" spans="1:7" ht="90" customHeight="1">
      <c r="A898" s="3" t="s">
        <v>237</v>
      </c>
      <c r="B898" s="4" t="s">
        <v>238</v>
      </c>
      <c r="C898" s="4"/>
      <c r="D898" s="4"/>
      <c r="E898" s="4"/>
      <c r="F898" s="29">
        <f>F899</f>
        <v>1576145.02</v>
      </c>
      <c r="G898" s="29"/>
    </row>
    <row r="899" spans="1:7" ht="126">
      <c r="A899" s="3" t="s">
        <v>701</v>
      </c>
      <c r="B899" s="4" t="s">
        <v>238</v>
      </c>
      <c r="C899" s="4" t="s">
        <v>312</v>
      </c>
      <c r="D899" s="4"/>
      <c r="E899" s="4"/>
      <c r="F899" s="29">
        <f>F900</f>
        <v>1576145.02</v>
      </c>
      <c r="G899" s="29"/>
    </row>
    <row r="900" spans="1:7" ht="15.75">
      <c r="A900" s="3" t="s">
        <v>670</v>
      </c>
      <c r="B900" s="4" t="s">
        <v>238</v>
      </c>
      <c r="C900" s="4" t="s">
        <v>312</v>
      </c>
      <c r="D900" s="4" t="s">
        <v>651</v>
      </c>
      <c r="E900" s="4"/>
      <c r="F900" s="29">
        <f>F901</f>
        <v>1576145.02</v>
      </c>
      <c r="G900" s="29"/>
    </row>
    <row r="901" spans="1:7" ht="94.5">
      <c r="A901" s="3" t="s">
        <v>318</v>
      </c>
      <c r="B901" s="4" t="s">
        <v>238</v>
      </c>
      <c r="C901" s="4" t="s">
        <v>312</v>
      </c>
      <c r="D901" s="4" t="s">
        <v>651</v>
      </c>
      <c r="E901" s="4" t="s">
        <v>658</v>
      </c>
      <c r="F901" s="29">
        <f>прил6!F23</f>
        <v>1576145.02</v>
      </c>
      <c r="G901" s="29"/>
    </row>
    <row r="902" spans="1:7" ht="63">
      <c r="A902" s="3" t="s">
        <v>49</v>
      </c>
      <c r="B902" s="4" t="s">
        <v>50</v>
      </c>
      <c r="C902" s="4"/>
      <c r="D902" s="4"/>
      <c r="E902" s="4"/>
      <c r="F902" s="29">
        <f>F903+F906</f>
        <v>19272.33</v>
      </c>
      <c r="G902" s="29"/>
    </row>
    <row r="903" spans="1:7" ht="126">
      <c r="A903" s="3" t="s">
        <v>701</v>
      </c>
      <c r="B903" s="4" t="s">
        <v>50</v>
      </c>
      <c r="C903" s="4" t="s">
        <v>312</v>
      </c>
      <c r="D903" s="4"/>
      <c r="E903" s="4"/>
      <c r="F903" s="29">
        <f>F904</f>
        <v>7772.33</v>
      </c>
      <c r="G903" s="29"/>
    </row>
    <row r="904" spans="1:7" ht="15.75">
      <c r="A904" s="3" t="s">
        <v>670</v>
      </c>
      <c r="B904" s="4" t="s">
        <v>50</v>
      </c>
      <c r="C904" s="4" t="s">
        <v>312</v>
      </c>
      <c r="D904" s="4" t="s">
        <v>651</v>
      </c>
      <c r="E904" s="4"/>
      <c r="F904" s="29">
        <f>F905</f>
        <v>7772.33</v>
      </c>
      <c r="G904" s="29"/>
    </row>
    <row r="905" spans="1:7" ht="94.5">
      <c r="A905" s="3" t="s">
        <v>318</v>
      </c>
      <c r="B905" s="4" t="s">
        <v>50</v>
      </c>
      <c r="C905" s="4" t="s">
        <v>312</v>
      </c>
      <c r="D905" s="4" t="s">
        <v>651</v>
      </c>
      <c r="E905" s="4" t="s">
        <v>658</v>
      </c>
      <c r="F905" s="29">
        <f>прил7!G27</f>
        <v>7772.33</v>
      </c>
      <c r="G905" s="29"/>
    </row>
    <row r="906" spans="1:7" ht="47.25">
      <c r="A906" s="27" t="s">
        <v>702</v>
      </c>
      <c r="B906" s="4" t="s">
        <v>50</v>
      </c>
      <c r="C906" s="4" t="s">
        <v>313</v>
      </c>
      <c r="D906" s="4"/>
      <c r="E906" s="4"/>
      <c r="F906" s="29">
        <f>F907</f>
        <v>11500</v>
      </c>
      <c r="G906" s="29"/>
    </row>
    <row r="907" spans="1:7" ht="15.75">
      <c r="A907" s="3" t="s">
        <v>670</v>
      </c>
      <c r="B907" s="4" t="s">
        <v>50</v>
      </c>
      <c r="C907" s="4" t="s">
        <v>313</v>
      </c>
      <c r="D907" s="4" t="s">
        <v>651</v>
      </c>
      <c r="E907" s="4"/>
      <c r="F907" s="29">
        <f>F908</f>
        <v>11500</v>
      </c>
      <c r="G907" s="29"/>
    </row>
    <row r="908" spans="1:7" ht="94.5">
      <c r="A908" s="3" t="s">
        <v>318</v>
      </c>
      <c r="B908" s="4" t="s">
        <v>50</v>
      </c>
      <c r="C908" s="4" t="s">
        <v>313</v>
      </c>
      <c r="D908" s="4" t="s">
        <v>651</v>
      </c>
      <c r="E908" s="4" t="s">
        <v>658</v>
      </c>
      <c r="F908" s="29">
        <f>прил7!G28</f>
        <v>11500</v>
      </c>
      <c r="G908" s="29"/>
    </row>
    <row r="909" spans="1:7" ht="75.75" customHeight="1">
      <c r="A909" s="27" t="s">
        <v>273</v>
      </c>
      <c r="B909" s="4" t="s">
        <v>274</v>
      </c>
      <c r="C909" s="4"/>
      <c r="D909" s="4"/>
      <c r="E909" s="4"/>
      <c r="F909" s="29">
        <f>F910</f>
        <v>1248234.08</v>
      </c>
      <c r="G909" s="29"/>
    </row>
    <row r="910" spans="1:7" ht="60" customHeight="1">
      <c r="A910" s="27" t="s">
        <v>245</v>
      </c>
      <c r="B910" s="4" t="s">
        <v>274</v>
      </c>
      <c r="C910" s="4" t="s">
        <v>312</v>
      </c>
      <c r="D910" s="4"/>
      <c r="E910" s="4"/>
      <c r="F910" s="29">
        <f>F911</f>
        <v>1248234.08</v>
      </c>
      <c r="G910" s="29"/>
    </row>
    <row r="911" spans="1:7" ht="24.75" customHeight="1">
      <c r="A911" s="3" t="s">
        <v>670</v>
      </c>
      <c r="B911" s="4" t="s">
        <v>274</v>
      </c>
      <c r="C911" s="4" t="s">
        <v>312</v>
      </c>
      <c r="D911" s="4" t="s">
        <v>651</v>
      </c>
      <c r="E911" s="4"/>
      <c r="F911" s="29">
        <f>F912</f>
        <v>1248234.08</v>
      </c>
      <c r="G911" s="29"/>
    </row>
    <row r="912" spans="1:7" ht="78.75">
      <c r="A912" s="3" t="s">
        <v>697</v>
      </c>
      <c r="B912" s="4" t="s">
        <v>274</v>
      </c>
      <c r="C912" s="4" t="s">
        <v>312</v>
      </c>
      <c r="D912" s="4" t="s">
        <v>651</v>
      </c>
      <c r="E912" s="4" t="s">
        <v>652</v>
      </c>
      <c r="F912" s="29">
        <f>прил6!F103</f>
        <v>1248234.08</v>
      </c>
      <c r="G912" s="29"/>
    </row>
    <row r="913" spans="1:7" ht="63">
      <c r="A913" s="27" t="s">
        <v>58</v>
      </c>
      <c r="B913" s="4" t="s">
        <v>59</v>
      </c>
      <c r="C913" s="4"/>
      <c r="D913" s="4"/>
      <c r="E913" s="4"/>
      <c r="F913" s="29">
        <f>F914</f>
        <v>86099.9</v>
      </c>
      <c r="G913" s="29"/>
    </row>
    <row r="914" spans="1:7" ht="47.25">
      <c r="A914" s="27" t="s">
        <v>702</v>
      </c>
      <c r="B914" s="4" t="s">
        <v>59</v>
      </c>
      <c r="C914" s="4" t="s">
        <v>313</v>
      </c>
      <c r="D914" s="4"/>
      <c r="E914" s="4"/>
      <c r="F914" s="29">
        <f>F915</f>
        <v>86099.9</v>
      </c>
      <c r="G914" s="29"/>
    </row>
    <row r="915" spans="1:7" ht="15.75">
      <c r="A915" s="3" t="s">
        <v>670</v>
      </c>
      <c r="B915" s="4" t="s">
        <v>59</v>
      </c>
      <c r="C915" s="4" t="s">
        <v>313</v>
      </c>
      <c r="D915" s="4" t="s">
        <v>651</v>
      </c>
      <c r="E915" s="4"/>
      <c r="F915" s="29">
        <f>F916</f>
        <v>86099.9</v>
      </c>
      <c r="G915" s="29"/>
    </row>
    <row r="916" spans="1:7" ht="78.75">
      <c r="A916" s="3" t="s">
        <v>697</v>
      </c>
      <c r="B916" s="4" t="s">
        <v>59</v>
      </c>
      <c r="C916" s="4" t="s">
        <v>313</v>
      </c>
      <c r="D916" s="4" t="s">
        <v>651</v>
      </c>
      <c r="E916" s="4" t="s">
        <v>652</v>
      </c>
      <c r="F916" s="29">
        <f>прил7!G827</f>
        <v>86099.9</v>
      </c>
      <c r="G916" s="29"/>
    </row>
    <row r="917" spans="1:7" ht="47.25">
      <c r="A917" s="27" t="s">
        <v>239</v>
      </c>
      <c r="B917" s="4" t="s">
        <v>240</v>
      </c>
      <c r="C917" s="4"/>
      <c r="D917" s="4"/>
      <c r="E917" s="4"/>
      <c r="F917" s="29">
        <f>F918</f>
        <v>5285979.83</v>
      </c>
      <c r="G917" s="29"/>
    </row>
    <row r="918" spans="1:7" ht="126">
      <c r="A918" s="27" t="s">
        <v>245</v>
      </c>
      <c r="B918" s="4" t="s">
        <v>240</v>
      </c>
      <c r="C918" s="4" t="s">
        <v>312</v>
      </c>
      <c r="D918" s="4"/>
      <c r="E918" s="4"/>
      <c r="F918" s="29">
        <f>F919</f>
        <v>5285979.83</v>
      </c>
      <c r="G918" s="29"/>
    </row>
    <row r="919" spans="1:7" ht="24" customHeight="1">
      <c r="A919" s="3" t="s">
        <v>670</v>
      </c>
      <c r="B919" s="4" t="s">
        <v>240</v>
      </c>
      <c r="C919" s="4" t="s">
        <v>312</v>
      </c>
      <c r="D919" s="4" t="s">
        <v>651</v>
      </c>
      <c r="E919" s="4"/>
      <c r="F919" s="29">
        <f>F920+F921</f>
        <v>5285979.83</v>
      </c>
      <c r="G919" s="29"/>
    </row>
    <row r="920" spans="1:7" ht="94.5">
      <c r="A920" s="3" t="s">
        <v>318</v>
      </c>
      <c r="B920" s="4" t="s">
        <v>240</v>
      </c>
      <c r="C920" s="4" t="s">
        <v>312</v>
      </c>
      <c r="D920" s="4" t="s">
        <v>651</v>
      </c>
      <c r="E920" s="4" t="s">
        <v>658</v>
      </c>
      <c r="F920" s="29">
        <f>прил6!F28</f>
        <v>3299831.5900000003</v>
      </c>
      <c r="G920" s="29"/>
    </row>
    <row r="921" spans="1:7" ht="78.75">
      <c r="A921" s="3" t="s">
        <v>697</v>
      </c>
      <c r="B921" s="4" t="s">
        <v>240</v>
      </c>
      <c r="C921" s="4" t="s">
        <v>312</v>
      </c>
      <c r="D921" s="4" t="s">
        <v>651</v>
      </c>
      <c r="E921" s="4" t="s">
        <v>652</v>
      </c>
      <c r="F921" s="29">
        <f>прил6!F107</f>
        <v>1986148.24</v>
      </c>
      <c r="G921" s="29"/>
    </row>
    <row r="922" spans="1:7" ht="47.25">
      <c r="A922" s="27" t="s">
        <v>241</v>
      </c>
      <c r="B922" s="4" t="s">
        <v>242</v>
      </c>
      <c r="C922" s="4"/>
      <c r="D922" s="4"/>
      <c r="E922" s="4"/>
      <c r="F922" s="29">
        <f>F923+F927</f>
        <v>142351.55</v>
      </c>
      <c r="G922" s="29"/>
    </row>
    <row r="923" spans="1:7" ht="126">
      <c r="A923" s="27" t="s">
        <v>245</v>
      </c>
      <c r="B923" s="4" t="s">
        <v>242</v>
      </c>
      <c r="C923" s="4" t="s">
        <v>312</v>
      </c>
      <c r="D923" s="4"/>
      <c r="E923" s="4"/>
      <c r="F923" s="29">
        <f>F924</f>
        <v>69900</v>
      </c>
      <c r="G923" s="29"/>
    </row>
    <row r="924" spans="1:7" ht="15.75">
      <c r="A924" s="3" t="s">
        <v>670</v>
      </c>
      <c r="B924" s="4" t="s">
        <v>242</v>
      </c>
      <c r="C924" s="4" t="s">
        <v>312</v>
      </c>
      <c r="D924" s="4" t="s">
        <v>651</v>
      </c>
      <c r="E924" s="4"/>
      <c r="F924" s="29">
        <f>F925+F926</f>
        <v>69900</v>
      </c>
      <c r="G924" s="29"/>
    </row>
    <row r="925" spans="1:7" ht="94.5">
      <c r="A925" s="3" t="s">
        <v>318</v>
      </c>
      <c r="B925" s="4" t="s">
        <v>242</v>
      </c>
      <c r="C925" s="4" t="s">
        <v>312</v>
      </c>
      <c r="D925" s="4" t="s">
        <v>651</v>
      </c>
      <c r="E925" s="4" t="s">
        <v>658</v>
      </c>
      <c r="F925" s="29">
        <f>прил6!F30</f>
        <v>69900</v>
      </c>
      <c r="G925" s="29"/>
    </row>
    <row r="926" spans="1:7" ht="78.75">
      <c r="A926" s="3" t="s">
        <v>697</v>
      </c>
      <c r="B926" s="4" t="s">
        <v>242</v>
      </c>
      <c r="C926" s="4" t="s">
        <v>312</v>
      </c>
      <c r="D926" s="4" t="s">
        <v>651</v>
      </c>
      <c r="E926" s="4" t="s">
        <v>652</v>
      </c>
      <c r="F926" s="29">
        <f>прил6!F109</f>
        <v>0</v>
      </c>
      <c r="G926" s="29"/>
    </row>
    <row r="927" spans="1:7" ht="47.25">
      <c r="A927" s="27" t="s">
        <v>702</v>
      </c>
      <c r="B927" s="4" t="s">
        <v>242</v>
      </c>
      <c r="C927" s="4" t="s">
        <v>313</v>
      </c>
      <c r="D927" s="4"/>
      <c r="E927" s="4"/>
      <c r="F927" s="29">
        <f>F928</f>
        <v>72451.54999999999</v>
      </c>
      <c r="G927" s="29"/>
    </row>
    <row r="928" spans="1:7" ht="15.75">
      <c r="A928" s="3" t="s">
        <v>670</v>
      </c>
      <c r="B928" s="4" t="s">
        <v>242</v>
      </c>
      <c r="C928" s="4" t="s">
        <v>313</v>
      </c>
      <c r="D928" s="4" t="s">
        <v>651</v>
      </c>
      <c r="E928" s="4"/>
      <c r="F928" s="29">
        <f>F929+F930</f>
        <v>72451.54999999999</v>
      </c>
      <c r="G928" s="29"/>
    </row>
    <row r="929" spans="1:7" ht="94.5">
      <c r="A929" s="3" t="s">
        <v>318</v>
      </c>
      <c r="B929" s="4" t="s">
        <v>242</v>
      </c>
      <c r="C929" s="4" t="s">
        <v>313</v>
      </c>
      <c r="D929" s="4" t="s">
        <v>651</v>
      </c>
      <c r="E929" s="4" t="s">
        <v>658</v>
      </c>
      <c r="F929" s="29">
        <f>прил6!F31</f>
        <v>28028.949999999997</v>
      </c>
      <c r="G929" s="29"/>
    </row>
    <row r="930" spans="1:7" ht="78.75">
      <c r="A930" s="3" t="s">
        <v>697</v>
      </c>
      <c r="B930" s="4" t="s">
        <v>242</v>
      </c>
      <c r="C930" s="4" t="s">
        <v>313</v>
      </c>
      <c r="D930" s="4" t="s">
        <v>651</v>
      </c>
      <c r="E930" s="4" t="s">
        <v>652</v>
      </c>
      <c r="F930" s="29">
        <f>прил6!F110</f>
        <v>44422.6</v>
      </c>
      <c r="G930" s="29"/>
    </row>
    <row r="931" spans="1:7" ht="204.75">
      <c r="A931" s="3" t="s">
        <v>778</v>
      </c>
      <c r="B931" s="4" t="s">
        <v>779</v>
      </c>
      <c r="C931" s="4"/>
      <c r="D931" s="4"/>
      <c r="E931" s="4"/>
      <c r="F931" s="29">
        <f>F935+F932</f>
        <v>465803.12</v>
      </c>
      <c r="G931" s="29"/>
    </row>
    <row r="932" spans="1:7" ht="126">
      <c r="A932" s="3" t="s">
        <v>701</v>
      </c>
      <c r="B932" s="4" t="s">
        <v>779</v>
      </c>
      <c r="C932" s="4" t="s">
        <v>312</v>
      </c>
      <c r="D932" s="4"/>
      <c r="E932" s="4"/>
      <c r="F932" s="29">
        <f>F933</f>
        <v>150387.57</v>
      </c>
      <c r="G932" s="29"/>
    </row>
    <row r="933" spans="1:7" ht="15.75">
      <c r="A933" s="3" t="s">
        <v>670</v>
      </c>
      <c r="B933" s="4" t="s">
        <v>779</v>
      </c>
      <c r="C933" s="4" t="s">
        <v>561</v>
      </c>
      <c r="D933" s="4" t="s">
        <v>651</v>
      </c>
      <c r="E933" s="4"/>
      <c r="F933" s="29">
        <f>F934</f>
        <v>150387.57</v>
      </c>
      <c r="G933" s="29"/>
    </row>
    <row r="934" spans="1:7" ht="94.5">
      <c r="A934" s="3" t="s">
        <v>318</v>
      </c>
      <c r="B934" s="4" t="s">
        <v>779</v>
      </c>
      <c r="C934" s="4" t="s">
        <v>561</v>
      </c>
      <c r="D934" s="4" t="s">
        <v>651</v>
      </c>
      <c r="E934" s="4" t="s">
        <v>658</v>
      </c>
      <c r="F934" s="29">
        <f>прил6!F33</f>
        <v>150387.57</v>
      </c>
      <c r="G934" s="29"/>
    </row>
    <row r="935" spans="1:7" ht="31.5">
      <c r="A935" s="3" t="s">
        <v>560</v>
      </c>
      <c r="B935" s="4" t="s">
        <v>779</v>
      </c>
      <c r="C935" s="4" t="s">
        <v>561</v>
      </c>
      <c r="D935" s="4"/>
      <c r="E935" s="4"/>
      <c r="F935" s="29">
        <f>F936</f>
        <v>315415.55</v>
      </c>
      <c r="G935" s="29"/>
    </row>
    <row r="936" spans="1:7" ht="15.75">
      <c r="A936" s="3" t="s">
        <v>670</v>
      </c>
      <c r="B936" s="4" t="s">
        <v>779</v>
      </c>
      <c r="C936" s="4" t="s">
        <v>561</v>
      </c>
      <c r="D936" s="4" t="s">
        <v>651</v>
      </c>
      <c r="E936" s="4"/>
      <c r="F936" s="29">
        <f>F937</f>
        <v>315415.55</v>
      </c>
      <c r="G936" s="29"/>
    </row>
    <row r="937" spans="1:7" ht="94.5">
      <c r="A937" s="3" t="s">
        <v>318</v>
      </c>
      <c r="B937" s="4" t="s">
        <v>779</v>
      </c>
      <c r="C937" s="4" t="s">
        <v>561</v>
      </c>
      <c r="D937" s="4" t="s">
        <v>651</v>
      </c>
      <c r="E937" s="4" t="s">
        <v>658</v>
      </c>
      <c r="F937" s="29">
        <f>прил6!F34</f>
        <v>315415.55</v>
      </c>
      <c r="G937" s="29"/>
    </row>
    <row r="938" spans="1:7" ht="110.25">
      <c r="A938" s="3" t="s">
        <v>235</v>
      </c>
      <c r="B938" s="4" t="s">
        <v>236</v>
      </c>
      <c r="C938" s="4"/>
      <c r="D938" s="4"/>
      <c r="E938" s="4"/>
      <c r="F938" s="29">
        <f>F939</f>
        <v>282500</v>
      </c>
      <c r="G938" s="29"/>
    </row>
    <row r="939" spans="1:7" ht="126">
      <c r="A939" s="27" t="s">
        <v>245</v>
      </c>
      <c r="B939" s="4" t="s">
        <v>236</v>
      </c>
      <c r="C939" s="4" t="s">
        <v>312</v>
      </c>
      <c r="D939" s="4"/>
      <c r="E939" s="4"/>
      <c r="F939" s="29">
        <f>F940</f>
        <v>282500</v>
      </c>
      <c r="G939" s="29"/>
    </row>
    <row r="940" spans="1:7" ht="30" customHeight="1">
      <c r="A940" s="3" t="s">
        <v>670</v>
      </c>
      <c r="B940" s="4" t="s">
        <v>236</v>
      </c>
      <c r="C940" s="4" t="s">
        <v>312</v>
      </c>
      <c r="D940" s="4" t="s">
        <v>651</v>
      </c>
      <c r="E940" s="4"/>
      <c r="F940" s="29">
        <f>F941+F942+F943</f>
        <v>282500</v>
      </c>
      <c r="G940" s="29"/>
    </row>
    <row r="941" spans="1:7" ht="63">
      <c r="A941" s="3" t="s">
        <v>362</v>
      </c>
      <c r="B941" s="4" t="s">
        <v>236</v>
      </c>
      <c r="C941" s="4" t="s">
        <v>312</v>
      </c>
      <c r="D941" s="4" t="s">
        <v>651</v>
      </c>
      <c r="E941" s="4" t="s">
        <v>656</v>
      </c>
      <c r="F941" s="29">
        <f>прил6!F19</f>
        <v>45000</v>
      </c>
      <c r="G941" s="29"/>
    </row>
    <row r="942" spans="1:7" ht="94.5">
      <c r="A942" s="3" t="s">
        <v>318</v>
      </c>
      <c r="B942" s="4" t="s">
        <v>236</v>
      </c>
      <c r="C942" s="4" t="s">
        <v>312</v>
      </c>
      <c r="D942" s="4" t="s">
        <v>651</v>
      </c>
      <c r="E942" s="4" t="s">
        <v>658</v>
      </c>
      <c r="F942" s="29">
        <f>прил6!F36</f>
        <v>123100</v>
      </c>
      <c r="G942" s="29"/>
    </row>
    <row r="943" spans="1:7" ht="31.5" customHeight="1">
      <c r="A943" s="3" t="s">
        <v>697</v>
      </c>
      <c r="B943" s="4" t="s">
        <v>236</v>
      </c>
      <c r="C943" s="4" t="s">
        <v>312</v>
      </c>
      <c r="D943" s="4" t="s">
        <v>651</v>
      </c>
      <c r="E943" s="4" t="s">
        <v>652</v>
      </c>
      <c r="F943" s="29">
        <f>прил7!G833</f>
        <v>114400</v>
      </c>
      <c r="G943" s="29"/>
    </row>
    <row r="944" spans="1:7" ht="31.5">
      <c r="A944" s="3" t="s">
        <v>712</v>
      </c>
      <c r="B944" s="4" t="s">
        <v>783</v>
      </c>
      <c r="C944" s="4"/>
      <c r="D944" s="4"/>
      <c r="E944" s="4"/>
      <c r="F944" s="29">
        <f>F945+F951+F948</f>
        <v>500000</v>
      </c>
      <c r="G944" s="29"/>
    </row>
    <row r="945" spans="1:7" ht="47.25" hidden="1">
      <c r="A945" s="3" t="s">
        <v>702</v>
      </c>
      <c r="B945" s="4" t="s">
        <v>713</v>
      </c>
      <c r="C945" s="4" t="s">
        <v>313</v>
      </c>
      <c r="D945" s="4"/>
      <c r="E945" s="4"/>
      <c r="F945" s="29">
        <f>F946</f>
        <v>0</v>
      </c>
      <c r="G945" s="29"/>
    </row>
    <row r="946" spans="1:7" ht="31.5" hidden="1">
      <c r="A946" s="3" t="s">
        <v>671</v>
      </c>
      <c r="B946" s="4" t="s">
        <v>713</v>
      </c>
      <c r="C946" s="4" t="s">
        <v>313</v>
      </c>
      <c r="D946" s="4" t="s">
        <v>658</v>
      </c>
      <c r="E946" s="4"/>
      <c r="F946" s="29">
        <f>F947</f>
        <v>0</v>
      </c>
      <c r="G946" s="29"/>
    </row>
    <row r="947" spans="1:7" ht="63" hidden="1">
      <c r="A947" s="3" t="s">
        <v>350</v>
      </c>
      <c r="B947" s="4" t="s">
        <v>713</v>
      </c>
      <c r="C947" s="4" t="s">
        <v>313</v>
      </c>
      <c r="D947" s="4" t="s">
        <v>658</v>
      </c>
      <c r="E947" s="4" t="s">
        <v>657</v>
      </c>
      <c r="F947" s="29">
        <f>прил6!F232</f>
        <v>0</v>
      </c>
      <c r="G947" s="29"/>
    </row>
    <row r="948" spans="1:7" ht="47.25">
      <c r="A948" s="3" t="s">
        <v>702</v>
      </c>
      <c r="B948" s="4" t="s">
        <v>783</v>
      </c>
      <c r="C948" s="4" t="s">
        <v>313</v>
      </c>
      <c r="D948" s="4"/>
      <c r="E948" s="4"/>
      <c r="F948" s="29">
        <f>F949</f>
        <v>86000</v>
      </c>
      <c r="G948" s="29"/>
    </row>
    <row r="949" spans="1:7" ht="15.75">
      <c r="A949" s="3" t="s">
        <v>672</v>
      </c>
      <c r="B949" s="4" t="s">
        <v>783</v>
      </c>
      <c r="C949" s="4" t="s">
        <v>313</v>
      </c>
      <c r="D949" s="4" t="s">
        <v>661</v>
      </c>
      <c r="E949" s="4"/>
      <c r="F949" s="29">
        <f>F950</f>
        <v>86000</v>
      </c>
      <c r="G949" s="29"/>
    </row>
    <row r="950" spans="1:7" ht="31.5">
      <c r="A950" s="3" t="s">
        <v>674</v>
      </c>
      <c r="B950" s="4" t="s">
        <v>783</v>
      </c>
      <c r="C950" s="4" t="s">
        <v>313</v>
      </c>
      <c r="D950" s="4" t="s">
        <v>661</v>
      </c>
      <c r="E950" s="4" t="s">
        <v>307</v>
      </c>
      <c r="F950" s="29">
        <f>прил7!G336</f>
        <v>86000</v>
      </c>
      <c r="G950" s="29"/>
    </row>
    <row r="951" spans="1:7" ht="15.75">
      <c r="A951" s="3" t="s">
        <v>556</v>
      </c>
      <c r="B951" s="4" t="s">
        <v>783</v>
      </c>
      <c r="C951" s="4" t="s">
        <v>316</v>
      </c>
      <c r="D951" s="4"/>
      <c r="E951" s="4"/>
      <c r="F951" s="29">
        <f>F952</f>
        <v>414000</v>
      </c>
      <c r="G951" s="29"/>
    </row>
    <row r="952" spans="1:7" ht="15.75">
      <c r="A952" s="3" t="s">
        <v>670</v>
      </c>
      <c r="B952" s="4" t="s">
        <v>783</v>
      </c>
      <c r="C952" s="4" t="s">
        <v>316</v>
      </c>
      <c r="D952" s="4" t="s">
        <v>651</v>
      </c>
      <c r="E952" s="4"/>
      <c r="F952" s="29">
        <f>F953</f>
        <v>414000</v>
      </c>
      <c r="G952" s="29"/>
    </row>
    <row r="953" spans="1:7" ht="15.75">
      <c r="A953" s="3" t="s">
        <v>679</v>
      </c>
      <c r="B953" s="4" t="s">
        <v>783</v>
      </c>
      <c r="C953" s="4" t="s">
        <v>316</v>
      </c>
      <c r="D953" s="4" t="s">
        <v>651</v>
      </c>
      <c r="E953" s="4" t="s">
        <v>458</v>
      </c>
      <c r="F953" s="29">
        <f>прил6!F116</f>
        <v>414000</v>
      </c>
      <c r="G953" s="29"/>
    </row>
    <row r="954" spans="1:7" ht="47.25">
      <c r="A954" s="3" t="s">
        <v>512</v>
      </c>
      <c r="B954" s="4" t="s">
        <v>552</v>
      </c>
      <c r="C954" s="4"/>
      <c r="D954" s="4"/>
      <c r="E954" s="4"/>
      <c r="F954" s="29">
        <f>F955</f>
        <v>1500000</v>
      </c>
      <c r="G954" s="29"/>
    </row>
    <row r="955" spans="1:7" ht="47.25">
      <c r="A955" s="3" t="s">
        <v>702</v>
      </c>
      <c r="B955" s="4" t="s">
        <v>552</v>
      </c>
      <c r="C955" s="4" t="s">
        <v>313</v>
      </c>
      <c r="D955" s="4"/>
      <c r="E955" s="4"/>
      <c r="F955" s="29">
        <f>F956</f>
        <v>1500000</v>
      </c>
      <c r="G955" s="29"/>
    </row>
    <row r="956" spans="1:7" ht="15.75">
      <c r="A956" s="3" t="s">
        <v>670</v>
      </c>
      <c r="B956" s="4" t="s">
        <v>552</v>
      </c>
      <c r="C956" s="4" t="s">
        <v>313</v>
      </c>
      <c r="D956" s="4" t="s">
        <v>651</v>
      </c>
      <c r="E956" s="4"/>
      <c r="F956" s="29">
        <f>F957</f>
        <v>1500000</v>
      </c>
      <c r="G956" s="29"/>
    </row>
    <row r="957" spans="1:7" ht="31.5">
      <c r="A957" s="3" t="s">
        <v>680</v>
      </c>
      <c r="B957" s="4" t="s">
        <v>552</v>
      </c>
      <c r="C957" s="4" t="s">
        <v>313</v>
      </c>
      <c r="D957" s="4" t="s">
        <v>651</v>
      </c>
      <c r="E957" s="4" t="s">
        <v>310</v>
      </c>
      <c r="F957" s="29">
        <f>прил6!F201</f>
        <v>1500000</v>
      </c>
      <c r="G957" s="29"/>
    </row>
    <row r="958" spans="1:7" ht="31.5">
      <c r="A958" s="3" t="s">
        <v>687</v>
      </c>
      <c r="B958" s="4" t="s">
        <v>717</v>
      </c>
      <c r="C958" s="4"/>
      <c r="D958" s="4"/>
      <c r="E958" s="4"/>
      <c r="F958" s="29">
        <f>F959+F962</f>
        <v>438890</v>
      </c>
      <c r="G958" s="29"/>
    </row>
    <row r="959" spans="1:7" ht="47.25" hidden="1">
      <c r="A959" s="3" t="s">
        <v>702</v>
      </c>
      <c r="B959" s="4" t="s">
        <v>717</v>
      </c>
      <c r="C959" s="4" t="s">
        <v>313</v>
      </c>
      <c r="D959" s="4"/>
      <c r="E959" s="4"/>
      <c r="F959" s="29">
        <f>F960</f>
        <v>0</v>
      </c>
      <c r="G959" s="29"/>
    </row>
    <row r="960" spans="1:7" ht="15.75" hidden="1">
      <c r="A960" s="3" t="s">
        <v>670</v>
      </c>
      <c r="B960" s="4" t="s">
        <v>717</v>
      </c>
      <c r="C960" s="4" t="s">
        <v>313</v>
      </c>
      <c r="D960" s="4" t="s">
        <v>651</v>
      </c>
      <c r="E960" s="4"/>
      <c r="F960" s="29">
        <f>F961</f>
        <v>0</v>
      </c>
      <c r="G960" s="29"/>
    </row>
    <row r="961" spans="1:7" ht="31.5" hidden="1">
      <c r="A961" s="3" t="s">
        <v>680</v>
      </c>
      <c r="B961" s="4" t="s">
        <v>717</v>
      </c>
      <c r="C961" s="4" t="s">
        <v>313</v>
      </c>
      <c r="D961" s="4" t="s">
        <v>651</v>
      </c>
      <c r="E961" s="4" t="s">
        <v>310</v>
      </c>
      <c r="F961" s="29">
        <f>прил6!F203</f>
        <v>0</v>
      </c>
      <c r="G961" s="29"/>
    </row>
    <row r="962" spans="1:7" ht="15.75">
      <c r="A962" s="3" t="s">
        <v>556</v>
      </c>
      <c r="B962" s="4" t="s">
        <v>717</v>
      </c>
      <c r="C962" s="4" t="s">
        <v>316</v>
      </c>
      <c r="D962" s="4"/>
      <c r="E962" s="4"/>
      <c r="F962" s="29">
        <f>F963</f>
        <v>438890</v>
      </c>
      <c r="G962" s="29"/>
    </row>
    <row r="963" spans="1:7" ht="15.75">
      <c r="A963" s="3" t="s">
        <v>670</v>
      </c>
      <c r="B963" s="4" t="s">
        <v>717</v>
      </c>
      <c r="C963" s="4" t="s">
        <v>316</v>
      </c>
      <c r="D963" s="4" t="s">
        <v>651</v>
      </c>
      <c r="E963" s="4"/>
      <c r="F963" s="29">
        <f>F964</f>
        <v>438890</v>
      </c>
      <c r="G963" s="29"/>
    </row>
    <row r="964" spans="1:7" ht="31.5">
      <c r="A964" s="3" t="s">
        <v>680</v>
      </c>
      <c r="B964" s="4" t="s">
        <v>717</v>
      </c>
      <c r="C964" s="4" t="s">
        <v>316</v>
      </c>
      <c r="D964" s="4" t="s">
        <v>651</v>
      </c>
      <c r="E964" s="4" t="s">
        <v>310</v>
      </c>
      <c r="F964" s="29">
        <f>прил6!F204</f>
        <v>438890</v>
      </c>
      <c r="G964" s="29"/>
    </row>
    <row r="965" spans="1:7" ht="47.25">
      <c r="A965" s="3" t="s">
        <v>215</v>
      </c>
      <c r="B965" s="4" t="s">
        <v>216</v>
      </c>
      <c r="C965" s="4"/>
      <c r="D965" s="4"/>
      <c r="E965" s="4"/>
      <c r="F965" s="29">
        <f>F966+F969</f>
        <v>1900554.71</v>
      </c>
      <c r="G965" s="29"/>
    </row>
    <row r="966" spans="1:7" ht="47.25">
      <c r="A966" s="3" t="s">
        <v>702</v>
      </c>
      <c r="B966" s="4" t="s">
        <v>216</v>
      </c>
      <c r="C966" s="4" t="s">
        <v>313</v>
      </c>
      <c r="D966" s="4"/>
      <c r="E966" s="4"/>
      <c r="F966" s="29">
        <f>F967</f>
        <v>1474443.89</v>
      </c>
      <c r="G966" s="29"/>
    </row>
    <row r="967" spans="1:7" ht="15.75">
      <c r="A967" s="3" t="s">
        <v>670</v>
      </c>
      <c r="B967" s="4" t="s">
        <v>216</v>
      </c>
      <c r="C967" s="4" t="s">
        <v>313</v>
      </c>
      <c r="D967" s="4" t="s">
        <v>651</v>
      </c>
      <c r="E967" s="4"/>
      <c r="F967" s="29">
        <f>F968</f>
        <v>1474443.89</v>
      </c>
      <c r="G967" s="29"/>
    </row>
    <row r="968" spans="1:7" ht="31.5">
      <c r="A968" s="3" t="s">
        <v>680</v>
      </c>
      <c r="B968" s="4" t="s">
        <v>216</v>
      </c>
      <c r="C968" s="4" t="s">
        <v>313</v>
      </c>
      <c r="D968" s="4" t="s">
        <v>651</v>
      </c>
      <c r="E968" s="4" t="s">
        <v>310</v>
      </c>
      <c r="F968" s="29">
        <f>прил6!F206</f>
        <v>1474443.89</v>
      </c>
      <c r="G968" s="29"/>
    </row>
    <row r="969" spans="1:7" ht="15.75">
      <c r="A969" s="3" t="s">
        <v>556</v>
      </c>
      <c r="B969" s="4" t="s">
        <v>216</v>
      </c>
      <c r="C969" s="4" t="s">
        <v>316</v>
      </c>
      <c r="D969" s="4"/>
      <c r="E969" s="4"/>
      <c r="F969" s="29">
        <f>F970</f>
        <v>426110.82</v>
      </c>
      <c r="G969" s="29"/>
    </row>
    <row r="970" spans="1:7" ht="15.75">
      <c r="A970" s="3" t="s">
        <v>670</v>
      </c>
      <c r="B970" s="4" t="s">
        <v>216</v>
      </c>
      <c r="C970" s="4" t="s">
        <v>316</v>
      </c>
      <c r="D970" s="4" t="s">
        <v>651</v>
      </c>
      <c r="E970" s="4"/>
      <c r="F970" s="29">
        <f>F971</f>
        <v>426110.82</v>
      </c>
      <c r="G970" s="29"/>
    </row>
    <row r="971" spans="1:7" ht="31.5">
      <c r="A971" s="3" t="s">
        <v>680</v>
      </c>
      <c r="B971" s="4" t="s">
        <v>216</v>
      </c>
      <c r="C971" s="4" t="s">
        <v>316</v>
      </c>
      <c r="D971" s="4" t="s">
        <v>651</v>
      </c>
      <c r="E971" s="4" t="s">
        <v>310</v>
      </c>
      <c r="F971" s="29">
        <f>прил6!F207</f>
        <v>426110.82</v>
      </c>
      <c r="G971" s="29"/>
    </row>
    <row r="972" spans="1:7" ht="157.5">
      <c r="A972" s="3" t="s">
        <v>423</v>
      </c>
      <c r="B972" s="4" t="s">
        <v>424</v>
      </c>
      <c r="C972" s="4"/>
      <c r="D972" s="4"/>
      <c r="E972" s="4"/>
      <c r="F972" s="29">
        <f>F973</f>
        <v>955386</v>
      </c>
      <c r="G972" s="29"/>
    </row>
    <row r="973" spans="1:7" ht="31.5">
      <c r="A973" s="3" t="s">
        <v>560</v>
      </c>
      <c r="B973" s="4" t="s">
        <v>424</v>
      </c>
      <c r="C973" s="4" t="s">
        <v>561</v>
      </c>
      <c r="D973" s="4"/>
      <c r="E973" s="4"/>
      <c r="F973" s="29">
        <f>F974</f>
        <v>955386</v>
      </c>
      <c r="G973" s="29"/>
    </row>
    <row r="974" spans="1:7" ht="15.75">
      <c r="A974" s="3" t="s">
        <v>665</v>
      </c>
      <c r="B974" s="4" t="s">
        <v>424</v>
      </c>
      <c r="C974" s="4" t="s">
        <v>561</v>
      </c>
      <c r="D974" s="4" t="s">
        <v>659</v>
      </c>
      <c r="E974" s="4"/>
      <c r="F974" s="29">
        <f>F975</f>
        <v>955386</v>
      </c>
      <c r="G974" s="29"/>
    </row>
    <row r="975" spans="1:7" ht="15.75">
      <c r="A975" s="3" t="s">
        <v>683</v>
      </c>
      <c r="B975" s="4" t="s">
        <v>424</v>
      </c>
      <c r="C975" s="4" t="s">
        <v>561</v>
      </c>
      <c r="D975" s="4" t="s">
        <v>659</v>
      </c>
      <c r="E975" s="4" t="s">
        <v>651</v>
      </c>
      <c r="F975" s="29">
        <f>прил6!F584</f>
        <v>955386</v>
      </c>
      <c r="G975" s="29"/>
    </row>
    <row r="976" spans="1:7" ht="31.5" hidden="1">
      <c r="A976" s="3" t="s">
        <v>288</v>
      </c>
      <c r="B976" s="4" t="s">
        <v>289</v>
      </c>
      <c r="C976" s="4"/>
      <c r="D976" s="4"/>
      <c r="E976" s="4"/>
      <c r="F976" s="29">
        <f aca="true" t="shared" si="49" ref="F976:G978">F977</f>
        <v>0</v>
      </c>
      <c r="G976" s="29">
        <f t="shared" si="49"/>
        <v>0</v>
      </c>
    </row>
    <row r="977" spans="1:7" ht="47.25" hidden="1">
      <c r="A977" s="3" t="s">
        <v>702</v>
      </c>
      <c r="B977" s="4" t="s">
        <v>289</v>
      </c>
      <c r="C977" s="4" t="s">
        <v>313</v>
      </c>
      <c r="D977" s="4"/>
      <c r="E977" s="4"/>
      <c r="F977" s="29">
        <f t="shared" si="49"/>
        <v>0</v>
      </c>
      <c r="G977" s="29">
        <f t="shared" si="49"/>
        <v>0</v>
      </c>
    </row>
    <row r="978" spans="1:7" ht="31.5" hidden="1">
      <c r="A978" s="3" t="s">
        <v>671</v>
      </c>
      <c r="B978" s="4" t="s">
        <v>289</v>
      </c>
      <c r="C978" s="4" t="s">
        <v>313</v>
      </c>
      <c r="D978" s="4" t="s">
        <v>658</v>
      </c>
      <c r="E978" s="4"/>
      <c r="F978" s="29">
        <f t="shared" si="49"/>
        <v>0</v>
      </c>
      <c r="G978" s="29">
        <f t="shared" si="49"/>
        <v>0</v>
      </c>
    </row>
    <row r="979" spans="1:7" ht="63" hidden="1">
      <c r="A979" s="3" t="s">
        <v>350</v>
      </c>
      <c r="B979" s="4" t="s">
        <v>289</v>
      </c>
      <c r="C979" s="4" t="s">
        <v>313</v>
      </c>
      <c r="D979" s="4" t="s">
        <v>658</v>
      </c>
      <c r="E979" s="4" t="s">
        <v>657</v>
      </c>
      <c r="F979" s="29">
        <f>прил7!G279</f>
        <v>0</v>
      </c>
      <c r="G979" s="29">
        <f>F979</f>
        <v>0</v>
      </c>
    </row>
    <row r="980" spans="1:7" ht="15.75">
      <c r="A980" s="53" t="s">
        <v>749</v>
      </c>
      <c r="B980" s="55"/>
      <c r="C980" s="55"/>
      <c r="D980" s="55"/>
      <c r="E980" s="55"/>
      <c r="F980" s="57">
        <f>F11+F212+F247+F293+F386+F500+F548+F557+F574+F611+F672+F694+F886+F619</f>
        <v>2230244485.0300007</v>
      </c>
      <c r="G980" s="57">
        <f>G11+G212+G247+G293+G386+G500+G548+G557+G574+G611+G672+G694+G886+G619</f>
        <v>718223275</v>
      </c>
    </row>
    <row r="981" spans="1:7" ht="16.5" customHeight="1">
      <c r="A981" s="17"/>
      <c r="B981" s="18"/>
      <c r="C981" s="18"/>
      <c r="D981" s="18"/>
      <c r="E981" s="18"/>
      <c r="F981" s="44"/>
      <c r="G981" s="44"/>
    </row>
    <row r="982" spans="1:7" ht="15.75" hidden="1">
      <c r="A982" s="17"/>
      <c r="B982" s="18"/>
      <c r="C982" s="18"/>
      <c r="D982" s="18"/>
      <c r="E982" s="18"/>
      <c r="F982" s="44">
        <f>прил6!F682-'прил 8'!F980</f>
        <v>0</v>
      </c>
      <c r="G982" s="44">
        <f>прил6!G682-'прил 8'!G980</f>
        <v>0</v>
      </c>
    </row>
    <row r="983" spans="1:7" ht="15.75">
      <c r="A983" s="17"/>
      <c r="B983" s="18"/>
      <c r="C983" s="18"/>
      <c r="D983" s="242"/>
      <c r="E983" s="242"/>
      <c r="F983" s="44"/>
      <c r="G983" s="44"/>
    </row>
    <row r="984" spans="1:7" ht="15.75">
      <c r="A984" s="17"/>
      <c r="B984" s="18"/>
      <c r="C984" s="18"/>
      <c r="D984" s="18"/>
      <c r="E984" s="18"/>
      <c r="F984" s="44"/>
      <c r="G984" s="44"/>
    </row>
    <row r="985" spans="1:7" ht="15.75">
      <c r="A985" s="17"/>
      <c r="B985" s="18"/>
      <c r="C985" s="18"/>
      <c r="D985" s="18"/>
      <c r="E985" s="18"/>
      <c r="F985" s="44"/>
      <c r="G985" s="44"/>
    </row>
    <row r="986" spans="1:7" ht="15.75">
      <c r="A986" s="17"/>
      <c r="B986" s="18"/>
      <c r="C986" s="18"/>
      <c r="D986" s="18"/>
      <c r="E986" s="18"/>
      <c r="F986" s="44"/>
      <c r="G986" s="44"/>
    </row>
    <row r="987" spans="1:7" ht="15.75">
      <c r="A987" s="17"/>
      <c r="B987" s="18"/>
      <c r="C987" s="18"/>
      <c r="D987" s="18"/>
      <c r="E987" s="18"/>
      <c r="F987" s="44"/>
      <c r="G987" s="44"/>
    </row>
    <row r="988" spans="1:7" ht="15.75">
      <c r="A988" s="17"/>
      <c r="B988" s="18"/>
      <c r="C988" s="18"/>
      <c r="D988" s="18"/>
      <c r="E988" s="18"/>
      <c r="F988" s="44"/>
      <c r="G988" s="44"/>
    </row>
    <row r="989" spans="1:7" ht="15.75">
      <c r="A989" s="17"/>
      <c r="B989" s="18"/>
      <c r="C989" s="18"/>
      <c r="D989" s="18"/>
      <c r="E989" s="18"/>
      <c r="F989" s="44"/>
      <c r="G989" s="44"/>
    </row>
    <row r="990" spans="1:7" ht="15.75">
      <c r="A990" s="17"/>
      <c r="B990" s="18"/>
      <c r="C990" s="18"/>
      <c r="D990" s="18"/>
      <c r="E990" s="18"/>
      <c r="F990" s="44"/>
      <c r="G990" s="44"/>
    </row>
    <row r="991" spans="1:7" ht="15.75">
      <c r="A991" s="17"/>
      <c r="B991" s="18"/>
      <c r="C991" s="18"/>
      <c r="D991" s="18"/>
      <c r="E991" s="18"/>
      <c r="F991" s="44"/>
      <c r="G991" s="44"/>
    </row>
    <row r="992" spans="1:7" ht="15.75">
      <c r="A992" s="17"/>
      <c r="B992" s="18"/>
      <c r="C992" s="18"/>
      <c r="D992" s="18"/>
      <c r="E992" s="18"/>
      <c r="F992" s="44"/>
      <c r="G992" s="44"/>
    </row>
    <row r="993" spans="1:7" ht="15.75">
      <c r="A993" s="17"/>
      <c r="B993" s="18"/>
      <c r="C993" s="18"/>
      <c r="D993" s="18"/>
      <c r="E993" s="18"/>
      <c r="F993" s="44"/>
      <c r="G993" s="44"/>
    </row>
    <row r="994" spans="1:7" ht="15.75">
      <c r="A994" s="17"/>
      <c r="B994" s="18"/>
      <c r="C994" s="18"/>
      <c r="D994" s="18"/>
      <c r="E994" s="18"/>
      <c r="F994" s="44"/>
      <c r="G994" s="44"/>
    </row>
    <row r="995" spans="1:7" ht="15.75">
      <c r="A995" s="17"/>
      <c r="B995" s="18"/>
      <c r="C995" s="18"/>
      <c r="D995" s="18"/>
      <c r="E995" s="18"/>
      <c r="F995" s="44"/>
      <c r="G995" s="44"/>
    </row>
    <row r="996" spans="1:7" ht="15.75">
      <c r="A996" s="17"/>
      <c r="B996" s="18"/>
      <c r="C996" s="18"/>
      <c r="D996" s="18"/>
      <c r="E996" s="18"/>
      <c r="F996" s="44"/>
      <c r="G996" s="44"/>
    </row>
    <row r="997" spans="1:7" ht="15.75">
      <c r="A997" s="17"/>
      <c r="B997" s="18"/>
      <c r="C997" s="18"/>
      <c r="D997" s="18"/>
      <c r="E997" s="18"/>
      <c r="F997" s="44"/>
      <c r="G997" s="44"/>
    </row>
    <row r="998" spans="1:7" ht="15.75">
      <c r="A998" s="17"/>
      <c r="B998" s="18"/>
      <c r="C998" s="18"/>
      <c r="D998" s="18"/>
      <c r="E998" s="18"/>
      <c r="F998" s="44"/>
      <c r="G998" s="44"/>
    </row>
    <row r="999" spans="1:7" ht="15.75">
      <c r="A999" s="17"/>
      <c r="B999" s="18"/>
      <c r="C999" s="18"/>
      <c r="D999" s="18"/>
      <c r="E999" s="18"/>
      <c r="F999" s="44"/>
      <c r="G999" s="44"/>
    </row>
    <row r="1000" spans="1:7" ht="15.75">
      <c r="A1000" s="17"/>
      <c r="B1000" s="18"/>
      <c r="C1000" s="18"/>
      <c r="D1000" s="18"/>
      <c r="E1000" s="18"/>
      <c r="F1000" s="44"/>
      <c r="G1000" s="44"/>
    </row>
    <row r="1001" spans="1:7" ht="15.75">
      <c r="A1001" s="17"/>
      <c r="B1001" s="18"/>
      <c r="C1001" s="18"/>
      <c r="D1001" s="18"/>
      <c r="E1001" s="18"/>
      <c r="F1001" s="44"/>
      <c r="G1001" s="44"/>
    </row>
    <row r="1002" spans="1:7" ht="15.75">
      <c r="A1002" s="17"/>
      <c r="B1002" s="18"/>
      <c r="C1002" s="18"/>
      <c r="D1002" s="18"/>
      <c r="E1002" s="18"/>
      <c r="F1002" s="44"/>
      <c r="G1002" s="44"/>
    </row>
    <row r="1003" spans="1:7" ht="15.75">
      <c r="A1003" s="17"/>
      <c r="B1003" s="18"/>
      <c r="C1003" s="18"/>
      <c r="D1003" s="18"/>
      <c r="E1003" s="18"/>
      <c r="F1003" s="44"/>
      <c r="G1003" s="44"/>
    </row>
    <row r="1004" spans="1:7" ht="15.75">
      <c r="A1004" s="17"/>
      <c r="B1004" s="18"/>
      <c r="C1004" s="18"/>
      <c r="D1004" s="18"/>
      <c r="E1004" s="18"/>
      <c r="F1004" s="44"/>
      <c r="G1004" s="44"/>
    </row>
    <row r="1005" spans="1:7" ht="15.75">
      <c r="A1005" s="17"/>
      <c r="B1005" s="18"/>
      <c r="C1005" s="18"/>
      <c r="D1005" s="18"/>
      <c r="E1005" s="18"/>
      <c r="F1005" s="44"/>
      <c r="G1005" s="44"/>
    </row>
    <row r="1006" spans="1:7" ht="15.75">
      <c r="A1006" s="17"/>
      <c r="B1006" s="18"/>
      <c r="C1006" s="18"/>
      <c r="D1006" s="18"/>
      <c r="E1006" s="18"/>
      <c r="F1006" s="44"/>
      <c r="G1006" s="44"/>
    </row>
    <row r="1007" spans="1:7" ht="15.75">
      <c r="A1007" s="17"/>
      <c r="B1007" s="18"/>
      <c r="C1007" s="18"/>
      <c r="D1007" s="18"/>
      <c r="E1007" s="18"/>
      <c r="F1007" s="44"/>
      <c r="G1007" s="44"/>
    </row>
    <row r="1008" spans="1:7" ht="15.75">
      <c r="A1008" s="17"/>
      <c r="B1008" s="18"/>
      <c r="C1008" s="18"/>
      <c r="D1008" s="18"/>
      <c r="E1008" s="18"/>
      <c r="F1008" s="44"/>
      <c r="G1008" s="44"/>
    </row>
    <row r="1009" spans="1:7" ht="15.75">
      <c r="A1009" s="17"/>
      <c r="B1009" s="18"/>
      <c r="C1009" s="18"/>
      <c r="D1009" s="18"/>
      <c r="E1009" s="18"/>
      <c r="F1009" s="44"/>
      <c r="G1009" s="44"/>
    </row>
    <row r="1010" spans="1:7" ht="15.75">
      <c r="A1010" s="17"/>
      <c r="B1010" s="18"/>
      <c r="C1010" s="18"/>
      <c r="D1010" s="18"/>
      <c r="E1010" s="18"/>
      <c r="F1010" s="44"/>
      <c r="G1010" s="44"/>
    </row>
    <row r="1011" spans="1:7" ht="15.75">
      <c r="A1011" s="17"/>
      <c r="B1011" s="18"/>
      <c r="C1011" s="18"/>
      <c r="D1011" s="18"/>
      <c r="E1011" s="18"/>
      <c r="F1011" s="44"/>
      <c r="G1011" s="44"/>
    </row>
    <row r="1012" spans="1:7" ht="15.75">
      <c r="A1012" s="17"/>
      <c r="B1012" s="18"/>
      <c r="C1012" s="18"/>
      <c r="D1012" s="18"/>
      <c r="E1012" s="18"/>
      <c r="F1012" s="44"/>
      <c r="G1012" s="44"/>
    </row>
    <row r="1013" spans="1:7" ht="15.75">
      <c r="A1013" s="17"/>
      <c r="B1013" s="18"/>
      <c r="C1013" s="18"/>
      <c r="D1013" s="18"/>
      <c r="E1013" s="18"/>
      <c r="F1013" s="44"/>
      <c r="G1013" s="44"/>
    </row>
    <row r="1014" spans="1:7" ht="15.75">
      <c r="A1014" s="17"/>
      <c r="B1014" s="18"/>
      <c r="C1014" s="18"/>
      <c r="D1014" s="18"/>
      <c r="E1014" s="18"/>
      <c r="F1014" s="44"/>
      <c r="G1014" s="44"/>
    </row>
    <row r="1015" spans="1:7" ht="15.75">
      <c r="A1015" s="17"/>
      <c r="B1015" s="18"/>
      <c r="C1015" s="18"/>
      <c r="D1015" s="18"/>
      <c r="E1015" s="18"/>
      <c r="F1015" s="44"/>
      <c r="G1015" s="44"/>
    </row>
    <row r="1016" spans="1:7" ht="15.75">
      <c r="A1016" s="17"/>
      <c r="B1016" s="18"/>
      <c r="C1016" s="18"/>
      <c r="D1016" s="18"/>
      <c r="E1016" s="18"/>
      <c r="F1016" s="44"/>
      <c r="G1016" s="44"/>
    </row>
    <row r="1017" spans="1:7" ht="15.75">
      <c r="A1017" s="17"/>
      <c r="B1017" s="18"/>
      <c r="C1017" s="18"/>
      <c r="D1017" s="18"/>
      <c r="E1017" s="18"/>
      <c r="F1017" s="44"/>
      <c r="G1017" s="44"/>
    </row>
    <row r="1018" spans="1:7" ht="15.75">
      <c r="A1018" s="17"/>
      <c r="B1018" s="18"/>
      <c r="C1018" s="18"/>
      <c r="D1018" s="18"/>
      <c r="E1018" s="18"/>
      <c r="F1018" s="44"/>
      <c r="G1018" s="44"/>
    </row>
    <row r="1019" spans="1:7" ht="15.75">
      <c r="A1019" s="17"/>
      <c r="B1019" s="18"/>
      <c r="C1019" s="18"/>
      <c r="D1019" s="18"/>
      <c r="E1019" s="18"/>
      <c r="F1019" s="44"/>
      <c r="G1019" s="44"/>
    </row>
    <row r="1020" spans="1:7" ht="15.75">
      <c r="A1020" s="17"/>
      <c r="B1020" s="18"/>
      <c r="C1020" s="18"/>
      <c r="D1020" s="18"/>
      <c r="E1020" s="18"/>
      <c r="F1020" s="44"/>
      <c r="G1020" s="44"/>
    </row>
    <row r="1021" spans="1:7" ht="15.75">
      <c r="A1021" s="17"/>
      <c r="B1021" s="18"/>
      <c r="C1021" s="18"/>
      <c r="D1021" s="18"/>
      <c r="E1021" s="18"/>
      <c r="F1021" s="44"/>
      <c r="G1021" s="44"/>
    </row>
    <row r="1022" spans="1:7" ht="15.75">
      <c r="A1022" s="17"/>
      <c r="B1022" s="18"/>
      <c r="C1022" s="18"/>
      <c r="D1022" s="18"/>
      <c r="E1022" s="18"/>
      <c r="F1022" s="44"/>
      <c r="G1022" s="44"/>
    </row>
    <row r="1023" spans="1:7" ht="15.75">
      <c r="A1023" s="17"/>
      <c r="B1023" s="18"/>
      <c r="C1023" s="18"/>
      <c r="D1023" s="18"/>
      <c r="E1023" s="18"/>
      <c r="F1023" s="44"/>
      <c r="G1023" s="44"/>
    </row>
    <row r="1024" spans="1:7" ht="15.75">
      <c r="A1024" s="17"/>
      <c r="B1024" s="18"/>
      <c r="C1024" s="18"/>
      <c r="D1024" s="18"/>
      <c r="E1024" s="18"/>
      <c r="F1024" s="44"/>
      <c r="G1024" s="44"/>
    </row>
    <row r="1025" spans="1:7" ht="15.75">
      <c r="A1025" s="17"/>
      <c r="B1025" s="18"/>
      <c r="C1025" s="18"/>
      <c r="D1025" s="18"/>
      <c r="E1025" s="18"/>
      <c r="F1025" s="44"/>
      <c r="G1025" s="44"/>
    </row>
    <row r="1026" spans="1:7" ht="15.75">
      <c r="A1026" s="17"/>
      <c r="B1026" s="18"/>
      <c r="C1026" s="18"/>
      <c r="D1026" s="18"/>
      <c r="E1026" s="18"/>
      <c r="F1026" s="44"/>
      <c r="G1026" s="44"/>
    </row>
    <row r="1027" spans="1:7" ht="15.75">
      <c r="A1027" s="17"/>
      <c r="B1027" s="18"/>
      <c r="C1027" s="18"/>
      <c r="D1027" s="18"/>
      <c r="E1027" s="18"/>
      <c r="F1027" s="44"/>
      <c r="G1027" s="44"/>
    </row>
    <row r="1028" spans="1:7" ht="15.75">
      <c r="A1028" s="17"/>
      <c r="B1028" s="18"/>
      <c r="C1028" s="18"/>
      <c r="D1028" s="18"/>
      <c r="E1028" s="18"/>
      <c r="F1028" s="44"/>
      <c r="G1028" s="44"/>
    </row>
    <row r="1029" spans="1:7" ht="15.75">
      <c r="A1029" s="17"/>
      <c r="B1029" s="18"/>
      <c r="C1029" s="18"/>
      <c r="D1029" s="18"/>
      <c r="E1029" s="18"/>
      <c r="F1029" s="44"/>
      <c r="G1029" s="44"/>
    </row>
    <row r="1030" spans="1:7" ht="15.75">
      <c r="A1030" s="17"/>
      <c r="B1030" s="18"/>
      <c r="C1030" s="18"/>
      <c r="D1030" s="18"/>
      <c r="E1030" s="18"/>
      <c r="F1030" s="44"/>
      <c r="G1030" s="44"/>
    </row>
    <row r="1031" spans="1:7" ht="15.75">
      <c r="A1031" s="17"/>
      <c r="B1031" s="18"/>
      <c r="C1031" s="18"/>
      <c r="D1031" s="18"/>
      <c r="E1031" s="18"/>
      <c r="F1031" s="44"/>
      <c r="G1031" s="44"/>
    </row>
    <row r="1032" spans="1:7" ht="15.75">
      <c r="A1032" s="17"/>
      <c r="B1032" s="18"/>
      <c r="C1032" s="18"/>
      <c r="D1032" s="18"/>
      <c r="E1032" s="18"/>
      <c r="F1032" s="44"/>
      <c r="G1032" s="44"/>
    </row>
    <row r="1033" spans="1:7" ht="15.75">
      <c r="A1033" s="17"/>
      <c r="B1033" s="18"/>
      <c r="C1033" s="18"/>
      <c r="D1033" s="18"/>
      <c r="E1033" s="18"/>
      <c r="F1033" s="44"/>
      <c r="G1033" s="44"/>
    </row>
    <row r="1034" spans="1:7" ht="15.75">
      <c r="A1034" s="17"/>
      <c r="B1034" s="18"/>
      <c r="C1034" s="18"/>
      <c r="D1034" s="18"/>
      <c r="E1034" s="18"/>
      <c r="F1034" s="44"/>
      <c r="G1034" s="44"/>
    </row>
    <row r="1035" spans="1:7" ht="15.75">
      <c r="A1035" s="17"/>
      <c r="B1035" s="18"/>
      <c r="C1035" s="18"/>
      <c r="D1035" s="18"/>
      <c r="E1035" s="18"/>
      <c r="F1035" s="44"/>
      <c r="G1035" s="44"/>
    </row>
    <row r="1036" spans="1:7" ht="15.75">
      <c r="A1036" s="17"/>
      <c r="B1036" s="18"/>
      <c r="C1036" s="18"/>
      <c r="D1036" s="18"/>
      <c r="E1036" s="18"/>
      <c r="F1036" s="44"/>
      <c r="G1036" s="44"/>
    </row>
    <row r="1037" spans="1:7" ht="15.75">
      <c r="A1037" s="17"/>
      <c r="B1037" s="18"/>
      <c r="C1037" s="18"/>
      <c r="D1037" s="18"/>
      <c r="E1037" s="18"/>
      <c r="F1037" s="44"/>
      <c r="G1037" s="44"/>
    </row>
    <row r="1038" spans="1:7" ht="15.75">
      <c r="A1038" s="17"/>
      <c r="B1038" s="18"/>
      <c r="C1038" s="18"/>
      <c r="D1038" s="18"/>
      <c r="E1038" s="18"/>
      <c r="F1038" s="44"/>
      <c r="G1038" s="44"/>
    </row>
    <row r="1039" spans="1:7" ht="15.75">
      <c r="A1039" s="17"/>
      <c r="B1039" s="18"/>
      <c r="C1039" s="18"/>
      <c r="D1039" s="18"/>
      <c r="E1039" s="18"/>
      <c r="F1039" s="44"/>
      <c r="G1039" s="44"/>
    </row>
    <row r="1040" spans="1:7" ht="15.75">
      <c r="A1040" s="17"/>
      <c r="B1040" s="18"/>
      <c r="C1040" s="18"/>
      <c r="D1040" s="18"/>
      <c r="E1040" s="18"/>
      <c r="F1040" s="44"/>
      <c r="G1040" s="44"/>
    </row>
    <row r="1041" spans="1:7" ht="15.75">
      <c r="A1041" s="17"/>
      <c r="B1041" s="18"/>
      <c r="C1041" s="18"/>
      <c r="D1041" s="18"/>
      <c r="E1041" s="18"/>
      <c r="F1041" s="44"/>
      <c r="G1041" s="44"/>
    </row>
    <row r="1042" spans="1:7" ht="15.75">
      <c r="A1042" s="17"/>
      <c r="B1042" s="18"/>
      <c r="C1042" s="18"/>
      <c r="D1042" s="18"/>
      <c r="E1042" s="18"/>
      <c r="F1042" s="44"/>
      <c r="G1042" s="44"/>
    </row>
    <row r="1043" spans="1:7" ht="15.75">
      <c r="A1043" s="17"/>
      <c r="B1043" s="18"/>
      <c r="C1043" s="18"/>
      <c r="D1043" s="18"/>
      <c r="E1043" s="18"/>
      <c r="F1043" s="44"/>
      <c r="G1043" s="44"/>
    </row>
    <row r="1044" spans="1:7" ht="15.75">
      <c r="A1044" s="17"/>
      <c r="B1044" s="18"/>
      <c r="C1044" s="18"/>
      <c r="D1044" s="18"/>
      <c r="E1044" s="18"/>
      <c r="F1044" s="44"/>
      <c r="G1044" s="44"/>
    </row>
    <row r="1045" spans="1:7" ht="15.75">
      <c r="A1045" s="17"/>
      <c r="B1045" s="18"/>
      <c r="C1045" s="18"/>
      <c r="D1045" s="18"/>
      <c r="E1045" s="18"/>
      <c r="F1045" s="44"/>
      <c r="G1045" s="44"/>
    </row>
    <row r="1046" spans="1:7" ht="15.75">
      <c r="A1046" s="17"/>
      <c r="B1046" s="18"/>
      <c r="C1046" s="18"/>
      <c r="D1046" s="18"/>
      <c r="E1046" s="18"/>
      <c r="F1046" s="44"/>
      <c r="G1046" s="44"/>
    </row>
    <row r="1047" spans="1:7" ht="15.75">
      <c r="A1047" s="17"/>
      <c r="B1047" s="18"/>
      <c r="C1047" s="18"/>
      <c r="D1047" s="18"/>
      <c r="E1047" s="18"/>
      <c r="F1047" s="44"/>
      <c r="G1047" s="44"/>
    </row>
    <row r="1048" spans="1:7" ht="15.75">
      <c r="A1048" s="17"/>
      <c r="B1048" s="18"/>
      <c r="C1048" s="18"/>
      <c r="D1048" s="18"/>
      <c r="E1048" s="18"/>
      <c r="F1048" s="44"/>
      <c r="G1048" s="44"/>
    </row>
    <row r="1049" spans="1:7" ht="15.75">
      <c r="A1049" s="17"/>
      <c r="B1049" s="18"/>
      <c r="C1049" s="18"/>
      <c r="D1049" s="18"/>
      <c r="E1049" s="18"/>
      <c r="F1049" s="44"/>
      <c r="G1049" s="44"/>
    </row>
    <row r="1050" spans="1:7" ht="15.75">
      <c r="A1050" s="17"/>
      <c r="B1050" s="18"/>
      <c r="C1050" s="18"/>
      <c r="D1050" s="18"/>
      <c r="E1050" s="18"/>
      <c r="F1050" s="44"/>
      <c r="G1050" s="44"/>
    </row>
    <row r="1051" spans="1:7" ht="15.75">
      <c r="A1051" s="17"/>
      <c r="B1051" s="18"/>
      <c r="C1051" s="18"/>
      <c r="D1051" s="18"/>
      <c r="E1051" s="18"/>
      <c r="F1051" s="44"/>
      <c r="G1051" s="44"/>
    </row>
    <row r="1052" spans="1:7" ht="15.75">
      <c r="A1052" s="17"/>
      <c r="B1052" s="18"/>
      <c r="C1052" s="18"/>
      <c r="D1052" s="18"/>
      <c r="E1052" s="18"/>
      <c r="F1052" s="44"/>
      <c r="G1052" s="44"/>
    </row>
    <row r="1053" spans="1:7" ht="15.75">
      <c r="A1053" s="17"/>
      <c r="B1053" s="18"/>
      <c r="C1053" s="18"/>
      <c r="D1053" s="18"/>
      <c r="E1053" s="18"/>
      <c r="F1053" s="44"/>
      <c r="G1053" s="44"/>
    </row>
    <row r="1054" spans="1:7" ht="15.75">
      <c r="A1054" s="17"/>
      <c r="B1054" s="18"/>
      <c r="C1054" s="18"/>
      <c r="D1054" s="18"/>
      <c r="E1054" s="18"/>
      <c r="F1054" s="44"/>
      <c r="G1054" s="44"/>
    </row>
    <row r="1055" spans="1:7" ht="15.75">
      <c r="A1055" s="17"/>
      <c r="B1055" s="18"/>
      <c r="C1055" s="18"/>
      <c r="D1055" s="18"/>
      <c r="E1055" s="18"/>
      <c r="F1055" s="44"/>
      <c r="G1055" s="44"/>
    </row>
    <row r="1056" spans="1:7" ht="15.75">
      <c r="A1056" s="17"/>
      <c r="B1056" s="18"/>
      <c r="C1056" s="18"/>
      <c r="D1056" s="18"/>
      <c r="E1056" s="18"/>
      <c r="F1056" s="44"/>
      <c r="G1056" s="44"/>
    </row>
    <row r="1057" spans="1:7" ht="15.75">
      <c r="A1057" s="17"/>
      <c r="B1057" s="18"/>
      <c r="C1057" s="18"/>
      <c r="D1057" s="18"/>
      <c r="E1057" s="18"/>
      <c r="F1057" s="44"/>
      <c r="G1057" s="44"/>
    </row>
    <row r="1058" spans="1:7" ht="15.75">
      <c r="A1058" s="17"/>
      <c r="B1058" s="18"/>
      <c r="C1058" s="18"/>
      <c r="D1058" s="18"/>
      <c r="E1058" s="18"/>
      <c r="F1058" s="44"/>
      <c r="G1058" s="44"/>
    </row>
    <row r="1059" spans="1:7" ht="15.75">
      <c r="A1059" s="17"/>
      <c r="B1059" s="18"/>
      <c r="C1059" s="18"/>
      <c r="D1059" s="18"/>
      <c r="E1059" s="18"/>
      <c r="F1059" s="44"/>
      <c r="G1059" s="44"/>
    </row>
    <row r="1060" spans="1:7" ht="15.75">
      <c r="A1060" s="17"/>
      <c r="B1060" s="18"/>
      <c r="C1060" s="18"/>
      <c r="D1060" s="18"/>
      <c r="E1060" s="18"/>
      <c r="F1060" s="44"/>
      <c r="G1060" s="44"/>
    </row>
    <row r="1061" spans="1:7" ht="15.75">
      <c r="A1061" s="17"/>
      <c r="B1061" s="18"/>
      <c r="C1061" s="18"/>
      <c r="D1061" s="18"/>
      <c r="E1061" s="18"/>
      <c r="F1061" s="44"/>
      <c r="G1061" s="44"/>
    </row>
    <row r="1062" spans="1:7" ht="15.75">
      <c r="A1062" s="17"/>
      <c r="B1062" s="18"/>
      <c r="C1062" s="18"/>
      <c r="D1062" s="18"/>
      <c r="E1062" s="18"/>
      <c r="F1062" s="44"/>
      <c r="G1062" s="44"/>
    </row>
    <row r="1063" spans="1:7" ht="15.75">
      <c r="A1063" s="17"/>
      <c r="B1063" s="18"/>
      <c r="C1063" s="18"/>
      <c r="D1063" s="18"/>
      <c r="E1063" s="18"/>
      <c r="F1063" s="44"/>
      <c r="G1063" s="44"/>
    </row>
    <row r="1064" spans="1:7" ht="15.75">
      <c r="A1064" s="17"/>
      <c r="B1064" s="18"/>
      <c r="C1064" s="18"/>
      <c r="D1064" s="18"/>
      <c r="E1064" s="18"/>
      <c r="F1064" s="44"/>
      <c r="G1064" s="44"/>
    </row>
    <row r="1065" spans="1:7" ht="15.75">
      <c r="A1065" s="17"/>
      <c r="B1065" s="18"/>
      <c r="C1065" s="18"/>
      <c r="D1065" s="18"/>
      <c r="E1065" s="18"/>
      <c r="F1065" s="44"/>
      <c r="G1065" s="44"/>
    </row>
    <row r="1066" spans="1:7" ht="15.75">
      <c r="A1066" s="17"/>
      <c r="B1066" s="18"/>
      <c r="C1066" s="18"/>
      <c r="D1066" s="18"/>
      <c r="E1066" s="18"/>
      <c r="F1066" s="44"/>
      <c r="G1066" s="44"/>
    </row>
    <row r="1067" spans="1:7" ht="15.75">
      <c r="A1067" s="17"/>
      <c r="B1067" s="18"/>
      <c r="C1067" s="18"/>
      <c r="D1067" s="18"/>
      <c r="E1067" s="18"/>
      <c r="F1067" s="44"/>
      <c r="G1067" s="44"/>
    </row>
    <row r="1068" spans="1:7" ht="15.75">
      <c r="A1068" s="17"/>
      <c r="B1068" s="18"/>
      <c r="C1068" s="18"/>
      <c r="D1068" s="18"/>
      <c r="E1068" s="18"/>
      <c r="F1068" s="44"/>
      <c r="G1068" s="44"/>
    </row>
    <row r="1069" spans="1:7" ht="15.75">
      <c r="A1069" s="17"/>
      <c r="B1069" s="18"/>
      <c r="C1069" s="18"/>
      <c r="D1069" s="18"/>
      <c r="E1069" s="18"/>
      <c r="F1069" s="44"/>
      <c r="G1069" s="44"/>
    </row>
    <row r="1070" spans="1:7" ht="15.75">
      <c r="A1070" s="17"/>
      <c r="B1070" s="18"/>
      <c r="C1070" s="18"/>
      <c r="D1070" s="18"/>
      <c r="E1070" s="18"/>
      <c r="F1070" s="44"/>
      <c r="G1070" s="44"/>
    </row>
    <row r="1071" spans="1:7" ht="15.75">
      <c r="A1071" s="17"/>
      <c r="B1071" s="18"/>
      <c r="C1071" s="18"/>
      <c r="D1071" s="18"/>
      <c r="E1071" s="18"/>
      <c r="F1071" s="44"/>
      <c r="G1071" s="44"/>
    </row>
    <row r="1072" spans="1:7" ht="15.75">
      <c r="A1072" s="17"/>
      <c r="B1072" s="18"/>
      <c r="C1072" s="18"/>
      <c r="D1072" s="18"/>
      <c r="E1072" s="18"/>
      <c r="F1072" s="44"/>
      <c r="G1072" s="44"/>
    </row>
    <row r="1073" spans="1:7" ht="15.75">
      <c r="A1073" s="17"/>
      <c r="B1073" s="18"/>
      <c r="C1073" s="18"/>
      <c r="D1073" s="18"/>
      <c r="E1073" s="18"/>
      <c r="F1073" s="44"/>
      <c r="G1073" s="44"/>
    </row>
    <row r="1074" spans="1:7" ht="15.75">
      <c r="A1074" s="17"/>
      <c r="B1074" s="18"/>
      <c r="C1074" s="18"/>
      <c r="D1074" s="18"/>
      <c r="E1074" s="18"/>
      <c r="F1074" s="44"/>
      <c r="G1074" s="44"/>
    </row>
    <row r="1075" spans="1:7" ht="15.75">
      <c r="A1075" s="17"/>
      <c r="B1075" s="18"/>
      <c r="C1075" s="18"/>
      <c r="D1075" s="18"/>
      <c r="E1075" s="18"/>
      <c r="F1075" s="44"/>
      <c r="G1075" s="44"/>
    </row>
    <row r="1076" spans="1:7" ht="15.75">
      <c r="A1076" s="17"/>
      <c r="B1076" s="18"/>
      <c r="C1076" s="18"/>
      <c r="D1076" s="18"/>
      <c r="E1076" s="18"/>
      <c r="F1076" s="44"/>
      <c r="G1076" s="44"/>
    </row>
    <row r="1077" spans="1:7" ht="15.75">
      <c r="A1077" s="17"/>
      <c r="B1077" s="18"/>
      <c r="C1077" s="18"/>
      <c r="D1077" s="18"/>
      <c r="E1077" s="18"/>
      <c r="F1077" s="44"/>
      <c r="G1077" s="44"/>
    </row>
    <row r="1078" spans="1:7" ht="15.75">
      <c r="A1078" s="17"/>
      <c r="B1078" s="18"/>
      <c r="C1078" s="18"/>
      <c r="D1078" s="18"/>
      <c r="E1078" s="18"/>
      <c r="F1078" s="44"/>
      <c r="G1078" s="44"/>
    </row>
    <row r="1079" spans="1:7" ht="15.75">
      <c r="A1079" s="17"/>
      <c r="B1079" s="18"/>
      <c r="C1079" s="18"/>
      <c r="D1079" s="18"/>
      <c r="E1079" s="18"/>
      <c r="F1079" s="44"/>
      <c r="G1079" s="44"/>
    </row>
    <row r="1080" spans="1:7" ht="15.75">
      <c r="A1080" s="17"/>
      <c r="B1080" s="18"/>
      <c r="C1080" s="18"/>
      <c r="D1080" s="18"/>
      <c r="E1080" s="18"/>
      <c r="F1080" s="44"/>
      <c r="G1080" s="44"/>
    </row>
    <row r="1081" spans="1:7" ht="15.75">
      <c r="A1081" s="17"/>
      <c r="B1081" s="18"/>
      <c r="C1081" s="18"/>
      <c r="D1081" s="18"/>
      <c r="E1081" s="18"/>
      <c r="F1081" s="44"/>
      <c r="G1081" s="44"/>
    </row>
    <row r="1082" spans="1:7" ht="15.75">
      <c r="A1082" s="17"/>
      <c r="B1082" s="18"/>
      <c r="C1082" s="18"/>
      <c r="D1082" s="18"/>
      <c r="E1082" s="18"/>
      <c r="F1082" s="44"/>
      <c r="G1082" s="44"/>
    </row>
    <row r="1083" spans="1:7" ht="15.75">
      <c r="A1083" s="17"/>
      <c r="B1083" s="18"/>
      <c r="C1083" s="18"/>
      <c r="D1083" s="18"/>
      <c r="E1083" s="18"/>
      <c r="F1083" s="44"/>
      <c r="G1083" s="44"/>
    </row>
    <row r="1084" spans="1:7" ht="15.75">
      <c r="A1084" s="17"/>
      <c r="B1084" s="18"/>
      <c r="C1084" s="18"/>
      <c r="D1084" s="18"/>
      <c r="E1084" s="18"/>
      <c r="F1084" s="44"/>
      <c r="G1084" s="44"/>
    </row>
    <row r="1085" spans="1:7" ht="15.75">
      <c r="A1085" s="17"/>
      <c r="B1085" s="18"/>
      <c r="C1085" s="18"/>
      <c r="D1085" s="18"/>
      <c r="E1085" s="18"/>
      <c r="F1085" s="44"/>
      <c r="G1085" s="44"/>
    </row>
    <row r="1086" spans="1:7" ht="15.75">
      <c r="A1086" s="17"/>
      <c r="B1086" s="18"/>
      <c r="C1086" s="18"/>
      <c r="D1086" s="18"/>
      <c r="E1086" s="18"/>
      <c r="F1086" s="44"/>
      <c r="G1086" s="44"/>
    </row>
    <row r="1087" spans="1:7" ht="15.75">
      <c r="A1087" s="17"/>
      <c r="B1087" s="18"/>
      <c r="C1087" s="18"/>
      <c r="D1087" s="18"/>
      <c r="E1087" s="18"/>
      <c r="F1087" s="44"/>
      <c r="G1087" s="44"/>
    </row>
    <row r="1088" spans="1:7" ht="15.75">
      <c r="A1088" s="17"/>
      <c r="B1088" s="18"/>
      <c r="C1088" s="18"/>
      <c r="D1088" s="18"/>
      <c r="E1088" s="18"/>
      <c r="F1088" s="44"/>
      <c r="G1088" s="44"/>
    </row>
    <row r="1089" spans="1:7" ht="15.75">
      <c r="A1089" s="17"/>
      <c r="B1089" s="18"/>
      <c r="C1089" s="18"/>
      <c r="D1089" s="18"/>
      <c r="E1089" s="18"/>
      <c r="F1089" s="44"/>
      <c r="G1089" s="44"/>
    </row>
    <row r="1090" spans="1:7" ht="15.75">
      <c r="A1090" s="17"/>
      <c r="B1090" s="18"/>
      <c r="C1090" s="18"/>
      <c r="D1090" s="18"/>
      <c r="E1090" s="18"/>
      <c r="F1090" s="44"/>
      <c r="G1090" s="44"/>
    </row>
    <row r="1091" spans="1:7" ht="15.75">
      <c r="A1091" s="17"/>
      <c r="B1091" s="18"/>
      <c r="C1091" s="18"/>
      <c r="D1091" s="18"/>
      <c r="E1091" s="18"/>
      <c r="F1091" s="44"/>
      <c r="G1091" s="44"/>
    </row>
    <row r="1092" spans="1:7" ht="15.75">
      <c r="A1092" s="17"/>
      <c r="B1092" s="18"/>
      <c r="C1092" s="18"/>
      <c r="D1092" s="18"/>
      <c r="E1092" s="18"/>
      <c r="F1092" s="44"/>
      <c r="G1092" s="44"/>
    </row>
    <row r="1093" spans="1:7" ht="15.75">
      <c r="A1093" s="17"/>
      <c r="B1093" s="18"/>
      <c r="C1093" s="18"/>
      <c r="D1093" s="18"/>
      <c r="E1093" s="18"/>
      <c r="F1093" s="44"/>
      <c r="G1093" s="44"/>
    </row>
    <row r="1094" spans="1:7" ht="15.75">
      <c r="A1094" s="17"/>
      <c r="B1094" s="18"/>
      <c r="C1094" s="18"/>
      <c r="D1094" s="18"/>
      <c r="E1094" s="18"/>
      <c r="F1094" s="44"/>
      <c r="G1094" s="44"/>
    </row>
    <row r="1095" spans="1:7" ht="15.75">
      <c r="A1095" s="17"/>
      <c r="B1095" s="18"/>
      <c r="C1095" s="18"/>
      <c r="D1095" s="18"/>
      <c r="E1095" s="18"/>
      <c r="F1095" s="44"/>
      <c r="G1095" s="44"/>
    </row>
    <row r="1096" spans="1:7" ht="15.75">
      <c r="A1096" s="17"/>
      <c r="B1096" s="18"/>
      <c r="C1096" s="18"/>
      <c r="D1096" s="18"/>
      <c r="E1096" s="18"/>
      <c r="F1096" s="44"/>
      <c r="G1096" s="44"/>
    </row>
    <row r="1097" spans="1:7" ht="15.75">
      <c r="A1097" s="17"/>
      <c r="B1097" s="18"/>
      <c r="C1097" s="18"/>
      <c r="D1097" s="18"/>
      <c r="E1097" s="18"/>
      <c r="F1097" s="44"/>
      <c r="G1097" s="44"/>
    </row>
    <row r="1098" spans="1:7" ht="15.75">
      <c r="A1098" s="17"/>
      <c r="B1098" s="18"/>
      <c r="C1098" s="18"/>
      <c r="D1098" s="18"/>
      <c r="E1098" s="18"/>
      <c r="F1098" s="44"/>
      <c r="G1098" s="44"/>
    </row>
    <row r="1099" spans="1:7" ht="15.75">
      <c r="A1099" s="17"/>
      <c r="B1099" s="18"/>
      <c r="C1099" s="18"/>
      <c r="D1099" s="18"/>
      <c r="E1099" s="18"/>
      <c r="F1099" s="44"/>
      <c r="G1099" s="44"/>
    </row>
    <row r="1100" spans="1:7" ht="15.75">
      <c r="A1100" s="17"/>
      <c r="B1100" s="18"/>
      <c r="C1100" s="18"/>
      <c r="D1100" s="18"/>
      <c r="E1100" s="18"/>
      <c r="F1100" s="44"/>
      <c r="G1100" s="44"/>
    </row>
    <row r="1101" spans="1:7" ht="15.75">
      <c r="A1101" s="17"/>
      <c r="B1101" s="18"/>
      <c r="C1101" s="18"/>
      <c r="D1101" s="18"/>
      <c r="E1101" s="18"/>
      <c r="F1101" s="44"/>
      <c r="G1101" s="44"/>
    </row>
    <row r="1102" spans="1:7" ht="15.75">
      <c r="A1102" s="17"/>
      <c r="B1102" s="18"/>
      <c r="C1102" s="18"/>
      <c r="D1102" s="18"/>
      <c r="E1102" s="18"/>
      <c r="F1102" s="44"/>
      <c r="G1102" s="44"/>
    </row>
    <row r="1103" spans="1:7" ht="15.75">
      <c r="A1103" s="17"/>
      <c r="B1103" s="18"/>
      <c r="C1103" s="18"/>
      <c r="D1103" s="18"/>
      <c r="E1103" s="18"/>
      <c r="F1103" s="44"/>
      <c r="G1103" s="44"/>
    </row>
    <row r="1104" spans="1:7" ht="15.75">
      <c r="A1104" s="17"/>
      <c r="B1104" s="18"/>
      <c r="C1104" s="18"/>
      <c r="D1104" s="18"/>
      <c r="E1104" s="18"/>
      <c r="F1104" s="44"/>
      <c r="G1104" s="44"/>
    </row>
    <row r="1105" spans="1:7" ht="15.75">
      <c r="A1105" s="17"/>
      <c r="B1105" s="18"/>
      <c r="C1105" s="18"/>
      <c r="D1105" s="18"/>
      <c r="E1105" s="18"/>
      <c r="F1105" s="44"/>
      <c r="G1105" s="44"/>
    </row>
    <row r="1106" spans="1:7" ht="15.75">
      <c r="A1106" s="17"/>
      <c r="B1106" s="18"/>
      <c r="C1106" s="18"/>
      <c r="D1106" s="18"/>
      <c r="E1106" s="18"/>
      <c r="F1106" s="44"/>
      <c r="G1106" s="44"/>
    </row>
    <row r="1107" spans="1:7" ht="15.75">
      <c r="A1107" s="17"/>
      <c r="B1107" s="18"/>
      <c r="C1107" s="18"/>
      <c r="D1107" s="18"/>
      <c r="E1107" s="18"/>
      <c r="F1107" s="44"/>
      <c r="G1107" s="44"/>
    </row>
    <row r="1108" spans="1:7" ht="15.75">
      <c r="A1108" s="17"/>
      <c r="B1108" s="18"/>
      <c r="C1108" s="18"/>
      <c r="D1108" s="18"/>
      <c r="E1108" s="18"/>
      <c r="F1108" s="44"/>
      <c r="G1108" s="44"/>
    </row>
    <row r="1109" spans="1:7" ht="15.75">
      <c r="A1109" s="17"/>
      <c r="B1109" s="18"/>
      <c r="C1109" s="18"/>
      <c r="D1109" s="18"/>
      <c r="E1109" s="18"/>
      <c r="F1109" s="44"/>
      <c r="G1109" s="44"/>
    </row>
    <row r="1110" spans="1:7" ht="15.75">
      <c r="A1110" s="17"/>
      <c r="B1110" s="18"/>
      <c r="C1110" s="18"/>
      <c r="D1110" s="18"/>
      <c r="E1110" s="18"/>
      <c r="F1110" s="44"/>
      <c r="G1110" s="44"/>
    </row>
    <row r="1111" spans="1:7" ht="15.75">
      <c r="A1111" s="17"/>
      <c r="B1111" s="18"/>
      <c r="C1111" s="18"/>
      <c r="D1111" s="18"/>
      <c r="E1111" s="18"/>
      <c r="F1111" s="44"/>
      <c r="G1111" s="44"/>
    </row>
    <row r="1112" spans="1:7" ht="15.75">
      <c r="A1112" s="17"/>
      <c r="B1112" s="18"/>
      <c r="C1112" s="18"/>
      <c r="D1112" s="18"/>
      <c r="E1112" s="18"/>
      <c r="F1112" s="44"/>
      <c r="G1112" s="44"/>
    </row>
    <row r="1113" spans="1:7" ht="15.75">
      <c r="A1113" s="17"/>
      <c r="B1113" s="18"/>
      <c r="C1113" s="18"/>
      <c r="D1113" s="18"/>
      <c r="E1113" s="18"/>
      <c r="F1113" s="44"/>
      <c r="G1113" s="44"/>
    </row>
    <row r="1114" spans="1:7" ht="15.75">
      <c r="A1114" s="17"/>
      <c r="B1114" s="18"/>
      <c r="C1114" s="18"/>
      <c r="D1114" s="18"/>
      <c r="E1114" s="18"/>
      <c r="F1114" s="44"/>
      <c r="G1114" s="44"/>
    </row>
    <row r="1115" spans="1:7" ht="15.75">
      <c r="A1115" s="17"/>
      <c r="B1115" s="18"/>
      <c r="C1115" s="18"/>
      <c r="D1115" s="18"/>
      <c r="E1115" s="18"/>
      <c r="F1115" s="44"/>
      <c r="G1115" s="44"/>
    </row>
    <row r="1116" spans="1:7" ht="15.75">
      <c r="A1116" s="17"/>
      <c r="B1116" s="18"/>
      <c r="C1116" s="18"/>
      <c r="D1116" s="18"/>
      <c r="E1116" s="18"/>
      <c r="F1116" s="44"/>
      <c r="G1116" s="44"/>
    </row>
    <row r="1117" spans="1:7" ht="15.75">
      <c r="A1117" s="17"/>
      <c r="B1117" s="18"/>
      <c r="C1117" s="18"/>
      <c r="D1117" s="18"/>
      <c r="E1117" s="18"/>
      <c r="F1117" s="44"/>
      <c r="G1117" s="44"/>
    </row>
    <row r="1118" spans="1:7" ht="15.75">
      <c r="A1118" s="17"/>
      <c r="B1118" s="18"/>
      <c r="C1118" s="18"/>
      <c r="D1118" s="18"/>
      <c r="E1118" s="18"/>
      <c r="F1118" s="44"/>
      <c r="G1118" s="44"/>
    </row>
    <row r="1119" spans="1:7" ht="15.75">
      <c r="A1119" s="17"/>
      <c r="B1119" s="18"/>
      <c r="C1119" s="18"/>
      <c r="D1119" s="18"/>
      <c r="E1119" s="18"/>
      <c r="F1119" s="44"/>
      <c r="G1119" s="44"/>
    </row>
    <row r="1120" spans="1:7" ht="15.75">
      <c r="A1120" s="17"/>
      <c r="B1120" s="18"/>
      <c r="C1120" s="18"/>
      <c r="D1120" s="18"/>
      <c r="E1120" s="18"/>
      <c r="F1120" s="44"/>
      <c r="G1120" s="44"/>
    </row>
    <row r="1121" spans="1:7" ht="15.75">
      <c r="A1121" s="17"/>
      <c r="B1121" s="18"/>
      <c r="C1121" s="18"/>
      <c r="D1121" s="18"/>
      <c r="E1121" s="18"/>
      <c r="F1121" s="44"/>
      <c r="G1121" s="44"/>
    </row>
    <row r="1122" spans="1:7" ht="15.75">
      <c r="A1122" s="17"/>
      <c r="B1122" s="18"/>
      <c r="C1122" s="18"/>
      <c r="D1122" s="18"/>
      <c r="E1122" s="18"/>
      <c r="F1122" s="44"/>
      <c r="G1122" s="44"/>
    </row>
    <row r="1123" spans="1:7" ht="15.75">
      <c r="A1123" s="17"/>
      <c r="B1123" s="18"/>
      <c r="C1123" s="18"/>
      <c r="D1123" s="18"/>
      <c r="E1123" s="18"/>
      <c r="F1123" s="44"/>
      <c r="G1123" s="44"/>
    </row>
    <row r="1124" spans="1:7" ht="15.75">
      <c r="A1124" s="17"/>
      <c r="B1124" s="18"/>
      <c r="C1124" s="18"/>
      <c r="D1124" s="18"/>
      <c r="E1124" s="18"/>
      <c r="F1124" s="44"/>
      <c r="G1124" s="44"/>
    </row>
    <row r="1125" spans="1:7" ht="15.75">
      <c r="A1125" s="17"/>
      <c r="B1125" s="18"/>
      <c r="C1125" s="18"/>
      <c r="D1125" s="18"/>
      <c r="E1125" s="18"/>
      <c r="F1125" s="44"/>
      <c r="G1125" s="44"/>
    </row>
    <row r="1126" spans="1:7" ht="15.75">
      <c r="A1126" s="17"/>
      <c r="B1126" s="18"/>
      <c r="C1126" s="18"/>
      <c r="D1126" s="18"/>
      <c r="E1126" s="18"/>
      <c r="F1126" s="44"/>
      <c r="G1126" s="44"/>
    </row>
    <row r="1127" spans="1:7" ht="15.75">
      <c r="A1127" s="17"/>
      <c r="B1127" s="18"/>
      <c r="C1127" s="18"/>
      <c r="D1127" s="18"/>
      <c r="E1127" s="18"/>
      <c r="F1127" s="44"/>
      <c r="G1127" s="44"/>
    </row>
    <row r="1128" spans="1:7" ht="15.75">
      <c r="A1128" s="17"/>
      <c r="B1128" s="18"/>
      <c r="C1128" s="18"/>
      <c r="D1128" s="18"/>
      <c r="E1128" s="18"/>
      <c r="F1128" s="44"/>
      <c r="G1128" s="44"/>
    </row>
    <row r="1129" spans="1:7" ht="15.75">
      <c r="A1129" s="17"/>
      <c r="B1129" s="18"/>
      <c r="C1129" s="18"/>
      <c r="D1129" s="18"/>
      <c r="E1129" s="18"/>
      <c r="F1129" s="44"/>
      <c r="G1129" s="44"/>
    </row>
    <row r="1130" spans="1:7" ht="15.75">
      <c r="A1130" s="17"/>
      <c r="B1130" s="18"/>
      <c r="C1130" s="18"/>
      <c r="D1130" s="18"/>
      <c r="E1130" s="18"/>
      <c r="F1130" s="44"/>
      <c r="G1130" s="44"/>
    </row>
    <row r="1131" spans="1:7" ht="15.75">
      <c r="A1131" s="17"/>
      <c r="B1131" s="18"/>
      <c r="C1131" s="18"/>
      <c r="D1131" s="18"/>
      <c r="E1131" s="18"/>
      <c r="F1131" s="44"/>
      <c r="G1131" s="44"/>
    </row>
    <row r="1132" spans="1:7" ht="15.75">
      <c r="A1132" s="17"/>
      <c r="B1132" s="18"/>
      <c r="C1132" s="18"/>
      <c r="D1132" s="18"/>
      <c r="E1132" s="18"/>
      <c r="F1132" s="44"/>
      <c r="G1132" s="44"/>
    </row>
    <row r="1133" spans="1:7" ht="15.75">
      <c r="A1133" s="17"/>
      <c r="B1133" s="18"/>
      <c r="C1133" s="18"/>
      <c r="D1133" s="18"/>
      <c r="E1133" s="18"/>
      <c r="F1133" s="44"/>
      <c r="G1133" s="44"/>
    </row>
    <row r="1134" spans="1:7" ht="15.75">
      <c r="A1134" s="17"/>
      <c r="B1134" s="18"/>
      <c r="C1134" s="18"/>
      <c r="D1134" s="18"/>
      <c r="E1134" s="18"/>
      <c r="F1134" s="44"/>
      <c r="G1134" s="44"/>
    </row>
    <row r="1135" spans="1:7" ht="15.75">
      <c r="A1135" s="17"/>
      <c r="B1135" s="18"/>
      <c r="C1135" s="18"/>
      <c r="D1135" s="18"/>
      <c r="E1135" s="18"/>
      <c r="F1135" s="44"/>
      <c r="G1135" s="44"/>
    </row>
    <row r="1136" spans="1:7" ht="15.75">
      <c r="A1136" s="17"/>
      <c r="B1136" s="18"/>
      <c r="C1136" s="18"/>
      <c r="D1136" s="18"/>
      <c r="E1136" s="18"/>
      <c r="F1136" s="44"/>
      <c r="G1136" s="44"/>
    </row>
    <row r="1137" spans="1:7" ht="15.75">
      <c r="A1137" s="17"/>
      <c r="B1137" s="18"/>
      <c r="C1137" s="18"/>
      <c r="D1137" s="18"/>
      <c r="E1137" s="18"/>
      <c r="F1137" s="44"/>
      <c r="G1137" s="44"/>
    </row>
    <row r="1138" spans="1:7" ht="15.75">
      <c r="A1138" s="17"/>
      <c r="B1138" s="18"/>
      <c r="C1138" s="18"/>
      <c r="D1138" s="18"/>
      <c r="E1138" s="18"/>
      <c r="F1138" s="44"/>
      <c r="G1138" s="44"/>
    </row>
    <row r="1139" spans="1:7" ht="15.75">
      <c r="A1139" s="17"/>
      <c r="B1139" s="18"/>
      <c r="C1139" s="18"/>
      <c r="D1139" s="18"/>
      <c r="E1139" s="18"/>
      <c r="F1139" s="44"/>
      <c r="G1139" s="44"/>
    </row>
    <row r="1140" spans="1:7" ht="15.75">
      <c r="A1140" s="17"/>
      <c r="B1140" s="18"/>
      <c r="C1140" s="18"/>
      <c r="D1140" s="18"/>
      <c r="E1140" s="18"/>
      <c r="F1140" s="44"/>
      <c r="G1140" s="44"/>
    </row>
    <row r="1141" spans="1:7" ht="15.75">
      <c r="A1141" s="17"/>
      <c r="B1141" s="18"/>
      <c r="C1141" s="18"/>
      <c r="D1141" s="18"/>
      <c r="E1141" s="18"/>
      <c r="F1141" s="44"/>
      <c r="G1141" s="44"/>
    </row>
    <row r="1142" spans="1:7" ht="15.75">
      <c r="A1142" s="17"/>
      <c r="B1142" s="18"/>
      <c r="C1142" s="18"/>
      <c r="D1142" s="18"/>
      <c r="E1142" s="18"/>
      <c r="F1142" s="44"/>
      <c r="G1142" s="44"/>
    </row>
    <row r="1143" spans="1:7" ht="15.75">
      <c r="A1143" s="17"/>
      <c r="B1143" s="18"/>
      <c r="C1143" s="18"/>
      <c r="D1143" s="18"/>
      <c r="E1143" s="18"/>
      <c r="F1143" s="44"/>
      <c r="G1143" s="44"/>
    </row>
    <row r="1144" spans="1:7" ht="15.75">
      <c r="A1144" s="17"/>
      <c r="B1144" s="18"/>
      <c r="C1144" s="18"/>
      <c r="D1144" s="18"/>
      <c r="E1144" s="18"/>
      <c r="F1144" s="44"/>
      <c r="G1144" s="44"/>
    </row>
    <row r="1145" spans="1:7" ht="15.75">
      <c r="A1145" s="17"/>
      <c r="B1145" s="18"/>
      <c r="C1145" s="18"/>
      <c r="D1145" s="18"/>
      <c r="E1145" s="18"/>
      <c r="F1145" s="44"/>
      <c r="G1145" s="44"/>
    </row>
    <row r="1146" spans="1:7" ht="15.75">
      <c r="A1146" s="17"/>
      <c r="B1146" s="18"/>
      <c r="C1146" s="18"/>
      <c r="D1146" s="18"/>
      <c r="E1146" s="18"/>
      <c r="F1146" s="44"/>
      <c r="G1146" s="44"/>
    </row>
    <row r="1147" spans="1:7" ht="15.75">
      <c r="A1147" s="17"/>
      <c r="B1147" s="18"/>
      <c r="C1147" s="18"/>
      <c r="D1147" s="18"/>
      <c r="E1147" s="18"/>
      <c r="F1147" s="44"/>
      <c r="G1147" s="44"/>
    </row>
    <row r="1148" spans="1:7" ht="15.75">
      <c r="A1148" s="17"/>
      <c r="B1148" s="18"/>
      <c r="C1148" s="18"/>
      <c r="D1148" s="18"/>
      <c r="E1148" s="18"/>
      <c r="F1148" s="44"/>
      <c r="G1148" s="44"/>
    </row>
    <row r="1149" spans="1:7" ht="15.75">
      <c r="A1149" s="17"/>
      <c r="B1149" s="18"/>
      <c r="C1149" s="18"/>
      <c r="D1149" s="18"/>
      <c r="E1149" s="18"/>
      <c r="F1149" s="44"/>
      <c r="G1149" s="44"/>
    </row>
    <row r="1150" spans="1:7" ht="15.75">
      <c r="A1150" s="17"/>
      <c r="B1150" s="18"/>
      <c r="C1150" s="18"/>
      <c r="D1150" s="18"/>
      <c r="E1150" s="18"/>
      <c r="F1150" s="44"/>
      <c r="G1150" s="44"/>
    </row>
    <row r="1151" spans="1:7" ht="15.75">
      <c r="A1151" s="17"/>
      <c r="B1151" s="18"/>
      <c r="C1151" s="18"/>
      <c r="D1151" s="18"/>
      <c r="E1151" s="18"/>
      <c r="F1151" s="44"/>
      <c r="G1151" s="44"/>
    </row>
    <row r="1152" spans="1:7" ht="15.75">
      <c r="A1152" s="17"/>
      <c r="B1152" s="18"/>
      <c r="C1152" s="18"/>
      <c r="D1152" s="18"/>
      <c r="E1152" s="18"/>
      <c r="F1152" s="44"/>
      <c r="G1152" s="44"/>
    </row>
    <row r="1153" spans="1:7" ht="15.75">
      <c r="A1153" s="17"/>
      <c r="B1153" s="18"/>
      <c r="C1153" s="18"/>
      <c r="D1153" s="18"/>
      <c r="E1153" s="18"/>
      <c r="F1153" s="44"/>
      <c r="G1153" s="44"/>
    </row>
    <row r="1154" spans="1:7" ht="15.75">
      <c r="A1154" s="17"/>
      <c r="B1154" s="18"/>
      <c r="C1154" s="18"/>
      <c r="D1154" s="18"/>
      <c r="E1154" s="18"/>
      <c r="F1154" s="44"/>
      <c r="G1154" s="44"/>
    </row>
    <row r="1155" spans="1:7" ht="15.75">
      <c r="A1155" s="17"/>
      <c r="B1155" s="18"/>
      <c r="C1155" s="18"/>
      <c r="D1155" s="18"/>
      <c r="E1155" s="18"/>
      <c r="F1155" s="44"/>
      <c r="G1155" s="44"/>
    </row>
    <row r="1156" spans="1:7" ht="15.75">
      <c r="A1156" s="17"/>
      <c r="B1156" s="18"/>
      <c r="C1156" s="18"/>
      <c r="D1156" s="18"/>
      <c r="E1156" s="18"/>
      <c r="F1156" s="44"/>
      <c r="G1156" s="44"/>
    </row>
    <row r="1157" spans="1:7" ht="15.75">
      <c r="A1157" s="17"/>
      <c r="B1157" s="18"/>
      <c r="C1157" s="18"/>
      <c r="D1157" s="18"/>
      <c r="E1157" s="18"/>
      <c r="F1157" s="44"/>
      <c r="G1157" s="44"/>
    </row>
    <row r="1158" spans="1:7" ht="15.75">
      <c r="A1158" s="17"/>
      <c r="B1158" s="18"/>
      <c r="C1158" s="18"/>
      <c r="D1158" s="18"/>
      <c r="E1158" s="18"/>
      <c r="F1158" s="44"/>
      <c r="G1158" s="44"/>
    </row>
    <row r="1159" spans="1:7" ht="15.75">
      <c r="A1159" s="17"/>
      <c r="B1159" s="18"/>
      <c r="C1159" s="18"/>
      <c r="D1159" s="18"/>
      <c r="E1159" s="18"/>
      <c r="F1159" s="44"/>
      <c r="G1159" s="44"/>
    </row>
    <row r="1160" spans="1:7" ht="15.75">
      <c r="A1160" s="17"/>
      <c r="B1160" s="18"/>
      <c r="C1160" s="18"/>
      <c r="D1160" s="18"/>
      <c r="E1160" s="18"/>
      <c r="F1160" s="44"/>
      <c r="G1160" s="44"/>
    </row>
    <row r="1161" spans="1:7" ht="15.75">
      <c r="A1161" s="17"/>
      <c r="B1161" s="18"/>
      <c r="C1161" s="18"/>
      <c r="D1161" s="18"/>
      <c r="E1161" s="18"/>
      <c r="F1161" s="44"/>
      <c r="G1161" s="44"/>
    </row>
    <row r="1162" spans="1:7" ht="15.75">
      <c r="A1162" s="17"/>
      <c r="B1162" s="18"/>
      <c r="C1162" s="18"/>
      <c r="D1162" s="18"/>
      <c r="E1162" s="18"/>
      <c r="F1162" s="44"/>
      <c r="G1162" s="44"/>
    </row>
    <row r="1163" spans="1:7" ht="15.75">
      <c r="A1163" s="17"/>
      <c r="B1163" s="18"/>
      <c r="C1163" s="18"/>
      <c r="D1163" s="18"/>
      <c r="E1163" s="18"/>
      <c r="F1163" s="44"/>
      <c r="G1163" s="44"/>
    </row>
    <row r="1164" spans="2:5" ht="15.75">
      <c r="B1164" s="19"/>
      <c r="C1164" s="19"/>
      <c r="D1164" s="19"/>
      <c r="E1164" s="19"/>
    </row>
    <row r="1165" spans="2:5" ht="15.75">
      <c r="B1165" s="19"/>
      <c r="C1165" s="19"/>
      <c r="D1165" s="19"/>
      <c r="E1165" s="19"/>
    </row>
    <row r="1166" spans="2:5" ht="15.75">
      <c r="B1166" s="19"/>
      <c r="C1166" s="19"/>
      <c r="D1166" s="19"/>
      <c r="E1166" s="19"/>
    </row>
    <row r="1167" spans="2:5" ht="15.75">
      <c r="B1167" s="19"/>
      <c r="C1167" s="19"/>
      <c r="D1167" s="19"/>
      <c r="E1167" s="19"/>
    </row>
    <row r="1168" spans="2:5" ht="15.75">
      <c r="B1168" s="19"/>
      <c r="C1168" s="19"/>
      <c r="D1168" s="19"/>
      <c r="E1168" s="19"/>
    </row>
    <row r="1169" spans="2:5" ht="15.75">
      <c r="B1169" s="19"/>
      <c r="C1169" s="19"/>
      <c r="D1169" s="19"/>
      <c r="E1169" s="19"/>
    </row>
    <row r="1170" spans="2:5" ht="15.75">
      <c r="B1170" s="19"/>
      <c r="C1170" s="19"/>
      <c r="D1170" s="19"/>
      <c r="E1170" s="19"/>
    </row>
    <row r="1171" spans="2:5" ht="15.75">
      <c r="B1171" s="19"/>
      <c r="C1171" s="19"/>
      <c r="D1171" s="19"/>
      <c r="E1171" s="19"/>
    </row>
    <row r="1172" spans="2:5" ht="15.75">
      <c r="B1172" s="19"/>
      <c r="C1172" s="19"/>
      <c r="D1172" s="19"/>
      <c r="E1172" s="19"/>
    </row>
    <row r="1173" spans="2:5" ht="15.75">
      <c r="B1173" s="19"/>
      <c r="C1173" s="19"/>
      <c r="D1173" s="19"/>
      <c r="E1173" s="19"/>
    </row>
    <row r="1174" spans="2:5" ht="15.75">
      <c r="B1174" s="19"/>
      <c r="C1174" s="19"/>
      <c r="D1174" s="19"/>
      <c r="E1174" s="19"/>
    </row>
    <row r="1175" spans="2:5" ht="15.75">
      <c r="B1175" s="19"/>
      <c r="C1175" s="19"/>
      <c r="D1175" s="19"/>
      <c r="E1175" s="19"/>
    </row>
    <row r="1176" spans="2:5" ht="15.75">
      <c r="B1176" s="19"/>
      <c r="C1176" s="19"/>
      <c r="D1176" s="19"/>
      <c r="E1176" s="19"/>
    </row>
    <row r="1177" spans="2:5" ht="15.75">
      <c r="B1177" s="19"/>
      <c r="C1177" s="19"/>
      <c r="D1177" s="19"/>
      <c r="E1177" s="19"/>
    </row>
    <row r="1178" spans="2:5" ht="15.75">
      <c r="B1178" s="19"/>
      <c r="C1178" s="19"/>
      <c r="D1178" s="19"/>
      <c r="E1178" s="19"/>
    </row>
    <row r="1179" spans="2:5" ht="15.75">
      <c r="B1179" s="19"/>
      <c r="C1179" s="19"/>
      <c r="D1179" s="19"/>
      <c r="E1179" s="19"/>
    </row>
    <row r="1180" spans="2:5" ht="15.75">
      <c r="B1180" s="19"/>
      <c r="C1180" s="19"/>
      <c r="D1180" s="19"/>
      <c r="E1180" s="19"/>
    </row>
    <row r="1181" spans="2:5" ht="15.75">
      <c r="B1181" s="19"/>
      <c r="C1181" s="19"/>
      <c r="D1181" s="19"/>
      <c r="E1181" s="19"/>
    </row>
    <row r="1182" spans="2:5" ht="15.75">
      <c r="B1182" s="19"/>
      <c r="C1182" s="19"/>
      <c r="D1182" s="19"/>
      <c r="E1182" s="19"/>
    </row>
    <row r="1183" spans="2:5" ht="15.75">
      <c r="B1183" s="19"/>
      <c r="C1183" s="19"/>
      <c r="D1183" s="19"/>
      <c r="E1183" s="19"/>
    </row>
    <row r="1184" spans="2:5" ht="15.75">
      <c r="B1184" s="19"/>
      <c r="C1184" s="19"/>
      <c r="D1184" s="19"/>
      <c r="E1184" s="19"/>
    </row>
    <row r="1185" spans="2:5" ht="15.75">
      <c r="B1185" s="19"/>
      <c r="C1185" s="19"/>
      <c r="D1185" s="19"/>
      <c r="E1185" s="19"/>
    </row>
    <row r="1186" spans="2:5" ht="15.75">
      <c r="B1186" s="19"/>
      <c r="C1186" s="19"/>
      <c r="D1186" s="19"/>
      <c r="E1186" s="19"/>
    </row>
    <row r="1187" spans="2:5" ht="15.75">
      <c r="B1187" s="19"/>
      <c r="C1187" s="19"/>
      <c r="D1187" s="19"/>
      <c r="E1187" s="19"/>
    </row>
    <row r="1188" spans="2:5" ht="15.75">
      <c r="B1188" s="19"/>
      <c r="C1188" s="19"/>
      <c r="D1188" s="19"/>
      <c r="E1188" s="19"/>
    </row>
    <row r="1189" spans="2:5" ht="15.75">
      <c r="B1189" s="19"/>
      <c r="C1189" s="19"/>
      <c r="D1189" s="19"/>
      <c r="E1189" s="19"/>
    </row>
    <row r="1190" spans="2:5" ht="15.75">
      <c r="B1190" s="19"/>
      <c r="C1190" s="19"/>
      <c r="D1190" s="19"/>
      <c r="E1190" s="19"/>
    </row>
    <row r="1191" spans="2:5" ht="15.75">
      <c r="B1191" s="19"/>
      <c r="C1191" s="19"/>
      <c r="D1191" s="19"/>
      <c r="E1191" s="19"/>
    </row>
    <row r="1192" spans="2:5" ht="15.75">
      <c r="B1192" s="19"/>
      <c r="C1192" s="19"/>
      <c r="D1192" s="19"/>
      <c r="E1192" s="19"/>
    </row>
    <row r="1193" spans="2:5" ht="15.75">
      <c r="B1193" s="19"/>
      <c r="C1193" s="19"/>
      <c r="D1193" s="19"/>
      <c r="E1193" s="19"/>
    </row>
    <row r="1194" spans="2:5" ht="15.75">
      <c r="B1194" s="19"/>
      <c r="C1194" s="19"/>
      <c r="D1194" s="19"/>
      <c r="E1194" s="19"/>
    </row>
    <row r="1195" spans="2:5" ht="15.75">
      <c r="B1195" s="19"/>
      <c r="C1195" s="19"/>
      <c r="D1195" s="19"/>
      <c r="E1195" s="19"/>
    </row>
    <row r="1196" spans="2:5" ht="15.75">
      <c r="B1196" s="19"/>
      <c r="C1196" s="19"/>
      <c r="D1196" s="19"/>
      <c r="E1196" s="19"/>
    </row>
    <row r="1197" spans="2:5" ht="15.75">
      <c r="B1197" s="19"/>
      <c r="C1197" s="19"/>
      <c r="D1197" s="19"/>
      <c r="E1197" s="19"/>
    </row>
    <row r="1198" spans="2:5" ht="15.75">
      <c r="B1198" s="19"/>
      <c r="C1198" s="19"/>
      <c r="D1198" s="19"/>
      <c r="E1198" s="19"/>
    </row>
    <row r="1199" spans="2:5" ht="15.75">
      <c r="B1199" s="19"/>
      <c r="C1199" s="19"/>
      <c r="D1199" s="19"/>
      <c r="E1199" s="19"/>
    </row>
    <row r="1200" spans="2:5" ht="15.75">
      <c r="B1200" s="19"/>
      <c r="C1200" s="19"/>
      <c r="D1200" s="19"/>
      <c r="E1200" s="19"/>
    </row>
    <row r="1201" spans="2:5" ht="15.75">
      <c r="B1201" s="19"/>
      <c r="C1201" s="19"/>
      <c r="D1201" s="19"/>
      <c r="E1201" s="19"/>
    </row>
    <row r="1202" spans="2:5" ht="15.75">
      <c r="B1202" s="19"/>
      <c r="C1202" s="19"/>
      <c r="D1202" s="19"/>
      <c r="E1202" s="19"/>
    </row>
    <row r="1203" spans="2:5" ht="15.75">
      <c r="B1203" s="19"/>
      <c r="C1203" s="19"/>
      <c r="D1203" s="19"/>
      <c r="E1203" s="19"/>
    </row>
    <row r="1204" spans="2:5" ht="15.75">
      <c r="B1204" s="19"/>
      <c r="C1204" s="19"/>
      <c r="D1204" s="19"/>
      <c r="E1204" s="19"/>
    </row>
    <row r="1205" spans="2:5" ht="15.75">
      <c r="B1205" s="19"/>
      <c r="C1205" s="19"/>
      <c r="D1205" s="19"/>
      <c r="E1205" s="19"/>
    </row>
    <row r="1206" spans="2:5" ht="15.75">
      <c r="B1206" s="19"/>
      <c r="C1206" s="19"/>
      <c r="D1206" s="19"/>
      <c r="E1206" s="19"/>
    </row>
    <row r="1207" spans="2:5" ht="15.75">
      <c r="B1207" s="19"/>
      <c r="C1207" s="19"/>
      <c r="D1207" s="19"/>
      <c r="E1207" s="19"/>
    </row>
    <row r="1208" spans="2:5" ht="15.75">
      <c r="B1208" s="19"/>
      <c r="C1208" s="19"/>
      <c r="D1208" s="19"/>
      <c r="E1208" s="19"/>
    </row>
    <row r="1209" spans="2:5" ht="15.75">
      <c r="B1209" s="19"/>
      <c r="C1209" s="19"/>
      <c r="D1209" s="19"/>
      <c r="E1209" s="19"/>
    </row>
    <row r="1210" spans="2:5" ht="15.75">
      <c r="B1210" s="19"/>
      <c r="C1210" s="19"/>
      <c r="D1210" s="19"/>
      <c r="E1210" s="19"/>
    </row>
    <row r="1211" spans="2:5" ht="15.75">
      <c r="B1211" s="19"/>
      <c r="C1211" s="19"/>
      <c r="D1211" s="19"/>
      <c r="E1211" s="19"/>
    </row>
    <row r="1212" spans="2:5" ht="15.75">
      <c r="B1212" s="19"/>
      <c r="C1212" s="19"/>
      <c r="D1212" s="19"/>
      <c r="E1212" s="19"/>
    </row>
    <row r="1213" spans="2:5" ht="15.75">
      <c r="B1213" s="19"/>
      <c r="C1213" s="19"/>
      <c r="D1213" s="19"/>
      <c r="E1213" s="19"/>
    </row>
    <row r="1214" spans="2:5" ht="15.75">
      <c r="B1214" s="19"/>
      <c r="C1214" s="19"/>
      <c r="D1214" s="19"/>
      <c r="E1214" s="19"/>
    </row>
    <row r="1215" spans="2:5" ht="15.75">
      <c r="B1215" s="19"/>
      <c r="C1215" s="19"/>
      <c r="D1215" s="19"/>
      <c r="E1215" s="19"/>
    </row>
    <row r="1216" spans="2:5" ht="15.75">
      <c r="B1216" s="19"/>
      <c r="C1216" s="19"/>
      <c r="D1216" s="19"/>
      <c r="E1216" s="19"/>
    </row>
    <row r="1217" spans="2:5" ht="15.75">
      <c r="B1217" s="19"/>
      <c r="C1217" s="19"/>
      <c r="D1217" s="19"/>
      <c r="E1217" s="19"/>
    </row>
    <row r="1218" spans="2:5" ht="15.75">
      <c r="B1218" s="19"/>
      <c r="C1218" s="19"/>
      <c r="D1218" s="19"/>
      <c r="E1218" s="19"/>
    </row>
    <row r="1219" spans="2:5" ht="15.75">
      <c r="B1219" s="19"/>
      <c r="C1219" s="19"/>
      <c r="D1219" s="19"/>
      <c r="E1219" s="19"/>
    </row>
    <row r="1220" spans="2:5" ht="15.75">
      <c r="B1220" s="19"/>
      <c r="C1220" s="19"/>
      <c r="D1220" s="19"/>
      <c r="E1220" s="19"/>
    </row>
    <row r="1221" spans="2:5" ht="15.75">
      <c r="B1221" s="19"/>
      <c r="C1221" s="19"/>
      <c r="D1221" s="19"/>
      <c r="E1221" s="19"/>
    </row>
    <row r="1222" spans="2:5" ht="15.75">
      <c r="B1222" s="19"/>
      <c r="C1222" s="19"/>
      <c r="D1222" s="19"/>
      <c r="E1222" s="19"/>
    </row>
    <row r="1223" spans="2:5" ht="15.75">
      <c r="B1223" s="19"/>
      <c r="C1223" s="19"/>
      <c r="D1223" s="19"/>
      <c r="E1223" s="19"/>
    </row>
    <row r="1224" spans="2:5" ht="15.75">
      <c r="B1224" s="19"/>
      <c r="C1224" s="19"/>
      <c r="D1224" s="19"/>
      <c r="E1224" s="19"/>
    </row>
    <row r="1225" spans="2:5" ht="15.75">
      <c r="B1225" s="19"/>
      <c r="C1225" s="19"/>
      <c r="D1225" s="19"/>
      <c r="E1225" s="19"/>
    </row>
    <row r="1226" spans="2:5" ht="15.75">
      <c r="B1226" s="19"/>
      <c r="C1226" s="19"/>
      <c r="D1226" s="19"/>
      <c r="E1226" s="19"/>
    </row>
    <row r="1227" spans="2:5" ht="15.75">
      <c r="B1227" s="19"/>
      <c r="C1227" s="19"/>
      <c r="D1227" s="19"/>
      <c r="E1227" s="19"/>
    </row>
    <row r="1228" spans="2:5" ht="15.75">
      <c r="B1228" s="19"/>
      <c r="C1228" s="19"/>
      <c r="D1228" s="19"/>
      <c r="E1228" s="19"/>
    </row>
    <row r="1229" spans="2:5" ht="15.75">
      <c r="B1229" s="19"/>
      <c r="C1229" s="19"/>
      <c r="D1229" s="19"/>
      <c r="E1229" s="19"/>
    </row>
    <row r="1230" spans="2:5" ht="15.75">
      <c r="B1230" s="19"/>
      <c r="C1230" s="19"/>
      <c r="D1230" s="19"/>
      <c r="E1230" s="19"/>
    </row>
  </sheetData>
  <sheetProtection/>
  <mergeCells count="15">
    <mergeCell ref="A7:G7"/>
    <mergeCell ref="E102:E103"/>
    <mergeCell ref="F102:F103"/>
    <mergeCell ref="G102:G103"/>
    <mergeCell ref="D983:E983"/>
    <mergeCell ref="B102:B103"/>
    <mergeCell ref="C102:C103"/>
    <mergeCell ref="D102:D103"/>
    <mergeCell ref="D1:E1"/>
    <mergeCell ref="F1:G1"/>
    <mergeCell ref="D2:G2"/>
    <mergeCell ref="D3:E3"/>
    <mergeCell ref="F3:G3"/>
    <mergeCell ref="A5:G5"/>
    <mergeCell ref="A4:G4"/>
  </mergeCells>
  <printOptions horizontalCentered="1"/>
  <pageMargins left="0.7874015748031497" right="0.5905511811023623" top="0.5511811023622047" bottom="0.5511811023622047" header="0.5118110236220472" footer="0.2362204724409449"/>
  <pageSetup fitToHeight="50" horizontalDpi="600" verticalDpi="600" orientation="portrait" paperSize="9" scale="75" r:id="rId1"/>
  <headerFooter alignWithMargins="0">
    <oddFooter>&amp;CСтраница &amp;P&amp;R&amp;A</oddFooter>
  </headerFooter>
  <rowBreaks count="16" manualBreakCount="16">
    <brk id="26" max="255" man="1"/>
    <brk id="132" max="255" man="1"/>
    <brk id="149" max="255" man="1"/>
    <brk id="195" max="255" man="1"/>
    <brk id="286" max="255" man="1"/>
    <brk id="407" max="255" man="1"/>
    <brk id="432" max="255" man="1"/>
    <brk id="504" max="255" man="1"/>
    <brk id="529" max="255" man="1"/>
    <brk id="549" max="255" man="1"/>
    <brk id="570" max="255" man="1"/>
    <brk id="667" max="255" man="1"/>
    <brk id="681" max="255" man="1"/>
    <brk id="822" max="255" man="1"/>
    <brk id="841" max="255" man="1"/>
    <brk id="97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95"/>
  <sheetViews>
    <sheetView zoomScale="75" zoomScaleNormal="75" zoomScalePageLayoutView="0" workbookViewId="0" topLeftCell="A1">
      <selection activeCell="H8" sqref="H8"/>
    </sheetView>
  </sheetViews>
  <sheetFormatPr defaultColWidth="9.00390625" defaultRowHeight="12.75"/>
  <cols>
    <col min="1" max="1" width="11.375" style="22" customWidth="1"/>
    <col min="2" max="2" width="33.25390625" style="64" customWidth="1"/>
    <col min="3" max="3" width="19.125" style="12" customWidth="1"/>
    <col min="4" max="4" width="21.625" style="12" customWidth="1"/>
    <col min="5" max="5" width="21.625" style="12" hidden="1" customWidth="1"/>
    <col min="6" max="6" width="20.875" style="12" customWidth="1"/>
    <col min="7" max="7" width="19.75390625" style="26" customWidth="1"/>
    <col min="8" max="8" width="18.75390625" style="12" customWidth="1"/>
    <col min="9" max="9" width="9.125" style="12" customWidth="1"/>
    <col min="10" max="10" width="24.625" style="12" customWidth="1"/>
    <col min="11" max="11" width="16.125" style="12" customWidth="1"/>
    <col min="12" max="16384" width="9.125" style="12" customWidth="1"/>
  </cols>
  <sheetData>
    <row r="1" spans="2:6" ht="15.75">
      <c r="B1" s="224"/>
      <c r="C1" s="224"/>
      <c r="D1" s="224" t="s">
        <v>321</v>
      </c>
      <c r="E1" s="224"/>
      <c r="F1" s="224"/>
    </row>
    <row r="2" spans="2:6" ht="15.75">
      <c r="B2" s="224" t="s">
        <v>566</v>
      </c>
      <c r="C2" s="224"/>
      <c r="D2" s="224"/>
      <c r="E2" s="224"/>
      <c r="F2" s="224"/>
    </row>
    <row r="3" spans="2:6" ht="15.75">
      <c r="B3" s="224"/>
      <c r="C3" s="224"/>
      <c r="D3" s="224" t="s">
        <v>384</v>
      </c>
      <c r="E3" s="224"/>
      <c r="F3" s="224"/>
    </row>
    <row r="4" spans="1:6" ht="15.75">
      <c r="A4" s="224" t="s">
        <v>785</v>
      </c>
      <c r="B4" s="224"/>
      <c r="C4" s="224"/>
      <c r="D4" s="224"/>
      <c r="E4" s="224"/>
      <c r="F4" s="224"/>
    </row>
    <row r="5" spans="1:6" s="215" customFormat="1" ht="15.75">
      <c r="A5" s="52"/>
      <c r="B5" s="224" t="s">
        <v>882</v>
      </c>
      <c r="C5" s="224"/>
      <c r="D5" s="224"/>
      <c r="E5" s="224"/>
      <c r="F5" s="224"/>
    </row>
    <row r="7" spans="1:6" ht="54" customHeight="1">
      <c r="A7" s="236" t="s">
        <v>767</v>
      </c>
      <c r="B7" s="237"/>
      <c r="C7" s="237"/>
      <c r="D7" s="237"/>
      <c r="E7" s="237"/>
      <c r="F7" s="237"/>
    </row>
    <row r="8" ht="15.75">
      <c r="F8" s="41" t="s">
        <v>682</v>
      </c>
    </row>
    <row r="9" spans="1:6" ht="31.5" customHeight="1">
      <c r="A9" s="253" t="s">
        <v>322</v>
      </c>
      <c r="B9" s="244" t="s">
        <v>649</v>
      </c>
      <c r="C9" s="250" t="s">
        <v>650</v>
      </c>
      <c r="D9" s="251"/>
      <c r="E9" s="251"/>
      <c r="F9" s="252"/>
    </row>
    <row r="10" spans="1:6" ht="15.75">
      <c r="A10" s="254"/>
      <c r="B10" s="245"/>
      <c r="C10" s="15">
        <v>2015</v>
      </c>
      <c r="D10" s="15">
        <v>2016</v>
      </c>
      <c r="E10" s="63"/>
      <c r="F10" s="63">
        <v>2017</v>
      </c>
    </row>
    <row r="11" spans="1:6" ht="15.75">
      <c r="A11" s="15">
        <v>1</v>
      </c>
      <c r="B11" s="15">
        <v>2</v>
      </c>
      <c r="C11" s="15">
        <v>3</v>
      </c>
      <c r="D11" s="15">
        <v>4</v>
      </c>
      <c r="E11" s="15"/>
      <c r="F11" s="15">
        <v>5</v>
      </c>
    </row>
    <row r="12" spans="1:10" s="43" customFormat="1" ht="54" customHeight="1">
      <c r="A12" s="246" t="s">
        <v>539</v>
      </c>
      <c r="B12" s="247"/>
      <c r="C12" s="46">
        <f>C13+C14</f>
        <v>1461841363.7399998</v>
      </c>
      <c r="D12" s="46">
        <f>D13+D14</f>
        <v>1291417866.88</v>
      </c>
      <c r="E12" s="46"/>
      <c r="F12" s="46">
        <f>F13+F14</f>
        <v>1380311397.58</v>
      </c>
      <c r="G12" s="26"/>
      <c r="H12" s="26"/>
      <c r="J12" s="82"/>
    </row>
    <row r="13" spans="1:8" s="43" customFormat="1" ht="54" customHeight="1">
      <c r="A13" s="59">
        <v>915</v>
      </c>
      <c r="B13" s="54" t="s">
        <v>645</v>
      </c>
      <c r="C13" s="66">
        <f>прил7!G416+прил7!G422</f>
        <v>236411773</v>
      </c>
      <c r="D13" s="66">
        <v>0</v>
      </c>
      <c r="E13" s="66"/>
      <c r="F13" s="66">
        <v>34981690.3</v>
      </c>
      <c r="G13" s="26"/>
      <c r="H13" s="26"/>
    </row>
    <row r="14" spans="1:8" s="43" customFormat="1" ht="47.25">
      <c r="A14" s="15">
        <v>918</v>
      </c>
      <c r="B14" s="67" t="s">
        <v>358</v>
      </c>
      <c r="C14" s="66">
        <f>прил7!G537+прил7!G559+прил7!G583+прил7!G590+прил7!G628+прил7!G499+прил7!G649</f>
        <v>1225429590.7399998</v>
      </c>
      <c r="D14" s="66">
        <f>1370825966.88-3737500-27335400-48191100-50700-93400</f>
        <v>1291417866.88</v>
      </c>
      <c r="E14" s="66"/>
      <c r="F14" s="66">
        <f>1417180807.28-3748200-93700-16711600-51230000-67600</f>
        <v>1345329707.28</v>
      </c>
      <c r="G14" s="26"/>
      <c r="H14" s="26"/>
    </row>
    <row r="15" spans="1:10" s="43" customFormat="1" ht="70.5" customHeight="1">
      <c r="A15" s="248" t="s">
        <v>542</v>
      </c>
      <c r="B15" s="249"/>
      <c r="C15" s="68">
        <f>C16+C17+C18</f>
        <v>2936743.34</v>
      </c>
      <c r="D15" s="68">
        <f>D16+D17+D18</f>
        <v>970000</v>
      </c>
      <c r="E15" s="68">
        <f>E16+E17+E18</f>
        <v>0</v>
      </c>
      <c r="F15" s="68">
        <f>F16+F17+F18</f>
        <v>970000</v>
      </c>
      <c r="G15" s="26"/>
      <c r="H15" s="26"/>
      <c r="J15" s="82"/>
    </row>
    <row r="16" spans="1:8" s="43" customFormat="1" ht="94.5">
      <c r="A16" s="15">
        <v>914</v>
      </c>
      <c r="B16" s="67" t="s">
        <v>644</v>
      </c>
      <c r="C16" s="66">
        <f>прил7!G92</f>
        <v>970000</v>
      </c>
      <c r="D16" s="66">
        <v>970000</v>
      </c>
      <c r="E16" s="66"/>
      <c r="F16" s="66">
        <v>970000</v>
      </c>
      <c r="G16" s="26"/>
      <c r="H16" s="26"/>
    </row>
    <row r="17" spans="1:8" s="43" customFormat="1" ht="63">
      <c r="A17" s="59">
        <v>915</v>
      </c>
      <c r="B17" s="54" t="s">
        <v>645</v>
      </c>
      <c r="C17" s="66">
        <f>прил7!G229</f>
        <v>854343.34</v>
      </c>
      <c r="D17" s="66">
        <v>0</v>
      </c>
      <c r="E17" s="66"/>
      <c r="F17" s="66">
        <v>0</v>
      </c>
      <c r="G17" s="26"/>
      <c r="H17" s="26"/>
    </row>
    <row r="18" spans="1:8" s="43" customFormat="1" ht="63">
      <c r="A18" s="15">
        <v>919</v>
      </c>
      <c r="B18" s="67" t="s">
        <v>688</v>
      </c>
      <c r="C18" s="66">
        <f>прил7!G754</f>
        <v>1112400</v>
      </c>
      <c r="D18" s="66">
        <v>0</v>
      </c>
      <c r="E18" s="66"/>
      <c r="F18" s="66">
        <v>0</v>
      </c>
      <c r="G18" s="26"/>
      <c r="H18" s="26"/>
    </row>
    <row r="19" spans="1:10" s="43" customFormat="1" ht="75" customHeight="1">
      <c r="A19" s="248" t="s">
        <v>543</v>
      </c>
      <c r="B19" s="249"/>
      <c r="C19" s="68">
        <f>C23+C22+C20+C21</f>
        <v>17041832.45</v>
      </c>
      <c r="D19" s="68">
        <f>D23+D22+D20+D21</f>
        <v>18728850</v>
      </c>
      <c r="E19" s="68"/>
      <c r="F19" s="68">
        <f>F23+F22+F20+F21</f>
        <v>18801080</v>
      </c>
      <c r="G19" s="26"/>
      <c r="H19" s="26"/>
      <c r="J19" s="82"/>
    </row>
    <row r="20" spans="1:8" s="43" customFormat="1" ht="96.75" customHeight="1">
      <c r="A20" s="15">
        <v>914</v>
      </c>
      <c r="B20" s="67" t="s">
        <v>644</v>
      </c>
      <c r="C20" s="66">
        <f>прил7!G97</f>
        <v>5000</v>
      </c>
      <c r="D20" s="66">
        <v>0</v>
      </c>
      <c r="E20" s="66"/>
      <c r="F20" s="66">
        <v>0</v>
      </c>
      <c r="G20" s="26"/>
      <c r="H20" s="26"/>
    </row>
    <row r="21" spans="1:8" s="43" customFormat="1" ht="57" customHeight="1">
      <c r="A21" s="59">
        <v>915</v>
      </c>
      <c r="B21" s="54" t="s">
        <v>645</v>
      </c>
      <c r="C21" s="66">
        <f>прил7!G456+прил7!G457</f>
        <v>0</v>
      </c>
      <c r="D21" s="66">
        <v>0</v>
      </c>
      <c r="E21" s="66"/>
      <c r="F21" s="66">
        <v>0</v>
      </c>
      <c r="G21" s="26"/>
      <c r="H21" s="26"/>
    </row>
    <row r="22" spans="1:8" s="16" customFormat="1" ht="47.25" hidden="1">
      <c r="A22" s="15">
        <v>918</v>
      </c>
      <c r="B22" s="67" t="s">
        <v>358</v>
      </c>
      <c r="C22" s="66">
        <f>прил7!G610</f>
        <v>0</v>
      </c>
      <c r="D22" s="66">
        <v>0</v>
      </c>
      <c r="E22" s="66"/>
      <c r="F22" s="66">
        <v>0</v>
      </c>
      <c r="G22" s="48"/>
      <c r="H22" s="26"/>
    </row>
    <row r="23" spans="1:8" ht="63">
      <c r="A23" s="15">
        <v>919</v>
      </c>
      <c r="B23" s="67" t="s">
        <v>688</v>
      </c>
      <c r="C23" s="66">
        <f>прил7!G816+прил7!G811+прил7!G748+прил7!G715</f>
        <v>17036832.45</v>
      </c>
      <c r="D23" s="66">
        <v>18728850</v>
      </c>
      <c r="E23" s="66"/>
      <c r="F23" s="66">
        <v>18801080</v>
      </c>
      <c r="H23" s="26"/>
    </row>
    <row r="24" spans="1:10" ht="72.75" customHeight="1">
      <c r="A24" s="220" t="s">
        <v>544</v>
      </c>
      <c r="B24" s="221"/>
      <c r="C24" s="68">
        <f>C25+C26</f>
        <v>232590410.88</v>
      </c>
      <c r="D24" s="68">
        <f>D25+D26</f>
        <v>233620850</v>
      </c>
      <c r="E24" s="68"/>
      <c r="F24" s="68">
        <f>F25+F26</f>
        <v>244069642</v>
      </c>
      <c r="G24" s="135"/>
      <c r="H24" s="26"/>
      <c r="J24" s="26"/>
    </row>
    <row r="25" spans="1:8" ht="63">
      <c r="A25" s="59">
        <v>915</v>
      </c>
      <c r="B25" s="54" t="s">
        <v>645</v>
      </c>
      <c r="C25" s="66">
        <f>прил7!G432</f>
        <v>1166717.5899999999</v>
      </c>
      <c r="D25" s="66">
        <v>0</v>
      </c>
      <c r="E25" s="66" t="e">
        <f>#REF!</f>
        <v>#REF!</v>
      </c>
      <c r="F25" s="66">
        <v>0</v>
      </c>
      <c r="G25" s="135"/>
      <c r="H25" s="26"/>
    </row>
    <row r="26" spans="1:8" ht="63">
      <c r="A26" s="15">
        <v>919</v>
      </c>
      <c r="B26" s="67" t="s">
        <v>688</v>
      </c>
      <c r="C26" s="66">
        <f>прил7!G698+прил7!G755+прил7!G798</f>
        <v>231423693.29</v>
      </c>
      <c r="D26" s="66">
        <v>233620850</v>
      </c>
      <c r="E26" s="66"/>
      <c r="F26" s="66">
        <v>244069642</v>
      </c>
      <c r="G26" s="135"/>
      <c r="H26" s="26"/>
    </row>
    <row r="27" spans="1:10" ht="83.25" customHeight="1">
      <c r="A27" s="220" t="s">
        <v>549</v>
      </c>
      <c r="B27" s="221"/>
      <c r="C27" s="68">
        <f>C28+C29</f>
        <v>139270606.57999998</v>
      </c>
      <c r="D27" s="68">
        <f>D28+D29</f>
        <v>107521905.5</v>
      </c>
      <c r="E27" s="68"/>
      <c r="F27" s="68">
        <f>F28+F29</f>
        <v>99075827</v>
      </c>
      <c r="H27" s="26"/>
      <c r="J27" s="26"/>
    </row>
    <row r="28" spans="1:8" ht="94.5">
      <c r="A28" s="15">
        <v>914</v>
      </c>
      <c r="B28" s="67" t="s">
        <v>644</v>
      </c>
      <c r="C28" s="66">
        <f>прил7!G163</f>
        <v>29752915.67</v>
      </c>
      <c r="D28" s="66">
        <v>30232600</v>
      </c>
      <c r="E28" s="66"/>
      <c r="F28" s="66">
        <v>28755330</v>
      </c>
      <c r="H28" s="26"/>
    </row>
    <row r="29" spans="1:8" ht="63">
      <c r="A29" s="59">
        <v>915</v>
      </c>
      <c r="B29" s="54" t="s">
        <v>645</v>
      </c>
      <c r="C29" s="66">
        <f>прил7!G339+прил7!G357+прил7!G369+прил7!G390+прил7!G438+прил7!G293</f>
        <v>109517690.91</v>
      </c>
      <c r="D29" s="66">
        <v>77289305.5</v>
      </c>
      <c r="E29" s="66"/>
      <c r="F29" s="66">
        <v>70320497</v>
      </c>
      <c r="H29" s="26"/>
    </row>
    <row r="30" spans="1:10" ht="63" customHeight="1">
      <c r="A30" s="248" t="s">
        <v>545</v>
      </c>
      <c r="B30" s="249"/>
      <c r="C30" s="68">
        <f>C31+C32+C33+C34</f>
        <v>50283500.35</v>
      </c>
      <c r="D30" s="68">
        <f>D31+D32+D33+D34</f>
        <v>39518010</v>
      </c>
      <c r="E30" s="68"/>
      <c r="F30" s="68">
        <f>F31+F32+F33+F34</f>
        <v>40352030</v>
      </c>
      <c r="H30" s="26"/>
      <c r="J30" s="26"/>
    </row>
    <row r="31" spans="1:8" ht="94.5">
      <c r="A31" s="15">
        <v>914</v>
      </c>
      <c r="B31" s="67" t="s">
        <v>644</v>
      </c>
      <c r="C31" s="66">
        <f>прил7!G147</f>
        <v>36766358.5</v>
      </c>
      <c r="D31" s="66">
        <v>39518010</v>
      </c>
      <c r="E31" s="66"/>
      <c r="F31" s="66">
        <v>40352030</v>
      </c>
      <c r="H31" s="26"/>
    </row>
    <row r="32" spans="1:8" ht="57" customHeight="1">
      <c r="A32" s="59">
        <v>915</v>
      </c>
      <c r="B32" s="54" t="s">
        <v>645</v>
      </c>
      <c r="C32" s="66">
        <f>прил7!G230+прил7!G301+прил7!G291</f>
        <v>13335929.35</v>
      </c>
      <c r="D32" s="66">
        <v>0</v>
      </c>
      <c r="E32" s="66"/>
      <c r="F32" s="66">
        <v>0</v>
      </c>
      <c r="H32" s="26"/>
    </row>
    <row r="33" spans="1:8" ht="47.25">
      <c r="A33" s="15">
        <v>918</v>
      </c>
      <c r="B33" s="67" t="s">
        <v>358</v>
      </c>
      <c r="C33" s="66">
        <f>прил7!G554+прил7!G578</f>
        <v>181212.5</v>
      </c>
      <c r="D33" s="66">
        <v>0</v>
      </c>
      <c r="E33" s="66"/>
      <c r="F33" s="66">
        <v>0</v>
      </c>
      <c r="H33" s="26"/>
    </row>
    <row r="34" spans="1:8" ht="63" hidden="1">
      <c r="A34" s="15">
        <v>919</v>
      </c>
      <c r="B34" s="67" t="s">
        <v>688</v>
      </c>
      <c r="C34" s="66">
        <f>прил7!G728+прил7!G787</f>
        <v>0</v>
      </c>
      <c r="D34" s="66">
        <v>0</v>
      </c>
      <c r="E34" s="66"/>
      <c r="F34" s="66">
        <v>0</v>
      </c>
      <c r="H34" s="26"/>
    </row>
    <row r="35" spans="1:10" ht="54.75" customHeight="1">
      <c r="A35" s="220" t="s">
        <v>551</v>
      </c>
      <c r="B35" s="221"/>
      <c r="C35" s="68">
        <f>C36</f>
        <v>17200000</v>
      </c>
      <c r="D35" s="68">
        <f>D36</f>
        <v>0</v>
      </c>
      <c r="E35" s="68"/>
      <c r="F35" s="68">
        <f>F36</f>
        <v>10000000</v>
      </c>
      <c r="H35" s="26"/>
      <c r="J35" s="26"/>
    </row>
    <row r="36" spans="1:8" ht="63">
      <c r="A36" s="59">
        <v>915</v>
      </c>
      <c r="B36" s="54" t="s">
        <v>645</v>
      </c>
      <c r="C36" s="66">
        <f>прил7!G411+прил7!G406</f>
        <v>17200000</v>
      </c>
      <c r="D36" s="66">
        <v>0</v>
      </c>
      <c r="E36" s="66"/>
      <c r="F36" s="66">
        <v>10000000</v>
      </c>
      <c r="H36" s="26"/>
    </row>
    <row r="37" spans="1:8" ht="60" customHeight="1">
      <c r="A37" s="220" t="s">
        <v>550</v>
      </c>
      <c r="B37" s="221"/>
      <c r="C37" s="68">
        <f>C38</f>
        <v>95634890.10000001</v>
      </c>
      <c r="D37" s="68">
        <f>D38</f>
        <v>92082210</v>
      </c>
      <c r="E37" s="68"/>
      <c r="F37" s="68">
        <f>F38</f>
        <v>87481040</v>
      </c>
      <c r="H37" s="26"/>
    </row>
    <row r="38" spans="1:8" ht="63">
      <c r="A38" s="59">
        <v>915</v>
      </c>
      <c r="B38" s="54" t="s">
        <v>645</v>
      </c>
      <c r="C38" s="66">
        <f>прил7!G305</f>
        <v>95634890.10000001</v>
      </c>
      <c r="D38" s="66">
        <v>92082210</v>
      </c>
      <c r="E38" s="66"/>
      <c r="F38" s="66">
        <v>87481040</v>
      </c>
      <c r="H38" s="26"/>
    </row>
    <row r="39" spans="1:8" s="16" customFormat="1" ht="49.5" customHeight="1">
      <c r="A39" s="220" t="s">
        <v>546</v>
      </c>
      <c r="B39" s="221"/>
      <c r="C39" s="68">
        <f>C40+C41+C42</f>
        <v>768537</v>
      </c>
      <c r="D39" s="68">
        <f>D40+D41+D42</f>
        <v>1214540</v>
      </c>
      <c r="E39" s="68"/>
      <c r="F39" s="68">
        <f>F40+F41+F42</f>
        <v>1153810</v>
      </c>
      <c r="G39" s="26"/>
      <c r="H39" s="26"/>
    </row>
    <row r="40" spans="1:8" ht="63">
      <c r="A40" s="59">
        <v>915</v>
      </c>
      <c r="B40" s="54" t="s">
        <v>645</v>
      </c>
      <c r="C40" s="66">
        <f>прил7!G320+прил7!G347+прил7!G239</f>
        <v>720909</v>
      </c>
      <c r="D40" s="66">
        <v>1214540</v>
      </c>
      <c r="E40" s="66"/>
      <c r="F40" s="66">
        <v>1153810</v>
      </c>
      <c r="H40" s="26"/>
    </row>
    <row r="41" spans="1:8" ht="47.25" hidden="1">
      <c r="A41" s="15">
        <v>918</v>
      </c>
      <c r="B41" s="67" t="s">
        <v>358</v>
      </c>
      <c r="C41" s="66">
        <f>прил7!G618</f>
        <v>0</v>
      </c>
      <c r="D41" s="66"/>
      <c r="E41" s="66"/>
      <c r="F41" s="66"/>
      <c r="H41" s="26"/>
    </row>
    <row r="42" spans="1:8" ht="63" hidden="1">
      <c r="A42" s="15">
        <v>919</v>
      </c>
      <c r="B42" s="67" t="s">
        <v>688</v>
      </c>
      <c r="C42" s="66">
        <f>прил7!G709+прил7!G732+прил7!G791</f>
        <v>47628</v>
      </c>
      <c r="D42" s="66"/>
      <c r="E42" s="66"/>
      <c r="F42" s="66"/>
      <c r="H42" s="26"/>
    </row>
    <row r="43" spans="1:8" ht="71.25" customHeight="1">
      <c r="A43" s="220" t="s">
        <v>547</v>
      </c>
      <c r="B43" s="221"/>
      <c r="C43" s="68">
        <f>C45+C44</f>
        <v>160235</v>
      </c>
      <c r="D43" s="68">
        <f>D45</f>
        <v>190000</v>
      </c>
      <c r="E43" s="68"/>
      <c r="F43" s="68">
        <f>F45</f>
        <v>180500</v>
      </c>
      <c r="H43" s="26"/>
    </row>
    <row r="44" spans="1:8" ht="103.5" customHeight="1">
      <c r="A44" s="59">
        <v>914</v>
      </c>
      <c r="B44" s="67" t="s">
        <v>644</v>
      </c>
      <c r="C44" s="66">
        <f>прил7!G101</f>
        <v>0</v>
      </c>
      <c r="D44" s="66">
        <v>0</v>
      </c>
      <c r="E44" s="66"/>
      <c r="F44" s="66">
        <v>0</v>
      </c>
      <c r="H44" s="26"/>
    </row>
    <row r="45" spans="1:8" ht="63">
      <c r="A45" s="59">
        <v>915</v>
      </c>
      <c r="B45" s="54" t="s">
        <v>645</v>
      </c>
      <c r="C45" s="66">
        <f>прил7!G240</f>
        <v>160235</v>
      </c>
      <c r="D45" s="66">
        <v>190000</v>
      </c>
      <c r="E45" s="66"/>
      <c r="F45" s="66">
        <v>180500</v>
      </c>
      <c r="H45" s="26"/>
    </row>
    <row r="46" spans="1:8" ht="54" customHeight="1">
      <c r="A46" s="220" t="s">
        <v>548</v>
      </c>
      <c r="B46" s="221"/>
      <c r="C46" s="68">
        <f>SUM(C47:C53)</f>
        <v>48271514.010000005</v>
      </c>
      <c r="D46" s="68">
        <f>SUM(D47:D53)</f>
        <v>46635690.3</v>
      </c>
      <c r="E46" s="68"/>
      <c r="F46" s="68">
        <f>SUM(F47:F53)</f>
        <v>46517950.769999996</v>
      </c>
      <c r="H46" s="26"/>
    </row>
    <row r="47" spans="1:8" ht="94.5">
      <c r="A47" s="15">
        <v>913</v>
      </c>
      <c r="B47" s="67" t="s">
        <v>643</v>
      </c>
      <c r="C47" s="66">
        <f>прил7!G50</f>
        <v>200040</v>
      </c>
      <c r="D47" s="66">
        <v>190040</v>
      </c>
      <c r="E47" s="66"/>
      <c r="F47" s="66">
        <v>180540</v>
      </c>
      <c r="H47" s="26"/>
    </row>
    <row r="48" spans="1:8" ht="94.5">
      <c r="A48" s="15">
        <v>914</v>
      </c>
      <c r="B48" s="67" t="s">
        <v>644</v>
      </c>
      <c r="C48" s="66">
        <f>прил7!G104+прил7!G170+прил7!G204</f>
        <v>34113810.17</v>
      </c>
      <c r="D48" s="66">
        <v>34880750</v>
      </c>
      <c r="E48" s="66"/>
      <c r="F48" s="66">
        <v>35309500</v>
      </c>
      <c r="H48" s="26"/>
    </row>
    <row r="49" spans="1:8" ht="63">
      <c r="A49" s="59">
        <v>915</v>
      </c>
      <c r="B49" s="54" t="s">
        <v>645</v>
      </c>
      <c r="C49" s="66">
        <f>прил7!G315+прил7!G244</f>
        <v>5040052.92</v>
      </c>
      <c r="D49" s="66">
        <v>2184120</v>
      </c>
      <c r="E49" s="66"/>
      <c r="F49" s="66">
        <v>2074910</v>
      </c>
      <c r="H49" s="26"/>
    </row>
    <row r="50" spans="1:8" ht="47.25">
      <c r="A50" s="59">
        <v>916</v>
      </c>
      <c r="B50" s="54" t="s">
        <v>565</v>
      </c>
      <c r="C50" s="66">
        <f>прил7!G484</f>
        <v>801670</v>
      </c>
      <c r="D50" s="66">
        <v>1194710</v>
      </c>
      <c r="E50" s="66"/>
      <c r="F50" s="66">
        <v>1176230</v>
      </c>
      <c r="H50" s="26"/>
    </row>
    <row r="51" spans="1:8" ht="47.25">
      <c r="A51" s="15">
        <v>918</v>
      </c>
      <c r="B51" s="67" t="s">
        <v>358</v>
      </c>
      <c r="C51" s="66">
        <f>прил7!G529</f>
        <v>6135903.029999999</v>
      </c>
      <c r="D51" s="66">
        <v>6319190.3</v>
      </c>
      <c r="E51" s="66"/>
      <c r="F51" s="66">
        <v>6003230.77</v>
      </c>
      <c r="H51" s="26"/>
    </row>
    <row r="52" spans="1:8" ht="63">
      <c r="A52" s="15">
        <v>919</v>
      </c>
      <c r="B52" s="67" t="s">
        <v>688</v>
      </c>
      <c r="C52" s="66">
        <f>прил7!G685</f>
        <v>1897177.8900000001</v>
      </c>
      <c r="D52" s="66">
        <v>1816660</v>
      </c>
      <c r="E52" s="66"/>
      <c r="F52" s="66">
        <v>1725830</v>
      </c>
      <c r="H52" s="26"/>
    </row>
    <row r="53" spans="1:8" ht="31.5">
      <c r="A53" s="69">
        <v>924</v>
      </c>
      <c r="B53" s="67" t="s">
        <v>465</v>
      </c>
      <c r="C53" s="66">
        <f>прил7!G842</f>
        <v>82860</v>
      </c>
      <c r="D53" s="66">
        <v>50220</v>
      </c>
      <c r="E53" s="66"/>
      <c r="F53" s="66">
        <v>47710</v>
      </c>
      <c r="H53" s="26"/>
    </row>
    <row r="54" spans="1:10" s="16" customFormat="1" ht="102.75" customHeight="1">
      <c r="A54" s="218" t="s">
        <v>540</v>
      </c>
      <c r="B54" s="219"/>
      <c r="C54" s="68">
        <f>C55</f>
        <v>22092903.78</v>
      </c>
      <c r="D54" s="68">
        <f>D55</f>
        <v>48123012.72</v>
      </c>
      <c r="E54" s="68"/>
      <c r="F54" s="68">
        <f>F55</f>
        <v>58573952.72</v>
      </c>
      <c r="G54" s="26"/>
      <c r="H54" s="26"/>
      <c r="I54" s="12"/>
      <c r="J54" s="12"/>
    </row>
    <row r="55" spans="1:8" ht="47.25">
      <c r="A55" s="59">
        <v>916</v>
      </c>
      <c r="B55" s="54" t="s">
        <v>565</v>
      </c>
      <c r="C55" s="66">
        <f>прил7!G462+прил7!G491</f>
        <v>22092903.78</v>
      </c>
      <c r="D55" s="66">
        <v>48123012.72</v>
      </c>
      <c r="E55" s="66"/>
      <c r="F55" s="66">
        <v>58573952.72</v>
      </c>
      <c r="H55" s="26"/>
    </row>
    <row r="56" spans="1:11" ht="69.75" customHeight="1">
      <c r="A56" s="218" t="s">
        <v>541</v>
      </c>
      <c r="B56" s="219"/>
      <c r="C56" s="68">
        <f>SUM(C57:C63)</f>
        <v>125488292.78999999</v>
      </c>
      <c r="D56" s="68">
        <f>SUM(D57:D63)</f>
        <v>221808145.96</v>
      </c>
      <c r="E56" s="68"/>
      <c r="F56" s="68">
        <f>SUM(F57:F63)</f>
        <v>224166866.96</v>
      </c>
      <c r="H56" s="26"/>
      <c r="J56" s="26"/>
      <c r="K56" s="26"/>
    </row>
    <row r="57" spans="1:8" ht="99.75" customHeight="1">
      <c r="A57" s="15">
        <v>913</v>
      </c>
      <c r="B57" s="67" t="s">
        <v>643</v>
      </c>
      <c r="C57" s="66">
        <f>прил7!G40</f>
        <v>292000</v>
      </c>
      <c r="D57" s="66">
        <v>246000</v>
      </c>
      <c r="E57" s="66"/>
      <c r="F57" s="66">
        <v>246000</v>
      </c>
      <c r="H57" s="26"/>
    </row>
    <row r="58" spans="1:8" ht="94.5">
      <c r="A58" s="15">
        <v>914</v>
      </c>
      <c r="B58" s="67" t="s">
        <v>644</v>
      </c>
      <c r="C58" s="66">
        <f>прил7!G57+прил7!G108+прил7!G141+прил7!G184+прил7!G194</f>
        <v>72803056.77</v>
      </c>
      <c r="D58" s="66">
        <f>77401368.37+11000</f>
        <v>77412368.37</v>
      </c>
      <c r="E58" s="66"/>
      <c r="F58" s="66">
        <f>78280028.37+22000</f>
        <v>78302028.37</v>
      </c>
      <c r="H58" s="26"/>
    </row>
    <row r="59" spans="1:8" ht="63">
      <c r="A59" s="59">
        <v>915</v>
      </c>
      <c r="B59" s="54" t="s">
        <v>645</v>
      </c>
      <c r="C59" s="66">
        <f>прил7!G211+прил7!G256+прил7!G323+прил7!G401+прил7!G447</f>
        <v>44347561.769999996</v>
      </c>
      <c r="D59" s="66">
        <v>135570574.32</v>
      </c>
      <c r="E59" s="66"/>
      <c r="F59" s="66">
        <v>137121004.32</v>
      </c>
      <c r="H59" s="26"/>
    </row>
    <row r="60" spans="1:8" ht="47.25">
      <c r="A60" s="59">
        <v>916</v>
      </c>
      <c r="B60" s="54" t="s">
        <v>565</v>
      </c>
      <c r="C60" s="66">
        <f>прил7!G476</f>
        <v>93100</v>
      </c>
      <c r="D60" s="66">
        <v>73100</v>
      </c>
      <c r="E60" s="66"/>
      <c r="F60" s="66">
        <v>113050</v>
      </c>
      <c r="H60" s="26"/>
    </row>
    <row r="61" spans="1:8" ht="47.25">
      <c r="A61" s="59">
        <v>918</v>
      </c>
      <c r="B61" s="67" t="s">
        <v>358</v>
      </c>
      <c r="C61" s="66">
        <f>прил7!G517</f>
        <v>174039.99</v>
      </c>
      <c r="D61" s="66">
        <v>277200</v>
      </c>
      <c r="E61" s="66"/>
      <c r="F61" s="66">
        <v>153000</v>
      </c>
      <c r="H61" s="26"/>
    </row>
    <row r="62" spans="1:8" ht="63">
      <c r="A62" s="15">
        <v>919</v>
      </c>
      <c r="B62" s="67" t="s">
        <v>688</v>
      </c>
      <c r="C62" s="66">
        <f>прил7!G669+прил7!G679</f>
        <v>7778534.26</v>
      </c>
      <c r="D62" s="66">
        <v>8137803.27</v>
      </c>
      <c r="E62" s="66"/>
      <c r="F62" s="66">
        <v>8140684.27</v>
      </c>
      <c r="H62" s="26"/>
    </row>
    <row r="63" spans="1:8" ht="31.5">
      <c r="A63" s="59">
        <v>924</v>
      </c>
      <c r="B63" s="67" t="s">
        <v>465</v>
      </c>
      <c r="C63" s="66">
        <f>прил7!G836</f>
        <v>0</v>
      </c>
      <c r="D63" s="66">
        <v>91100</v>
      </c>
      <c r="E63" s="66"/>
      <c r="F63" s="66">
        <v>91100</v>
      </c>
      <c r="H63" s="26"/>
    </row>
    <row r="64" spans="1:8" s="16" customFormat="1" ht="15.75">
      <c r="A64" s="255" t="s">
        <v>749</v>
      </c>
      <c r="B64" s="256"/>
      <c r="C64" s="70">
        <f>C12+C15+C19+C24+C27+C30+C35+C37+C39+C43+C46+C54+C56</f>
        <v>2213580830.0199995</v>
      </c>
      <c r="D64" s="70">
        <f>D12+D15+D19+D24+D27+D30+D35+D37+D39+D43+D46+D54+D56</f>
        <v>2101831081.3600001</v>
      </c>
      <c r="E64" s="70"/>
      <c r="F64" s="70">
        <f>F12+F15+F19+F24+F27+F30+F35+F37+F39+F43+F46+F54+F56</f>
        <v>2211654097.0299997</v>
      </c>
      <c r="G64" s="26"/>
      <c r="H64" s="26"/>
    </row>
    <row r="65" spans="2:8" ht="21.75" customHeight="1" hidden="1">
      <c r="B65" s="65"/>
      <c r="C65" s="19"/>
      <c r="D65" s="19"/>
      <c r="E65" s="19"/>
      <c r="F65" s="19"/>
      <c r="H65" s="26"/>
    </row>
    <row r="66" spans="2:8" ht="15.75" hidden="1">
      <c r="B66" s="65"/>
      <c r="C66" s="87"/>
      <c r="D66" s="87"/>
      <c r="E66" s="87"/>
      <c r="F66" s="87"/>
      <c r="H66" s="26"/>
    </row>
    <row r="67" spans="2:8" ht="15.75" hidden="1">
      <c r="B67" s="65"/>
      <c r="C67" s="87">
        <f>2477165350.44</f>
        <v>2477165350.44</v>
      </c>
      <c r="D67" s="87">
        <v>2181228181.36</v>
      </c>
      <c r="E67" s="87"/>
      <c r="F67" s="87">
        <v>2283483197.03</v>
      </c>
      <c r="H67" s="26"/>
    </row>
    <row r="68" spans="2:8" ht="15.75" hidden="1">
      <c r="B68" s="65"/>
      <c r="C68" s="87">
        <f>C64-C67</f>
        <v>-263584520.42000055</v>
      </c>
      <c r="D68" s="87">
        <f>D64-D67</f>
        <v>-79397100</v>
      </c>
      <c r="E68" s="87">
        <f>E64-E67</f>
        <v>0</v>
      </c>
      <c r="F68" s="87">
        <f>F64-F67</f>
        <v>-71829100.00000048</v>
      </c>
      <c r="H68" s="26"/>
    </row>
    <row r="69" spans="2:6" ht="15.75" hidden="1">
      <c r="B69" s="65"/>
      <c r="C69" s="87"/>
      <c r="D69" s="87"/>
      <c r="E69" s="87"/>
      <c r="F69" s="87"/>
    </row>
    <row r="70" spans="2:6" ht="15.75" hidden="1">
      <c r="B70" s="65"/>
      <c r="C70" s="87"/>
      <c r="D70" s="87"/>
      <c r="E70" s="87"/>
      <c r="F70" s="87"/>
    </row>
    <row r="71" spans="2:6" ht="15.75" hidden="1">
      <c r="B71" s="65"/>
      <c r="C71" s="87"/>
      <c r="D71" s="87"/>
      <c r="E71" s="87"/>
      <c r="F71" s="87"/>
    </row>
    <row r="72" spans="2:6" ht="15.75" hidden="1">
      <c r="B72" s="65"/>
      <c r="C72" s="87">
        <v>-180006774.87</v>
      </c>
      <c r="D72" s="87"/>
      <c r="E72" s="87"/>
      <c r="F72" s="87"/>
    </row>
    <row r="73" spans="2:6" ht="15.75" hidden="1">
      <c r="B73" s="65"/>
      <c r="C73" s="87"/>
      <c r="D73" s="87"/>
      <c r="E73" s="87"/>
      <c r="F73" s="87"/>
    </row>
    <row r="74" spans="2:6" ht="15.75" hidden="1">
      <c r="B74" s="65"/>
      <c r="C74" s="87">
        <f>C68-C72</f>
        <v>-83577745.55000055</v>
      </c>
      <c r="D74" s="87"/>
      <c r="E74" s="87"/>
      <c r="F74" s="87"/>
    </row>
    <row r="75" spans="3:6" ht="15.75" hidden="1">
      <c r="C75" s="26"/>
      <c r="D75" s="26"/>
      <c r="E75" s="26"/>
      <c r="F75" s="26"/>
    </row>
    <row r="76" spans="3:6" ht="15.75" hidden="1">
      <c r="C76" s="26">
        <f>10000+10000+10000</f>
        <v>30000</v>
      </c>
      <c r="D76" s="26"/>
      <c r="E76" s="26"/>
      <c r="F76" s="26"/>
    </row>
    <row r="77" spans="3:6" ht="15.75" hidden="1">
      <c r="C77" s="26">
        <f>418000-20000-20000-92000</f>
        <v>286000</v>
      </c>
      <c r="D77" s="26"/>
      <c r="E77" s="26"/>
      <c r="F77" s="26"/>
    </row>
    <row r="78" spans="3:6" ht="15.75" hidden="1">
      <c r="C78" s="26">
        <f>C76+C77</f>
        <v>316000</v>
      </c>
      <c r="D78" s="26"/>
      <c r="E78" s="26"/>
      <c r="F78" s="26"/>
    </row>
    <row r="79" spans="3:6" ht="15.75" hidden="1">
      <c r="C79" s="26">
        <f>C72+C78</f>
        <v>-179690774.87</v>
      </c>
      <c r="D79" s="26"/>
      <c r="E79" s="26"/>
      <c r="F79" s="26"/>
    </row>
    <row r="80" ht="15.75" hidden="1">
      <c r="C80" s="26">
        <f>C68-C79</f>
        <v>-83893745.55000055</v>
      </c>
    </row>
    <row r="81" ht="15.75" hidden="1">
      <c r="C81" s="135"/>
    </row>
    <row r="82" ht="15.75">
      <c r="C82" s="26"/>
    </row>
    <row r="83" spans="3:4" ht="15.75" hidden="1">
      <c r="C83" s="26">
        <f>'прил 8'!F980-'прил 8'!F886-C64</f>
        <v>0</v>
      </c>
      <c r="D83" s="26"/>
    </row>
    <row r="84" spans="3:4" ht="15.75">
      <c r="C84" s="26"/>
      <c r="D84" s="26"/>
    </row>
    <row r="85" spans="3:4" ht="15.75">
      <c r="C85" s="26"/>
      <c r="D85" s="26"/>
    </row>
    <row r="86" spans="3:4" ht="15.75">
      <c r="C86" s="26"/>
      <c r="D86" s="26"/>
    </row>
    <row r="87" spans="3:4" ht="15.75">
      <c r="C87" s="26"/>
      <c r="D87" s="26"/>
    </row>
    <row r="88" ht="15.75">
      <c r="C88" s="26"/>
    </row>
    <row r="89" ht="15.75">
      <c r="C89" s="26"/>
    </row>
    <row r="90" ht="15.75">
      <c r="C90" s="26"/>
    </row>
    <row r="91" ht="15.75">
      <c r="C91" s="26"/>
    </row>
    <row r="92" ht="15.75">
      <c r="C92" s="26"/>
    </row>
    <row r="93" ht="15.75">
      <c r="C93" s="26"/>
    </row>
    <row r="94" ht="15.75">
      <c r="C94" s="26"/>
    </row>
    <row r="95" ht="15.75">
      <c r="C95" s="26"/>
    </row>
  </sheetData>
  <sheetProtection/>
  <mergeCells count="25">
    <mergeCell ref="A64:B64"/>
    <mergeCell ref="A46:B46"/>
    <mergeCell ref="B3:C3"/>
    <mergeCell ref="D3:F3"/>
    <mergeCell ref="B1:C1"/>
    <mergeCell ref="A54:B54"/>
    <mergeCell ref="D1:F1"/>
    <mergeCell ref="A30:B30"/>
    <mergeCell ref="B2:F2"/>
    <mergeCell ref="A7:F7"/>
    <mergeCell ref="A24:B24"/>
    <mergeCell ref="A27:B27"/>
    <mergeCell ref="A56:B56"/>
    <mergeCell ref="A35:B35"/>
    <mergeCell ref="A37:B37"/>
    <mergeCell ref="A39:B39"/>
    <mergeCell ref="A43:B43"/>
    <mergeCell ref="A4:F4"/>
    <mergeCell ref="B9:B10"/>
    <mergeCell ref="A12:B12"/>
    <mergeCell ref="A15:B15"/>
    <mergeCell ref="A19:B19"/>
    <mergeCell ref="C9:F9"/>
    <mergeCell ref="A9:A10"/>
    <mergeCell ref="B5:F5"/>
  </mergeCells>
  <printOptions horizontalCentered="1"/>
  <pageMargins left="0.7874015748031497" right="0.3937007874015748" top="0.33" bottom="0.42" header="0.28" footer="0.17"/>
  <pageSetup fitToHeight="4" fitToWidth="1" horizontalDpi="600" verticalDpi="600" orientation="portrait" paperSize="9" scale="84"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Полянина Александра Александровна</cp:lastModifiedBy>
  <cp:lastPrinted>2015-09-20T11:53:27Z</cp:lastPrinted>
  <dcterms:created xsi:type="dcterms:W3CDTF">2003-08-14T15:25:08Z</dcterms:created>
  <dcterms:modified xsi:type="dcterms:W3CDTF">2015-09-25T09:24:19Z</dcterms:modified>
  <cp:category/>
  <cp:version/>
  <cp:contentType/>
  <cp:contentStatus/>
</cp:coreProperties>
</file>